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7755" activeTab="1"/>
  </bookViews>
  <sheets>
    <sheet name="02" sheetId="1" r:id="rId1"/>
    <sheet name="03" sheetId="2" r:id="rId2"/>
    <sheet name="Sheet1" sheetId="3" r:id="rId3"/>
    <sheet name="絞線Twisting wire" sheetId="16" r:id="rId4"/>
    <sheet name="编织 缠绕 Winding, Braiding," sheetId="17" r:id="rId5"/>
    <sheet name="總絞Twisting core" sheetId="18" r:id="rId6"/>
    <sheet name=" 押出ekstrusi" sheetId="19" r:id="rId7"/>
    <sheet name="伸线工时wire drawing" sheetId="20" r:id="rId8"/>
    <sheet name="退火 镀锡 烤漆工时anil celup cat" sheetId="21" r:id="rId9"/>
    <sheet name="绞线工时Twisting wire" sheetId="22" r:id="rId10"/>
    <sheet name="缠绕 编织工时Winding, Braiding," sheetId="23" r:id="rId11"/>
    <sheet name="对绞 总绞工时Twisting core" sheetId="24" r:id="rId12"/>
    <sheet name="押出工时ekstrusi" sheetId="25" r:id="rId13"/>
  </sheets>
  <externalReferences>
    <externalReference r:id="rId14"/>
    <externalReference r:id="rId15"/>
  </externalReferences>
  <definedNames>
    <definedName name="_xlnm._FilterDatabase" localSheetId="6" hidden="1">' 押出ekstrusi'!$A$6:$X$56</definedName>
    <definedName name="_xlnm._FilterDatabase" localSheetId="0" hidden="1">'02'!$A$2:$AK$258</definedName>
    <definedName name="_xlnm._FilterDatabase" localSheetId="1" hidden="1">'03'!$A$2:$AW$286</definedName>
    <definedName name="_xlnm._FilterDatabase" localSheetId="2" hidden="1">Sheet1!$A$1:$P$50</definedName>
    <definedName name="_xlnm._FilterDatabase" localSheetId="3" hidden="1">'絞線Twisting wire'!$A$6:$AB$109</definedName>
    <definedName name="_xlnm._FilterDatabase" localSheetId="5" hidden="1">'總絞Twisting core'!$A$6:$AA$32</definedName>
    <definedName name="_xlnm._FilterDatabase" localSheetId="4" hidden="1">'编织 缠绕 Winding, Braiding,'!$A$6:$AB$62</definedName>
    <definedName name="_xlnm.Print_Area" localSheetId="0">'02'!$A$1:$AF$242</definedName>
  </definedNames>
  <calcPr calcId="144525"/>
</workbook>
</file>

<file path=xl/calcChain.xml><?xml version="1.0" encoding="utf-8"?>
<calcChain xmlns="http://schemas.openxmlformats.org/spreadsheetml/2006/main">
  <c r="AJ7" i="2" l="1"/>
  <c r="AI7" i="2"/>
  <c r="AH7" i="2"/>
  <c r="AG7" i="2"/>
  <c r="AD7" i="2"/>
  <c r="AC7" i="2"/>
  <c r="AB7" i="2"/>
  <c r="AA7" i="2"/>
  <c r="Z7" i="2"/>
  <c r="AJ3" i="2"/>
  <c r="AI3" i="2"/>
  <c r="AH3" i="2"/>
  <c r="AG3" i="2"/>
  <c r="AD3" i="2"/>
  <c r="AC3" i="2"/>
  <c r="AB3" i="2"/>
  <c r="AA3" i="2"/>
  <c r="Z3" i="2"/>
  <c r="M7" i="2"/>
  <c r="M3" i="2"/>
  <c r="AJ30" i="2"/>
  <c r="AI30" i="2"/>
  <c r="AH30" i="2"/>
  <c r="AG30" i="2"/>
  <c r="AD30" i="2"/>
  <c r="AC30" i="2"/>
  <c r="AB30" i="2"/>
  <c r="AA30" i="2"/>
  <c r="AJ26" i="2"/>
  <c r="AI26" i="2"/>
  <c r="AH26" i="2"/>
  <c r="AG26" i="2"/>
  <c r="AD26" i="2"/>
  <c r="AC26" i="2"/>
  <c r="AB26" i="2"/>
  <c r="AA26" i="2"/>
  <c r="AJ22" i="2"/>
  <c r="AI22" i="2"/>
  <c r="AH22" i="2"/>
  <c r="AG22" i="2"/>
  <c r="AD22" i="2"/>
  <c r="AC22" i="2"/>
  <c r="AB22" i="2"/>
  <c r="AA22" i="2"/>
  <c r="AJ19" i="2"/>
  <c r="AI19" i="2"/>
  <c r="AH19" i="2"/>
  <c r="AG19" i="2"/>
  <c r="AD19" i="2"/>
  <c r="AC19" i="2"/>
  <c r="AB19" i="2"/>
  <c r="AA19" i="2"/>
  <c r="AJ15" i="2"/>
  <c r="AI15" i="2"/>
  <c r="AH15" i="2"/>
  <c r="AG15" i="2"/>
  <c r="AD15" i="2"/>
  <c r="AC15" i="2"/>
  <c r="AB15" i="2"/>
  <c r="AA15" i="2"/>
  <c r="AJ11" i="2"/>
  <c r="AI11" i="2"/>
  <c r="AH11" i="2"/>
  <c r="AG11" i="2"/>
  <c r="AD11" i="2"/>
  <c r="AC11" i="2"/>
  <c r="AB11" i="2"/>
  <c r="AA11" i="2"/>
  <c r="Z11" i="2"/>
  <c r="Z15" i="2"/>
  <c r="Z19" i="2"/>
  <c r="Z22" i="2"/>
  <c r="Z26" i="2"/>
  <c r="Z30" i="2"/>
  <c r="AJ20" i="2"/>
  <c r="AI20" i="2"/>
  <c r="AH20" i="2"/>
  <c r="AG20" i="2"/>
  <c r="AE20" i="2"/>
  <c r="AD20" i="2"/>
  <c r="AC20" i="2"/>
  <c r="AB20" i="2"/>
  <c r="AA20" i="2"/>
  <c r="Z20" i="2"/>
  <c r="X20" i="2"/>
  <c r="W20" i="2"/>
  <c r="V20" i="2"/>
  <c r="U20" i="2"/>
  <c r="T20" i="2"/>
  <c r="Q20" i="2"/>
  <c r="P20" i="2"/>
  <c r="O20" i="2"/>
  <c r="N20" i="2"/>
  <c r="M20" i="2"/>
  <c r="L20" i="2"/>
  <c r="J20" i="2"/>
  <c r="M93" i="19"/>
  <c r="M92" i="19"/>
  <c r="M91" i="19"/>
  <c r="M90" i="19"/>
  <c r="M89" i="19"/>
  <c r="S88" i="19"/>
  <c r="T88" i="19" s="1"/>
  <c r="U88" i="19" s="1"/>
  <c r="V88" i="19" s="1"/>
  <c r="R88" i="19"/>
  <c r="K88" i="19"/>
  <c r="J88" i="19"/>
  <c r="H88" i="19"/>
  <c r="G88" i="19" s="1"/>
  <c r="S87" i="19"/>
  <c r="T87" i="19" s="1"/>
  <c r="R87" i="19"/>
  <c r="K87" i="19"/>
  <c r="J87" i="19"/>
  <c r="H87" i="19"/>
  <c r="G87" i="19" s="1"/>
  <c r="S86" i="19"/>
  <c r="T86" i="19" s="1"/>
  <c r="U86" i="19" s="1"/>
  <c r="V86" i="19" s="1"/>
  <c r="R86" i="19"/>
  <c r="K86" i="19"/>
  <c r="J86" i="19"/>
  <c r="H86" i="19"/>
  <c r="G86" i="19" s="1"/>
  <c r="S85" i="19"/>
  <c r="T85" i="19" s="1"/>
  <c r="R85" i="19"/>
  <c r="K85" i="19"/>
  <c r="J85" i="19"/>
  <c r="H85" i="19"/>
  <c r="G85" i="19" s="1"/>
  <c r="S84" i="19"/>
  <c r="T84" i="19" s="1"/>
  <c r="U84" i="19" s="1"/>
  <c r="V84" i="19" s="1"/>
  <c r="R84" i="19"/>
  <c r="K84" i="19"/>
  <c r="J84" i="19"/>
  <c r="H84" i="19"/>
  <c r="G84" i="19" s="1"/>
  <c r="S83" i="19"/>
  <c r="T83" i="19" s="1"/>
  <c r="R83" i="19"/>
  <c r="K83" i="19"/>
  <c r="J83" i="19"/>
  <c r="H83" i="19"/>
  <c r="G83" i="19" s="1"/>
  <c r="S82" i="19"/>
  <c r="T82" i="19" s="1"/>
  <c r="U82" i="19" s="1"/>
  <c r="V82" i="19" s="1"/>
  <c r="R82" i="19"/>
  <c r="K82" i="19"/>
  <c r="J82" i="19"/>
  <c r="H82" i="19"/>
  <c r="G82" i="19" s="1"/>
  <c r="S81" i="19"/>
  <c r="T81" i="19" s="1"/>
  <c r="R81" i="19"/>
  <c r="K81" i="19"/>
  <c r="J81" i="19"/>
  <c r="H81" i="19"/>
  <c r="G81" i="19" s="1"/>
  <c r="S80" i="19"/>
  <c r="T80" i="19" s="1"/>
  <c r="U80" i="19" s="1"/>
  <c r="V80" i="19" s="1"/>
  <c r="R80" i="19"/>
  <c r="K80" i="19"/>
  <c r="J80" i="19"/>
  <c r="H80" i="19"/>
  <c r="G80" i="19" s="1"/>
  <c r="M79" i="19"/>
  <c r="S78" i="19"/>
  <c r="R78" i="19"/>
  <c r="K78" i="19"/>
  <c r="J78" i="19"/>
  <c r="H78" i="19"/>
  <c r="G78" i="19"/>
  <c r="S77" i="19"/>
  <c r="T77" i="19" s="1"/>
  <c r="U77" i="19" s="1"/>
  <c r="R77" i="19"/>
  <c r="K77" i="19"/>
  <c r="J77" i="19"/>
  <c r="I77" i="19"/>
  <c r="L77" i="19" s="1"/>
  <c r="H77" i="19"/>
  <c r="G77" i="19"/>
  <c r="S76" i="19"/>
  <c r="R76" i="19"/>
  <c r="K76" i="19"/>
  <c r="J76" i="19"/>
  <c r="H76" i="19"/>
  <c r="G76" i="19"/>
  <c r="S75" i="19"/>
  <c r="T75" i="19" s="1"/>
  <c r="U75" i="19" s="1"/>
  <c r="R75" i="19"/>
  <c r="K75" i="19"/>
  <c r="J75" i="19"/>
  <c r="I75" i="19"/>
  <c r="L75" i="19" s="1"/>
  <c r="H75" i="19"/>
  <c r="G75" i="19"/>
  <c r="S74" i="19"/>
  <c r="R74" i="19"/>
  <c r="K74" i="19"/>
  <c r="J74" i="19"/>
  <c r="H74" i="19"/>
  <c r="G74" i="19"/>
  <c r="S73" i="19"/>
  <c r="T73" i="19" s="1"/>
  <c r="U73" i="19" s="1"/>
  <c r="R73" i="19"/>
  <c r="K73" i="19"/>
  <c r="J73" i="19"/>
  <c r="I73" i="19"/>
  <c r="L73" i="19" s="1"/>
  <c r="H73" i="19"/>
  <c r="G73" i="19"/>
  <c r="S72" i="19"/>
  <c r="R72" i="19"/>
  <c r="K72" i="19"/>
  <c r="J72" i="19"/>
  <c r="H72" i="19"/>
  <c r="G72" i="19"/>
  <c r="M71" i="19"/>
  <c r="T70" i="19"/>
  <c r="S70" i="19"/>
  <c r="R70" i="19"/>
  <c r="K70" i="19"/>
  <c r="J70" i="19"/>
  <c r="H70" i="19"/>
  <c r="G70" i="19" s="1"/>
  <c r="T69" i="19"/>
  <c r="U69" i="19" s="1"/>
  <c r="V69" i="19" s="1"/>
  <c r="S69" i="19"/>
  <c r="R69" i="19"/>
  <c r="K69" i="19"/>
  <c r="J69" i="19"/>
  <c r="H69" i="19"/>
  <c r="G69" i="19" s="1"/>
  <c r="T68" i="19"/>
  <c r="U68" i="19" s="1"/>
  <c r="V68" i="19" s="1"/>
  <c r="S68" i="19"/>
  <c r="R68" i="19"/>
  <c r="K68" i="19"/>
  <c r="J68" i="19"/>
  <c r="H68" i="19"/>
  <c r="G68" i="19" s="1"/>
  <c r="T67" i="19"/>
  <c r="U67" i="19" s="1"/>
  <c r="V67" i="19" s="1"/>
  <c r="S67" i="19"/>
  <c r="R67" i="19"/>
  <c r="K67" i="19"/>
  <c r="J67" i="19"/>
  <c r="H67" i="19"/>
  <c r="G67" i="19" s="1"/>
  <c r="T66" i="19"/>
  <c r="S66" i="19"/>
  <c r="R66" i="19"/>
  <c r="K66" i="19"/>
  <c r="J66" i="19"/>
  <c r="H66" i="19"/>
  <c r="G66" i="19" s="1"/>
  <c r="T65" i="19"/>
  <c r="S65" i="19"/>
  <c r="R65" i="19"/>
  <c r="K65" i="19"/>
  <c r="J65" i="19"/>
  <c r="H65" i="19"/>
  <c r="G65" i="19" s="1"/>
  <c r="T64" i="19"/>
  <c r="U64" i="19" s="1"/>
  <c r="V64" i="19" s="1"/>
  <c r="S64" i="19"/>
  <c r="R64" i="19"/>
  <c r="K64" i="19"/>
  <c r="J64" i="19"/>
  <c r="H64" i="19"/>
  <c r="G64" i="19" s="1"/>
  <c r="T63" i="19"/>
  <c r="U63" i="19" s="1"/>
  <c r="V63" i="19" s="1"/>
  <c r="S63" i="19"/>
  <c r="R63" i="19"/>
  <c r="K63" i="19"/>
  <c r="J63" i="19"/>
  <c r="H63" i="19"/>
  <c r="G63" i="19" s="1"/>
  <c r="T62" i="19"/>
  <c r="S62" i="19"/>
  <c r="R62" i="19"/>
  <c r="K62" i="19"/>
  <c r="J62" i="19"/>
  <c r="H62" i="19"/>
  <c r="G62" i="19" s="1"/>
  <c r="M61" i="19"/>
  <c r="S60" i="19"/>
  <c r="R60" i="19"/>
  <c r="K60" i="19"/>
  <c r="J60" i="19"/>
  <c r="H60" i="19"/>
  <c r="G60" i="19"/>
  <c r="I60" i="19" s="1"/>
  <c r="L60" i="19" s="1"/>
  <c r="S59" i="19"/>
  <c r="T59" i="19" s="1"/>
  <c r="U59" i="19" s="1"/>
  <c r="R59" i="19"/>
  <c r="L59" i="19"/>
  <c r="K59" i="19"/>
  <c r="J59" i="19"/>
  <c r="H59" i="19"/>
  <c r="G59" i="19" s="1"/>
  <c r="S58" i="19"/>
  <c r="T58" i="19" s="1"/>
  <c r="U58" i="19" s="1"/>
  <c r="V58" i="19" s="1"/>
  <c r="R58" i="19"/>
  <c r="L58" i="19"/>
  <c r="K58" i="19"/>
  <c r="J58" i="19"/>
  <c r="H58" i="19"/>
  <c r="G58" i="19"/>
  <c r="S57" i="19"/>
  <c r="R57" i="19"/>
  <c r="K57" i="19"/>
  <c r="J57" i="19"/>
  <c r="H57" i="19"/>
  <c r="G57" i="19"/>
  <c r="S56" i="19"/>
  <c r="R56" i="19"/>
  <c r="K56" i="19"/>
  <c r="J56" i="19"/>
  <c r="I56" i="19"/>
  <c r="L56" i="19" s="1"/>
  <c r="H56" i="19"/>
  <c r="G56" i="19"/>
  <c r="S55" i="19"/>
  <c r="R55" i="19"/>
  <c r="K55" i="19"/>
  <c r="J55" i="19"/>
  <c r="H55" i="19"/>
  <c r="G55" i="19"/>
  <c r="S54" i="19"/>
  <c r="R54" i="19"/>
  <c r="K54" i="19"/>
  <c r="J54" i="19"/>
  <c r="I54" i="19"/>
  <c r="L54" i="19" s="1"/>
  <c r="H54" i="19"/>
  <c r="G54" i="19"/>
  <c r="S53" i="19"/>
  <c r="R53" i="19"/>
  <c r="K53" i="19"/>
  <c r="J53" i="19"/>
  <c r="H53" i="19"/>
  <c r="G53" i="19"/>
  <c r="S52" i="19"/>
  <c r="R52" i="19"/>
  <c r="K52" i="19"/>
  <c r="J52" i="19"/>
  <c r="I52" i="19"/>
  <c r="L52" i="19" s="1"/>
  <c r="H52" i="19"/>
  <c r="G52" i="19"/>
  <c r="S51" i="19"/>
  <c r="R51" i="19"/>
  <c r="K51" i="19"/>
  <c r="J51" i="19"/>
  <c r="H51" i="19"/>
  <c r="G51" i="19"/>
  <c r="M50" i="19"/>
  <c r="S49" i="19"/>
  <c r="T49" i="19" s="1"/>
  <c r="U49" i="19" s="1"/>
  <c r="V49" i="19" s="1"/>
  <c r="R49" i="19"/>
  <c r="K49" i="19"/>
  <c r="J49" i="19"/>
  <c r="H49" i="19"/>
  <c r="G49" i="19" s="1"/>
  <c r="S48" i="19"/>
  <c r="T48" i="19" s="1"/>
  <c r="U48" i="19" s="1"/>
  <c r="V48" i="19" s="1"/>
  <c r="R48" i="19"/>
  <c r="K48" i="19"/>
  <c r="J48" i="19"/>
  <c r="H48" i="19"/>
  <c r="G48" i="19" s="1"/>
  <c r="S47" i="19"/>
  <c r="T47" i="19" s="1"/>
  <c r="R47" i="19"/>
  <c r="K47" i="19"/>
  <c r="J47" i="19"/>
  <c r="I47" i="19"/>
  <c r="L47" i="19" s="1"/>
  <c r="H47" i="19"/>
  <c r="G47" i="19"/>
  <c r="S46" i="19"/>
  <c r="T46" i="19" s="1"/>
  <c r="U46" i="19" s="1"/>
  <c r="R46" i="19"/>
  <c r="K46" i="19"/>
  <c r="J46" i="19"/>
  <c r="H46" i="19"/>
  <c r="G46" i="19"/>
  <c r="S45" i="19"/>
  <c r="T45" i="19" s="1"/>
  <c r="U45" i="19" s="1"/>
  <c r="V45" i="19" s="1"/>
  <c r="R45" i="19"/>
  <c r="W45" i="19" s="1"/>
  <c r="E45" i="19" s="1"/>
  <c r="M45" i="19" s="1"/>
  <c r="K45" i="19"/>
  <c r="J45" i="19"/>
  <c r="I45" i="19"/>
  <c r="L45" i="19" s="1"/>
  <c r="H45" i="19"/>
  <c r="G45" i="19"/>
  <c r="S44" i="19"/>
  <c r="T44" i="19" s="1"/>
  <c r="U44" i="19" s="1"/>
  <c r="R44" i="19"/>
  <c r="K44" i="19"/>
  <c r="J44" i="19"/>
  <c r="H44" i="19"/>
  <c r="G44" i="19"/>
  <c r="S43" i="19"/>
  <c r="T43" i="19" s="1"/>
  <c r="U43" i="19" s="1"/>
  <c r="V43" i="19" s="1"/>
  <c r="R43" i="19"/>
  <c r="K43" i="19"/>
  <c r="J43" i="19"/>
  <c r="I43" i="19"/>
  <c r="L43" i="19" s="1"/>
  <c r="H43" i="19"/>
  <c r="G43" i="19"/>
  <c r="M42" i="19"/>
  <c r="T41" i="19"/>
  <c r="U41" i="19" s="1"/>
  <c r="V41" i="19" s="1"/>
  <c r="S41" i="19"/>
  <c r="R41" i="19"/>
  <c r="L41" i="19"/>
  <c r="K41" i="19"/>
  <c r="J41" i="19"/>
  <c r="G41" i="19"/>
  <c r="S40" i="19"/>
  <c r="T40" i="19" s="1"/>
  <c r="U40" i="19" s="1"/>
  <c r="V40" i="19" s="1"/>
  <c r="R40" i="19"/>
  <c r="K40" i="19"/>
  <c r="J40" i="19"/>
  <c r="H40" i="19"/>
  <c r="G40" i="19" s="1"/>
  <c r="S39" i="19"/>
  <c r="T39" i="19" s="1"/>
  <c r="U39" i="19" s="1"/>
  <c r="V39" i="19" s="1"/>
  <c r="R39" i="19"/>
  <c r="K39" i="19"/>
  <c r="J39" i="19"/>
  <c r="H39" i="19"/>
  <c r="G39" i="19"/>
  <c r="S38" i="19"/>
  <c r="T38" i="19" s="1"/>
  <c r="U38" i="19" s="1"/>
  <c r="V38" i="19" s="1"/>
  <c r="R38" i="19"/>
  <c r="K38" i="19"/>
  <c r="J38" i="19"/>
  <c r="H38" i="19"/>
  <c r="G38" i="19" s="1"/>
  <c r="S37" i="19"/>
  <c r="T37" i="19" s="1"/>
  <c r="R37" i="19"/>
  <c r="K37" i="19"/>
  <c r="J37" i="19"/>
  <c r="H37" i="19"/>
  <c r="G37" i="19"/>
  <c r="T36" i="19"/>
  <c r="U36" i="19" s="1"/>
  <c r="V36" i="19" s="1"/>
  <c r="S36" i="19"/>
  <c r="R36" i="19"/>
  <c r="K36" i="19"/>
  <c r="J36" i="19"/>
  <c r="I36" i="19"/>
  <c r="L36" i="19" s="1"/>
  <c r="H36" i="19"/>
  <c r="G36" i="19" s="1"/>
  <c r="S35" i="19"/>
  <c r="T35" i="19" s="1"/>
  <c r="U35" i="19" s="1"/>
  <c r="R35" i="19"/>
  <c r="K35" i="19"/>
  <c r="J35" i="19"/>
  <c r="H35" i="19"/>
  <c r="G35" i="19"/>
  <c r="S34" i="19"/>
  <c r="T34" i="19" s="1"/>
  <c r="U34" i="19" s="1"/>
  <c r="V34" i="19" s="1"/>
  <c r="R34" i="19"/>
  <c r="K34" i="19"/>
  <c r="J34" i="19"/>
  <c r="H34" i="19"/>
  <c r="G34" i="19" s="1"/>
  <c r="S33" i="19"/>
  <c r="T33" i="19" s="1"/>
  <c r="U33" i="19" s="1"/>
  <c r="V33" i="19" s="1"/>
  <c r="R33" i="19"/>
  <c r="L33" i="19"/>
  <c r="K33" i="19"/>
  <c r="J33" i="19"/>
  <c r="H33" i="19"/>
  <c r="G33" i="19"/>
  <c r="S32" i="19"/>
  <c r="T32" i="19" s="1"/>
  <c r="R32" i="19"/>
  <c r="K32" i="19"/>
  <c r="J32" i="19"/>
  <c r="H32" i="19"/>
  <c r="G32" i="19" s="1"/>
  <c r="S31" i="19"/>
  <c r="T31" i="19" s="1"/>
  <c r="U31" i="19" s="1"/>
  <c r="V31" i="19" s="1"/>
  <c r="R31" i="19"/>
  <c r="K31" i="19"/>
  <c r="J31" i="19"/>
  <c r="I31" i="19"/>
  <c r="H31" i="19"/>
  <c r="G31" i="19"/>
  <c r="T30" i="19"/>
  <c r="U30" i="19" s="1"/>
  <c r="V30" i="19" s="1"/>
  <c r="S30" i="19"/>
  <c r="R30" i="19"/>
  <c r="K30" i="19"/>
  <c r="J30" i="19"/>
  <c r="G30" i="19"/>
  <c r="M29" i="19"/>
  <c r="S28" i="19"/>
  <c r="T28" i="19" s="1"/>
  <c r="R28" i="19"/>
  <c r="K28" i="19"/>
  <c r="J28" i="19"/>
  <c r="H28" i="19"/>
  <c r="G28" i="19" s="1"/>
  <c r="I28" i="19" s="1"/>
  <c r="L28" i="19" s="1"/>
  <c r="S27" i="19"/>
  <c r="R27" i="19"/>
  <c r="K27" i="19"/>
  <c r="J27" i="19"/>
  <c r="H27" i="19"/>
  <c r="G27" i="19"/>
  <c r="S26" i="19"/>
  <c r="T26" i="19" s="1"/>
  <c r="U26" i="19" s="1"/>
  <c r="V26" i="19" s="1"/>
  <c r="R26" i="19"/>
  <c r="K26" i="19"/>
  <c r="J26" i="19"/>
  <c r="I26" i="19"/>
  <c r="L26" i="19" s="1"/>
  <c r="H26" i="19"/>
  <c r="G26" i="19"/>
  <c r="S25" i="19"/>
  <c r="R25" i="19"/>
  <c r="K25" i="19"/>
  <c r="J25" i="19"/>
  <c r="H25" i="19"/>
  <c r="G25" i="19"/>
  <c r="U24" i="19"/>
  <c r="V24" i="19" s="1"/>
  <c r="S24" i="19"/>
  <c r="T24" i="19" s="1"/>
  <c r="R24" i="19"/>
  <c r="K24" i="19"/>
  <c r="J24" i="19"/>
  <c r="I24" i="19"/>
  <c r="L24" i="19" s="1"/>
  <c r="H24" i="19"/>
  <c r="G24" i="19"/>
  <c r="S23" i="19"/>
  <c r="R23" i="19"/>
  <c r="K23" i="19"/>
  <c r="J23" i="19"/>
  <c r="H23" i="19"/>
  <c r="G23" i="19"/>
  <c r="S22" i="19"/>
  <c r="T22" i="19" s="1"/>
  <c r="U22" i="19" s="1"/>
  <c r="V22" i="19" s="1"/>
  <c r="R22" i="19"/>
  <c r="K22" i="19"/>
  <c r="J22" i="19"/>
  <c r="I22" i="19"/>
  <c r="L22" i="19" s="1"/>
  <c r="H22" i="19"/>
  <c r="G22" i="19"/>
  <c r="M21" i="19"/>
  <c r="T20" i="19"/>
  <c r="U20" i="19" s="1"/>
  <c r="V20" i="19" s="1"/>
  <c r="S20" i="19"/>
  <c r="R20" i="19"/>
  <c r="K20" i="19"/>
  <c r="J20" i="19"/>
  <c r="H20" i="19"/>
  <c r="G20" i="19" s="1"/>
  <c r="S19" i="19"/>
  <c r="T19" i="19" s="1"/>
  <c r="R19" i="19"/>
  <c r="K19" i="19"/>
  <c r="J19" i="19"/>
  <c r="H19" i="19"/>
  <c r="G19" i="19"/>
  <c r="S18" i="19"/>
  <c r="T18" i="19" s="1"/>
  <c r="U18" i="19" s="1"/>
  <c r="V18" i="19" s="1"/>
  <c r="R18" i="19"/>
  <c r="K18" i="19"/>
  <c r="J18" i="19"/>
  <c r="I18" i="19"/>
  <c r="L18" i="19" s="1"/>
  <c r="H18" i="19"/>
  <c r="G18" i="19" s="1"/>
  <c r="S17" i="19"/>
  <c r="T17" i="19" s="1"/>
  <c r="U17" i="19" s="1"/>
  <c r="R17" i="19"/>
  <c r="K17" i="19"/>
  <c r="J17" i="19"/>
  <c r="H17" i="19"/>
  <c r="G17" i="19"/>
  <c r="M16" i="19"/>
  <c r="S15" i="19"/>
  <c r="T15" i="19" s="1"/>
  <c r="R15" i="19"/>
  <c r="K15" i="19"/>
  <c r="J15" i="19"/>
  <c r="H15" i="19"/>
  <c r="G15" i="19" s="1"/>
  <c r="S14" i="19"/>
  <c r="T14" i="19" s="1"/>
  <c r="R14" i="19"/>
  <c r="K14" i="19"/>
  <c r="J14" i="19"/>
  <c r="H14" i="19"/>
  <c r="G14" i="19" s="1"/>
  <c r="S13" i="19"/>
  <c r="T13" i="19" s="1"/>
  <c r="R13" i="19"/>
  <c r="K13" i="19"/>
  <c r="J13" i="19"/>
  <c r="H13" i="19"/>
  <c r="G13" i="19" s="1"/>
  <c r="S12" i="19"/>
  <c r="T12" i="19" s="1"/>
  <c r="R12" i="19"/>
  <c r="K12" i="19"/>
  <c r="J12" i="19"/>
  <c r="H12" i="19"/>
  <c r="G12" i="19" s="1"/>
  <c r="S11" i="19"/>
  <c r="T11" i="19" s="1"/>
  <c r="R11" i="19"/>
  <c r="K11" i="19"/>
  <c r="J11" i="19"/>
  <c r="H11" i="19"/>
  <c r="G11" i="19" s="1"/>
  <c r="T10" i="19"/>
  <c r="S10" i="19"/>
  <c r="R10" i="19"/>
  <c r="K10" i="19"/>
  <c r="J10" i="19"/>
  <c r="H10" i="19"/>
  <c r="G10" i="19" s="1"/>
  <c r="S9" i="19"/>
  <c r="T9" i="19" s="1"/>
  <c r="R9" i="19"/>
  <c r="K9" i="19"/>
  <c r="J9" i="19"/>
  <c r="H9" i="19"/>
  <c r="G9" i="19" s="1"/>
  <c r="S8" i="19"/>
  <c r="T8" i="19" s="1"/>
  <c r="R8" i="19"/>
  <c r="K8" i="19"/>
  <c r="J8" i="19"/>
  <c r="H8" i="19"/>
  <c r="G8" i="19" s="1"/>
  <c r="S7" i="19"/>
  <c r="T7" i="19" s="1"/>
  <c r="R7" i="19"/>
  <c r="K7" i="19"/>
  <c r="J7" i="19"/>
  <c r="H7" i="19"/>
  <c r="G7" i="19" s="1"/>
  <c r="I20" i="2"/>
  <c r="AJ211" i="2"/>
  <c r="AI211" i="2"/>
  <c r="AH211" i="2"/>
  <c r="AG211" i="2"/>
  <c r="AE211" i="2"/>
  <c r="AD211" i="2"/>
  <c r="AC211" i="2"/>
  <c r="AB211" i="2"/>
  <c r="AA211" i="2"/>
  <c r="Z211" i="2"/>
  <c r="X211" i="2"/>
  <c r="W211" i="2"/>
  <c r="V211" i="2"/>
  <c r="U211" i="2"/>
  <c r="T211" i="2"/>
  <c r="Q211" i="2"/>
  <c r="P211" i="2"/>
  <c r="O211" i="2"/>
  <c r="N211" i="2"/>
  <c r="M211" i="2"/>
  <c r="L211" i="2"/>
  <c r="J211" i="2"/>
  <c r="I211" i="2"/>
  <c r="AJ207" i="2"/>
  <c r="AI207" i="2"/>
  <c r="AH207" i="2"/>
  <c r="AG207" i="2"/>
  <c r="AE207" i="2"/>
  <c r="AD207" i="2"/>
  <c r="AC207" i="2"/>
  <c r="AB207" i="2"/>
  <c r="AA207" i="2"/>
  <c r="Z207" i="2"/>
  <c r="X207" i="2"/>
  <c r="W207" i="2"/>
  <c r="V207" i="2"/>
  <c r="U207" i="2"/>
  <c r="T207" i="2"/>
  <c r="Q207" i="2"/>
  <c r="P207" i="2"/>
  <c r="O207" i="2"/>
  <c r="N207" i="2"/>
  <c r="M207" i="2"/>
  <c r="L207" i="2"/>
  <c r="J207" i="2"/>
  <c r="I207" i="2"/>
  <c r="AJ101" i="2"/>
  <c r="AI101" i="2"/>
  <c r="AH101" i="2"/>
  <c r="AG101" i="2"/>
  <c r="AE101" i="2"/>
  <c r="AD101" i="2"/>
  <c r="AC101" i="2"/>
  <c r="AB101" i="2"/>
  <c r="AA101" i="2"/>
  <c r="Z101" i="2"/>
  <c r="X101" i="2"/>
  <c r="W101" i="2"/>
  <c r="V101" i="2"/>
  <c r="U101" i="2"/>
  <c r="T101" i="2"/>
  <c r="Q101" i="2"/>
  <c r="P101" i="2"/>
  <c r="O101" i="2"/>
  <c r="N101" i="2"/>
  <c r="M101" i="2"/>
  <c r="L101" i="2"/>
  <c r="J101" i="2"/>
  <c r="I101" i="2"/>
  <c r="AJ68" i="2"/>
  <c r="AI68" i="2"/>
  <c r="AH68" i="2"/>
  <c r="AG68" i="2"/>
  <c r="AE68" i="2"/>
  <c r="AD68" i="2"/>
  <c r="AC68" i="2"/>
  <c r="AB68" i="2"/>
  <c r="AA68" i="2"/>
  <c r="Z68" i="2"/>
  <c r="X68" i="2"/>
  <c r="W68" i="2"/>
  <c r="V68" i="2"/>
  <c r="U68" i="2"/>
  <c r="T68" i="2"/>
  <c r="Q68" i="2"/>
  <c r="P68" i="2"/>
  <c r="O68" i="2"/>
  <c r="N68" i="2"/>
  <c r="M68" i="2"/>
  <c r="L68" i="2"/>
  <c r="J68" i="2"/>
  <c r="I68" i="2"/>
  <c r="AJ32" i="2"/>
  <c r="AI32" i="2"/>
  <c r="AH32" i="2"/>
  <c r="AG32" i="2"/>
  <c r="AE32" i="2"/>
  <c r="AD32" i="2"/>
  <c r="AC32" i="2"/>
  <c r="AB32" i="2"/>
  <c r="AA32" i="2"/>
  <c r="Z32" i="2"/>
  <c r="X32" i="2"/>
  <c r="W32" i="2"/>
  <c r="V32" i="2"/>
  <c r="U32" i="2"/>
  <c r="T32" i="2"/>
  <c r="Q32" i="2"/>
  <c r="P32" i="2"/>
  <c r="O32" i="2"/>
  <c r="N32" i="2"/>
  <c r="M32" i="2"/>
  <c r="L32" i="2"/>
  <c r="J32" i="2"/>
  <c r="I32" i="2"/>
  <c r="N52" i="18"/>
  <c r="V51" i="18"/>
  <c r="W51" i="18" s="1"/>
  <c r="X51" i="18" s="1"/>
  <c r="Y51" i="18" s="1"/>
  <c r="U51" i="18"/>
  <c r="L51" i="18"/>
  <c r="P51" i="18" s="1"/>
  <c r="K51" i="18"/>
  <c r="V50" i="18"/>
  <c r="L50" i="18"/>
  <c r="P50" i="18" s="1"/>
  <c r="K50" i="18"/>
  <c r="V49" i="18"/>
  <c r="W49" i="18" s="1"/>
  <c r="X49" i="18" s="1"/>
  <c r="L49" i="18"/>
  <c r="P49" i="18" s="1"/>
  <c r="K49" i="18"/>
  <c r="V48" i="18"/>
  <c r="W48" i="18" s="1"/>
  <c r="X48" i="18" s="1"/>
  <c r="U48" i="18"/>
  <c r="L48" i="18"/>
  <c r="P48" i="18" s="1"/>
  <c r="K48" i="18"/>
  <c r="N47" i="18"/>
  <c r="V46" i="18"/>
  <c r="W46" i="18" s="1"/>
  <c r="X46" i="18" s="1"/>
  <c r="K46" i="18"/>
  <c r="L46" i="18" s="1"/>
  <c r="P46" i="18" s="1"/>
  <c r="W45" i="18"/>
  <c r="X45" i="18" s="1"/>
  <c r="V45" i="18"/>
  <c r="K45" i="18"/>
  <c r="L45" i="18" s="1"/>
  <c r="P45" i="18" s="1"/>
  <c r="V44" i="18"/>
  <c r="W44" i="18" s="1"/>
  <c r="X44" i="18" s="1"/>
  <c r="U44" i="18"/>
  <c r="K44" i="18"/>
  <c r="L44" i="18" s="1"/>
  <c r="P44" i="18" s="1"/>
  <c r="N43" i="18"/>
  <c r="V42" i="18"/>
  <c r="L42" i="18"/>
  <c r="P42" i="18" s="1"/>
  <c r="K42" i="18"/>
  <c r="V41" i="18"/>
  <c r="W41" i="18" s="1"/>
  <c r="X41" i="18" s="1"/>
  <c r="L41" i="18"/>
  <c r="P41" i="18" s="1"/>
  <c r="K41" i="18"/>
  <c r="V40" i="18"/>
  <c r="W40" i="18" s="1"/>
  <c r="X40" i="18" s="1"/>
  <c r="U40" i="18"/>
  <c r="L40" i="18"/>
  <c r="P40" i="18" s="1"/>
  <c r="K40" i="18"/>
  <c r="N39" i="18"/>
  <c r="V38" i="18"/>
  <c r="W38" i="18" s="1"/>
  <c r="X38" i="18" s="1"/>
  <c r="U38" i="18"/>
  <c r="K38" i="18"/>
  <c r="L38" i="18" s="1"/>
  <c r="P38" i="18" s="1"/>
  <c r="W37" i="18"/>
  <c r="X37" i="18" s="1"/>
  <c r="V37" i="18"/>
  <c r="K37" i="18"/>
  <c r="L37" i="18" s="1"/>
  <c r="P37" i="18" s="1"/>
  <c r="V36" i="18"/>
  <c r="W36" i="18" s="1"/>
  <c r="X36" i="18" s="1"/>
  <c r="K36" i="18"/>
  <c r="L36" i="18" s="1"/>
  <c r="P36" i="18" s="1"/>
  <c r="V35" i="18"/>
  <c r="W35" i="18" s="1"/>
  <c r="X35" i="18" s="1"/>
  <c r="U35" i="18"/>
  <c r="K35" i="18"/>
  <c r="L35" i="18" s="1"/>
  <c r="P35" i="18" s="1"/>
  <c r="N34" i="18"/>
  <c r="V33" i="18"/>
  <c r="W33" i="18" s="1"/>
  <c r="X33" i="18" s="1"/>
  <c r="L33" i="18"/>
  <c r="P33" i="18" s="1"/>
  <c r="K33" i="18"/>
  <c r="V32" i="18"/>
  <c r="W32" i="18" s="1"/>
  <c r="X32" i="18" s="1"/>
  <c r="K32" i="18"/>
  <c r="L32" i="18" s="1"/>
  <c r="P32" i="18" s="1"/>
  <c r="V31" i="18"/>
  <c r="W31" i="18" s="1"/>
  <c r="X31" i="18" s="1"/>
  <c r="L31" i="18"/>
  <c r="P31" i="18" s="1"/>
  <c r="K31" i="18"/>
  <c r="V30" i="18"/>
  <c r="W30" i="18" s="1"/>
  <c r="X30" i="18" s="1"/>
  <c r="U30" i="18"/>
  <c r="L30" i="18"/>
  <c r="P30" i="18" s="1"/>
  <c r="K30" i="18"/>
  <c r="N29" i="18"/>
  <c r="V28" i="18"/>
  <c r="L28" i="18"/>
  <c r="P28" i="18" s="1"/>
  <c r="K28" i="18"/>
  <c r="W27" i="18"/>
  <c r="X27" i="18" s="1"/>
  <c r="V27" i="18"/>
  <c r="K27" i="18"/>
  <c r="L27" i="18" s="1"/>
  <c r="P27" i="18" s="1"/>
  <c r="V26" i="18"/>
  <c r="W26" i="18" s="1"/>
  <c r="X26" i="18" s="1"/>
  <c r="U26" i="18"/>
  <c r="K26" i="18"/>
  <c r="L26" i="18" s="1"/>
  <c r="P26" i="18" s="1"/>
  <c r="N25" i="18"/>
  <c r="V24" i="18"/>
  <c r="W24" i="18" s="1"/>
  <c r="X24" i="18" s="1"/>
  <c r="Y24" i="18" s="1"/>
  <c r="U24" i="18"/>
  <c r="P24" i="18"/>
  <c r="L24" i="18"/>
  <c r="V23" i="18"/>
  <c r="L23" i="18"/>
  <c r="P23" i="18" s="1"/>
  <c r="K23" i="18"/>
  <c r="W22" i="18"/>
  <c r="X22" i="18" s="1"/>
  <c r="V22" i="18"/>
  <c r="K22" i="18"/>
  <c r="L22" i="18" s="1"/>
  <c r="P22" i="18" s="1"/>
  <c r="V21" i="18"/>
  <c r="L21" i="18"/>
  <c r="P21" i="18" s="1"/>
  <c r="K21" i="18"/>
  <c r="V20" i="18"/>
  <c r="W20" i="18" s="1"/>
  <c r="X20" i="18" s="1"/>
  <c r="U20" i="18"/>
  <c r="L20" i="18"/>
  <c r="P20" i="18" s="1"/>
  <c r="K20" i="18"/>
  <c r="N19" i="18"/>
  <c r="V18" i="18"/>
  <c r="W18" i="18" s="1"/>
  <c r="X18" i="18" s="1"/>
  <c r="K18" i="18"/>
  <c r="L18" i="18" s="1"/>
  <c r="P18" i="18" s="1"/>
  <c r="V17" i="18"/>
  <c r="W17" i="18" s="1"/>
  <c r="X17" i="18" s="1"/>
  <c r="L17" i="18"/>
  <c r="P17" i="18" s="1"/>
  <c r="K17" i="18"/>
  <c r="V16" i="18"/>
  <c r="W16" i="18" s="1"/>
  <c r="X16" i="18" s="1"/>
  <c r="K16" i="18"/>
  <c r="L16" i="18" s="1"/>
  <c r="P16" i="18" s="1"/>
  <c r="W15" i="18"/>
  <c r="V15" i="18"/>
  <c r="U15" i="18"/>
  <c r="K15" i="18"/>
  <c r="L15" i="18" s="1"/>
  <c r="P15" i="18" s="1"/>
  <c r="N14" i="18"/>
  <c r="V13" i="18"/>
  <c r="W13" i="18" s="1"/>
  <c r="X13" i="18" s="1"/>
  <c r="K13" i="18"/>
  <c r="L13" i="18" s="1"/>
  <c r="P13" i="18" s="1"/>
  <c r="V12" i="18"/>
  <c r="L12" i="18"/>
  <c r="P12" i="18" s="1"/>
  <c r="K12" i="18"/>
  <c r="V11" i="18"/>
  <c r="W11" i="18" s="1"/>
  <c r="X11" i="18" s="1"/>
  <c r="U11" i="18"/>
  <c r="L11" i="18"/>
  <c r="P11" i="18" s="1"/>
  <c r="K11" i="18"/>
  <c r="N10" i="18"/>
  <c r="V9" i="18"/>
  <c r="W9" i="18" s="1"/>
  <c r="X9" i="18" s="1"/>
  <c r="K9" i="18"/>
  <c r="L9" i="18" s="1"/>
  <c r="P9" i="18" s="1"/>
  <c r="V8" i="18"/>
  <c r="L8" i="18"/>
  <c r="P8" i="18" s="1"/>
  <c r="K8" i="18"/>
  <c r="V7" i="18"/>
  <c r="U7" i="18"/>
  <c r="L7" i="18"/>
  <c r="P7" i="18" s="1"/>
  <c r="K7" i="18"/>
  <c r="Z24" i="18" l="1"/>
  <c r="I24" i="18" s="1"/>
  <c r="W33" i="19"/>
  <c r="E33" i="19" s="1"/>
  <c r="I8" i="19"/>
  <c r="L8" i="19" s="1"/>
  <c r="I10" i="19"/>
  <c r="L10" i="19" s="1"/>
  <c r="I12" i="19"/>
  <c r="L12" i="19" s="1"/>
  <c r="I14" i="19"/>
  <c r="L14" i="19" s="1"/>
  <c r="U8" i="19"/>
  <c r="V8" i="19" s="1"/>
  <c r="U10" i="19"/>
  <c r="V10" i="19" s="1"/>
  <c r="U12" i="19"/>
  <c r="V12" i="19" s="1"/>
  <c r="U14" i="19"/>
  <c r="V14" i="19" s="1"/>
  <c r="I9" i="19"/>
  <c r="L9" i="19" s="1"/>
  <c r="I32" i="19"/>
  <c r="L32" i="19" s="1"/>
  <c r="I7" i="19"/>
  <c r="L7" i="19" s="1"/>
  <c r="I11" i="19"/>
  <c r="L11" i="19" s="1"/>
  <c r="I13" i="19"/>
  <c r="L13" i="19" s="1"/>
  <c r="I15" i="19"/>
  <c r="L15" i="19" s="1"/>
  <c r="U7" i="19"/>
  <c r="V7" i="19" s="1"/>
  <c r="W8" i="19"/>
  <c r="E8" i="19" s="1"/>
  <c r="M8" i="19" s="1"/>
  <c r="U9" i="19"/>
  <c r="V9" i="19" s="1"/>
  <c r="U11" i="19"/>
  <c r="V11" i="19" s="1"/>
  <c r="W12" i="19"/>
  <c r="E12" i="19" s="1"/>
  <c r="M12" i="19" s="1"/>
  <c r="U13" i="19"/>
  <c r="V13" i="19" s="1"/>
  <c r="U15" i="19"/>
  <c r="V15" i="19" s="1"/>
  <c r="W22" i="19"/>
  <c r="E22" i="19" s="1"/>
  <c r="M22" i="19" s="1"/>
  <c r="I23" i="19"/>
  <c r="L23" i="19" s="1"/>
  <c r="I25" i="19"/>
  <c r="L25" i="19" s="1"/>
  <c r="I27" i="19"/>
  <c r="L27" i="19" s="1"/>
  <c r="V17" i="19"/>
  <c r="W17" i="19" s="1"/>
  <c r="E17" i="19" s="1"/>
  <c r="M17" i="19" s="1"/>
  <c r="W18" i="19"/>
  <c r="E18" i="19" s="1"/>
  <c r="M18" i="19" s="1"/>
  <c r="W30" i="19"/>
  <c r="E30" i="19" s="1"/>
  <c r="M30" i="19" s="1"/>
  <c r="L31" i="19"/>
  <c r="W31" i="19"/>
  <c r="E31" i="19" s="1"/>
  <c r="M31" i="19" s="1"/>
  <c r="I34" i="19"/>
  <c r="L34" i="19" s="1"/>
  <c r="V35" i="19"/>
  <c r="W35" i="19" s="1"/>
  <c r="E35" i="19" s="1"/>
  <c r="M35" i="19" s="1"/>
  <c r="W36" i="19"/>
  <c r="E36" i="19" s="1"/>
  <c r="M36" i="19" s="1"/>
  <c r="I39" i="19"/>
  <c r="L39" i="19" s="1"/>
  <c r="W39" i="19"/>
  <c r="E39" i="19" s="1"/>
  <c r="M39" i="19" s="1"/>
  <c r="W43" i="19"/>
  <c r="E43" i="19" s="1"/>
  <c r="M43" i="19" s="1"/>
  <c r="V46" i="19"/>
  <c r="W46" i="19" s="1"/>
  <c r="E46" i="19" s="1"/>
  <c r="M46" i="19" s="1"/>
  <c r="V59" i="19"/>
  <c r="W59" i="19"/>
  <c r="E59" i="19" s="1"/>
  <c r="M59" i="19" s="1"/>
  <c r="I19" i="19"/>
  <c r="L19" i="19" s="1"/>
  <c r="U28" i="19"/>
  <c r="V28" i="19" s="1"/>
  <c r="I30" i="19"/>
  <c r="L30" i="19" s="1"/>
  <c r="W34" i="19"/>
  <c r="E34" i="19" s="1"/>
  <c r="M34" i="19" s="1"/>
  <c r="I37" i="19"/>
  <c r="L37" i="19" s="1"/>
  <c r="I17" i="19"/>
  <c r="L17" i="19" s="1"/>
  <c r="U19" i="19"/>
  <c r="V19" i="19" s="1"/>
  <c r="I20" i="19"/>
  <c r="L20" i="19" s="1"/>
  <c r="T23" i="19"/>
  <c r="U23" i="19" s="1"/>
  <c r="T25" i="19"/>
  <c r="U25" i="19" s="1"/>
  <c r="T27" i="19"/>
  <c r="U27" i="19" s="1"/>
  <c r="W28" i="19"/>
  <c r="E28" i="19" s="1"/>
  <c r="M28" i="19" s="1"/>
  <c r="M33" i="19"/>
  <c r="I35" i="19"/>
  <c r="L35" i="19" s="1"/>
  <c r="U37" i="19"/>
  <c r="V37" i="19" s="1"/>
  <c r="I38" i="19"/>
  <c r="L38" i="19" s="1"/>
  <c r="W20" i="19"/>
  <c r="E20" i="19" s="1"/>
  <c r="M20" i="19" s="1"/>
  <c r="W24" i="19"/>
  <c r="E24" i="19" s="1"/>
  <c r="M24" i="19" s="1"/>
  <c r="W26" i="19"/>
  <c r="E26" i="19" s="1"/>
  <c r="M26" i="19" s="1"/>
  <c r="U32" i="19"/>
  <c r="W38" i="19"/>
  <c r="E38" i="19" s="1"/>
  <c r="M38" i="19" s="1"/>
  <c r="I40" i="19"/>
  <c r="L40" i="19" s="1"/>
  <c r="W40" i="19"/>
  <c r="E40" i="19" s="1"/>
  <c r="M40" i="19" s="1"/>
  <c r="W41" i="19"/>
  <c r="E41" i="19" s="1"/>
  <c r="M41" i="19" s="1"/>
  <c r="V44" i="19"/>
  <c r="W44" i="19" s="1"/>
  <c r="E44" i="19" s="1"/>
  <c r="M44" i="19" s="1"/>
  <c r="I44" i="19"/>
  <c r="L44" i="19" s="1"/>
  <c r="I46" i="19"/>
  <c r="L46" i="19" s="1"/>
  <c r="I48" i="19"/>
  <c r="L48" i="19" s="1"/>
  <c r="W48" i="19"/>
  <c r="E48" i="19" s="1"/>
  <c r="M48" i="19" s="1"/>
  <c r="I51" i="19"/>
  <c r="L51" i="19" s="1"/>
  <c r="I53" i="19"/>
  <c r="L53" i="19" s="1"/>
  <c r="I55" i="19"/>
  <c r="L55" i="19" s="1"/>
  <c r="I57" i="19"/>
  <c r="L57" i="19" s="1"/>
  <c r="M63" i="19"/>
  <c r="I63" i="19"/>
  <c r="L63" i="19" s="1"/>
  <c r="W63" i="19"/>
  <c r="E63" i="19" s="1"/>
  <c r="U65" i="19"/>
  <c r="V65" i="19" s="1"/>
  <c r="M67" i="19"/>
  <c r="I67" i="19"/>
  <c r="L67" i="19" s="1"/>
  <c r="W67" i="19"/>
  <c r="E67" i="19" s="1"/>
  <c r="I70" i="19"/>
  <c r="L70" i="19" s="1"/>
  <c r="V75" i="19"/>
  <c r="W75" i="19" s="1"/>
  <c r="E75" i="19" s="1"/>
  <c r="M75" i="19" s="1"/>
  <c r="W80" i="19"/>
  <c r="E80" i="19" s="1"/>
  <c r="U81" i="19"/>
  <c r="V81" i="19" s="1"/>
  <c r="W82" i="19"/>
  <c r="E82" i="19" s="1"/>
  <c r="M82" i="19" s="1"/>
  <c r="U83" i="19"/>
  <c r="V83" i="19" s="1"/>
  <c r="W84" i="19"/>
  <c r="E84" i="19" s="1"/>
  <c r="U85" i="19"/>
  <c r="V85" i="19" s="1"/>
  <c r="W86" i="19"/>
  <c r="E86" i="19" s="1"/>
  <c r="M86" i="19" s="1"/>
  <c r="U87" i="19"/>
  <c r="V87" i="19" s="1"/>
  <c r="W88" i="19"/>
  <c r="E88" i="19" s="1"/>
  <c r="U47" i="19"/>
  <c r="V47" i="19" s="1"/>
  <c r="I49" i="19"/>
  <c r="L49" i="19" s="1"/>
  <c r="W49" i="19"/>
  <c r="E49" i="19" s="1"/>
  <c r="M49" i="19" s="1"/>
  <c r="T51" i="19"/>
  <c r="U51" i="19" s="1"/>
  <c r="T53" i="19"/>
  <c r="U53" i="19" s="1"/>
  <c r="T55" i="19"/>
  <c r="U55" i="19" s="1"/>
  <c r="T57" i="19"/>
  <c r="U57" i="19" s="1"/>
  <c r="W58" i="19"/>
  <c r="E58" i="19" s="1"/>
  <c r="M58" i="19" s="1"/>
  <c r="U62" i="19"/>
  <c r="V62" i="19" s="1"/>
  <c r="I64" i="19"/>
  <c r="L64" i="19" s="1"/>
  <c r="W64" i="19"/>
  <c r="E64" i="19" s="1"/>
  <c r="M64" i="19" s="1"/>
  <c r="U66" i="19"/>
  <c r="V66" i="19" s="1"/>
  <c r="I68" i="19"/>
  <c r="L68" i="19" s="1"/>
  <c r="W68" i="19"/>
  <c r="E68" i="19" s="1"/>
  <c r="M68" i="19" s="1"/>
  <c r="I69" i="19"/>
  <c r="L69" i="19" s="1"/>
  <c r="W69" i="19"/>
  <c r="E69" i="19" s="1"/>
  <c r="M69" i="19" s="1"/>
  <c r="U70" i="19"/>
  <c r="V70" i="19" s="1"/>
  <c r="V77" i="19"/>
  <c r="W77" i="19" s="1"/>
  <c r="E77" i="19" s="1"/>
  <c r="M77" i="19" s="1"/>
  <c r="M80" i="19"/>
  <c r="I80" i="19"/>
  <c r="L80" i="19" s="1"/>
  <c r="I82" i="19"/>
  <c r="L82" i="19" s="1"/>
  <c r="M84" i="19"/>
  <c r="I84" i="19"/>
  <c r="L84" i="19" s="1"/>
  <c r="I86" i="19"/>
  <c r="L86" i="19" s="1"/>
  <c r="M88" i="19"/>
  <c r="I88" i="19"/>
  <c r="L88" i="19" s="1"/>
  <c r="T60" i="19"/>
  <c r="U60" i="19" s="1"/>
  <c r="I65" i="19"/>
  <c r="L65" i="19" s="1"/>
  <c r="W83" i="19"/>
  <c r="E83" i="19" s="1"/>
  <c r="M83" i="19" s="1"/>
  <c r="W87" i="19"/>
  <c r="E87" i="19" s="1"/>
  <c r="M87" i="19" s="1"/>
  <c r="T52" i="19"/>
  <c r="U52" i="19" s="1"/>
  <c r="T54" i="19"/>
  <c r="U54" i="19" s="1"/>
  <c r="T56" i="19"/>
  <c r="U56" i="19" s="1"/>
  <c r="I62" i="19"/>
  <c r="L62" i="19" s="1"/>
  <c r="I66" i="19"/>
  <c r="L66" i="19" s="1"/>
  <c r="W70" i="19"/>
  <c r="E70" i="19" s="1"/>
  <c r="M70" i="19" s="1"/>
  <c r="V73" i="19"/>
  <c r="W73" i="19" s="1"/>
  <c r="E73" i="19" s="1"/>
  <c r="M73" i="19" s="1"/>
  <c r="I81" i="19"/>
  <c r="L81" i="19" s="1"/>
  <c r="I83" i="19"/>
  <c r="L83" i="19" s="1"/>
  <c r="I85" i="19"/>
  <c r="L85" i="19" s="1"/>
  <c r="I87" i="19"/>
  <c r="L87" i="19" s="1"/>
  <c r="T72" i="19"/>
  <c r="U72" i="19" s="1"/>
  <c r="T74" i="19"/>
  <c r="U74" i="19" s="1"/>
  <c r="T76" i="19"/>
  <c r="U76" i="19" s="1"/>
  <c r="T78" i="19"/>
  <c r="U78" i="19" s="1"/>
  <c r="I72" i="19"/>
  <c r="L72" i="19" s="1"/>
  <c r="I74" i="19"/>
  <c r="L74" i="19" s="1"/>
  <c r="I76" i="19"/>
  <c r="L76" i="19" s="1"/>
  <c r="I78" i="19"/>
  <c r="L78" i="19" s="1"/>
  <c r="W7" i="18"/>
  <c r="X7" i="18" s="1"/>
  <c r="Y38" i="18"/>
  <c r="Z38" i="18" s="1"/>
  <c r="I38" i="18" s="1"/>
  <c r="Y44" i="18"/>
  <c r="Z46" i="18" s="1"/>
  <c r="I46" i="18" s="1"/>
  <c r="Z51" i="18"/>
  <c r="I51" i="18" s="1"/>
  <c r="O24" i="18"/>
  <c r="N24" i="18"/>
  <c r="Y30" i="18"/>
  <c r="Z33" i="18" s="1"/>
  <c r="I33" i="18" s="1"/>
  <c r="W8" i="18"/>
  <c r="X8" i="18" s="1"/>
  <c r="Y35" i="18"/>
  <c r="Z37" i="18" s="1"/>
  <c r="I37" i="18" s="1"/>
  <c r="X15" i="18"/>
  <c r="Z32" i="18"/>
  <c r="I32" i="18" s="1"/>
  <c r="W50" i="18"/>
  <c r="X50" i="18" s="1"/>
  <c r="Y48" i="18" s="1"/>
  <c r="W12" i="18"/>
  <c r="X12" i="18" s="1"/>
  <c r="Y11" i="18" s="1"/>
  <c r="W21" i="18"/>
  <c r="X21" i="18" s="1"/>
  <c r="Y20" i="18" s="1"/>
  <c r="W23" i="18"/>
  <c r="X23" i="18" s="1"/>
  <c r="W28" i="18"/>
  <c r="X28" i="18" s="1"/>
  <c r="Y26" i="18" s="1"/>
  <c r="Z31" i="18"/>
  <c r="I31" i="18" s="1"/>
  <c r="W42" i="18"/>
  <c r="X42" i="18" s="1"/>
  <c r="Z26" i="18" l="1"/>
  <c r="I26" i="18" s="1"/>
  <c r="Z27" i="18"/>
  <c r="I27" i="18" s="1"/>
  <c r="Y40" i="18"/>
  <c r="Z41" i="18" s="1"/>
  <c r="I41" i="18" s="1"/>
  <c r="O41" i="18" s="1"/>
  <c r="W65" i="19"/>
  <c r="E65" i="19" s="1"/>
  <c r="M65" i="19" s="1"/>
  <c r="Z36" i="18"/>
  <c r="I36" i="18" s="1"/>
  <c r="W62" i="19"/>
  <c r="E62" i="19" s="1"/>
  <c r="M62" i="19" s="1"/>
  <c r="Z35" i="18"/>
  <c r="I35" i="18" s="1"/>
  <c r="N35" i="18" s="1"/>
  <c r="W14" i="19"/>
  <c r="E14" i="19" s="1"/>
  <c r="M14" i="19" s="1"/>
  <c r="W10" i="19"/>
  <c r="E10" i="19" s="1"/>
  <c r="M10" i="19" s="1"/>
  <c r="V53" i="19"/>
  <c r="W53" i="19" s="1"/>
  <c r="E53" i="19" s="1"/>
  <c r="M53" i="19" s="1"/>
  <c r="V76" i="19"/>
  <c r="W76" i="19" s="1"/>
  <c r="E76" i="19" s="1"/>
  <c r="M76" i="19" s="1"/>
  <c r="V72" i="19"/>
  <c r="W72" i="19" s="1"/>
  <c r="E72" i="19" s="1"/>
  <c r="M72" i="19" s="1"/>
  <c r="V56" i="19"/>
  <c r="W56" i="19" s="1"/>
  <c r="E56" i="19" s="1"/>
  <c r="M56" i="19" s="1"/>
  <c r="V52" i="19"/>
  <c r="W52" i="19" s="1"/>
  <c r="E52" i="19" s="1"/>
  <c r="M52" i="19" s="1"/>
  <c r="W85" i="19"/>
  <c r="E85" i="19" s="1"/>
  <c r="M85" i="19" s="1"/>
  <c r="V32" i="19"/>
  <c r="W32" i="19" s="1"/>
  <c r="E32" i="19" s="1"/>
  <c r="M32" i="19" s="1"/>
  <c r="V23" i="19"/>
  <c r="W23" i="19" s="1"/>
  <c r="E23" i="19" s="1"/>
  <c r="M23" i="19" s="1"/>
  <c r="W19" i="19"/>
  <c r="E19" i="19" s="1"/>
  <c r="M19" i="19" s="1"/>
  <c r="V60" i="19"/>
  <c r="W60" i="19"/>
  <c r="E60" i="19" s="1"/>
  <c r="M60" i="19" s="1"/>
  <c r="V51" i="19"/>
  <c r="W51" i="19"/>
  <c r="E51" i="19" s="1"/>
  <c r="M51" i="19" s="1"/>
  <c r="W11" i="19"/>
  <c r="E11" i="19" s="1"/>
  <c r="M11" i="19" s="1"/>
  <c r="W7" i="19"/>
  <c r="E7" i="19" s="1"/>
  <c r="M7" i="19" s="1"/>
  <c r="V55" i="19"/>
  <c r="W55" i="19"/>
  <c r="E55" i="19" s="1"/>
  <c r="M55" i="19" s="1"/>
  <c r="V78" i="19"/>
  <c r="W78" i="19" s="1"/>
  <c r="E78" i="19" s="1"/>
  <c r="M78" i="19" s="1"/>
  <c r="V74" i="19"/>
  <c r="W74" i="19" s="1"/>
  <c r="E74" i="19" s="1"/>
  <c r="M74" i="19" s="1"/>
  <c r="W66" i="19"/>
  <c r="E66" i="19" s="1"/>
  <c r="M66" i="19" s="1"/>
  <c r="V54" i="19"/>
  <c r="W54" i="19" s="1"/>
  <c r="E54" i="19" s="1"/>
  <c r="M54" i="19" s="1"/>
  <c r="W47" i="19"/>
  <c r="E47" i="19" s="1"/>
  <c r="M47" i="19" s="1"/>
  <c r="W81" i="19"/>
  <c r="E81" i="19" s="1"/>
  <c r="M81" i="19" s="1"/>
  <c r="V27" i="19"/>
  <c r="W27" i="19" s="1"/>
  <c r="E27" i="19" s="1"/>
  <c r="M27" i="19" s="1"/>
  <c r="W15" i="19"/>
  <c r="E15" i="19" s="1"/>
  <c r="M15" i="19" s="1"/>
  <c r="W37" i="19"/>
  <c r="E37" i="19" s="1"/>
  <c r="M37" i="19" s="1"/>
  <c r="V57" i="19"/>
  <c r="W57" i="19" s="1"/>
  <c r="E57" i="19" s="1"/>
  <c r="M57" i="19" s="1"/>
  <c r="V25" i="19"/>
  <c r="W25" i="19" s="1"/>
  <c r="E25" i="19" s="1"/>
  <c r="M25" i="19" s="1"/>
  <c r="W13" i="19"/>
  <c r="E13" i="19" s="1"/>
  <c r="M13" i="19" s="1"/>
  <c r="W9" i="19"/>
  <c r="E9" i="19" s="1"/>
  <c r="M9" i="19" s="1"/>
  <c r="Z49" i="18"/>
  <c r="I49" i="18" s="1"/>
  <c r="Z48" i="18"/>
  <c r="I48" i="18" s="1"/>
  <c r="N38" i="18"/>
  <c r="O38" i="18"/>
  <c r="O33" i="18"/>
  <c r="N33" i="18"/>
  <c r="Z22" i="18"/>
  <c r="I22" i="18" s="1"/>
  <c r="Z20" i="18"/>
  <c r="I20" i="18" s="1"/>
  <c r="O37" i="18"/>
  <c r="N37" i="18"/>
  <c r="Z11" i="18"/>
  <c r="I11" i="18" s="1"/>
  <c r="Z13" i="18"/>
  <c r="I13" i="18" s="1"/>
  <c r="N41" i="18"/>
  <c r="N26" i="18"/>
  <c r="O26" i="18"/>
  <c r="N46" i="18"/>
  <c r="O46" i="18"/>
  <c r="O32" i="18"/>
  <c r="N32" i="18"/>
  <c r="Y15" i="18"/>
  <c r="N36" i="18"/>
  <c r="O36" i="18"/>
  <c r="O31" i="18"/>
  <c r="N31" i="18"/>
  <c r="Z28" i="18"/>
  <c r="I28" i="18" s="1"/>
  <c r="Z45" i="18"/>
  <c r="I45" i="18" s="1"/>
  <c r="Z50" i="18"/>
  <c r="I50" i="18" s="1"/>
  <c r="Z30" i="18"/>
  <c r="I30" i="18" s="1"/>
  <c r="Z21" i="18"/>
  <c r="I21" i="18" s="1"/>
  <c r="O51" i="18"/>
  <c r="N51" i="18"/>
  <c r="Z44" i="18"/>
  <c r="I44" i="18" s="1"/>
  <c r="Z23" i="18"/>
  <c r="I23" i="18" s="1"/>
  <c r="N27" i="18"/>
  <c r="O27" i="18"/>
  <c r="Y7" i="18"/>
  <c r="Z9" i="18" s="1"/>
  <c r="I9" i="18" s="1"/>
  <c r="Z12" i="18"/>
  <c r="I12" i="18" s="1"/>
  <c r="Z40" i="18" l="1"/>
  <c r="I40" i="18" s="1"/>
  <c r="O35" i="18"/>
  <c r="Z7" i="18"/>
  <c r="I7" i="18" s="1"/>
  <c r="Z42" i="18"/>
  <c r="I42" i="18" s="1"/>
  <c r="O12" i="18"/>
  <c r="N12" i="18"/>
  <c r="O7" i="18"/>
  <c r="N7" i="18"/>
  <c r="O50" i="18"/>
  <c r="N50" i="18"/>
  <c r="O49" i="18"/>
  <c r="N49" i="18"/>
  <c r="O9" i="18"/>
  <c r="N9" i="18"/>
  <c r="O44" i="18"/>
  <c r="N44" i="18"/>
  <c r="Z8" i="18"/>
  <c r="I8" i="18" s="1"/>
  <c r="O45" i="18"/>
  <c r="N45" i="18"/>
  <c r="N13" i="18"/>
  <c r="O13" i="18"/>
  <c r="O20" i="18"/>
  <c r="N20" i="18"/>
  <c r="O30" i="18"/>
  <c r="N30" i="18"/>
  <c r="Z18" i="18"/>
  <c r="I18" i="18" s="1"/>
  <c r="Z16" i="18"/>
  <c r="I16" i="18" s="1"/>
  <c r="Z17" i="18"/>
  <c r="I17" i="18" s="1"/>
  <c r="O48" i="18"/>
  <c r="N48" i="18"/>
  <c r="O23" i="18"/>
  <c r="N23" i="18"/>
  <c r="Z15" i="18"/>
  <c r="I15" i="18" s="1"/>
  <c r="O40" i="18"/>
  <c r="N40" i="18"/>
  <c r="O21" i="18"/>
  <c r="N21" i="18"/>
  <c r="O28" i="18"/>
  <c r="N28" i="18"/>
  <c r="O11" i="18"/>
  <c r="N11" i="18"/>
  <c r="N22" i="18"/>
  <c r="O22" i="18"/>
  <c r="O42" i="18" l="1"/>
  <c r="N42" i="18"/>
  <c r="O15" i="18"/>
  <c r="N15" i="18"/>
  <c r="O8" i="18"/>
  <c r="N8" i="18"/>
  <c r="O17" i="18"/>
  <c r="N17" i="18"/>
  <c r="O16" i="18"/>
  <c r="N16" i="18"/>
  <c r="O18" i="18"/>
  <c r="N18" i="18"/>
  <c r="AJ219" i="2" l="1"/>
  <c r="AI219" i="2"/>
  <c r="AH219" i="2"/>
  <c r="AG219" i="2"/>
  <c r="AE219" i="2"/>
  <c r="AD219" i="2"/>
  <c r="AC219" i="2"/>
  <c r="AB219" i="2"/>
  <c r="AA219" i="2"/>
  <c r="Z219" i="2"/>
  <c r="X219" i="2"/>
  <c r="W219" i="2"/>
  <c r="V219" i="2"/>
  <c r="U219" i="2"/>
  <c r="T219" i="2"/>
  <c r="Q219" i="2"/>
  <c r="P219" i="2"/>
  <c r="O219" i="2"/>
  <c r="N219" i="2"/>
  <c r="M219" i="2"/>
  <c r="L219" i="2"/>
  <c r="J219" i="2"/>
  <c r="I219" i="2"/>
  <c r="AJ215" i="2"/>
  <c r="AI215" i="2"/>
  <c r="AH215" i="2"/>
  <c r="AG215" i="2"/>
  <c r="AE215" i="2"/>
  <c r="AD215" i="2"/>
  <c r="AC215" i="2"/>
  <c r="AB215" i="2"/>
  <c r="AA215" i="2"/>
  <c r="Z215" i="2"/>
  <c r="X215" i="2"/>
  <c r="W215" i="2"/>
  <c r="V215" i="2"/>
  <c r="U215" i="2"/>
  <c r="T215" i="2"/>
  <c r="Q215" i="2"/>
  <c r="P215" i="2"/>
  <c r="O215" i="2"/>
  <c r="N215" i="2"/>
  <c r="M215" i="2"/>
  <c r="L215" i="2"/>
  <c r="J215" i="2"/>
  <c r="I215" i="2"/>
  <c r="AJ166" i="2"/>
  <c r="AI166" i="2"/>
  <c r="AH166" i="2"/>
  <c r="AG166" i="2"/>
  <c r="AE166" i="2"/>
  <c r="AD166" i="2"/>
  <c r="AC166" i="2"/>
  <c r="AB166" i="2"/>
  <c r="AA166" i="2"/>
  <c r="Z166" i="2"/>
  <c r="X166" i="2"/>
  <c r="W166" i="2"/>
  <c r="V166" i="2"/>
  <c r="U166" i="2"/>
  <c r="T166" i="2"/>
  <c r="Q166" i="2"/>
  <c r="P166" i="2"/>
  <c r="O166" i="2"/>
  <c r="N166" i="2"/>
  <c r="M166" i="2"/>
  <c r="L166" i="2"/>
  <c r="J166" i="2"/>
  <c r="I166" i="2"/>
  <c r="AJ147" i="2"/>
  <c r="AI147" i="2"/>
  <c r="AH147" i="2"/>
  <c r="AG147" i="2"/>
  <c r="AE147" i="2"/>
  <c r="AD147" i="2"/>
  <c r="AC147" i="2"/>
  <c r="AB147" i="2"/>
  <c r="AA147" i="2"/>
  <c r="Z147" i="2"/>
  <c r="X147" i="2"/>
  <c r="W147" i="2"/>
  <c r="V147" i="2"/>
  <c r="U147" i="2"/>
  <c r="T147" i="2"/>
  <c r="Q147" i="2"/>
  <c r="P147" i="2"/>
  <c r="O147" i="2"/>
  <c r="N147" i="2"/>
  <c r="M147" i="2"/>
  <c r="L147" i="2"/>
  <c r="J147" i="2"/>
  <c r="I147" i="2"/>
  <c r="AJ121" i="2"/>
  <c r="AI121" i="2"/>
  <c r="AH121" i="2"/>
  <c r="AG121" i="2"/>
  <c r="AE121" i="2"/>
  <c r="AD121" i="2"/>
  <c r="AC121" i="2"/>
  <c r="AB121" i="2"/>
  <c r="AA121" i="2"/>
  <c r="Z121" i="2"/>
  <c r="X121" i="2"/>
  <c r="W121" i="2"/>
  <c r="V121" i="2"/>
  <c r="U121" i="2"/>
  <c r="T121" i="2"/>
  <c r="Q121" i="2"/>
  <c r="P121" i="2"/>
  <c r="O121" i="2"/>
  <c r="N121" i="2"/>
  <c r="M121" i="2"/>
  <c r="L121" i="2"/>
  <c r="J121" i="2"/>
  <c r="I121" i="2"/>
  <c r="AJ105" i="2"/>
  <c r="AI105" i="2"/>
  <c r="AH105" i="2"/>
  <c r="AG105" i="2"/>
  <c r="AE105" i="2"/>
  <c r="AD105" i="2"/>
  <c r="AC105" i="2"/>
  <c r="AB105" i="2"/>
  <c r="AA105" i="2"/>
  <c r="Z105" i="2"/>
  <c r="X105" i="2"/>
  <c r="W105" i="2"/>
  <c r="V105" i="2"/>
  <c r="U105" i="2"/>
  <c r="T105" i="2"/>
  <c r="Q105" i="2"/>
  <c r="P105" i="2"/>
  <c r="O105" i="2"/>
  <c r="N105" i="2"/>
  <c r="M105" i="2"/>
  <c r="J105" i="2"/>
  <c r="I105" i="2"/>
  <c r="L105" i="2"/>
  <c r="T98" i="17"/>
  <c r="T94" i="17"/>
  <c r="U94" i="17" s="1"/>
  <c r="R94" i="17"/>
  <c r="N92" i="17"/>
  <c r="N91" i="17"/>
  <c r="W90" i="17"/>
  <c r="X90" i="17" s="1"/>
  <c r="K90" i="17"/>
  <c r="L90" i="17" s="1"/>
  <c r="P90" i="17" s="1"/>
  <c r="W89" i="17"/>
  <c r="X89" i="17" s="1"/>
  <c r="K89" i="17"/>
  <c r="X88" i="17"/>
  <c r="W88" i="17"/>
  <c r="K88" i="17"/>
  <c r="L88" i="17" s="1"/>
  <c r="P88" i="17" s="1"/>
  <c r="W87" i="17"/>
  <c r="X87" i="17" s="1"/>
  <c r="V87" i="17"/>
  <c r="K87" i="17"/>
  <c r="L87" i="17" s="1"/>
  <c r="P87" i="17" s="1"/>
  <c r="W86" i="17"/>
  <c r="X86" i="17" s="1"/>
  <c r="V86" i="17"/>
  <c r="K86" i="17"/>
  <c r="L86" i="17" s="1"/>
  <c r="P86" i="17" s="1"/>
  <c r="N85" i="17"/>
  <c r="W84" i="17"/>
  <c r="L84" i="17"/>
  <c r="P84" i="17" s="1"/>
  <c r="K84" i="17"/>
  <c r="W83" i="17"/>
  <c r="X83" i="17" s="1"/>
  <c r="Y83" i="17" s="1"/>
  <c r="L83" i="17"/>
  <c r="P83" i="17" s="1"/>
  <c r="K83" i="17"/>
  <c r="W82" i="17"/>
  <c r="L82" i="17"/>
  <c r="P82" i="17" s="1"/>
  <c r="K82" i="17"/>
  <c r="W81" i="17"/>
  <c r="X81" i="17" s="1"/>
  <c r="V81" i="17"/>
  <c r="L81" i="17"/>
  <c r="P81" i="17" s="1"/>
  <c r="K81" i="17"/>
  <c r="W80" i="17"/>
  <c r="X80" i="17" s="1"/>
  <c r="Y80" i="17" s="1"/>
  <c r="L80" i="17"/>
  <c r="P80" i="17" s="1"/>
  <c r="K80" i="17"/>
  <c r="W79" i="17"/>
  <c r="X79" i="17" s="1"/>
  <c r="V79" i="17"/>
  <c r="L79" i="17"/>
  <c r="P79" i="17" s="1"/>
  <c r="K79" i="17"/>
  <c r="N78" i="17"/>
  <c r="W77" i="17"/>
  <c r="X77" i="17" s="1"/>
  <c r="K77" i="17"/>
  <c r="L77" i="17" s="1"/>
  <c r="P77" i="17" s="1"/>
  <c r="W76" i="17"/>
  <c r="X76" i="17" s="1"/>
  <c r="K76" i="17"/>
  <c r="W75" i="17"/>
  <c r="X75" i="17" s="1"/>
  <c r="V75" i="17"/>
  <c r="K75" i="17"/>
  <c r="W74" i="17"/>
  <c r="X74" i="17" s="1"/>
  <c r="K74" i="17"/>
  <c r="L74" i="17" s="1"/>
  <c r="P74" i="17" s="1"/>
  <c r="W73" i="17"/>
  <c r="X73" i="17" s="1"/>
  <c r="K73" i="17"/>
  <c r="W72" i="17"/>
  <c r="X72" i="17" s="1"/>
  <c r="V72" i="17"/>
  <c r="K72" i="17"/>
  <c r="N71" i="17"/>
  <c r="W70" i="17"/>
  <c r="X70" i="17" s="1"/>
  <c r="Y70" i="17" s="1"/>
  <c r="L70" i="17"/>
  <c r="P70" i="17" s="1"/>
  <c r="K70" i="17"/>
  <c r="W69" i="17"/>
  <c r="L69" i="17"/>
  <c r="P69" i="17" s="1"/>
  <c r="K69" i="17"/>
  <c r="W68" i="17"/>
  <c r="X68" i="17" s="1"/>
  <c r="Y68" i="17" s="1"/>
  <c r="L68" i="17"/>
  <c r="P68" i="17" s="1"/>
  <c r="K68" i="17"/>
  <c r="W67" i="17"/>
  <c r="L67" i="17"/>
  <c r="P67" i="17" s="1"/>
  <c r="W66" i="17"/>
  <c r="X66" i="17" s="1"/>
  <c r="K66" i="17"/>
  <c r="L66" i="17" s="1"/>
  <c r="P66" i="17" s="1"/>
  <c r="W65" i="17"/>
  <c r="X65" i="17" s="1"/>
  <c r="K65" i="17"/>
  <c r="W64" i="17"/>
  <c r="X64" i="17" s="1"/>
  <c r="V64" i="17"/>
  <c r="K64" i="17"/>
  <c r="W63" i="17"/>
  <c r="X63" i="17" s="1"/>
  <c r="K63" i="17"/>
  <c r="W62" i="17"/>
  <c r="V62" i="17"/>
  <c r="K62" i="17"/>
  <c r="W61" i="17"/>
  <c r="X61" i="17" s="1"/>
  <c r="K61" i="17"/>
  <c r="W60" i="17"/>
  <c r="V60" i="17"/>
  <c r="K60" i="17"/>
  <c r="N59" i="17"/>
  <c r="W58" i="17"/>
  <c r="X58" i="17" s="1"/>
  <c r="Y58" i="17" s="1"/>
  <c r="L58" i="17"/>
  <c r="P58" i="17" s="1"/>
  <c r="K58" i="17"/>
  <c r="W57" i="17"/>
  <c r="X57" i="17" s="1"/>
  <c r="Y57" i="17" s="1"/>
  <c r="L57" i="17"/>
  <c r="P57" i="17" s="1"/>
  <c r="K57" i="17"/>
  <c r="W56" i="17"/>
  <c r="X56" i="17" s="1"/>
  <c r="Y56" i="17" s="1"/>
  <c r="L56" i="17"/>
  <c r="P56" i="17" s="1"/>
  <c r="K56" i="17"/>
  <c r="W55" i="17"/>
  <c r="X55" i="17" s="1"/>
  <c r="Y55" i="17" s="1"/>
  <c r="L55" i="17"/>
  <c r="P55" i="17" s="1"/>
  <c r="K55" i="17"/>
  <c r="W54" i="17"/>
  <c r="X54" i="17" s="1"/>
  <c r="V54" i="17"/>
  <c r="L54" i="17"/>
  <c r="P54" i="17" s="1"/>
  <c r="K54" i="17"/>
  <c r="Y53" i="17"/>
  <c r="W53" i="17"/>
  <c r="X53" i="17" s="1"/>
  <c r="L53" i="17"/>
  <c r="P53" i="17" s="1"/>
  <c r="K53" i="17"/>
  <c r="Y52" i="17"/>
  <c r="W52" i="17"/>
  <c r="X52" i="17" s="1"/>
  <c r="L52" i="17"/>
  <c r="P52" i="17" s="1"/>
  <c r="K52" i="17"/>
  <c r="Y51" i="17"/>
  <c r="W51" i="17"/>
  <c r="X51" i="17" s="1"/>
  <c r="L51" i="17"/>
  <c r="P51" i="17" s="1"/>
  <c r="K51" i="17"/>
  <c r="X50" i="17"/>
  <c r="W50" i="17"/>
  <c r="V50" i="17"/>
  <c r="L50" i="17"/>
  <c r="P50" i="17" s="1"/>
  <c r="K50" i="17"/>
  <c r="N49" i="17"/>
  <c r="W48" i="17"/>
  <c r="X48" i="17" s="1"/>
  <c r="K48" i="17"/>
  <c r="X47" i="17"/>
  <c r="W47" i="17"/>
  <c r="K47" i="17"/>
  <c r="W46" i="17"/>
  <c r="X46" i="17" s="1"/>
  <c r="K46" i="17"/>
  <c r="W45" i="17"/>
  <c r="X45" i="17" s="1"/>
  <c r="K45" i="17"/>
  <c r="W44" i="17"/>
  <c r="X44" i="17" s="1"/>
  <c r="K44" i="17"/>
  <c r="X43" i="17"/>
  <c r="W43" i="17"/>
  <c r="K43" i="17"/>
  <c r="W42" i="17"/>
  <c r="X42" i="17" s="1"/>
  <c r="V42" i="17"/>
  <c r="K42" i="17"/>
  <c r="L42" i="17" s="1"/>
  <c r="P42" i="17" s="1"/>
  <c r="W41" i="17"/>
  <c r="X41" i="17" s="1"/>
  <c r="K41" i="17"/>
  <c r="W40" i="17"/>
  <c r="X40" i="17" s="1"/>
  <c r="K40" i="17"/>
  <c r="W39" i="17"/>
  <c r="V39" i="17"/>
  <c r="K39" i="17"/>
  <c r="N38" i="17"/>
  <c r="Y37" i="17"/>
  <c r="W37" i="17"/>
  <c r="X37" i="17" s="1"/>
  <c r="L37" i="17"/>
  <c r="P37" i="17" s="1"/>
  <c r="K37" i="17"/>
  <c r="Y36" i="17"/>
  <c r="W36" i="17"/>
  <c r="X36" i="17" s="1"/>
  <c r="L36" i="17"/>
  <c r="P36" i="17" s="1"/>
  <c r="K36" i="17"/>
  <c r="Y35" i="17"/>
  <c r="W35" i="17"/>
  <c r="X35" i="17" s="1"/>
  <c r="L35" i="17"/>
  <c r="P35" i="17" s="1"/>
  <c r="K35" i="17"/>
  <c r="W34" i="17"/>
  <c r="X34" i="17" s="1"/>
  <c r="Y34" i="17" s="1"/>
  <c r="L34" i="17"/>
  <c r="P34" i="17" s="1"/>
  <c r="K34" i="17"/>
  <c r="W33" i="17"/>
  <c r="X33" i="17" s="1"/>
  <c r="Y33" i="17" s="1"/>
  <c r="L33" i="17"/>
  <c r="P33" i="17" s="1"/>
  <c r="K33" i="17"/>
  <c r="W32" i="17"/>
  <c r="X32" i="17" s="1"/>
  <c r="V32" i="17"/>
  <c r="L32" i="17"/>
  <c r="P32" i="17" s="1"/>
  <c r="K32" i="17"/>
  <c r="Y31" i="17"/>
  <c r="W31" i="17"/>
  <c r="X31" i="17" s="1"/>
  <c r="L31" i="17"/>
  <c r="P31" i="17" s="1"/>
  <c r="K31" i="17"/>
  <c r="Y30" i="17"/>
  <c r="W30" i="17"/>
  <c r="X30" i="17" s="1"/>
  <c r="L30" i="17"/>
  <c r="P30" i="17" s="1"/>
  <c r="K30" i="17"/>
  <c r="X29" i="17"/>
  <c r="W29" i="17"/>
  <c r="V29" i="17"/>
  <c r="L29" i="17"/>
  <c r="P29" i="17" s="1"/>
  <c r="K29" i="17"/>
  <c r="Y29" i="17" s="1"/>
  <c r="W28" i="17"/>
  <c r="X28" i="17" s="1"/>
  <c r="Y28" i="17" s="1"/>
  <c r="L28" i="17"/>
  <c r="P28" i="17" s="1"/>
  <c r="K28" i="17"/>
  <c r="W27" i="17"/>
  <c r="X27" i="17" s="1"/>
  <c r="V27" i="17"/>
  <c r="L27" i="17"/>
  <c r="P27" i="17" s="1"/>
  <c r="K27" i="17"/>
  <c r="N26" i="17"/>
  <c r="W25" i="17"/>
  <c r="X25" i="17" s="1"/>
  <c r="K25" i="17"/>
  <c r="W24" i="17"/>
  <c r="X24" i="17" s="1"/>
  <c r="K24" i="17"/>
  <c r="W23" i="17"/>
  <c r="X23" i="17" s="1"/>
  <c r="K23" i="17"/>
  <c r="W22" i="17"/>
  <c r="X22" i="17" s="1"/>
  <c r="K22" i="17"/>
  <c r="W21" i="17"/>
  <c r="X21" i="17" s="1"/>
  <c r="K21" i="17"/>
  <c r="W20" i="17"/>
  <c r="V20" i="17"/>
  <c r="K20" i="17"/>
  <c r="W19" i="17"/>
  <c r="X19" i="17" s="1"/>
  <c r="K19" i="17"/>
  <c r="W18" i="17"/>
  <c r="X18" i="17" s="1"/>
  <c r="K18" i="17"/>
  <c r="W17" i="17"/>
  <c r="X17" i="17" s="1"/>
  <c r="K17" i="17"/>
  <c r="X16" i="17"/>
  <c r="W16" i="17"/>
  <c r="K16" i="17"/>
  <c r="W15" i="17"/>
  <c r="V15" i="17"/>
  <c r="K15" i="17"/>
  <c r="N14" i="17"/>
  <c r="W13" i="17"/>
  <c r="X13" i="17" s="1"/>
  <c r="Y13" i="17" s="1"/>
  <c r="L13" i="17"/>
  <c r="P13" i="17" s="1"/>
  <c r="K13" i="17"/>
  <c r="W12" i="17"/>
  <c r="X12" i="17" s="1"/>
  <c r="Y12" i="17" s="1"/>
  <c r="L12" i="17"/>
  <c r="P12" i="17" s="1"/>
  <c r="K12" i="17"/>
  <c r="W11" i="17"/>
  <c r="X11" i="17" s="1"/>
  <c r="Y11" i="17" s="1"/>
  <c r="L11" i="17"/>
  <c r="P11" i="17" s="1"/>
  <c r="K11" i="17"/>
  <c r="W10" i="17"/>
  <c r="X10" i="17" s="1"/>
  <c r="V10" i="17"/>
  <c r="L10" i="17"/>
  <c r="P10" i="17" s="1"/>
  <c r="K10" i="17"/>
  <c r="W9" i="17"/>
  <c r="L9" i="17"/>
  <c r="P9" i="17" s="1"/>
  <c r="K9" i="17"/>
  <c r="W8" i="17"/>
  <c r="X8" i="17" s="1"/>
  <c r="Y8" i="17" s="1"/>
  <c r="L8" i="17"/>
  <c r="P8" i="17" s="1"/>
  <c r="K8" i="17"/>
  <c r="W7" i="17"/>
  <c r="X7" i="17" s="1"/>
  <c r="V7" i="17"/>
  <c r="L7" i="17"/>
  <c r="P7" i="17" s="1"/>
  <c r="K7" i="17"/>
  <c r="Y44" i="17" l="1"/>
  <c r="Y72" i="17"/>
  <c r="Y76" i="17"/>
  <c r="Y54" i="17"/>
  <c r="Z54" i="17" s="1"/>
  <c r="AA56" i="17" s="1"/>
  <c r="Y10" i="17"/>
  <c r="Y7" i="17"/>
  <c r="Y32" i="17"/>
  <c r="Y45" i="17"/>
  <c r="Y73" i="17"/>
  <c r="Y79" i="17"/>
  <c r="Y81" i="17"/>
  <c r="Y89" i="17"/>
  <c r="Z10" i="17"/>
  <c r="AA11" i="17" s="1"/>
  <c r="L15" i="17"/>
  <c r="P15" i="17" s="1"/>
  <c r="Y22" i="17"/>
  <c r="L22" i="17"/>
  <c r="P22" i="17" s="1"/>
  <c r="X9" i="17"/>
  <c r="Y9" i="17" s="1"/>
  <c r="Y17" i="17"/>
  <c r="L17" i="17"/>
  <c r="P17" i="17" s="1"/>
  <c r="Y19" i="17"/>
  <c r="L19" i="17"/>
  <c r="P19" i="17" s="1"/>
  <c r="L40" i="17"/>
  <c r="P40" i="17" s="1"/>
  <c r="Y40" i="17"/>
  <c r="L21" i="17"/>
  <c r="P21" i="17" s="1"/>
  <c r="Y21" i="17"/>
  <c r="L23" i="17"/>
  <c r="P23" i="17" s="1"/>
  <c r="Y23" i="17"/>
  <c r="AA36" i="17"/>
  <c r="X39" i="17"/>
  <c r="L25" i="17"/>
  <c r="P25" i="17" s="1"/>
  <c r="Y25" i="17"/>
  <c r="Z29" i="17"/>
  <c r="AA29" i="17" s="1"/>
  <c r="Z32" i="17"/>
  <c r="AA32" i="17" s="1"/>
  <c r="AA34" i="17"/>
  <c r="L39" i="17"/>
  <c r="P39" i="17" s="1"/>
  <c r="L16" i="17"/>
  <c r="P16" i="17" s="1"/>
  <c r="Y16" i="17"/>
  <c r="L18" i="17"/>
  <c r="P18" i="17" s="1"/>
  <c r="Y18" i="17"/>
  <c r="L20" i="17"/>
  <c r="P20" i="17" s="1"/>
  <c r="X20" i="17"/>
  <c r="Y20" i="17" s="1"/>
  <c r="Y39" i="17"/>
  <c r="Y41" i="17"/>
  <c r="L41" i="17"/>
  <c r="P41" i="17" s="1"/>
  <c r="X15" i="17"/>
  <c r="Y15" i="17" s="1"/>
  <c r="Y24" i="17"/>
  <c r="L24" i="17"/>
  <c r="P24" i="17" s="1"/>
  <c r="AA33" i="17"/>
  <c r="Y27" i="17"/>
  <c r="Y43" i="17"/>
  <c r="L44" i="17"/>
  <c r="P44" i="17" s="1"/>
  <c r="L62" i="17"/>
  <c r="P62" i="17" s="1"/>
  <c r="X62" i="17"/>
  <c r="Y62" i="17" s="1"/>
  <c r="Y42" i="17"/>
  <c r="L46" i="17"/>
  <c r="P46" i="17" s="1"/>
  <c r="Y46" i="17"/>
  <c r="L48" i="17"/>
  <c r="P48" i="17" s="1"/>
  <c r="Y48" i="17"/>
  <c r="L64" i="17"/>
  <c r="P64" i="17" s="1"/>
  <c r="Z79" i="17"/>
  <c r="AA80" i="17" s="1"/>
  <c r="L43" i="17"/>
  <c r="P43" i="17" s="1"/>
  <c r="L45" i="17"/>
  <c r="P45" i="17" s="1"/>
  <c r="Y61" i="17"/>
  <c r="L61" i="17"/>
  <c r="P61" i="17" s="1"/>
  <c r="Y64" i="17"/>
  <c r="Y47" i="17"/>
  <c r="L47" i="17"/>
  <c r="P47" i="17" s="1"/>
  <c r="AA54" i="17"/>
  <c r="L60" i="17"/>
  <c r="P60" i="17" s="1"/>
  <c r="X60" i="17"/>
  <c r="Y60" i="17" s="1"/>
  <c r="L63" i="17"/>
  <c r="P63" i="17" s="1"/>
  <c r="Y63" i="17"/>
  <c r="Y65" i="17"/>
  <c r="L65" i="17"/>
  <c r="P65" i="17" s="1"/>
  <c r="Y75" i="17"/>
  <c r="Y50" i="17"/>
  <c r="Y66" i="17"/>
  <c r="X67" i="17"/>
  <c r="Y67" i="17" s="1"/>
  <c r="X69" i="17"/>
  <c r="Y69" i="17" s="1"/>
  <c r="L72" i="17"/>
  <c r="P72" i="17" s="1"/>
  <c r="L73" i="17"/>
  <c r="P73" i="17" s="1"/>
  <c r="Y74" i="17"/>
  <c r="Z72" i="17" s="1"/>
  <c r="AA73" i="17" s="1"/>
  <c r="L75" i="17"/>
  <c r="P75" i="17" s="1"/>
  <c r="L76" i="17"/>
  <c r="P76" i="17" s="1"/>
  <c r="Y77" i="17"/>
  <c r="X82" i="17"/>
  <c r="Y82" i="17" s="1"/>
  <c r="X84" i="17"/>
  <c r="Y84" i="17" s="1"/>
  <c r="Y88" i="17"/>
  <c r="L89" i="17"/>
  <c r="P89" i="17" s="1"/>
  <c r="Y90" i="17"/>
  <c r="Y86" i="17"/>
  <c r="Y87" i="17"/>
  <c r="AA58" i="17" l="1"/>
  <c r="AA57" i="17"/>
  <c r="AA55" i="17"/>
  <c r="AA30" i="17"/>
  <c r="H30" i="17" s="1"/>
  <c r="N30" i="17" s="1"/>
  <c r="AA31" i="17"/>
  <c r="AA79" i="17"/>
  <c r="AA37" i="17"/>
  <c r="O11" i="17"/>
  <c r="H11" i="17"/>
  <c r="N11" i="17" s="1"/>
  <c r="Z15" i="17"/>
  <c r="AA16" i="17" s="1"/>
  <c r="H32" i="17"/>
  <c r="N32" i="17" s="1"/>
  <c r="O32" i="17"/>
  <c r="H73" i="17"/>
  <c r="N73" i="17" s="1"/>
  <c r="O73" i="17"/>
  <c r="H29" i="17"/>
  <c r="N29" i="17" s="1"/>
  <c r="O29" i="17"/>
  <c r="Z86" i="17"/>
  <c r="AA86" i="17" s="1"/>
  <c r="Z75" i="17"/>
  <c r="AA76" i="17" s="1"/>
  <c r="H55" i="17"/>
  <c r="N55" i="17" s="1"/>
  <c r="O55" i="17"/>
  <c r="O80" i="17"/>
  <c r="H80" i="17"/>
  <c r="N80" i="17" s="1"/>
  <c r="AA74" i="17"/>
  <c r="AA72" i="17"/>
  <c r="Z42" i="17"/>
  <c r="AA43" i="17" s="1"/>
  <c r="O30" i="17"/>
  <c r="AA35" i="17"/>
  <c r="AA10" i="17"/>
  <c r="Z50" i="17"/>
  <c r="H54" i="17"/>
  <c r="N54" i="17" s="1"/>
  <c r="O54" i="17"/>
  <c r="O31" i="17"/>
  <c r="H31" i="17"/>
  <c r="N31" i="17" s="1"/>
  <c r="Z60" i="17"/>
  <c r="AA60" i="17" s="1"/>
  <c r="O36" i="17"/>
  <c r="H36" i="17"/>
  <c r="N36" i="17" s="1"/>
  <c r="H57" i="17"/>
  <c r="N57" i="17" s="1"/>
  <c r="O57" i="17"/>
  <c r="O79" i="17"/>
  <c r="H79" i="17"/>
  <c r="N79" i="17" s="1"/>
  <c r="AA46" i="17"/>
  <c r="Z39" i="17"/>
  <c r="AA41" i="17" s="1"/>
  <c r="Z87" i="17"/>
  <c r="AA89" i="17" s="1"/>
  <c r="AA47" i="17"/>
  <c r="Z64" i="17"/>
  <c r="AA67" i="17" s="1"/>
  <c r="O58" i="17"/>
  <c r="H58" i="17"/>
  <c r="N58" i="17" s="1"/>
  <c r="AA48" i="17"/>
  <c r="Z62" i="17"/>
  <c r="AA62" i="17" s="1"/>
  <c r="AA27" i="17"/>
  <c r="Z27" i="17"/>
  <c r="AA28" i="17" s="1"/>
  <c r="AA12" i="17"/>
  <c r="AA13" i="17"/>
  <c r="Z81" i="17"/>
  <c r="AA84" i="17" s="1"/>
  <c r="O56" i="17"/>
  <c r="H56" i="17"/>
  <c r="N56" i="17" s="1"/>
  <c r="H33" i="17"/>
  <c r="N33" i="17" s="1"/>
  <c r="O33" i="17"/>
  <c r="Z20" i="17"/>
  <c r="AA23" i="17" s="1"/>
  <c r="AA20" i="17"/>
  <c r="H34" i="17"/>
  <c r="N34" i="17" s="1"/>
  <c r="O34" i="17"/>
  <c r="AA19" i="17"/>
  <c r="H37" i="17"/>
  <c r="N37" i="17" s="1"/>
  <c r="O37" i="17"/>
  <c r="AA22" i="17"/>
  <c r="Z7" i="17"/>
  <c r="AA9" i="17" s="1"/>
  <c r="AA77" i="17" l="1"/>
  <c r="AA40" i="17"/>
  <c r="H40" i="17" s="1"/>
  <c r="N40" i="17" s="1"/>
  <c r="AA64" i="17"/>
  <c r="AA39" i="17"/>
  <c r="O39" i="17" s="1"/>
  <c r="AA42" i="17"/>
  <c r="AA24" i="17"/>
  <c r="O24" i="17" s="1"/>
  <c r="AA25" i="17"/>
  <c r="AA61" i="17"/>
  <c r="O61" i="17" s="1"/>
  <c r="AA66" i="17"/>
  <c r="AA69" i="17"/>
  <c r="H69" i="17" s="1"/>
  <c r="N69" i="17" s="1"/>
  <c r="AA21" i="17"/>
  <c r="H41" i="17"/>
  <c r="N41" i="17" s="1"/>
  <c r="O41" i="17"/>
  <c r="O9" i="17"/>
  <c r="H9" i="17"/>
  <c r="N9" i="17" s="1"/>
  <c r="H23" i="17"/>
  <c r="N23" i="17" s="1"/>
  <c r="O23" i="17"/>
  <c r="H62" i="17"/>
  <c r="N62" i="17" s="1"/>
  <c r="O62" i="17"/>
  <c r="H84" i="17"/>
  <c r="N84" i="17" s="1"/>
  <c r="O84" i="17"/>
  <c r="H16" i="17"/>
  <c r="N16" i="17" s="1"/>
  <c r="O16" i="17"/>
  <c r="H19" i="17"/>
  <c r="N19" i="17" s="1"/>
  <c r="O19" i="17"/>
  <c r="H20" i="17"/>
  <c r="N20" i="17" s="1"/>
  <c r="O20" i="17"/>
  <c r="O40" i="17"/>
  <c r="H12" i="17"/>
  <c r="N12" i="17" s="1"/>
  <c r="O12" i="17"/>
  <c r="H39" i="17"/>
  <c r="N39" i="17" s="1"/>
  <c r="O67" i="17"/>
  <c r="H67" i="17"/>
  <c r="N67" i="17" s="1"/>
  <c r="AA51" i="17"/>
  <c r="AA52" i="17"/>
  <c r="AA53" i="17"/>
  <c r="H21" i="17"/>
  <c r="N21" i="17" s="1"/>
  <c r="O21" i="17"/>
  <c r="O43" i="17"/>
  <c r="H43" i="17"/>
  <c r="N43" i="17" s="1"/>
  <c r="O69" i="17"/>
  <c r="AA88" i="17"/>
  <c r="H22" i="17"/>
  <c r="N22" i="17" s="1"/>
  <c r="O22" i="17"/>
  <c r="H13" i="17"/>
  <c r="N13" i="17" s="1"/>
  <c r="O13" i="17"/>
  <c r="O28" i="17"/>
  <c r="H28" i="17"/>
  <c r="N28" i="17" s="1"/>
  <c r="H48" i="17"/>
  <c r="N48" i="17" s="1"/>
  <c r="O48" i="17"/>
  <c r="AA68" i="17"/>
  <c r="AA70" i="17"/>
  <c r="AA82" i="17"/>
  <c r="AA50" i="17"/>
  <c r="AA45" i="17"/>
  <c r="AA44" i="17"/>
  <c r="H74" i="17"/>
  <c r="N74" i="17" s="1"/>
  <c r="O74" i="17"/>
  <c r="AA63" i="17"/>
  <c r="AA15" i="17"/>
  <c r="AA81" i="17"/>
  <c r="AA83" i="17"/>
  <c r="H27" i="17"/>
  <c r="N27" i="17" s="1"/>
  <c r="O27" i="17"/>
  <c r="O64" i="17"/>
  <c r="H64" i="17"/>
  <c r="N64" i="17" s="1"/>
  <c r="H77" i="17"/>
  <c r="N77" i="17" s="1"/>
  <c r="O77" i="17"/>
  <c r="H25" i="17"/>
  <c r="N25" i="17" s="1"/>
  <c r="O25" i="17"/>
  <c r="H89" i="17"/>
  <c r="N89" i="17" s="1"/>
  <c r="O89" i="17"/>
  <c r="H46" i="17"/>
  <c r="N46" i="17" s="1"/>
  <c r="O46" i="17"/>
  <c r="H60" i="17"/>
  <c r="N60" i="17" s="1"/>
  <c r="O60" i="17"/>
  <c r="H10" i="17"/>
  <c r="N10" i="17" s="1"/>
  <c r="O10" i="17"/>
  <c r="O42" i="17"/>
  <c r="H42" i="17"/>
  <c r="N42" i="17" s="1"/>
  <c r="H76" i="17"/>
  <c r="N76" i="17" s="1"/>
  <c r="O76" i="17"/>
  <c r="O86" i="17"/>
  <c r="H86" i="17"/>
  <c r="N86" i="17" s="1"/>
  <c r="AA18" i="17"/>
  <c r="AA17" i="17"/>
  <c r="H47" i="17"/>
  <c r="N47" i="17" s="1"/>
  <c r="O47" i="17"/>
  <c r="AA87" i="17"/>
  <c r="AA65" i="17"/>
  <c r="H35" i="17"/>
  <c r="N35" i="17" s="1"/>
  <c r="O35" i="17"/>
  <c r="H72" i="17"/>
  <c r="N72" i="17" s="1"/>
  <c r="O72" i="17"/>
  <c r="AA90" i="17"/>
  <c r="AA75" i="17"/>
  <c r="AA8" i="17"/>
  <c r="AA7" i="17"/>
  <c r="H66" i="17"/>
  <c r="N66" i="17" s="1"/>
  <c r="O66" i="17"/>
  <c r="H24" i="17"/>
  <c r="N24" i="17" s="1"/>
  <c r="H61" i="17" l="1"/>
  <c r="N61" i="17" s="1"/>
  <c r="O90" i="17"/>
  <c r="H90" i="17"/>
  <c r="N90" i="17" s="1"/>
  <c r="H63" i="17"/>
  <c r="N63" i="17" s="1"/>
  <c r="O63" i="17"/>
  <c r="O45" i="17"/>
  <c r="H45" i="17"/>
  <c r="N45" i="17" s="1"/>
  <c r="O68" i="17"/>
  <c r="H68" i="17"/>
  <c r="N68" i="17" s="1"/>
  <c r="O53" i="17"/>
  <c r="H53" i="17"/>
  <c r="N53" i="17" s="1"/>
  <c r="H7" i="17"/>
  <c r="N7" i="17" s="1"/>
  <c r="O7" i="17"/>
  <c r="H65" i="17"/>
  <c r="N65" i="17" s="1"/>
  <c r="O65" i="17"/>
  <c r="H17" i="17"/>
  <c r="N17" i="17" s="1"/>
  <c r="O17" i="17"/>
  <c r="O83" i="17"/>
  <c r="H83" i="17"/>
  <c r="N83" i="17" s="1"/>
  <c r="O50" i="17"/>
  <c r="H50" i="17"/>
  <c r="N50" i="17" s="1"/>
  <c r="H88" i="17"/>
  <c r="N88" i="17" s="1"/>
  <c r="O88" i="17"/>
  <c r="H52" i="17"/>
  <c r="N52" i="17" s="1"/>
  <c r="O52" i="17"/>
  <c r="O81" i="17"/>
  <c r="H81" i="17"/>
  <c r="N81" i="17" s="1"/>
  <c r="O82" i="17"/>
  <c r="H82" i="17"/>
  <c r="N82" i="17" s="1"/>
  <c r="H8" i="17"/>
  <c r="N8" i="17" s="1"/>
  <c r="O8" i="17"/>
  <c r="H87" i="17"/>
  <c r="N87" i="17" s="1"/>
  <c r="O87" i="17"/>
  <c r="H18" i="17"/>
  <c r="N18" i="17" s="1"/>
  <c r="O18" i="17"/>
  <c r="O51" i="17"/>
  <c r="H51" i="17"/>
  <c r="N51" i="17" s="1"/>
  <c r="H75" i="17"/>
  <c r="N75" i="17" s="1"/>
  <c r="O75" i="17"/>
  <c r="O15" i="17"/>
  <c r="H15" i="17"/>
  <c r="N15" i="17" s="1"/>
  <c r="H44" i="17"/>
  <c r="N44" i="17" s="1"/>
  <c r="O44" i="17"/>
  <c r="O70" i="17"/>
  <c r="H70" i="17"/>
  <c r="N70" i="17" s="1"/>
  <c r="AJ243" i="2" l="1"/>
  <c r="AI243" i="2"/>
  <c r="AH243" i="2"/>
  <c r="AG243" i="2"/>
  <c r="AE243" i="2"/>
  <c r="AD243" i="2"/>
  <c r="AC243" i="2"/>
  <c r="AB243" i="2"/>
  <c r="AA243" i="2"/>
  <c r="Z243" i="2"/>
  <c r="X243" i="2"/>
  <c r="W243" i="2"/>
  <c r="V243" i="2"/>
  <c r="U243" i="2"/>
  <c r="T243" i="2"/>
  <c r="Q243" i="2"/>
  <c r="P243" i="2"/>
  <c r="O243" i="2"/>
  <c r="N243" i="2"/>
  <c r="M243" i="2"/>
  <c r="L243" i="2"/>
  <c r="J243" i="2"/>
  <c r="I243" i="2"/>
  <c r="AJ182" i="2"/>
  <c r="AI182" i="2"/>
  <c r="AH182" i="2"/>
  <c r="AG182" i="2"/>
  <c r="AE182" i="2"/>
  <c r="AD182" i="2"/>
  <c r="AC182" i="2"/>
  <c r="AB182" i="2"/>
  <c r="AA182" i="2"/>
  <c r="Z182" i="2"/>
  <c r="X182" i="2"/>
  <c r="W182" i="2"/>
  <c r="V182" i="2"/>
  <c r="U182" i="2"/>
  <c r="T182" i="2"/>
  <c r="Q182" i="2"/>
  <c r="P182" i="2"/>
  <c r="O182" i="2"/>
  <c r="N182" i="2"/>
  <c r="M182" i="2"/>
  <c r="L182" i="2"/>
  <c r="J182" i="2"/>
  <c r="I182" i="2"/>
  <c r="AJ178" i="2"/>
  <c r="AI178" i="2"/>
  <c r="AH178" i="2"/>
  <c r="AG178" i="2"/>
  <c r="AE178" i="2"/>
  <c r="AD178" i="2"/>
  <c r="AC178" i="2"/>
  <c r="AB178" i="2"/>
  <c r="AA178" i="2"/>
  <c r="Z178" i="2"/>
  <c r="X178" i="2"/>
  <c r="W178" i="2"/>
  <c r="V178" i="2"/>
  <c r="U178" i="2"/>
  <c r="T178" i="2"/>
  <c r="Q178" i="2"/>
  <c r="P178" i="2"/>
  <c r="O178" i="2"/>
  <c r="N178" i="2"/>
  <c r="M178" i="2"/>
  <c r="L178" i="2"/>
  <c r="J178" i="2"/>
  <c r="I178" i="2"/>
  <c r="AJ174" i="2"/>
  <c r="AI174" i="2"/>
  <c r="AH174" i="2"/>
  <c r="AG174" i="2"/>
  <c r="AE174" i="2"/>
  <c r="AD174" i="2"/>
  <c r="AC174" i="2"/>
  <c r="AB174" i="2"/>
  <c r="AA174" i="2"/>
  <c r="Z174" i="2"/>
  <c r="X174" i="2"/>
  <c r="W174" i="2"/>
  <c r="V174" i="2"/>
  <c r="U174" i="2"/>
  <c r="T174" i="2"/>
  <c r="Q174" i="2"/>
  <c r="P174" i="2"/>
  <c r="O174" i="2"/>
  <c r="N174" i="2"/>
  <c r="M174" i="2"/>
  <c r="L174" i="2"/>
  <c r="J174" i="2"/>
  <c r="I174" i="2"/>
  <c r="AJ158" i="2" l="1"/>
  <c r="AI158" i="2"/>
  <c r="AH158" i="2"/>
  <c r="AG158" i="2"/>
  <c r="AE158" i="2"/>
  <c r="AD158" i="2"/>
  <c r="AC158" i="2"/>
  <c r="AB158" i="2"/>
  <c r="AA158" i="2"/>
  <c r="Z158" i="2"/>
  <c r="X158" i="2"/>
  <c r="W158" i="2"/>
  <c r="V158" i="2"/>
  <c r="U158" i="2"/>
  <c r="T158" i="2"/>
  <c r="Q158" i="2"/>
  <c r="P158" i="2"/>
  <c r="O158" i="2"/>
  <c r="N158" i="2"/>
  <c r="M158" i="2"/>
  <c r="L158" i="2"/>
  <c r="J158" i="2"/>
  <c r="I158" i="2"/>
  <c r="AJ139" i="2"/>
  <c r="AI139" i="2"/>
  <c r="AH139" i="2"/>
  <c r="AG139" i="2"/>
  <c r="AE139" i="2"/>
  <c r="AD139" i="2"/>
  <c r="AC139" i="2"/>
  <c r="AB139" i="2"/>
  <c r="AA139" i="2"/>
  <c r="Z139" i="2"/>
  <c r="X139" i="2"/>
  <c r="W139" i="2"/>
  <c r="V139" i="2"/>
  <c r="U139" i="2"/>
  <c r="T139" i="2"/>
  <c r="Q139" i="2"/>
  <c r="P139" i="2"/>
  <c r="O139" i="2"/>
  <c r="N139" i="2"/>
  <c r="M139" i="2"/>
  <c r="L139" i="2"/>
  <c r="J139" i="2"/>
  <c r="I139" i="2"/>
  <c r="Q113" i="2"/>
  <c r="X113" i="2"/>
  <c r="AG113" i="2"/>
  <c r="AJ113" i="2"/>
  <c r="AI113" i="2"/>
  <c r="AH113" i="2"/>
  <c r="AE113" i="2"/>
  <c r="AD113" i="2"/>
  <c r="AC113" i="2"/>
  <c r="AB113" i="2"/>
  <c r="AA113" i="2"/>
  <c r="Z113" i="2"/>
  <c r="W113" i="2"/>
  <c r="V113" i="2"/>
  <c r="U113" i="2"/>
  <c r="T113" i="2"/>
  <c r="P113" i="2"/>
  <c r="O113" i="2"/>
  <c r="N113" i="2"/>
  <c r="M113" i="2"/>
  <c r="L113" i="2"/>
  <c r="J113" i="2"/>
  <c r="I113" i="2"/>
  <c r="AJ86" i="2"/>
  <c r="AI86" i="2"/>
  <c r="AH86" i="2"/>
  <c r="AG86" i="2"/>
  <c r="AE86" i="2"/>
  <c r="AD86" i="2"/>
  <c r="AC86" i="2"/>
  <c r="AB86" i="2"/>
  <c r="AA86" i="2"/>
  <c r="Z86" i="2"/>
  <c r="X86" i="2"/>
  <c r="W86" i="2"/>
  <c r="V86" i="2"/>
  <c r="U86" i="2"/>
  <c r="T86" i="2"/>
  <c r="Q86" i="2"/>
  <c r="P86" i="2"/>
  <c r="O86" i="2"/>
  <c r="N86" i="2"/>
  <c r="M86" i="2"/>
  <c r="L86" i="2"/>
  <c r="J86" i="2"/>
  <c r="I86" i="2"/>
  <c r="AJ82" i="2"/>
  <c r="AI82" i="2"/>
  <c r="AH82" i="2"/>
  <c r="AG82" i="2"/>
  <c r="AE82" i="2"/>
  <c r="AD82" i="2"/>
  <c r="AC82" i="2"/>
  <c r="AB82" i="2"/>
  <c r="AA82" i="2"/>
  <c r="Z82" i="2"/>
  <c r="X82" i="2"/>
  <c r="W82" i="2"/>
  <c r="V82" i="2"/>
  <c r="U82" i="2"/>
  <c r="T82" i="2"/>
  <c r="Q82" i="2"/>
  <c r="P82" i="2"/>
  <c r="O82" i="2"/>
  <c r="N82" i="2"/>
  <c r="M82" i="2"/>
  <c r="L82" i="2"/>
  <c r="J82" i="2"/>
  <c r="I82" i="2"/>
  <c r="M108" i="16"/>
  <c r="N106" i="16"/>
  <c r="N105" i="16"/>
  <c r="N104" i="16"/>
  <c r="W103" i="16"/>
  <c r="X103" i="16" s="1"/>
  <c r="Y103" i="16" s="1"/>
  <c r="N103" i="16"/>
  <c r="M103" i="16"/>
  <c r="L103" i="16"/>
  <c r="P103" i="16" s="1"/>
  <c r="K103" i="16"/>
  <c r="W102" i="16"/>
  <c r="X102" i="16" s="1"/>
  <c r="Y102" i="16" s="1"/>
  <c r="M102" i="16"/>
  <c r="K102" i="16"/>
  <c r="W101" i="16"/>
  <c r="X101" i="16" s="1"/>
  <c r="Y101" i="16" s="1"/>
  <c r="N101" i="16"/>
  <c r="M101" i="16"/>
  <c r="L101" i="16"/>
  <c r="P101" i="16" s="1"/>
  <c r="K101" i="16"/>
  <c r="W100" i="16"/>
  <c r="X100" i="16" s="1"/>
  <c r="Y100" i="16" s="1"/>
  <c r="M100" i="16"/>
  <c r="P100" i="16" s="1"/>
  <c r="K100" i="16"/>
  <c r="L100" i="16" s="1"/>
  <c r="W99" i="16"/>
  <c r="X99" i="16" s="1"/>
  <c r="Y99" i="16" s="1"/>
  <c r="N99" i="16"/>
  <c r="M99" i="16"/>
  <c r="L99" i="16"/>
  <c r="P99" i="16" s="1"/>
  <c r="K99" i="16"/>
  <c r="W98" i="16"/>
  <c r="X98" i="16" s="1"/>
  <c r="Y98" i="16" s="1"/>
  <c r="M98" i="16"/>
  <c r="K98" i="16"/>
  <c r="W97" i="16"/>
  <c r="X97" i="16" s="1"/>
  <c r="Y97" i="16" s="1"/>
  <c r="N97" i="16"/>
  <c r="M97" i="16"/>
  <c r="L97" i="16"/>
  <c r="P97" i="16" s="1"/>
  <c r="K97" i="16"/>
  <c r="W96" i="16"/>
  <c r="X96" i="16" s="1"/>
  <c r="Y96" i="16" s="1"/>
  <c r="M96" i="16"/>
  <c r="K96" i="16"/>
  <c r="L96" i="16" s="1"/>
  <c r="W95" i="16"/>
  <c r="X95" i="16" s="1"/>
  <c r="Y95" i="16" s="1"/>
  <c r="N95" i="16"/>
  <c r="M95" i="16"/>
  <c r="L95" i="16"/>
  <c r="P95" i="16" s="1"/>
  <c r="K95" i="16"/>
  <c r="W94" i="16"/>
  <c r="X94" i="16" s="1"/>
  <c r="Y94" i="16" s="1"/>
  <c r="M94" i="16"/>
  <c r="K94" i="16"/>
  <c r="W93" i="16"/>
  <c r="X93" i="16" s="1"/>
  <c r="Y93" i="16" s="1"/>
  <c r="V93" i="16"/>
  <c r="N93" i="16"/>
  <c r="M93" i="16"/>
  <c r="L93" i="16"/>
  <c r="P93" i="16" s="1"/>
  <c r="K93" i="16"/>
  <c r="N92" i="16"/>
  <c r="W91" i="16"/>
  <c r="X91" i="16" s="1"/>
  <c r="Y91" i="16" s="1"/>
  <c r="M91" i="16"/>
  <c r="L91" i="16"/>
  <c r="P91" i="16" s="1"/>
  <c r="K91" i="16"/>
  <c r="W90" i="16"/>
  <c r="X90" i="16" s="1"/>
  <c r="M90" i="16"/>
  <c r="K90" i="16"/>
  <c r="W89" i="16"/>
  <c r="X89" i="16" s="1"/>
  <c r="Y89" i="16" s="1"/>
  <c r="M89" i="16"/>
  <c r="L89" i="16"/>
  <c r="P89" i="16" s="1"/>
  <c r="K89" i="16"/>
  <c r="W88" i="16"/>
  <c r="X88" i="16" s="1"/>
  <c r="M88" i="16"/>
  <c r="K88" i="16"/>
  <c r="W87" i="16"/>
  <c r="X87" i="16" s="1"/>
  <c r="Y87" i="16" s="1"/>
  <c r="M87" i="16"/>
  <c r="L87" i="16"/>
  <c r="P87" i="16" s="1"/>
  <c r="K87" i="16"/>
  <c r="W86" i="16"/>
  <c r="X86" i="16" s="1"/>
  <c r="M86" i="16"/>
  <c r="K86" i="16"/>
  <c r="W85" i="16"/>
  <c r="X85" i="16" s="1"/>
  <c r="Y85" i="16" s="1"/>
  <c r="M85" i="16"/>
  <c r="L85" i="16"/>
  <c r="P85" i="16" s="1"/>
  <c r="K85" i="16"/>
  <c r="W84" i="16"/>
  <c r="X84" i="16" s="1"/>
  <c r="M84" i="16"/>
  <c r="K84" i="16"/>
  <c r="W83" i="16"/>
  <c r="X83" i="16" s="1"/>
  <c r="Y83" i="16" s="1"/>
  <c r="M83" i="16"/>
  <c r="L83" i="16"/>
  <c r="P83" i="16" s="1"/>
  <c r="K83" i="16"/>
  <c r="W82" i="16"/>
  <c r="X82" i="16" s="1"/>
  <c r="M82" i="16"/>
  <c r="K82" i="16"/>
  <c r="W81" i="16"/>
  <c r="X81" i="16" s="1"/>
  <c r="Y81" i="16" s="1"/>
  <c r="M81" i="16"/>
  <c r="L81" i="16"/>
  <c r="P81" i="16" s="1"/>
  <c r="K81" i="16"/>
  <c r="X80" i="16"/>
  <c r="W80" i="16"/>
  <c r="V80" i="16"/>
  <c r="M80" i="16"/>
  <c r="K80" i="16"/>
  <c r="N79" i="16"/>
  <c r="W78" i="16"/>
  <c r="X78" i="16" s="1"/>
  <c r="M78" i="16"/>
  <c r="K78" i="16"/>
  <c r="W77" i="16"/>
  <c r="X77" i="16" s="1"/>
  <c r="Y77" i="16" s="1"/>
  <c r="M77" i="16"/>
  <c r="L77" i="16"/>
  <c r="P77" i="16" s="1"/>
  <c r="K77" i="16"/>
  <c r="W76" i="16"/>
  <c r="X76" i="16" s="1"/>
  <c r="M76" i="16"/>
  <c r="K76" i="16"/>
  <c r="W75" i="16"/>
  <c r="X75" i="16" s="1"/>
  <c r="Y75" i="16" s="1"/>
  <c r="M75" i="16"/>
  <c r="L75" i="16"/>
  <c r="P75" i="16" s="1"/>
  <c r="K75" i="16"/>
  <c r="W74" i="16"/>
  <c r="X74" i="16" s="1"/>
  <c r="M74" i="16"/>
  <c r="K74" i="16"/>
  <c r="W73" i="16"/>
  <c r="X73" i="16" s="1"/>
  <c r="Y73" i="16" s="1"/>
  <c r="M73" i="16"/>
  <c r="L73" i="16"/>
  <c r="P73" i="16" s="1"/>
  <c r="K73" i="16"/>
  <c r="W72" i="16"/>
  <c r="X72" i="16" s="1"/>
  <c r="M72" i="16"/>
  <c r="K72" i="16"/>
  <c r="W71" i="16"/>
  <c r="X71" i="16" s="1"/>
  <c r="Y71" i="16" s="1"/>
  <c r="M71" i="16"/>
  <c r="L71" i="16"/>
  <c r="P71" i="16" s="1"/>
  <c r="K71" i="16"/>
  <c r="W70" i="16"/>
  <c r="X70" i="16" s="1"/>
  <c r="M70" i="16"/>
  <c r="K70" i="16"/>
  <c r="W69" i="16"/>
  <c r="X69" i="16" s="1"/>
  <c r="Y69" i="16" s="1"/>
  <c r="M69" i="16"/>
  <c r="L69" i="16"/>
  <c r="P69" i="16" s="1"/>
  <c r="K69" i="16"/>
  <c r="W68" i="16"/>
  <c r="X68" i="16" s="1"/>
  <c r="M68" i="16"/>
  <c r="K68" i="16"/>
  <c r="W67" i="16"/>
  <c r="X67" i="16" s="1"/>
  <c r="Y67" i="16" s="1"/>
  <c r="V67" i="16"/>
  <c r="M67" i="16"/>
  <c r="L67" i="16"/>
  <c r="P67" i="16" s="1"/>
  <c r="K67" i="16"/>
  <c r="N66" i="16"/>
  <c r="W65" i="16"/>
  <c r="X65" i="16" s="1"/>
  <c r="Y65" i="16" s="1"/>
  <c r="M65" i="16"/>
  <c r="L65" i="16"/>
  <c r="P65" i="16" s="1"/>
  <c r="K65" i="16"/>
  <c r="W64" i="16"/>
  <c r="X64" i="16" s="1"/>
  <c r="Y64" i="16" s="1"/>
  <c r="M64" i="16"/>
  <c r="K64" i="16"/>
  <c r="W63" i="16"/>
  <c r="X63" i="16" s="1"/>
  <c r="Y63" i="16" s="1"/>
  <c r="M63" i="16"/>
  <c r="L63" i="16"/>
  <c r="P63" i="16" s="1"/>
  <c r="K63" i="16"/>
  <c r="W62" i="16"/>
  <c r="M62" i="16"/>
  <c r="K62" i="16"/>
  <c r="W61" i="16"/>
  <c r="X61" i="16" s="1"/>
  <c r="Y61" i="16" s="1"/>
  <c r="M61" i="16"/>
  <c r="L61" i="16"/>
  <c r="P61" i="16" s="1"/>
  <c r="K61" i="16"/>
  <c r="W60" i="16"/>
  <c r="X60" i="16" s="1"/>
  <c r="Y60" i="16" s="1"/>
  <c r="M60" i="16"/>
  <c r="K60" i="16"/>
  <c r="W59" i="16"/>
  <c r="X59" i="16" s="1"/>
  <c r="Y59" i="16" s="1"/>
  <c r="M59" i="16"/>
  <c r="L59" i="16"/>
  <c r="P59" i="16" s="1"/>
  <c r="K59" i="16"/>
  <c r="W58" i="16"/>
  <c r="X58" i="16" s="1"/>
  <c r="Y58" i="16" s="1"/>
  <c r="M58" i="16"/>
  <c r="K58" i="16"/>
  <c r="W57" i="16"/>
  <c r="X57" i="16" s="1"/>
  <c r="Y57" i="16" s="1"/>
  <c r="M57" i="16"/>
  <c r="L57" i="16"/>
  <c r="P57" i="16" s="1"/>
  <c r="K57" i="16"/>
  <c r="W56" i="16"/>
  <c r="X56" i="16" s="1"/>
  <c r="M56" i="16"/>
  <c r="K56" i="16"/>
  <c r="W55" i="16"/>
  <c r="X55" i="16" s="1"/>
  <c r="Y55" i="16" s="1"/>
  <c r="V55" i="16"/>
  <c r="M55" i="16"/>
  <c r="L55" i="16"/>
  <c r="P55" i="16" s="1"/>
  <c r="K55" i="16"/>
  <c r="N54" i="16"/>
  <c r="W53" i="16"/>
  <c r="X53" i="16" s="1"/>
  <c r="Y53" i="16" s="1"/>
  <c r="M53" i="16"/>
  <c r="L53" i="16"/>
  <c r="P53" i="16" s="1"/>
  <c r="K53" i="16"/>
  <c r="W52" i="16"/>
  <c r="X52" i="16" s="1"/>
  <c r="Y52" i="16" s="1"/>
  <c r="M52" i="16"/>
  <c r="K52" i="16"/>
  <c r="W51" i="16"/>
  <c r="X51" i="16" s="1"/>
  <c r="Y51" i="16" s="1"/>
  <c r="M51" i="16"/>
  <c r="L51" i="16"/>
  <c r="P51" i="16" s="1"/>
  <c r="K51" i="16"/>
  <c r="W50" i="16"/>
  <c r="X50" i="16" s="1"/>
  <c r="Y50" i="16" s="1"/>
  <c r="M50" i="16"/>
  <c r="K50" i="16"/>
  <c r="W49" i="16"/>
  <c r="X49" i="16" s="1"/>
  <c r="Y49" i="16" s="1"/>
  <c r="M49" i="16"/>
  <c r="L49" i="16"/>
  <c r="P49" i="16" s="1"/>
  <c r="K49" i="16"/>
  <c r="W48" i="16"/>
  <c r="X48" i="16" s="1"/>
  <c r="Y48" i="16" s="1"/>
  <c r="M48" i="16"/>
  <c r="K48" i="16"/>
  <c r="W47" i="16"/>
  <c r="X47" i="16" s="1"/>
  <c r="Y47" i="16" s="1"/>
  <c r="M47" i="16"/>
  <c r="L47" i="16"/>
  <c r="P47" i="16" s="1"/>
  <c r="K47" i="16"/>
  <c r="W46" i="16"/>
  <c r="X46" i="16" s="1"/>
  <c r="Y46" i="16" s="1"/>
  <c r="M46" i="16"/>
  <c r="K46" i="16"/>
  <c r="W45" i="16"/>
  <c r="X45" i="16" s="1"/>
  <c r="Y45" i="16" s="1"/>
  <c r="V45" i="16"/>
  <c r="M45" i="16"/>
  <c r="L45" i="16"/>
  <c r="P45" i="16" s="1"/>
  <c r="K45" i="16"/>
  <c r="N44" i="16"/>
  <c r="W43" i="16"/>
  <c r="X43" i="16" s="1"/>
  <c r="Y43" i="16" s="1"/>
  <c r="M43" i="16"/>
  <c r="L43" i="16"/>
  <c r="P43" i="16" s="1"/>
  <c r="K43" i="16"/>
  <c r="W42" i="16"/>
  <c r="X42" i="16" s="1"/>
  <c r="M42" i="16"/>
  <c r="K42" i="16"/>
  <c r="W41" i="16"/>
  <c r="X41" i="16" s="1"/>
  <c r="Y41" i="16" s="1"/>
  <c r="M41" i="16"/>
  <c r="L41" i="16"/>
  <c r="P41" i="16" s="1"/>
  <c r="K41" i="16"/>
  <c r="W40" i="16"/>
  <c r="X40" i="16" s="1"/>
  <c r="M40" i="16"/>
  <c r="K40" i="16"/>
  <c r="W39" i="16"/>
  <c r="X39" i="16" s="1"/>
  <c r="Y39" i="16" s="1"/>
  <c r="M39" i="16"/>
  <c r="L39" i="16"/>
  <c r="P39" i="16" s="1"/>
  <c r="K39" i="16"/>
  <c r="W38" i="16"/>
  <c r="X38" i="16" s="1"/>
  <c r="M38" i="16"/>
  <c r="K38" i="16"/>
  <c r="W37" i="16"/>
  <c r="X37" i="16" s="1"/>
  <c r="Y37" i="16" s="1"/>
  <c r="M37" i="16"/>
  <c r="L37" i="16"/>
  <c r="P37" i="16" s="1"/>
  <c r="K37" i="16"/>
  <c r="W36" i="16"/>
  <c r="X36" i="16" s="1"/>
  <c r="M36" i="16"/>
  <c r="K36" i="16"/>
  <c r="W35" i="16"/>
  <c r="X35" i="16" s="1"/>
  <c r="Y35" i="16" s="1"/>
  <c r="V35" i="16"/>
  <c r="M35" i="16"/>
  <c r="L35" i="16"/>
  <c r="P35" i="16" s="1"/>
  <c r="K35" i="16"/>
  <c r="N34" i="16"/>
  <c r="W33" i="16"/>
  <c r="X33" i="16" s="1"/>
  <c r="Y33" i="16" s="1"/>
  <c r="M33" i="16"/>
  <c r="L33" i="16"/>
  <c r="P33" i="16" s="1"/>
  <c r="K33" i="16"/>
  <c r="W32" i="16"/>
  <c r="X32" i="16" s="1"/>
  <c r="Y32" i="16" s="1"/>
  <c r="M32" i="16"/>
  <c r="K32" i="16"/>
  <c r="L32" i="16" s="1"/>
  <c r="W31" i="16"/>
  <c r="X31" i="16" s="1"/>
  <c r="Y31" i="16" s="1"/>
  <c r="M31" i="16"/>
  <c r="L31" i="16"/>
  <c r="P31" i="16" s="1"/>
  <c r="K31" i="16"/>
  <c r="W30" i="16"/>
  <c r="X30" i="16" s="1"/>
  <c r="Y30" i="16" s="1"/>
  <c r="M30" i="16"/>
  <c r="K30" i="16"/>
  <c r="W29" i="16"/>
  <c r="X29" i="16" s="1"/>
  <c r="Y29" i="16" s="1"/>
  <c r="M29" i="16"/>
  <c r="L29" i="16"/>
  <c r="P29" i="16" s="1"/>
  <c r="K29" i="16"/>
  <c r="W28" i="16"/>
  <c r="X28" i="16" s="1"/>
  <c r="Y28" i="16" s="1"/>
  <c r="M28" i="16"/>
  <c r="K28" i="16"/>
  <c r="L28" i="16" s="1"/>
  <c r="W27" i="16"/>
  <c r="X27" i="16" s="1"/>
  <c r="Y27" i="16" s="1"/>
  <c r="M27" i="16"/>
  <c r="L27" i="16"/>
  <c r="P27" i="16" s="1"/>
  <c r="K27" i="16"/>
  <c r="W26" i="16"/>
  <c r="M26" i="16"/>
  <c r="K26" i="16"/>
  <c r="W25" i="16"/>
  <c r="X25" i="16" s="1"/>
  <c r="Y25" i="16" s="1"/>
  <c r="V25" i="16"/>
  <c r="M25" i="16"/>
  <c r="L25" i="16"/>
  <c r="P25" i="16" s="1"/>
  <c r="K25" i="16"/>
  <c r="X24" i="16"/>
  <c r="Y24" i="16" s="1"/>
  <c r="N24" i="16"/>
  <c r="W23" i="16"/>
  <c r="X23" i="16" s="1"/>
  <c r="Y23" i="16" s="1"/>
  <c r="M23" i="16"/>
  <c r="L23" i="16"/>
  <c r="P23" i="16" s="1"/>
  <c r="K23" i="16"/>
  <c r="W22" i="16"/>
  <c r="X22" i="16" s="1"/>
  <c r="Y22" i="16" s="1"/>
  <c r="M22" i="16"/>
  <c r="K22" i="16"/>
  <c r="L22" i="16" s="1"/>
  <c r="W21" i="16"/>
  <c r="X21" i="16" s="1"/>
  <c r="Y21" i="16" s="1"/>
  <c r="M21" i="16"/>
  <c r="L21" i="16"/>
  <c r="P21" i="16" s="1"/>
  <c r="K21" i="16"/>
  <c r="W20" i="16"/>
  <c r="X20" i="16" s="1"/>
  <c r="Y20" i="16" s="1"/>
  <c r="M20" i="16"/>
  <c r="K20" i="16"/>
  <c r="W19" i="16"/>
  <c r="X19" i="16" s="1"/>
  <c r="Y19" i="16" s="1"/>
  <c r="M19" i="16"/>
  <c r="L19" i="16"/>
  <c r="P19" i="16" s="1"/>
  <c r="K19" i="16"/>
  <c r="W18" i="16"/>
  <c r="X18" i="16" s="1"/>
  <c r="Y18" i="16" s="1"/>
  <c r="M18" i="16"/>
  <c r="K18" i="16"/>
  <c r="L18" i="16" s="1"/>
  <c r="W17" i="16"/>
  <c r="X17" i="16" s="1"/>
  <c r="Y17" i="16" s="1"/>
  <c r="V17" i="16"/>
  <c r="M17" i="16"/>
  <c r="L17" i="16"/>
  <c r="P17" i="16" s="1"/>
  <c r="K17" i="16"/>
  <c r="N16" i="16"/>
  <c r="W15" i="16"/>
  <c r="X15" i="16" s="1"/>
  <c r="Y15" i="16" s="1"/>
  <c r="M15" i="16"/>
  <c r="L15" i="16"/>
  <c r="P15" i="16" s="1"/>
  <c r="K15" i="16"/>
  <c r="W14" i="16"/>
  <c r="X14" i="16" s="1"/>
  <c r="Y14" i="16" s="1"/>
  <c r="M14" i="16"/>
  <c r="K14" i="16"/>
  <c r="L14" i="16" s="1"/>
  <c r="W13" i="16"/>
  <c r="X13" i="16" s="1"/>
  <c r="Y13" i="16" s="1"/>
  <c r="M13" i="16"/>
  <c r="L13" i="16"/>
  <c r="P13" i="16" s="1"/>
  <c r="K13" i="16"/>
  <c r="W12" i="16"/>
  <c r="X12" i="16" s="1"/>
  <c r="Y12" i="16" s="1"/>
  <c r="M12" i="16"/>
  <c r="K12" i="16"/>
  <c r="W11" i="16"/>
  <c r="X11" i="16" s="1"/>
  <c r="Y11" i="16" s="1"/>
  <c r="M11" i="16"/>
  <c r="L11" i="16"/>
  <c r="P11" i="16" s="1"/>
  <c r="W10" i="16"/>
  <c r="X10" i="16" s="1"/>
  <c r="Y10" i="16" s="1"/>
  <c r="M10" i="16"/>
  <c r="L10" i="16"/>
  <c r="P10" i="16" s="1"/>
  <c r="K10" i="16"/>
  <c r="W9" i="16"/>
  <c r="X9" i="16" s="1"/>
  <c r="Y9" i="16" s="1"/>
  <c r="M9" i="16"/>
  <c r="K9" i="16"/>
  <c r="W8" i="16"/>
  <c r="X8" i="16" s="1"/>
  <c r="Y8" i="16" s="1"/>
  <c r="M8" i="16"/>
  <c r="L8" i="16"/>
  <c r="P8" i="16" s="1"/>
  <c r="K8" i="16"/>
  <c r="W7" i="16"/>
  <c r="X7" i="16" s="1"/>
  <c r="Y7" i="16" s="1"/>
  <c r="V7" i="16"/>
  <c r="M7" i="16"/>
  <c r="K7" i="16"/>
  <c r="Y38" i="16" l="1"/>
  <c r="P96" i="16"/>
  <c r="P14" i="16"/>
  <c r="Z17" i="16"/>
  <c r="AA17" i="16" s="1"/>
  <c r="Z7" i="16"/>
  <c r="AA12" i="16" s="1"/>
  <c r="P18" i="16"/>
  <c r="P22" i="16"/>
  <c r="P28" i="16"/>
  <c r="P32" i="16"/>
  <c r="Z45" i="16"/>
  <c r="AA48" i="16" s="1"/>
  <c r="L36" i="16"/>
  <c r="P36" i="16" s="1"/>
  <c r="L7" i="16"/>
  <c r="P7" i="16" s="1"/>
  <c r="L9" i="16"/>
  <c r="P9" i="16" s="1"/>
  <c r="L12" i="16"/>
  <c r="P12" i="16" s="1"/>
  <c r="L20" i="16"/>
  <c r="P20" i="16" s="1"/>
  <c r="L26" i="16"/>
  <c r="P26" i="16" s="1"/>
  <c r="L30" i="16"/>
  <c r="P30" i="16" s="1"/>
  <c r="L48" i="16"/>
  <c r="L52" i="16"/>
  <c r="L42" i="16"/>
  <c r="Y42" i="16"/>
  <c r="P48" i="16"/>
  <c r="P52" i="16"/>
  <c r="L56" i="16"/>
  <c r="Y56" i="16"/>
  <c r="L38" i="16"/>
  <c r="P38" i="16" s="1"/>
  <c r="X26" i="16"/>
  <c r="Y26" i="16" s="1"/>
  <c r="Z25" i="16" s="1"/>
  <c r="P42" i="16"/>
  <c r="L46" i="16"/>
  <c r="P46" i="16" s="1"/>
  <c r="L50" i="16"/>
  <c r="P50" i="16" s="1"/>
  <c r="P56" i="16"/>
  <c r="Z93" i="16"/>
  <c r="AA95" i="16" s="1"/>
  <c r="O95" i="16" s="1"/>
  <c r="Y36" i="16"/>
  <c r="L40" i="16"/>
  <c r="P40" i="16" s="1"/>
  <c r="Y40" i="16"/>
  <c r="L58" i="16"/>
  <c r="P58" i="16" s="1"/>
  <c r="X62" i="16"/>
  <c r="Y62" i="16" s="1"/>
  <c r="Z55" i="16" s="1"/>
  <c r="AA60" i="16" s="1"/>
  <c r="L60" i="16"/>
  <c r="P60" i="16" s="1"/>
  <c r="L64" i="16"/>
  <c r="P64" i="16" s="1"/>
  <c r="L68" i="16"/>
  <c r="Y68" i="16"/>
  <c r="L72" i="16"/>
  <c r="P72" i="16" s="1"/>
  <c r="Y72" i="16"/>
  <c r="L76" i="16"/>
  <c r="P76" i="16" s="1"/>
  <c r="Y76" i="16"/>
  <c r="L80" i="16"/>
  <c r="P80" i="16" s="1"/>
  <c r="L82" i="16"/>
  <c r="P82" i="16" s="1"/>
  <c r="Y82" i="16"/>
  <c r="L86" i="16"/>
  <c r="P86" i="16" s="1"/>
  <c r="Y86" i="16"/>
  <c r="L90" i="16"/>
  <c r="Y90" i="16"/>
  <c r="AA99" i="16"/>
  <c r="O99" i="16" s="1"/>
  <c r="L62" i="16"/>
  <c r="P62" i="16" s="1"/>
  <c r="P68" i="16"/>
  <c r="Y80" i="16"/>
  <c r="P90" i="16"/>
  <c r="N94" i="16"/>
  <c r="L94" i="16"/>
  <c r="L70" i="16"/>
  <c r="P70" i="16" s="1"/>
  <c r="Y70" i="16"/>
  <c r="L74" i="16"/>
  <c r="P74" i="16" s="1"/>
  <c r="Y74" i="16"/>
  <c r="L78" i="16"/>
  <c r="P78" i="16" s="1"/>
  <c r="Y78" i="16"/>
  <c r="L84" i="16"/>
  <c r="P84" i="16" s="1"/>
  <c r="Y84" i="16"/>
  <c r="L88" i="16"/>
  <c r="P88" i="16" s="1"/>
  <c r="Y88" i="16"/>
  <c r="P94" i="16"/>
  <c r="N96" i="16"/>
  <c r="L98" i="16"/>
  <c r="P98" i="16" s="1"/>
  <c r="N100" i="16"/>
  <c r="L102" i="16"/>
  <c r="P102" i="16" s="1"/>
  <c r="N98" i="16"/>
  <c r="N102" i="16"/>
  <c r="AA98" i="16" l="1"/>
  <c r="O98" i="16" s="1"/>
  <c r="AA103" i="16"/>
  <c r="O103" i="16" s="1"/>
  <c r="AA102" i="16"/>
  <c r="O102" i="16" s="1"/>
  <c r="AA45" i="16"/>
  <c r="H45" i="16" s="1"/>
  <c r="N45" i="16" s="1"/>
  <c r="AA46" i="16"/>
  <c r="H46" i="16" s="1"/>
  <c r="N46" i="16" s="1"/>
  <c r="AA50" i="16"/>
  <c r="H50" i="16" s="1"/>
  <c r="N50" i="16" s="1"/>
  <c r="Z35" i="16"/>
  <c r="AA35" i="16" s="1"/>
  <c r="AA13" i="16"/>
  <c r="H13" i="16" s="1"/>
  <c r="N13" i="16" s="1"/>
  <c r="AA15" i="16"/>
  <c r="H15" i="16" s="1"/>
  <c r="N15" i="16" s="1"/>
  <c r="AA11" i="16"/>
  <c r="H11" i="16" s="1"/>
  <c r="N11" i="16" s="1"/>
  <c r="AA14" i="16"/>
  <c r="H14" i="16" s="1"/>
  <c r="N14" i="16" s="1"/>
  <c r="H12" i="16"/>
  <c r="N12" i="16" s="1"/>
  <c r="O12" i="16"/>
  <c r="H60" i="16"/>
  <c r="N60" i="16" s="1"/>
  <c r="O60" i="16"/>
  <c r="H17" i="16"/>
  <c r="N17" i="16" s="1"/>
  <c r="O17" i="16"/>
  <c r="AA43" i="16"/>
  <c r="AA37" i="16"/>
  <c r="AA33" i="16"/>
  <c r="AA32" i="16"/>
  <c r="AA27" i="16"/>
  <c r="AA31" i="16"/>
  <c r="AA28" i="16"/>
  <c r="AA25" i="16"/>
  <c r="AA30" i="16"/>
  <c r="AA29" i="16"/>
  <c r="H48" i="16"/>
  <c r="N48" i="16" s="1"/>
  <c r="O48" i="16"/>
  <c r="Z67" i="16"/>
  <c r="AA78" i="16" s="1"/>
  <c r="AA96" i="16"/>
  <c r="O96" i="16" s="1"/>
  <c r="AA100" i="16"/>
  <c r="O100" i="16" s="1"/>
  <c r="AA93" i="16"/>
  <c r="O93" i="16" s="1"/>
  <c r="AA58" i="16"/>
  <c r="AA57" i="16"/>
  <c r="O15" i="16"/>
  <c r="AA10" i="16"/>
  <c r="AA7" i="16"/>
  <c r="AA23" i="16"/>
  <c r="AA19" i="16"/>
  <c r="O50" i="16"/>
  <c r="AA22" i="16"/>
  <c r="AA9" i="16"/>
  <c r="O46" i="16"/>
  <c r="AA18" i="16"/>
  <c r="AA65" i="16"/>
  <c r="AA63" i="16"/>
  <c r="AA59" i="16"/>
  <c r="AA61" i="16"/>
  <c r="AA94" i="16"/>
  <c r="O94" i="16" s="1"/>
  <c r="AA56" i="16"/>
  <c r="AA55" i="16"/>
  <c r="AA101" i="16"/>
  <c r="O101" i="16" s="1"/>
  <c r="Z80" i="16"/>
  <c r="AA88" i="16" s="1"/>
  <c r="AA97" i="16"/>
  <c r="O97" i="16" s="1"/>
  <c r="AA62" i="16"/>
  <c r="AA40" i="16"/>
  <c r="AA64" i="16"/>
  <c r="AA26" i="16"/>
  <c r="AA20" i="16"/>
  <c r="AA51" i="16"/>
  <c r="AA47" i="16"/>
  <c r="AA53" i="16"/>
  <c r="AA49" i="16"/>
  <c r="AA8" i="16"/>
  <c r="AA52" i="16"/>
  <c r="AA21" i="16"/>
  <c r="AA68" i="16" l="1"/>
  <c r="O13" i="16"/>
  <c r="O45" i="16"/>
  <c r="AA36" i="16"/>
  <c r="AA41" i="16"/>
  <c r="O41" i="16" s="1"/>
  <c r="O14" i="16"/>
  <c r="AA39" i="16"/>
  <c r="H39" i="16" s="1"/>
  <c r="N39" i="16" s="1"/>
  <c r="AA42" i="16"/>
  <c r="H42" i="16" s="1"/>
  <c r="N42" i="16" s="1"/>
  <c r="AA38" i="16"/>
  <c r="O38" i="16" s="1"/>
  <c r="O11" i="16"/>
  <c r="AA72" i="16"/>
  <c r="O72" i="16" s="1"/>
  <c r="AA70" i="16"/>
  <c r="H70" i="16" s="1"/>
  <c r="N70" i="16" s="1"/>
  <c r="AA86" i="16"/>
  <c r="H86" i="16" s="1"/>
  <c r="N86" i="16" s="1"/>
  <c r="AA76" i="16"/>
  <c r="H101" i="16"/>
  <c r="H88" i="16"/>
  <c r="N88" i="16" s="1"/>
  <c r="O88" i="16"/>
  <c r="H21" i="16"/>
  <c r="N21" i="16" s="1"/>
  <c r="O21" i="16"/>
  <c r="H20" i="16"/>
  <c r="N20" i="16" s="1"/>
  <c r="O20" i="16"/>
  <c r="H65" i="16"/>
  <c r="N65" i="16" s="1"/>
  <c r="O65" i="16"/>
  <c r="H22" i="16"/>
  <c r="N22" i="16" s="1"/>
  <c r="O22" i="16"/>
  <c r="H7" i="16"/>
  <c r="N7" i="16" s="1"/>
  <c r="O7" i="16"/>
  <c r="H57" i="16"/>
  <c r="N57" i="16" s="1"/>
  <c r="O57" i="16"/>
  <c r="H78" i="16"/>
  <c r="N78" i="16" s="1"/>
  <c r="O78" i="16"/>
  <c r="H28" i="16"/>
  <c r="N28" i="16" s="1"/>
  <c r="O28" i="16"/>
  <c r="H33" i="16"/>
  <c r="N33" i="16" s="1"/>
  <c r="O33" i="16"/>
  <c r="H52" i="16"/>
  <c r="N52" i="16" s="1"/>
  <c r="O52" i="16"/>
  <c r="H53" i="16"/>
  <c r="N53" i="16" s="1"/>
  <c r="O53" i="16"/>
  <c r="H62" i="16"/>
  <c r="N62" i="16" s="1"/>
  <c r="O62" i="16"/>
  <c r="AA90" i="16"/>
  <c r="H61" i="16"/>
  <c r="N61" i="16" s="1"/>
  <c r="O61" i="16"/>
  <c r="H18" i="16"/>
  <c r="N18" i="16" s="1"/>
  <c r="O18" i="16"/>
  <c r="H58" i="16"/>
  <c r="N58" i="16" s="1"/>
  <c r="O58" i="16"/>
  <c r="H68" i="16"/>
  <c r="N68" i="16" s="1"/>
  <c r="O68" i="16"/>
  <c r="AA67" i="16"/>
  <c r="AA69" i="16"/>
  <c r="AA73" i="16"/>
  <c r="AA75" i="16"/>
  <c r="AA77" i="16"/>
  <c r="AA71" i="16"/>
  <c r="H29" i="16"/>
  <c r="N29" i="16" s="1"/>
  <c r="O29" i="16"/>
  <c r="H31" i="16"/>
  <c r="N31" i="16" s="1"/>
  <c r="O31" i="16"/>
  <c r="H41" i="16"/>
  <c r="N41" i="16" s="1"/>
  <c r="H43" i="16"/>
  <c r="N43" i="16" s="1"/>
  <c r="O43" i="16"/>
  <c r="H49" i="16"/>
  <c r="N49" i="16" s="1"/>
  <c r="O49" i="16"/>
  <c r="H40" i="16"/>
  <c r="N40" i="16" s="1"/>
  <c r="O40" i="16"/>
  <c r="H8" i="16"/>
  <c r="N8" i="16" s="1"/>
  <c r="O8" i="16"/>
  <c r="H47" i="16"/>
  <c r="N47" i="16" s="1"/>
  <c r="O47" i="16"/>
  <c r="H26" i="16"/>
  <c r="N26" i="16" s="1"/>
  <c r="O26" i="16"/>
  <c r="AA81" i="16"/>
  <c r="AA89" i="16"/>
  <c r="AA91" i="16"/>
  <c r="AA85" i="16"/>
  <c r="AA87" i="16"/>
  <c r="AA83" i="16"/>
  <c r="H55" i="16"/>
  <c r="N55" i="16" s="1"/>
  <c r="O55" i="16"/>
  <c r="H59" i="16"/>
  <c r="N59" i="16" s="1"/>
  <c r="O59" i="16"/>
  <c r="H19" i="16"/>
  <c r="N19" i="16" s="1"/>
  <c r="O19" i="16"/>
  <c r="H10" i="16"/>
  <c r="N10" i="16" s="1"/>
  <c r="O10" i="16"/>
  <c r="H72" i="16"/>
  <c r="N72" i="16" s="1"/>
  <c r="AA84" i="16"/>
  <c r="H30" i="16"/>
  <c r="N30" i="16" s="1"/>
  <c r="O30" i="16"/>
  <c r="H27" i="16"/>
  <c r="N27" i="16" s="1"/>
  <c r="O27" i="16"/>
  <c r="H35" i="16"/>
  <c r="N35" i="16" s="1"/>
  <c r="O35" i="16"/>
  <c r="H36" i="16"/>
  <c r="N36" i="16" s="1"/>
  <c r="O36" i="16"/>
  <c r="H51" i="16"/>
  <c r="N51" i="16" s="1"/>
  <c r="O51" i="16"/>
  <c r="H64" i="16"/>
  <c r="N64" i="16" s="1"/>
  <c r="O64" i="16"/>
  <c r="AA82" i="16"/>
  <c r="AA80" i="16"/>
  <c r="H56" i="16"/>
  <c r="N56" i="16" s="1"/>
  <c r="O56" i="16"/>
  <c r="H63" i="16"/>
  <c r="N63" i="16" s="1"/>
  <c r="O63" i="16"/>
  <c r="O9" i="16"/>
  <c r="H9" i="16"/>
  <c r="N9" i="16" s="1"/>
  <c r="H23" i="16"/>
  <c r="N23" i="16" s="1"/>
  <c r="O23" i="16"/>
  <c r="H76" i="16"/>
  <c r="N76" i="16" s="1"/>
  <c r="O76" i="16"/>
  <c r="AA74" i="16"/>
  <c r="H25" i="16"/>
  <c r="N25" i="16" s="1"/>
  <c r="O25" i="16"/>
  <c r="O32" i="16"/>
  <c r="H32" i="16"/>
  <c r="N32" i="16" s="1"/>
  <c r="H37" i="16"/>
  <c r="N37" i="16" s="1"/>
  <c r="O37" i="16"/>
  <c r="O39" i="16" l="1"/>
  <c r="H38" i="16"/>
  <c r="N38" i="16" s="1"/>
  <c r="O42" i="16"/>
  <c r="O70" i="16"/>
  <c r="O86" i="16"/>
  <c r="H99" i="16"/>
  <c r="H74" i="16"/>
  <c r="N74" i="16" s="1"/>
  <c r="O74" i="16"/>
  <c r="H82" i="16"/>
  <c r="N82" i="16" s="1"/>
  <c r="H95" i="16"/>
  <c r="O82" i="16"/>
  <c r="H96" i="16"/>
  <c r="H83" i="16"/>
  <c r="N83" i="16" s="1"/>
  <c r="O83" i="16"/>
  <c r="H102" i="16"/>
  <c r="H89" i="16"/>
  <c r="N89" i="16" s="1"/>
  <c r="O89" i="16"/>
  <c r="H75" i="16"/>
  <c r="N75" i="16" s="1"/>
  <c r="O75" i="16"/>
  <c r="H90" i="16"/>
  <c r="N90" i="16" s="1"/>
  <c r="H103" i="16"/>
  <c r="O90" i="16"/>
  <c r="H100" i="16"/>
  <c r="H87" i="16"/>
  <c r="N87" i="16" s="1"/>
  <c r="O87" i="16"/>
  <c r="H94" i="16"/>
  <c r="H81" i="16"/>
  <c r="N81" i="16" s="1"/>
  <c r="O81" i="16"/>
  <c r="H73" i="16"/>
  <c r="N73" i="16" s="1"/>
  <c r="O73" i="16"/>
  <c r="H98" i="16"/>
  <c r="H85" i="16"/>
  <c r="N85" i="16" s="1"/>
  <c r="O85" i="16"/>
  <c r="H71" i="16"/>
  <c r="N71" i="16" s="1"/>
  <c r="O71" i="16"/>
  <c r="H69" i="16"/>
  <c r="N69" i="16" s="1"/>
  <c r="O69" i="16"/>
  <c r="O80" i="16"/>
  <c r="H93" i="16"/>
  <c r="N80" i="16" s="1"/>
  <c r="H97" i="16"/>
  <c r="H84" i="16"/>
  <c r="N84" i="16" s="1"/>
  <c r="O84" i="16"/>
  <c r="H91" i="16"/>
  <c r="N91" i="16" s="1"/>
  <c r="O91" i="16"/>
  <c r="H77" i="16"/>
  <c r="N77" i="16" s="1"/>
  <c r="O77" i="16"/>
  <c r="H80" i="16"/>
  <c r="H67" i="16"/>
  <c r="N67" i="16" s="1"/>
  <c r="O67" i="16"/>
  <c r="AJ50" i="2" l="1"/>
  <c r="AI50" i="2"/>
  <c r="AH50" i="2"/>
  <c r="AG50" i="2"/>
  <c r="AE50" i="2"/>
  <c r="AD50" i="2"/>
  <c r="AC50" i="2"/>
  <c r="AB50" i="2"/>
  <c r="AA50" i="2"/>
  <c r="Z50" i="2"/>
  <c r="X50" i="2"/>
  <c r="W50" i="2"/>
  <c r="V50" i="2"/>
  <c r="U50" i="2"/>
  <c r="T50" i="2"/>
  <c r="Q50" i="2"/>
  <c r="P50" i="2"/>
  <c r="O50" i="2"/>
  <c r="N50" i="2"/>
  <c r="M50" i="2"/>
  <c r="L50" i="2"/>
  <c r="J50" i="2"/>
  <c r="I50" i="2"/>
  <c r="AJ46" i="2"/>
  <c r="AI46" i="2"/>
  <c r="AH46" i="2"/>
  <c r="AG46" i="2"/>
  <c r="AE46" i="2"/>
  <c r="AD46" i="2"/>
  <c r="AC46" i="2"/>
  <c r="AB46" i="2"/>
  <c r="AA46" i="2"/>
  <c r="Z46" i="2"/>
  <c r="X46" i="2"/>
  <c r="W46" i="2"/>
  <c r="V46" i="2"/>
  <c r="U46" i="2"/>
  <c r="T46" i="2"/>
  <c r="Q46" i="2"/>
  <c r="P46" i="2"/>
  <c r="O46" i="2"/>
  <c r="N46" i="2"/>
  <c r="M46" i="2"/>
  <c r="L46" i="2"/>
  <c r="J46" i="2"/>
  <c r="I46" i="2"/>
  <c r="AJ17" i="2" l="1"/>
  <c r="AI17" i="2"/>
  <c r="AH17" i="2"/>
  <c r="AG17" i="2"/>
  <c r="AE17" i="2"/>
  <c r="AD17" i="2"/>
  <c r="AC17" i="2"/>
  <c r="AB17" i="2"/>
  <c r="AA17" i="2"/>
  <c r="Z17" i="2"/>
  <c r="X17" i="2"/>
  <c r="W17" i="2"/>
  <c r="V17" i="2"/>
  <c r="U17" i="2"/>
  <c r="T17" i="2"/>
  <c r="Q17" i="2"/>
  <c r="P17" i="2"/>
  <c r="O17" i="2"/>
  <c r="N17" i="2"/>
  <c r="M17" i="2"/>
  <c r="L17" i="2"/>
  <c r="J17" i="2"/>
  <c r="I17" i="2"/>
  <c r="I13" i="2"/>
  <c r="AH13" i="2"/>
  <c r="AI13" i="2"/>
  <c r="AJ13" i="2"/>
  <c r="AG13" i="2"/>
  <c r="AA13" i="2"/>
  <c r="AB13" i="2"/>
  <c r="AC13" i="2"/>
  <c r="AD13" i="2"/>
  <c r="AE13" i="2"/>
  <c r="Z13" i="2"/>
  <c r="X13" i="2"/>
  <c r="T13" i="2"/>
  <c r="U13" i="2"/>
  <c r="V13" i="2"/>
  <c r="W13" i="2"/>
  <c r="Q13" i="2"/>
  <c r="P13" i="2"/>
  <c r="O13" i="2"/>
  <c r="J13" i="2" l="1"/>
  <c r="L13" i="2"/>
  <c r="M13" i="2"/>
  <c r="N13" i="2"/>
  <c r="I30" i="25" l="1"/>
  <c r="I29" i="25"/>
  <c r="I28" i="25"/>
  <c r="I27" i="25"/>
  <c r="I26" i="25"/>
  <c r="I2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6" i="25"/>
  <c r="I5" i="25"/>
  <c r="I4" i="25"/>
  <c r="F38" i="24"/>
  <c r="G38" i="24" s="1"/>
  <c r="F37" i="24"/>
  <c r="G37" i="24" s="1"/>
  <c r="F36" i="24"/>
  <c r="G36" i="24" s="1"/>
  <c r="F35" i="24"/>
  <c r="G35" i="24" s="1"/>
  <c r="F34" i="24"/>
  <c r="G34" i="24" s="1"/>
  <c r="F33" i="24"/>
  <c r="G33" i="24" s="1"/>
  <c r="F32" i="24"/>
  <c r="G32" i="24" s="1"/>
  <c r="F31" i="24"/>
  <c r="G31" i="24" s="1"/>
  <c r="F30" i="24"/>
  <c r="G30" i="24" s="1"/>
  <c r="F29" i="24"/>
  <c r="G29" i="24" s="1"/>
  <c r="F28" i="24"/>
  <c r="G28" i="24" s="1"/>
  <c r="F27" i="24"/>
  <c r="G27" i="24" s="1"/>
  <c r="F26" i="24"/>
  <c r="G26" i="24" s="1"/>
  <c r="F25" i="24"/>
  <c r="G25" i="24" s="1"/>
  <c r="F24" i="24"/>
  <c r="G24" i="24" s="1"/>
  <c r="F23" i="24"/>
  <c r="G23" i="24" s="1"/>
  <c r="F22" i="24"/>
  <c r="G22" i="24" s="1"/>
  <c r="F20" i="24"/>
  <c r="G20" i="24" s="1"/>
  <c r="F19" i="24"/>
  <c r="G19" i="24" s="1"/>
  <c r="F18" i="24"/>
  <c r="G18" i="24" s="1"/>
  <c r="F17" i="24"/>
  <c r="G17" i="24" s="1"/>
  <c r="F16" i="24"/>
  <c r="G16" i="24" s="1"/>
  <c r="F15" i="24"/>
  <c r="G15" i="24" s="1"/>
  <c r="F14" i="24"/>
  <c r="G14" i="24" s="1"/>
  <c r="F13" i="24"/>
  <c r="G13" i="24" s="1"/>
  <c r="F12" i="24"/>
  <c r="G12" i="24" s="1"/>
  <c r="F11" i="24"/>
  <c r="G11" i="24" s="1"/>
  <c r="F10" i="24"/>
  <c r="G10" i="24" s="1"/>
  <c r="F9" i="24"/>
  <c r="G9" i="24" s="1"/>
  <c r="F8" i="24"/>
  <c r="G8" i="24" s="1"/>
  <c r="F7" i="24"/>
  <c r="G7" i="24" s="1"/>
  <c r="F6" i="24"/>
  <c r="G6" i="24" s="1"/>
  <c r="F5" i="24"/>
  <c r="G5" i="24" s="1"/>
  <c r="F4" i="24"/>
  <c r="G4" i="24" s="1"/>
  <c r="F29" i="23"/>
  <c r="G29" i="23" s="1"/>
  <c r="F28" i="23"/>
  <c r="G28" i="23" s="1"/>
  <c r="F27" i="23"/>
  <c r="G27" i="23" s="1"/>
  <c r="F26" i="23"/>
  <c r="G26" i="23" s="1"/>
  <c r="F25" i="23"/>
  <c r="G25" i="23" s="1"/>
  <c r="F24" i="23"/>
  <c r="G24" i="23" s="1"/>
  <c r="F23" i="23"/>
  <c r="G23" i="23" s="1"/>
  <c r="F22" i="23"/>
  <c r="G22" i="23" s="1"/>
  <c r="F21" i="23"/>
  <c r="G21" i="23" s="1"/>
  <c r="F20" i="23"/>
  <c r="G20" i="23" s="1"/>
  <c r="F19" i="23"/>
  <c r="G19" i="23" s="1"/>
  <c r="F18" i="23"/>
  <c r="G18" i="23" s="1"/>
  <c r="F17" i="23"/>
  <c r="G17" i="23" s="1"/>
  <c r="F16" i="23"/>
  <c r="G16" i="23" s="1"/>
  <c r="F15" i="23"/>
  <c r="G15" i="23" s="1"/>
  <c r="F14" i="23"/>
  <c r="G14" i="23" s="1"/>
  <c r="F13" i="23"/>
  <c r="G13" i="23" s="1"/>
  <c r="F12" i="23"/>
  <c r="G12" i="23" s="1"/>
  <c r="F11" i="23"/>
  <c r="G11" i="23" s="1"/>
  <c r="F10" i="23"/>
  <c r="G10" i="23" s="1"/>
  <c r="F9" i="23"/>
  <c r="G9" i="23" s="1"/>
  <c r="F8" i="23"/>
  <c r="G8" i="23" s="1"/>
  <c r="F7" i="23"/>
  <c r="G7" i="23" s="1"/>
  <c r="F6" i="23"/>
  <c r="G6" i="23" s="1"/>
  <c r="F5" i="23"/>
  <c r="G5" i="23" s="1"/>
  <c r="F4" i="23"/>
  <c r="G4" i="23" s="1"/>
  <c r="F39" i="22"/>
  <c r="G39" i="22" s="1"/>
  <c r="F38" i="22"/>
  <c r="G38" i="22" s="1"/>
  <c r="F37" i="22"/>
  <c r="G37" i="22" s="1"/>
  <c r="F36" i="22"/>
  <c r="G36" i="22" s="1"/>
  <c r="F35" i="22"/>
  <c r="G35" i="22" s="1"/>
  <c r="F34" i="22"/>
  <c r="G34" i="22" s="1"/>
  <c r="F33" i="22"/>
  <c r="G33" i="22" s="1"/>
  <c r="F32" i="22"/>
  <c r="G32" i="22" s="1"/>
  <c r="F31" i="22"/>
  <c r="G31" i="22" s="1"/>
  <c r="F30" i="22"/>
  <c r="G30" i="22" s="1"/>
  <c r="F29" i="22"/>
  <c r="G29" i="22" s="1"/>
  <c r="F28" i="22"/>
  <c r="G28" i="22" s="1"/>
  <c r="F27" i="22"/>
  <c r="G27" i="22" s="1"/>
  <c r="F26" i="22"/>
  <c r="G26" i="22" s="1"/>
  <c r="F25" i="22"/>
  <c r="G25" i="22" s="1"/>
  <c r="F24" i="22"/>
  <c r="G24" i="22" s="1"/>
  <c r="F23" i="22"/>
  <c r="G23" i="22" s="1"/>
  <c r="F22" i="22"/>
  <c r="G22" i="22" s="1"/>
  <c r="F21" i="22"/>
  <c r="G21" i="22" s="1"/>
  <c r="F20" i="22"/>
  <c r="G20" i="22" s="1"/>
  <c r="F19" i="22"/>
  <c r="G19" i="22" s="1"/>
  <c r="F18" i="22"/>
  <c r="G18" i="22" s="1"/>
  <c r="F17" i="22"/>
  <c r="G17" i="22" s="1"/>
  <c r="F16" i="22"/>
  <c r="G16" i="22" s="1"/>
  <c r="F15" i="22"/>
  <c r="G15" i="22" s="1"/>
  <c r="F14" i="22"/>
  <c r="G14" i="22" s="1"/>
  <c r="F13" i="22"/>
  <c r="G13" i="22" s="1"/>
  <c r="F12" i="22"/>
  <c r="G12" i="22" s="1"/>
  <c r="F11" i="22"/>
  <c r="G11" i="22" s="1"/>
  <c r="F10" i="22"/>
  <c r="G10" i="22" s="1"/>
  <c r="F9" i="22"/>
  <c r="G9" i="22" s="1"/>
  <c r="F8" i="22"/>
  <c r="G8" i="22" s="1"/>
  <c r="F7" i="22"/>
  <c r="G7" i="22" s="1"/>
  <c r="F6" i="22"/>
  <c r="G6" i="22" s="1"/>
  <c r="F5" i="22"/>
  <c r="G5" i="22" s="1"/>
  <c r="F4" i="22"/>
  <c r="G4" i="22" s="1"/>
  <c r="F56" i="21"/>
  <c r="G56" i="21" s="1"/>
  <c r="F55" i="21"/>
  <c r="G55" i="21" s="1"/>
  <c r="F54" i="21"/>
  <c r="G54" i="21" s="1"/>
  <c r="F53" i="21"/>
  <c r="G53" i="21" s="1"/>
  <c r="F52" i="21"/>
  <c r="G52" i="21" s="1"/>
  <c r="F51" i="21"/>
  <c r="G51" i="21" s="1"/>
  <c r="F50" i="21"/>
  <c r="G50" i="21" s="1"/>
  <c r="F49" i="21"/>
  <c r="G49" i="21" s="1"/>
  <c r="F48" i="21"/>
  <c r="G48" i="21" s="1"/>
  <c r="F47" i="21"/>
  <c r="G47" i="21" s="1"/>
  <c r="F46" i="21"/>
  <c r="G46" i="21" s="1"/>
  <c r="F45" i="21"/>
  <c r="G45" i="21" s="1"/>
  <c r="F44" i="21"/>
  <c r="G44" i="21" s="1"/>
  <c r="F43" i="21"/>
  <c r="G43" i="21" s="1"/>
  <c r="F42" i="21"/>
  <c r="G42" i="21" s="1"/>
  <c r="F41" i="21"/>
  <c r="G41" i="21" s="1"/>
  <c r="F40" i="21"/>
  <c r="G40" i="21" s="1"/>
  <c r="F39" i="21"/>
  <c r="G39" i="21" s="1"/>
  <c r="F38" i="21"/>
  <c r="G38" i="21" s="1"/>
  <c r="F37" i="21"/>
  <c r="G37" i="21" s="1"/>
  <c r="F36" i="21"/>
  <c r="G36" i="21" s="1"/>
  <c r="F35" i="21"/>
  <c r="G35" i="21" s="1"/>
  <c r="F34" i="21"/>
  <c r="G34" i="21" s="1"/>
  <c r="F33" i="21"/>
  <c r="G33" i="21" s="1"/>
  <c r="F32" i="21"/>
  <c r="G32" i="21" s="1"/>
  <c r="F31" i="21"/>
  <c r="G31" i="21" s="1"/>
  <c r="F30" i="21"/>
  <c r="G30" i="21" s="1"/>
  <c r="F29" i="21"/>
  <c r="G28" i="21"/>
  <c r="F28" i="21"/>
  <c r="G27" i="21"/>
  <c r="F27" i="21"/>
  <c r="G26" i="21"/>
  <c r="F26" i="21"/>
  <c r="G25" i="21"/>
  <c r="F25" i="21"/>
  <c r="G24" i="21"/>
  <c r="F24" i="21"/>
  <c r="G23" i="21"/>
  <c r="F23" i="21"/>
  <c r="G22" i="21"/>
  <c r="F22" i="21"/>
  <c r="G21" i="21"/>
  <c r="F21" i="21"/>
  <c r="G20" i="21"/>
  <c r="F20" i="21"/>
  <c r="F19" i="21"/>
  <c r="F18" i="21"/>
  <c r="G18" i="21" s="1"/>
  <c r="F17" i="21"/>
  <c r="G17" i="21" s="1"/>
  <c r="F16" i="21"/>
  <c r="G16" i="21" s="1"/>
  <c r="F15" i="21"/>
  <c r="G15" i="21" s="1"/>
  <c r="F14" i="21"/>
  <c r="G14" i="21" s="1"/>
  <c r="F13" i="21"/>
  <c r="G13" i="21" s="1"/>
  <c r="F12" i="21"/>
  <c r="G12" i="21" s="1"/>
  <c r="F11" i="21"/>
  <c r="G11" i="21" s="1"/>
  <c r="F10" i="21"/>
  <c r="G10" i="21" s="1"/>
  <c r="F9" i="21"/>
  <c r="G9" i="21" s="1"/>
  <c r="F8" i="21"/>
  <c r="G8" i="21" s="1"/>
  <c r="F7" i="21"/>
  <c r="G7" i="21" s="1"/>
  <c r="F6" i="21"/>
  <c r="G6" i="21" s="1"/>
  <c r="F5" i="21"/>
  <c r="G5" i="21" s="1"/>
  <c r="F4" i="21"/>
  <c r="G4" i="21" s="1"/>
  <c r="A37" i="20"/>
  <c r="C37" i="20" s="1"/>
  <c r="D37" i="20" s="1"/>
  <c r="E37" i="20" s="1"/>
  <c r="G35" i="20"/>
  <c r="H34" i="20"/>
  <c r="G34" i="20"/>
  <c r="H33" i="20"/>
  <c r="G33" i="20"/>
  <c r="H32" i="20"/>
  <c r="G32" i="20"/>
  <c r="H31" i="20"/>
  <c r="G31" i="20"/>
  <c r="H30" i="20"/>
  <c r="G30" i="20"/>
  <c r="H29" i="20"/>
  <c r="G29" i="20"/>
  <c r="H28" i="20"/>
  <c r="G28" i="20"/>
  <c r="H27" i="20"/>
  <c r="G27" i="20"/>
  <c r="H26" i="20"/>
  <c r="G26" i="20"/>
  <c r="H25" i="20"/>
  <c r="G25" i="20"/>
  <c r="H24" i="20"/>
  <c r="G24" i="20"/>
  <c r="H23" i="20"/>
  <c r="G23" i="20"/>
  <c r="H22" i="20"/>
  <c r="G22" i="20"/>
  <c r="H21" i="20"/>
  <c r="G21" i="20"/>
  <c r="H20" i="20"/>
  <c r="G20" i="20"/>
  <c r="H19" i="20"/>
  <c r="G19" i="20"/>
  <c r="H18" i="20"/>
  <c r="G18" i="20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6" i="20"/>
  <c r="G6" i="20"/>
  <c r="H5" i="20"/>
  <c r="G5" i="20"/>
  <c r="E77" i="3" l="1"/>
  <c r="I63" i="3"/>
  <c r="E63" i="3"/>
  <c r="I62" i="3"/>
  <c r="I61" i="3"/>
  <c r="C61" i="3"/>
  <c r="I60" i="3"/>
  <c r="I59" i="3"/>
  <c r="C59" i="3"/>
  <c r="I58" i="3"/>
  <c r="I57" i="3"/>
  <c r="I56" i="3"/>
  <c r="F50" i="3"/>
  <c r="F49" i="3"/>
  <c r="F48" i="3"/>
  <c r="F47" i="3"/>
  <c r="F46" i="3"/>
  <c r="F45" i="3"/>
  <c r="H44" i="3"/>
  <c r="C62" i="3" s="1"/>
  <c r="F44" i="3"/>
  <c r="I43" i="3"/>
  <c r="C76" i="3" s="1"/>
  <c r="H43" i="3"/>
  <c r="F43" i="3"/>
  <c r="I38" i="3"/>
  <c r="H38" i="3"/>
  <c r="H37" i="3"/>
  <c r="F37" i="3"/>
  <c r="I37" i="3" s="1"/>
  <c r="I32" i="3"/>
  <c r="C75" i="3" s="1"/>
  <c r="H32" i="3"/>
  <c r="F32" i="3"/>
  <c r="I31" i="3"/>
  <c r="C74" i="3" s="1"/>
  <c r="H31" i="3"/>
  <c r="H30" i="3"/>
  <c r="F30" i="3"/>
  <c r="I30" i="3" s="1"/>
  <c r="C73" i="3" s="1"/>
  <c r="F29" i="3"/>
  <c r="H27" i="3"/>
  <c r="F27" i="3"/>
  <c r="I27" i="3" s="1"/>
  <c r="C72" i="3" s="1"/>
  <c r="C27" i="3"/>
  <c r="F28" i="3" s="1"/>
  <c r="F26" i="3"/>
  <c r="F25" i="3"/>
  <c r="I24" i="3"/>
  <c r="C71" i="3" s="1"/>
  <c r="H24" i="3"/>
  <c r="F24" i="3"/>
  <c r="H23" i="3"/>
  <c r="F23" i="3"/>
  <c r="H21" i="3"/>
  <c r="F21" i="3"/>
  <c r="I21" i="3" s="1"/>
  <c r="C21" i="3"/>
  <c r="F22" i="3" s="1"/>
  <c r="H20" i="3"/>
  <c r="C60" i="3" s="1"/>
  <c r="H18" i="3"/>
  <c r="C58" i="3" s="1"/>
  <c r="C18" i="3"/>
  <c r="F19" i="3" s="1"/>
  <c r="F16" i="3"/>
  <c r="F15" i="3"/>
  <c r="H13" i="3"/>
  <c r="F13" i="3"/>
  <c r="I13" i="3" s="1"/>
  <c r="C69" i="3" s="1"/>
  <c r="C13" i="3"/>
  <c r="F17" i="3" s="1"/>
  <c r="F12" i="3"/>
  <c r="F11" i="3"/>
  <c r="F10" i="3"/>
  <c r="F9" i="3"/>
  <c r="I8" i="3"/>
  <c r="F8" i="3"/>
  <c r="I7" i="3"/>
  <c r="C68" i="3" s="1"/>
  <c r="H7" i="3"/>
  <c r="F7" i="3"/>
  <c r="F6" i="3"/>
  <c r="F5" i="3"/>
  <c r="F4" i="3"/>
  <c r="I3" i="3"/>
  <c r="F3" i="3"/>
  <c r="I2" i="3"/>
  <c r="C67" i="3" s="1"/>
  <c r="G2" i="3"/>
  <c r="H2" i="3" s="1"/>
  <c r="C57" i="3" s="1"/>
  <c r="F2" i="3"/>
  <c r="AG333" i="2"/>
  <c r="Z333" i="2"/>
  <c r="P333" i="2"/>
  <c r="AH330" i="2" s="1"/>
  <c r="AI330" i="2"/>
  <c r="AG330" i="2"/>
  <c r="AC330" i="2"/>
  <c r="AA330" i="2"/>
  <c r="W330" i="2"/>
  <c r="U330" i="2"/>
  <c r="P330" i="2"/>
  <c r="N330" i="2"/>
  <c r="L330" i="2"/>
  <c r="AJ327" i="2"/>
  <c r="AH327" i="2"/>
  <c r="AD327" i="2"/>
  <c r="AB327" i="2"/>
  <c r="Z327" i="2"/>
  <c r="V327" i="2"/>
  <c r="T327" i="2"/>
  <c r="O327" i="2"/>
  <c r="M327" i="2"/>
  <c r="I327" i="2"/>
  <c r="AI324" i="2"/>
  <c r="AG324" i="2"/>
  <c r="AC324" i="2"/>
  <c r="AA324" i="2"/>
  <c r="W324" i="2"/>
  <c r="U324" i="2"/>
  <c r="P324" i="2"/>
  <c r="N324" i="2"/>
  <c r="L324" i="2"/>
  <c r="AJ321" i="2"/>
  <c r="AH321" i="2"/>
  <c r="AD321" i="2"/>
  <c r="AB321" i="2"/>
  <c r="Z321" i="2"/>
  <c r="V321" i="2"/>
  <c r="T321" i="2"/>
  <c r="O321" i="2"/>
  <c r="M321" i="2"/>
  <c r="I321" i="2"/>
  <c r="AI319" i="2"/>
  <c r="AG319" i="2"/>
  <c r="AC319" i="2"/>
  <c r="AA319" i="2"/>
  <c r="W319" i="2"/>
  <c r="U319" i="2"/>
  <c r="P319" i="2"/>
  <c r="N319" i="2"/>
  <c r="L319" i="2"/>
  <c r="AJ317" i="2"/>
  <c r="AH317" i="2"/>
  <c r="AD317" i="2"/>
  <c r="AB317" i="2"/>
  <c r="Z317" i="2"/>
  <c r="V317" i="2"/>
  <c r="T317" i="2"/>
  <c r="O317" i="2"/>
  <c r="M317" i="2"/>
  <c r="I317" i="2"/>
  <c r="AI314" i="2"/>
  <c r="AG314" i="2"/>
  <c r="AC314" i="2"/>
  <c r="AA314" i="2"/>
  <c r="W314" i="2"/>
  <c r="U314" i="2"/>
  <c r="P314" i="2"/>
  <c r="N314" i="2"/>
  <c r="L314" i="2"/>
  <c r="AJ311" i="2"/>
  <c r="AH311" i="2"/>
  <c r="AD311" i="2"/>
  <c r="AB311" i="2"/>
  <c r="Z311" i="2"/>
  <c r="V311" i="2"/>
  <c r="T311" i="2"/>
  <c r="O311" i="2"/>
  <c r="M311" i="2"/>
  <c r="I311" i="2"/>
  <c r="AI308" i="2"/>
  <c r="AG308" i="2"/>
  <c r="AC308" i="2"/>
  <c r="AA308" i="2"/>
  <c r="W308" i="2"/>
  <c r="U308" i="2"/>
  <c r="P308" i="2"/>
  <c r="N308" i="2"/>
  <c r="L308" i="2"/>
  <c r="AJ305" i="2"/>
  <c r="AH305" i="2"/>
  <c r="AD305" i="2"/>
  <c r="AB305" i="2"/>
  <c r="Z305" i="2"/>
  <c r="V305" i="2"/>
  <c r="T305" i="2"/>
  <c r="O305" i="2"/>
  <c r="M305" i="2"/>
  <c r="I305" i="2"/>
  <c r="AD283" i="2"/>
  <c r="W283" i="2"/>
  <c r="O283" i="2"/>
  <c r="AJ279" i="2"/>
  <c r="AI279" i="2"/>
  <c r="AH279" i="2"/>
  <c r="AG279" i="2"/>
  <c r="AD279" i="2"/>
  <c r="AC279" i="2"/>
  <c r="AB279" i="2"/>
  <c r="AA279" i="2"/>
  <c r="Z279" i="2"/>
  <c r="W279" i="2"/>
  <c r="V279" i="2"/>
  <c r="U279" i="2"/>
  <c r="T279" i="2"/>
  <c r="P279" i="2"/>
  <c r="O279" i="2"/>
  <c r="N279" i="2"/>
  <c r="M279" i="2"/>
  <c r="L279" i="2"/>
  <c r="I279" i="2"/>
  <c r="AJ275" i="2"/>
  <c r="AI275" i="2"/>
  <c r="AH275" i="2"/>
  <c r="AG275" i="2"/>
  <c r="AD275" i="2"/>
  <c r="AC275" i="2"/>
  <c r="AB275" i="2"/>
  <c r="AA275" i="2"/>
  <c r="Z275" i="2"/>
  <c r="W275" i="2"/>
  <c r="V275" i="2"/>
  <c r="U275" i="2"/>
  <c r="T275" i="2"/>
  <c r="P275" i="2"/>
  <c r="O275" i="2"/>
  <c r="N275" i="2"/>
  <c r="M275" i="2"/>
  <c r="L275" i="2"/>
  <c r="I275" i="2"/>
  <c r="AJ271" i="2"/>
  <c r="AI271" i="2"/>
  <c r="AH271" i="2"/>
  <c r="AG271" i="2"/>
  <c r="AD271" i="2"/>
  <c r="AC271" i="2"/>
  <c r="AB271" i="2"/>
  <c r="AA271" i="2"/>
  <c r="Z271" i="2"/>
  <c r="W271" i="2"/>
  <c r="V271" i="2"/>
  <c r="U271" i="2"/>
  <c r="T271" i="2"/>
  <c r="P271" i="2"/>
  <c r="O271" i="2"/>
  <c r="N271" i="2"/>
  <c r="M271" i="2"/>
  <c r="L271" i="2"/>
  <c r="I271" i="2"/>
  <c r="AJ267" i="2"/>
  <c r="AI267" i="2"/>
  <c r="AH267" i="2"/>
  <c r="AG267" i="2"/>
  <c r="AD267" i="2"/>
  <c r="AC267" i="2"/>
  <c r="AB267" i="2"/>
  <c r="AA267" i="2"/>
  <c r="Z267" i="2"/>
  <c r="W267" i="2"/>
  <c r="V267" i="2"/>
  <c r="U267" i="2"/>
  <c r="T267" i="2"/>
  <c r="P267" i="2"/>
  <c r="O267" i="2"/>
  <c r="N267" i="2"/>
  <c r="M267" i="2"/>
  <c r="L267" i="2"/>
  <c r="I267" i="2"/>
  <c r="AJ263" i="2"/>
  <c r="AI263" i="2"/>
  <c r="AH263" i="2"/>
  <c r="AG263" i="2"/>
  <c r="AD263" i="2"/>
  <c r="AC263" i="2"/>
  <c r="AB263" i="2"/>
  <c r="AA263" i="2"/>
  <c r="Z263" i="2"/>
  <c r="W263" i="2"/>
  <c r="V263" i="2"/>
  <c r="U263" i="2"/>
  <c r="T263" i="2"/>
  <c r="P263" i="2"/>
  <c r="O263" i="2"/>
  <c r="N263" i="2"/>
  <c r="M263" i="2"/>
  <c r="L263" i="2"/>
  <c r="I263" i="2"/>
  <c r="AJ260" i="2"/>
  <c r="AI260" i="2"/>
  <c r="AH260" i="2"/>
  <c r="AG260" i="2"/>
  <c r="AD260" i="2"/>
  <c r="AC260" i="2"/>
  <c r="AB260" i="2"/>
  <c r="AA260" i="2"/>
  <c r="Z260" i="2"/>
  <c r="W260" i="2"/>
  <c r="V260" i="2"/>
  <c r="U260" i="2"/>
  <c r="T260" i="2"/>
  <c r="P260" i="2"/>
  <c r="O260" i="2"/>
  <c r="N260" i="2"/>
  <c r="M260" i="2"/>
  <c r="L260" i="2"/>
  <c r="I260" i="2"/>
  <c r="AJ257" i="2"/>
  <c r="AI257" i="2"/>
  <c r="AH257" i="2"/>
  <c r="AG257" i="2"/>
  <c r="AD257" i="2"/>
  <c r="AC257" i="2"/>
  <c r="AB257" i="2"/>
  <c r="AA257" i="2"/>
  <c r="Z257" i="2"/>
  <c r="W257" i="2"/>
  <c r="V257" i="2"/>
  <c r="U257" i="2"/>
  <c r="T257" i="2"/>
  <c r="P257" i="2"/>
  <c r="O257" i="2"/>
  <c r="N257" i="2"/>
  <c r="M257" i="2"/>
  <c r="L257" i="2"/>
  <c r="I257" i="2"/>
  <c r="AJ254" i="2"/>
  <c r="AI254" i="2"/>
  <c r="AH254" i="2"/>
  <c r="AG254" i="2"/>
  <c r="AD254" i="2"/>
  <c r="AC254" i="2"/>
  <c r="AB254" i="2"/>
  <c r="AA254" i="2"/>
  <c r="Z254" i="2"/>
  <c r="W254" i="2"/>
  <c r="V254" i="2"/>
  <c r="U254" i="2"/>
  <c r="T254" i="2"/>
  <c r="P254" i="2"/>
  <c r="O254" i="2"/>
  <c r="N254" i="2"/>
  <c r="M254" i="2"/>
  <c r="L254" i="2"/>
  <c r="I254" i="2"/>
  <c r="AJ248" i="2"/>
  <c r="AI248" i="2"/>
  <c r="AH248" i="2"/>
  <c r="AG248" i="2"/>
  <c r="AD248" i="2"/>
  <c r="AC248" i="2"/>
  <c r="AB248" i="2"/>
  <c r="AA248" i="2"/>
  <c r="Z248" i="2"/>
  <c r="W248" i="2"/>
  <c r="V248" i="2"/>
  <c r="U248" i="2"/>
  <c r="T248" i="2"/>
  <c r="P248" i="2"/>
  <c r="O248" i="2"/>
  <c r="N248" i="2"/>
  <c r="M248" i="2"/>
  <c r="L248" i="2"/>
  <c r="I248" i="2"/>
  <c r="AJ245" i="2"/>
  <c r="AI245" i="2"/>
  <c r="AH245" i="2"/>
  <c r="AG245" i="2"/>
  <c r="AD245" i="2"/>
  <c r="AC245" i="2"/>
  <c r="AB245" i="2"/>
  <c r="AA245" i="2"/>
  <c r="Z245" i="2"/>
  <c r="W245" i="2"/>
  <c r="V245" i="2"/>
  <c r="U245" i="2"/>
  <c r="T245" i="2"/>
  <c r="P245" i="2"/>
  <c r="O245" i="2"/>
  <c r="N245" i="2"/>
  <c r="M245" i="2"/>
  <c r="L245" i="2"/>
  <c r="I245" i="2"/>
  <c r="I244" i="2"/>
  <c r="AJ241" i="2"/>
  <c r="AI241" i="2"/>
  <c r="AH241" i="2"/>
  <c r="AG241" i="2"/>
  <c r="AD241" i="2"/>
  <c r="AC241" i="2"/>
  <c r="AB241" i="2"/>
  <c r="AA241" i="2"/>
  <c r="Z241" i="2"/>
  <c r="W241" i="2"/>
  <c r="V241" i="2"/>
  <c r="U241" i="2"/>
  <c r="T241" i="2"/>
  <c r="P241" i="2"/>
  <c r="O241" i="2"/>
  <c r="N241" i="2"/>
  <c r="M241" i="2"/>
  <c r="L241" i="2"/>
  <c r="I241" i="2"/>
  <c r="I228" i="2"/>
  <c r="AG225" i="2"/>
  <c r="AA225" i="2"/>
  <c r="U225" i="2"/>
  <c r="N225" i="2"/>
  <c r="AC217" i="2" s="1"/>
  <c r="I224" i="2"/>
  <c r="AG221" i="2"/>
  <c r="AA221" i="2"/>
  <c r="U221" i="2"/>
  <c r="N221" i="2"/>
  <c r="AI217" i="2"/>
  <c r="AG217" i="2"/>
  <c r="AB217" i="2"/>
  <c r="W217" i="2"/>
  <c r="U217" i="2"/>
  <c r="O217" i="2"/>
  <c r="L217" i="2"/>
  <c r="AJ213" i="2"/>
  <c r="AG213" i="2"/>
  <c r="AD213" i="2"/>
  <c r="AC213" i="2"/>
  <c r="Z213" i="2"/>
  <c r="W213" i="2"/>
  <c r="U213" i="2"/>
  <c r="P213" i="2"/>
  <c r="N213" i="2"/>
  <c r="M213" i="2"/>
  <c r="AH209" i="2"/>
  <c r="AC209" i="2"/>
  <c r="AA209" i="2"/>
  <c r="V209" i="2"/>
  <c r="P209" i="2"/>
  <c r="N209" i="2"/>
  <c r="I209" i="2"/>
  <c r="I212" i="2" s="1"/>
  <c r="J212" i="2" s="1"/>
  <c r="AI205" i="2"/>
  <c r="AH205" i="2"/>
  <c r="AD205" i="2"/>
  <c r="AB205" i="2"/>
  <c r="Z205" i="2"/>
  <c r="W205" i="2"/>
  <c r="T205" i="2"/>
  <c r="P205" i="2"/>
  <c r="O205" i="2"/>
  <c r="L205" i="2"/>
  <c r="I205" i="2"/>
  <c r="I208" i="2" s="1"/>
  <c r="I203" i="2"/>
  <c r="AI201" i="2"/>
  <c r="AD201" i="2"/>
  <c r="AA201" i="2"/>
  <c r="W201" i="2"/>
  <c r="T201" i="2"/>
  <c r="N201" i="2"/>
  <c r="L201" i="2"/>
  <c r="I199" i="2"/>
  <c r="I200" i="2" s="1"/>
  <c r="AH198" i="2"/>
  <c r="AD198" i="2"/>
  <c r="AA198" i="2"/>
  <c r="V198" i="2"/>
  <c r="T198" i="2"/>
  <c r="N198" i="2"/>
  <c r="I198" i="2"/>
  <c r="AJ194" i="2"/>
  <c r="AG194" i="2"/>
  <c r="AB194" i="2"/>
  <c r="Z194" i="2"/>
  <c r="U194" i="2"/>
  <c r="O194" i="2"/>
  <c r="M194" i="2"/>
  <c r="AH191" i="2"/>
  <c r="AD191" i="2"/>
  <c r="AA191" i="2"/>
  <c r="V191" i="2"/>
  <c r="T191" i="2"/>
  <c r="N191" i="2"/>
  <c r="I191" i="2"/>
  <c r="I193" i="2" s="1"/>
  <c r="I189" i="2"/>
  <c r="I190" i="2" s="1"/>
  <c r="AI187" i="2"/>
  <c r="AH187" i="2"/>
  <c r="AC187" i="2"/>
  <c r="AB187" i="2"/>
  <c r="AA187" i="2"/>
  <c r="V187" i="2"/>
  <c r="U187" i="2"/>
  <c r="T187" i="2"/>
  <c r="O187" i="2"/>
  <c r="N187" i="2"/>
  <c r="M187" i="2"/>
  <c r="I187" i="2"/>
  <c r="I185" i="2"/>
  <c r="I186" i="2" s="1"/>
  <c r="AI184" i="2"/>
  <c r="AH184" i="2"/>
  <c r="AG184" i="2"/>
  <c r="AC184" i="2"/>
  <c r="AB184" i="2"/>
  <c r="AA184" i="2"/>
  <c r="W184" i="2"/>
  <c r="V184" i="2"/>
  <c r="U184" i="2"/>
  <c r="P184" i="2"/>
  <c r="O184" i="2"/>
  <c r="N184" i="2"/>
  <c r="L184" i="2"/>
  <c r="I184" i="2"/>
  <c r="AI180" i="2"/>
  <c r="AG180" i="2"/>
  <c r="AC180" i="2"/>
  <c r="AA180" i="2"/>
  <c r="W180" i="2"/>
  <c r="U180" i="2"/>
  <c r="P180" i="2"/>
  <c r="N180" i="2"/>
  <c r="L180" i="2"/>
  <c r="I179" i="2"/>
  <c r="AI176" i="2"/>
  <c r="AH176" i="2"/>
  <c r="AG176" i="2"/>
  <c r="AC176" i="2"/>
  <c r="AB176" i="2"/>
  <c r="AA176" i="2"/>
  <c r="W176" i="2"/>
  <c r="V176" i="2"/>
  <c r="U176" i="2"/>
  <c r="P176" i="2"/>
  <c r="O176" i="2"/>
  <c r="N176" i="2"/>
  <c r="L176" i="2"/>
  <c r="I176" i="2"/>
  <c r="AJ172" i="2"/>
  <c r="AI172" i="2"/>
  <c r="AH172" i="2"/>
  <c r="AD172" i="2"/>
  <c r="AC172" i="2"/>
  <c r="AB172" i="2"/>
  <c r="Z172" i="2"/>
  <c r="W172" i="2"/>
  <c r="V172" i="2"/>
  <c r="T172" i="2"/>
  <c r="P172" i="2"/>
  <c r="O172" i="2"/>
  <c r="M172" i="2"/>
  <c r="L172" i="2"/>
  <c r="I172" i="2"/>
  <c r="I175" i="2" s="1"/>
  <c r="AJ168" i="2"/>
  <c r="AD168" i="2"/>
  <c r="Z168" i="2"/>
  <c r="T168" i="2"/>
  <c r="M168" i="2"/>
  <c r="AJ164" i="2"/>
  <c r="AI164" i="2"/>
  <c r="AH164" i="2"/>
  <c r="AG164" i="2"/>
  <c r="AD164" i="2"/>
  <c r="AC164" i="2"/>
  <c r="AB164" i="2"/>
  <c r="AA164" i="2"/>
  <c r="Z164" i="2"/>
  <c r="W164" i="2"/>
  <c r="V164" i="2"/>
  <c r="U164" i="2"/>
  <c r="T164" i="2"/>
  <c r="P164" i="2"/>
  <c r="O164" i="2"/>
  <c r="N164" i="2"/>
  <c r="M164" i="2"/>
  <c r="L164" i="2"/>
  <c r="I164" i="2"/>
  <c r="I167" i="2" s="1"/>
  <c r="J167" i="2" s="1"/>
  <c r="L167" i="2" s="1"/>
  <c r="M167" i="2" s="1"/>
  <c r="AH160" i="2"/>
  <c r="AB160" i="2"/>
  <c r="V160" i="2"/>
  <c r="O160" i="2"/>
  <c r="I160" i="2"/>
  <c r="I159" i="2"/>
  <c r="J159" i="2" s="1"/>
  <c r="L159" i="2" s="1"/>
  <c r="M159" i="2" s="1"/>
  <c r="AH156" i="2"/>
  <c r="AB156" i="2"/>
  <c r="V156" i="2"/>
  <c r="O156" i="2"/>
  <c r="I156" i="2"/>
  <c r="AI149" i="2"/>
  <c r="AG149" i="2"/>
  <c r="AC149" i="2"/>
  <c r="AA149" i="2"/>
  <c r="W149" i="2"/>
  <c r="U149" i="2"/>
  <c r="P149" i="2"/>
  <c r="N149" i="2"/>
  <c r="L149" i="2"/>
  <c r="I148" i="2"/>
  <c r="J148" i="2" s="1"/>
  <c r="L148" i="2" s="1"/>
  <c r="M148" i="2" s="1"/>
  <c r="AJ145" i="2"/>
  <c r="AI145" i="2"/>
  <c r="AH145" i="2"/>
  <c r="AG145" i="2"/>
  <c r="AD145" i="2"/>
  <c r="AC145" i="2"/>
  <c r="AB145" i="2"/>
  <c r="AA145" i="2"/>
  <c r="Z145" i="2"/>
  <c r="W145" i="2"/>
  <c r="V145" i="2"/>
  <c r="U145" i="2"/>
  <c r="T145" i="2"/>
  <c r="P145" i="2"/>
  <c r="O145" i="2"/>
  <c r="N145" i="2"/>
  <c r="M145" i="2"/>
  <c r="L145" i="2"/>
  <c r="I145" i="2"/>
  <c r="AJ141" i="2"/>
  <c r="AI141" i="2"/>
  <c r="AH141" i="2"/>
  <c r="AG141" i="2"/>
  <c r="AD141" i="2"/>
  <c r="AC141" i="2"/>
  <c r="AB141" i="2"/>
  <c r="AA141" i="2"/>
  <c r="Z141" i="2"/>
  <c r="W141" i="2"/>
  <c r="V141" i="2"/>
  <c r="U141" i="2"/>
  <c r="T141" i="2"/>
  <c r="P141" i="2"/>
  <c r="O141" i="2"/>
  <c r="N141" i="2"/>
  <c r="M141" i="2"/>
  <c r="L141" i="2"/>
  <c r="I141" i="2"/>
  <c r="AJ137" i="2"/>
  <c r="AI137" i="2"/>
  <c r="AH137" i="2"/>
  <c r="AG137" i="2"/>
  <c r="AD137" i="2"/>
  <c r="AC137" i="2"/>
  <c r="AB137" i="2"/>
  <c r="AA137" i="2"/>
  <c r="Z137" i="2"/>
  <c r="W137" i="2"/>
  <c r="V137" i="2"/>
  <c r="U137" i="2"/>
  <c r="T137" i="2"/>
  <c r="P137" i="2"/>
  <c r="O137" i="2"/>
  <c r="N137" i="2"/>
  <c r="M137" i="2"/>
  <c r="L137" i="2"/>
  <c r="I137" i="2"/>
  <c r="AH127" i="2"/>
  <c r="AB127" i="2"/>
  <c r="V127" i="2"/>
  <c r="O127" i="2"/>
  <c r="J125" i="2"/>
  <c r="AH123" i="2"/>
  <c r="AB123" i="2"/>
  <c r="V123" i="2"/>
  <c r="O123" i="2"/>
  <c r="AG119" i="2"/>
  <c r="W119" i="2"/>
  <c r="T119" i="2"/>
  <c r="N119" i="2"/>
  <c r="AD118" i="2"/>
  <c r="J117" i="2"/>
  <c r="AI115" i="2"/>
  <c r="W115" i="2"/>
  <c r="L115" i="2"/>
  <c r="AB111" i="2"/>
  <c r="O111" i="2"/>
  <c r="AD107" i="2"/>
  <c r="W107" i="2"/>
  <c r="AH103" i="2" s="1"/>
  <c r="N107" i="2"/>
  <c r="L106" i="2"/>
  <c r="AJ103" i="2"/>
  <c r="AI103" i="2"/>
  <c r="AG103" i="2"/>
  <c r="AD103" i="2"/>
  <c r="AC103" i="2"/>
  <c r="AA103" i="2"/>
  <c r="Z103" i="2"/>
  <c r="W103" i="2"/>
  <c r="U103" i="2"/>
  <c r="T103" i="2"/>
  <c r="P103" i="2"/>
  <c r="M103" i="2"/>
  <c r="L103" i="2"/>
  <c r="AJ99" i="2"/>
  <c r="AH99" i="2"/>
  <c r="AG99" i="2"/>
  <c r="AD99" i="2"/>
  <c r="AB99" i="2"/>
  <c r="AA99" i="2"/>
  <c r="Z99" i="2"/>
  <c r="V99" i="2"/>
  <c r="U99" i="2"/>
  <c r="T99" i="2"/>
  <c r="O99" i="2"/>
  <c r="AJ95" i="2"/>
  <c r="AI95" i="2"/>
  <c r="AG95" i="2"/>
  <c r="AD95" i="2"/>
  <c r="AC95" i="2"/>
  <c r="AA95" i="2"/>
  <c r="Z95" i="2"/>
  <c r="W95" i="2"/>
  <c r="U95" i="2"/>
  <c r="T95" i="2"/>
  <c r="P95" i="2"/>
  <c r="AJ92" i="2"/>
  <c r="AI92" i="2"/>
  <c r="AH92" i="2"/>
  <c r="AD92" i="2"/>
  <c r="AC92" i="2"/>
  <c r="AB92" i="2"/>
  <c r="Z92" i="2"/>
  <c r="W92" i="2"/>
  <c r="V92" i="2"/>
  <c r="T92" i="2"/>
  <c r="P92" i="2"/>
  <c r="O92" i="2"/>
  <c r="AI88" i="2"/>
  <c r="AH88" i="2"/>
  <c r="AG88" i="2"/>
  <c r="AC88" i="2"/>
  <c r="AB88" i="2"/>
  <c r="AA88" i="2"/>
  <c r="W88" i="2"/>
  <c r="V88" i="2"/>
  <c r="U88" i="2"/>
  <c r="P88" i="2"/>
  <c r="O88" i="2"/>
  <c r="AJ84" i="2"/>
  <c r="AH84" i="2"/>
  <c r="AG84" i="2"/>
  <c r="AD84" i="2"/>
  <c r="AB84" i="2"/>
  <c r="AA84" i="2"/>
  <c r="Z84" i="2"/>
  <c r="V84" i="2"/>
  <c r="U84" i="2"/>
  <c r="T84" i="2"/>
  <c r="O84" i="2"/>
  <c r="AJ80" i="2"/>
  <c r="AI80" i="2"/>
  <c r="AG80" i="2"/>
  <c r="AD80" i="2"/>
  <c r="AC80" i="2"/>
  <c r="AA80" i="2"/>
  <c r="Z80" i="2"/>
  <c r="W80" i="2"/>
  <c r="U80" i="2"/>
  <c r="T80" i="2"/>
  <c r="P80" i="2"/>
  <c r="AI70" i="2"/>
  <c r="AG70" i="2"/>
  <c r="AC70" i="2"/>
  <c r="AA70" i="2"/>
  <c r="W70" i="2"/>
  <c r="U70" i="2"/>
  <c r="P70" i="2"/>
  <c r="N70" i="2"/>
  <c r="L70" i="2"/>
  <c r="AG66" i="2" s="1"/>
  <c r="W66" i="2"/>
  <c r="J64" i="2"/>
  <c r="U62" i="2"/>
  <c r="I57" i="2"/>
  <c r="AA55" i="2"/>
  <c r="N55" i="2"/>
  <c r="I53" i="2"/>
  <c r="AH52" i="2"/>
  <c r="V52" i="2"/>
  <c r="I52" i="2"/>
  <c r="I54" i="2" s="1"/>
  <c r="AB44" i="2"/>
  <c r="U44" i="2"/>
  <c r="M44" i="2"/>
  <c r="Z34" i="2"/>
  <c r="W34" i="2"/>
  <c r="V34" i="2"/>
  <c r="U34" i="2"/>
  <c r="T34" i="2"/>
  <c r="P34" i="2"/>
  <c r="O34" i="2"/>
  <c r="N34" i="2"/>
  <c r="M34" i="2"/>
  <c r="L34" i="2"/>
  <c r="I34" i="2"/>
  <c r="I37" i="2" s="1"/>
  <c r="U30" i="2"/>
  <c r="L30" i="2"/>
  <c r="J28" i="2"/>
  <c r="W26" i="2"/>
  <c r="U26" i="2"/>
  <c r="N26" i="2"/>
  <c r="M26" i="2"/>
  <c r="T22" i="2"/>
  <c r="P22" i="2"/>
  <c r="M22" i="2"/>
  <c r="L22" i="2"/>
  <c r="I22" i="2"/>
  <c r="W19" i="2"/>
  <c r="U19" i="2"/>
  <c r="T19" i="2"/>
  <c r="P19" i="2"/>
  <c r="N19" i="2"/>
  <c r="M19" i="2"/>
  <c r="L19" i="2"/>
  <c r="W15" i="2"/>
  <c r="V15" i="2"/>
  <c r="T15" i="2"/>
  <c r="P15" i="2"/>
  <c r="O15" i="2"/>
  <c r="M15" i="2"/>
  <c r="L15" i="2"/>
  <c r="I15" i="2"/>
  <c r="W11" i="2"/>
  <c r="V11" i="2"/>
  <c r="U11" i="2"/>
  <c r="T11" i="2"/>
  <c r="P11" i="2"/>
  <c r="O11" i="2"/>
  <c r="N11" i="2"/>
  <c r="M11" i="2"/>
  <c r="L11" i="2"/>
  <c r="I11" i="2"/>
  <c r="I14" i="2" s="1"/>
  <c r="J14" i="2" s="1"/>
  <c r="L14" i="2" s="1"/>
  <c r="M14" i="2" s="1"/>
  <c r="W7" i="2"/>
  <c r="V7" i="2"/>
  <c r="U7" i="2"/>
  <c r="T7" i="2"/>
  <c r="P7" i="2"/>
  <c r="O7" i="2"/>
  <c r="N7" i="2"/>
  <c r="L7" i="2"/>
  <c r="I7" i="2"/>
  <c r="W3" i="2"/>
  <c r="V3" i="2"/>
  <c r="U3" i="2"/>
  <c r="T3" i="2"/>
  <c r="P3" i="2"/>
  <c r="O3" i="2"/>
  <c r="N3" i="2"/>
  <c r="L3" i="2"/>
  <c r="I3" i="2"/>
  <c r="AK281" i="1"/>
  <c r="AJ281" i="1"/>
  <c r="AI281" i="1"/>
  <c r="AH281" i="1"/>
  <c r="AF281" i="1"/>
  <c r="AE281" i="1"/>
  <c r="AD281" i="1"/>
  <c r="AC281" i="1"/>
  <c r="AB281" i="1"/>
  <c r="AA281" i="1"/>
  <c r="Y281" i="1"/>
  <c r="X281" i="1"/>
  <c r="W281" i="1"/>
  <c r="U281" i="1"/>
  <c r="T281" i="1"/>
  <c r="O281" i="1"/>
  <c r="N281" i="1"/>
  <c r="M281" i="1"/>
  <c r="K281" i="1"/>
  <c r="J281" i="1"/>
  <c r="I281" i="1"/>
  <c r="AL279" i="1"/>
  <c r="AK278" i="1"/>
  <c r="AJ278" i="1"/>
  <c r="AI278" i="1"/>
  <c r="AH278" i="1"/>
  <c r="AF278" i="1"/>
  <c r="AE278" i="1"/>
  <c r="AD278" i="1"/>
  <c r="AC278" i="1"/>
  <c r="AB278" i="1"/>
  <c r="AA278" i="1"/>
  <c r="Y278" i="1"/>
  <c r="X278" i="1"/>
  <c r="W278" i="1"/>
  <c r="U278" i="1"/>
  <c r="T278" i="1"/>
  <c r="O278" i="1"/>
  <c r="N278" i="1"/>
  <c r="M278" i="1"/>
  <c r="K278" i="1"/>
  <c r="J278" i="1"/>
  <c r="I278" i="1"/>
  <c r="AL278" i="1" s="1"/>
  <c r="AL277" i="1"/>
  <c r="AK276" i="1"/>
  <c r="AJ276" i="1"/>
  <c r="AI276" i="1"/>
  <c r="AH276" i="1"/>
  <c r="AF276" i="1"/>
  <c r="AE276" i="1"/>
  <c r="AD276" i="1"/>
  <c r="AC276" i="1"/>
  <c r="AB276" i="1"/>
  <c r="AA276" i="1"/>
  <c r="Y276" i="1"/>
  <c r="X276" i="1"/>
  <c r="W276" i="1"/>
  <c r="U276" i="1"/>
  <c r="T276" i="1"/>
  <c r="O276" i="1"/>
  <c r="N276" i="1"/>
  <c r="M276" i="1"/>
  <c r="K276" i="1"/>
  <c r="J276" i="1"/>
  <c r="I276" i="1"/>
  <c r="AL276" i="1" s="1"/>
  <c r="AL275" i="1"/>
  <c r="AK274" i="1"/>
  <c r="AJ274" i="1"/>
  <c r="AI274" i="1"/>
  <c r="AH274" i="1"/>
  <c r="AF274" i="1"/>
  <c r="AE274" i="1"/>
  <c r="AD274" i="1"/>
  <c r="AC274" i="1"/>
  <c r="AB274" i="1"/>
  <c r="AA274" i="1"/>
  <c r="Y274" i="1"/>
  <c r="X274" i="1"/>
  <c r="W274" i="1"/>
  <c r="U274" i="1"/>
  <c r="T274" i="1"/>
  <c r="O274" i="1"/>
  <c r="N274" i="1"/>
  <c r="M274" i="1"/>
  <c r="K274" i="1"/>
  <c r="J274" i="1"/>
  <c r="I274" i="1"/>
  <c r="AL274" i="1" s="1"/>
  <c r="AL273" i="1"/>
  <c r="AK272" i="1"/>
  <c r="AJ272" i="1"/>
  <c r="AI272" i="1"/>
  <c r="AH272" i="1"/>
  <c r="AF272" i="1"/>
  <c r="AE272" i="1"/>
  <c r="AD272" i="1"/>
  <c r="AC272" i="1"/>
  <c r="AB272" i="1"/>
  <c r="AA272" i="1"/>
  <c r="Y272" i="1"/>
  <c r="X272" i="1"/>
  <c r="W272" i="1"/>
  <c r="U272" i="1"/>
  <c r="T272" i="1"/>
  <c r="O272" i="1"/>
  <c r="N272" i="1"/>
  <c r="M272" i="1"/>
  <c r="K272" i="1"/>
  <c r="J272" i="1"/>
  <c r="I272" i="1"/>
  <c r="AL272" i="1" s="1"/>
  <c r="AL271" i="1"/>
  <c r="AK270" i="1"/>
  <c r="AJ270" i="1"/>
  <c r="AI270" i="1"/>
  <c r="AH270" i="1"/>
  <c r="AF270" i="1"/>
  <c r="AE270" i="1"/>
  <c r="AD270" i="1"/>
  <c r="AC270" i="1"/>
  <c r="AB270" i="1"/>
  <c r="AA270" i="1"/>
  <c r="Y270" i="1"/>
  <c r="X270" i="1"/>
  <c r="W270" i="1"/>
  <c r="U270" i="1"/>
  <c r="T270" i="1"/>
  <c r="O270" i="1"/>
  <c r="N270" i="1"/>
  <c r="M270" i="1"/>
  <c r="K270" i="1"/>
  <c r="J270" i="1"/>
  <c r="I270" i="1"/>
  <c r="AL270" i="1" s="1"/>
  <c r="AL269" i="1"/>
  <c r="AK268" i="1"/>
  <c r="AJ268" i="1"/>
  <c r="AI268" i="1"/>
  <c r="AH268" i="1"/>
  <c r="AF268" i="1"/>
  <c r="AE268" i="1"/>
  <c r="AD268" i="1"/>
  <c r="AC268" i="1"/>
  <c r="AB268" i="1"/>
  <c r="AA268" i="1"/>
  <c r="Y268" i="1"/>
  <c r="X268" i="1"/>
  <c r="W268" i="1"/>
  <c r="U268" i="1"/>
  <c r="T268" i="1"/>
  <c r="O268" i="1"/>
  <c r="N268" i="1"/>
  <c r="M268" i="1"/>
  <c r="K268" i="1"/>
  <c r="J268" i="1"/>
  <c r="I268" i="1"/>
  <c r="AL268" i="1" s="1"/>
  <c r="AL267" i="1"/>
  <c r="AK266" i="1"/>
  <c r="AJ266" i="1"/>
  <c r="AI266" i="1"/>
  <c r="AH266" i="1"/>
  <c r="AF266" i="1"/>
  <c r="AE266" i="1"/>
  <c r="AD266" i="1"/>
  <c r="AC266" i="1"/>
  <c r="AB266" i="1"/>
  <c r="AA266" i="1"/>
  <c r="Y266" i="1"/>
  <c r="X266" i="1"/>
  <c r="W266" i="1"/>
  <c r="U266" i="1"/>
  <c r="T266" i="1"/>
  <c r="O266" i="1"/>
  <c r="N266" i="1"/>
  <c r="M266" i="1"/>
  <c r="K266" i="1"/>
  <c r="J266" i="1"/>
  <c r="I266" i="1"/>
  <c r="AL266" i="1" s="1"/>
  <c r="AL265" i="1"/>
  <c r="AL281" i="1" s="1"/>
  <c r="AK264" i="1"/>
  <c r="AK280" i="1" s="1"/>
  <c r="AJ264" i="1"/>
  <c r="AJ280" i="1" s="1"/>
  <c r="AI264" i="1"/>
  <c r="AI280" i="1" s="1"/>
  <c r="AH264" i="1"/>
  <c r="AH280" i="1" s="1"/>
  <c r="AF264" i="1"/>
  <c r="AF280" i="1" s="1"/>
  <c r="AE264" i="1"/>
  <c r="AE280" i="1" s="1"/>
  <c r="AD264" i="1"/>
  <c r="AD280" i="1" s="1"/>
  <c r="AC264" i="1"/>
  <c r="AC280" i="1" s="1"/>
  <c r="AB264" i="1"/>
  <c r="AB280" i="1" s="1"/>
  <c r="AA264" i="1"/>
  <c r="AA280" i="1" s="1"/>
  <c r="Y264" i="1"/>
  <c r="Y280" i="1" s="1"/>
  <c r="X264" i="1"/>
  <c r="X280" i="1" s="1"/>
  <c r="W264" i="1"/>
  <c r="W280" i="1" s="1"/>
  <c r="U264" i="1"/>
  <c r="U280" i="1" s="1"/>
  <c r="T264" i="1"/>
  <c r="T280" i="1" s="1"/>
  <c r="O264" i="1"/>
  <c r="O280" i="1" s="1"/>
  <c r="N264" i="1"/>
  <c r="N280" i="1" s="1"/>
  <c r="M264" i="1"/>
  <c r="M280" i="1" s="1"/>
  <c r="K264" i="1"/>
  <c r="K280" i="1" s="1"/>
  <c r="J264" i="1"/>
  <c r="J280" i="1" s="1"/>
  <c r="I264" i="1"/>
  <c r="AL264" i="1" s="1"/>
  <c r="AL280" i="1" s="1"/>
  <c r="AK258" i="1"/>
  <c r="AJ258" i="1"/>
  <c r="AI258" i="1"/>
  <c r="AH258" i="1"/>
  <c r="AF258" i="1"/>
  <c r="AE258" i="1"/>
  <c r="AD258" i="1"/>
  <c r="AC258" i="1"/>
  <c r="AB258" i="1"/>
  <c r="AA258" i="1"/>
  <c r="Y258" i="1"/>
  <c r="X258" i="1"/>
  <c r="W258" i="1"/>
  <c r="U258" i="1"/>
  <c r="T258" i="1"/>
  <c r="O258" i="1"/>
  <c r="N258" i="1"/>
  <c r="M258" i="1"/>
  <c r="K258" i="1"/>
  <c r="J258" i="1"/>
  <c r="I258" i="1"/>
  <c r="AL258" i="1" s="1"/>
  <c r="AL256" i="1"/>
  <c r="AK255" i="1"/>
  <c r="AJ255" i="1"/>
  <c r="AI255" i="1"/>
  <c r="AH255" i="1"/>
  <c r="AF255" i="1"/>
  <c r="AE255" i="1"/>
  <c r="AD255" i="1"/>
  <c r="AC255" i="1"/>
  <c r="AB255" i="1"/>
  <c r="AA255" i="1"/>
  <c r="Y255" i="1"/>
  <c r="X255" i="1"/>
  <c r="W255" i="1"/>
  <c r="U255" i="1"/>
  <c r="T255" i="1"/>
  <c r="O255" i="1"/>
  <c r="N255" i="1"/>
  <c r="M255" i="1"/>
  <c r="K255" i="1"/>
  <c r="J255" i="1"/>
  <c r="I255" i="1"/>
  <c r="AL255" i="1" s="1"/>
  <c r="AL254" i="1"/>
  <c r="AK253" i="1"/>
  <c r="AJ253" i="1"/>
  <c r="AI253" i="1"/>
  <c r="AH253" i="1"/>
  <c r="AF253" i="1"/>
  <c r="AE253" i="1"/>
  <c r="AD253" i="1"/>
  <c r="AC253" i="1"/>
  <c r="AB253" i="1"/>
  <c r="AA253" i="1"/>
  <c r="Y253" i="1"/>
  <c r="X253" i="1"/>
  <c r="W253" i="1"/>
  <c r="U253" i="1"/>
  <c r="T253" i="1"/>
  <c r="O253" i="1"/>
  <c r="N253" i="1"/>
  <c r="M253" i="1"/>
  <c r="K253" i="1"/>
  <c r="J253" i="1"/>
  <c r="I253" i="1"/>
  <c r="AL253" i="1" s="1"/>
  <c r="AL252" i="1"/>
  <c r="AK251" i="1"/>
  <c r="AJ251" i="1"/>
  <c r="AI251" i="1"/>
  <c r="AH251" i="1"/>
  <c r="AF251" i="1"/>
  <c r="AE251" i="1"/>
  <c r="AD251" i="1"/>
  <c r="AC251" i="1"/>
  <c r="AB251" i="1"/>
  <c r="AA251" i="1"/>
  <c r="Y251" i="1"/>
  <c r="X251" i="1"/>
  <c r="W251" i="1"/>
  <c r="U251" i="1"/>
  <c r="T251" i="1"/>
  <c r="O251" i="1"/>
  <c r="N251" i="1"/>
  <c r="M251" i="1"/>
  <c r="K251" i="1"/>
  <c r="J251" i="1"/>
  <c r="I251" i="1"/>
  <c r="AL251" i="1" s="1"/>
  <c r="AL250" i="1"/>
  <c r="AK249" i="1"/>
  <c r="AJ249" i="1"/>
  <c r="AI249" i="1"/>
  <c r="AH249" i="1"/>
  <c r="AF249" i="1"/>
  <c r="AE249" i="1"/>
  <c r="AD249" i="1"/>
  <c r="AC249" i="1"/>
  <c r="AB249" i="1"/>
  <c r="AA249" i="1"/>
  <c r="Y249" i="1"/>
  <c r="X249" i="1"/>
  <c r="W249" i="1"/>
  <c r="U249" i="1"/>
  <c r="T249" i="1"/>
  <c r="O249" i="1"/>
  <c r="N249" i="1"/>
  <c r="M249" i="1"/>
  <c r="K249" i="1"/>
  <c r="J249" i="1"/>
  <c r="I249" i="1"/>
  <c r="AL249" i="1" s="1"/>
  <c r="AL248" i="1"/>
  <c r="AK247" i="1"/>
  <c r="AJ247" i="1"/>
  <c r="AI247" i="1"/>
  <c r="AH247" i="1"/>
  <c r="AF247" i="1"/>
  <c r="AE247" i="1"/>
  <c r="AD247" i="1"/>
  <c r="AC247" i="1"/>
  <c r="AB247" i="1"/>
  <c r="AA247" i="1"/>
  <c r="Y247" i="1"/>
  <c r="X247" i="1"/>
  <c r="W247" i="1"/>
  <c r="U247" i="1"/>
  <c r="T247" i="1"/>
  <c r="O247" i="1"/>
  <c r="N247" i="1"/>
  <c r="M247" i="1"/>
  <c r="K247" i="1"/>
  <c r="J247" i="1"/>
  <c r="I247" i="1"/>
  <c r="AL247" i="1" s="1"/>
  <c r="AL246" i="1"/>
  <c r="AK245" i="1"/>
  <c r="AK257" i="1" s="1"/>
  <c r="AJ245" i="1"/>
  <c r="AJ257" i="1" s="1"/>
  <c r="AI245" i="1"/>
  <c r="AI257" i="1" s="1"/>
  <c r="AH245" i="1"/>
  <c r="AH257" i="1" s="1"/>
  <c r="AF245" i="1"/>
  <c r="AF257" i="1" s="1"/>
  <c r="AE245" i="1"/>
  <c r="AE257" i="1" s="1"/>
  <c r="AD245" i="1"/>
  <c r="AD257" i="1" s="1"/>
  <c r="AC245" i="1"/>
  <c r="AC257" i="1" s="1"/>
  <c r="AB245" i="1"/>
  <c r="AB257" i="1" s="1"/>
  <c r="AA245" i="1"/>
  <c r="AA257" i="1" s="1"/>
  <c r="Y245" i="1"/>
  <c r="Y257" i="1" s="1"/>
  <c r="X245" i="1"/>
  <c r="X257" i="1" s="1"/>
  <c r="W245" i="1"/>
  <c r="W257" i="1" s="1"/>
  <c r="U245" i="1"/>
  <c r="U257" i="1" s="1"/>
  <c r="T245" i="1"/>
  <c r="T257" i="1" s="1"/>
  <c r="O245" i="1"/>
  <c r="O257" i="1" s="1"/>
  <c r="N245" i="1"/>
  <c r="N257" i="1" s="1"/>
  <c r="M245" i="1"/>
  <c r="M257" i="1" s="1"/>
  <c r="K245" i="1"/>
  <c r="K257" i="1" s="1"/>
  <c r="J245" i="1"/>
  <c r="J257" i="1" s="1"/>
  <c r="I245" i="1"/>
  <c r="I257" i="1" s="1"/>
  <c r="AL242" i="1"/>
  <c r="AK240" i="1"/>
  <c r="AL238" i="1"/>
  <c r="AL234" i="1"/>
  <c r="AL230" i="1"/>
  <c r="AL226" i="1"/>
  <c r="AL222" i="1"/>
  <c r="AI222" i="1"/>
  <c r="AL218" i="1"/>
  <c r="AI218" i="1"/>
  <c r="AL215" i="1"/>
  <c r="AI215" i="1"/>
  <c r="AJ214" i="1"/>
  <c r="AL212" i="1"/>
  <c r="AA210" i="1"/>
  <c r="AB209" i="1"/>
  <c r="AL209" i="1" s="1"/>
  <c r="AC207" i="1"/>
  <c r="AA206" i="1"/>
  <c r="AL205" i="1"/>
  <c r="AB205" i="1"/>
  <c r="AK204" i="1"/>
  <c r="N203" i="1"/>
  <c r="O203" i="1" s="1"/>
  <c r="T203" i="1" s="1"/>
  <c r="U203" i="1" s="1"/>
  <c r="I203" i="1"/>
  <c r="J203" i="1" s="1"/>
  <c r="K203" i="1" s="1"/>
  <c r="M203" i="1" s="1"/>
  <c r="AI202" i="1"/>
  <c r="AH202" i="1"/>
  <c r="AD202" i="1"/>
  <c r="Y202" i="1"/>
  <c r="AJ200" i="1"/>
  <c r="K199" i="1"/>
  <c r="M199" i="1" s="1"/>
  <c r="N199" i="1" s="1"/>
  <c r="O199" i="1" s="1"/>
  <c r="T199" i="1" s="1"/>
  <c r="U199" i="1" s="1"/>
  <c r="W199" i="1" s="1"/>
  <c r="X199" i="1" s="1"/>
  <c r="Y199" i="1" s="1"/>
  <c r="AA199" i="1" s="1"/>
  <c r="AB199" i="1" s="1"/>
  <c r="AC199" i="1" s="1"/>
  <c r="AD199" i="1" s="1"/>
  <c r="AE199" i="1" s="1"/>
  <c r="I199" i="1"/>
  <c r="J199" i="1" s="1"/>
  <c r="AL198" i="1"/>
  <c r="AK196" i="1"/>
  <c r="AF196" i="1"/>
  <c r="AB196" i="1"/>
  <c r="W196" i="1"/>
  <c r="AL196" i="1" s="1"/>
  <c r="N196" i="1"/>
  <c r="AH188" i="1" s="1"/>
  <c r="K195" i="1"/>
  <c r="M195" i="1" s="1"/>
  <c r="N195" i="1" s="1"/>
  <c r="O195" i="1" s="1"/>
  <c r="T195" i="1" s="1"/>
  <c r="U195" i="1" s="1"/>
  <c r="W195" i="1" s="1"/>
  <c r="X195" i="1" s="1"/>
  <c r="Y195" i="1" s="1"/>
  <c r="AA195" i="1" s="1"/>
  <c r="AB195" i="1" s="1"/>
  <c r="AC195" i="1" s="1"/>
  <c r="AD195" i="1" s="1"/>
  <c r="AE195" i="1" s="1"/>
  <c r="AF195" i="1" s="1"/>
  <c r="I195" i="1"/>
  <c r="J195" i="1" s="1"/>
  <c r="AL194" i="1"/>
  <c r="AK192" i="1"/>
  <c r="AF192" i="1"/>
  <c r="AB192" i="1"/>
  <c r="W192" i="1"/>
  <c r="AL192" i="1" s="1"/>
  <c r="N192" i="1"/>
  <c r="AH184" i="1" s="1"/>
  <c r="AL190" i="1"/>
  <c r="W190" i="1"/>
  <c r="AB188" i="1"/>
  <c r="X188" i="1"/>
  <c r="W188" i="1"/>
  <c r="T188" i="1"/>
  <c r="O188" i="1"/>
  <c r="N188" i="1"/>
  <c r="K188" i="1"/>
  <c r="J188" i="1"/>
  <c r="I188" i="1"/>
  <c r="M187" i="1"/>
  <c r="N187" i="1" s="1"/>
  <c r="J187" i="1"/>
  <c r="K187" i="1" s="1"/>
  <c r="I187" i="1"/>
  <c r="AL186" i="1"/>
  <c r="AI186" i="1"/>
  <c r="U186" i="1"/>
  <c r="T186" i="1"/>
  <c r="AK184" i="1"/>
  <c r="AJ184" i="1"/>
  <c r="AD184" i="1"/>
  <c r="AC184" i="1"/>
  <c r="AB184" i="1"/>
  <c r="Y184" i="1"/>
  <c r="X184" i="1"/>
  <c r="U184" i="1"/>
  <c r="O184" i="1"/>
  <c r="I183" i="1"/>
  <c r="J183" i="1" s="1"/>
  <c r="K183" i="1" s="1"/>
  <c r="M183" i="1" s="1"/>
  <c r="N183" i="1" s="1"/>
  <c r="O182" i="1"/>
  <c r="N182" i="1"/>
  <c r="M182" i="1"/>
  <c r="K182" i="1"/>
  <c r="J182" i="1"/>
  <c r="AL182" i="1" s="1"/>
  <c r="AD180" i="1"/>
  <c r="Y180" i="1"/>
  <c r="X180" i="1"/>
  <c r="T180" i="1"/>
  <c r="K180" i="1"/>
  <c r="J180" i="1"/>
  <c r="K179" i="1"/>
  <c r="M179" i="1" s="1"/>
  <c r="N179" i="1" s="1"/>
  <c r="O179" i="1" s="1"/>
  <c r="T179" i="1" s="1"/>
  <c r="U179" i="1" s="1"/>
  <c r="W179" i="1" s="1"/>
  <c r="X179" i="1" s="1"/>
  <c r="Y179" i="1" s="1"/>
  <c r="I179" i="1"/>
  <c r="J179" i="1" s="1"/>
  <c r="AK178" i="1"/>
  <c r="AJ178" i="1"/>
  <c r="AB178" i="1"/>
  <c r="AA178" i="1"/>
  <c r="Y178" i="1"/>
  <c r="X178" i="1"/>
  <c r="O178" i="1"/>
  <c r="AJ176" i="1"/>
  <c r="AC176" i="1"/>
  <c r="AB176" i="1"/>
  <c r="Y176" i="1"/>
  <c r="X176" i="1"/>
  <c r="O176" i="1"/>
  <c r="I175" i="1"/>
  <c r="AK174" i="1"/>
  <c r="X174" i="1"/>
  <c r="O174" i="1"/>
  <c r="J174" i="1"/>
  <c r="I174" i="1"/>
  <c r="AC172" i="1"/>
  <c r="X172" i="1"/>
  <c r="O172" i="1"/>
  <c r="I171" i="1"/>
  <c r="AB170" i="1"/>
  <c r="W170" i="1"/>
  <c r="O170" i="1"/>
  <c r="J170" i="1"/>
  <c r="I170" i="1"/>
  <c r="AB169" i="1"/>
  <c r="W169" i="1"/>
  <c r="O169" i="1"/>
  <c r="J168" i="1"/>
  <c r="I168" i="1"/>
  <c r="AL167" i="1"/>
  <c r="K167" i="1"/>
  <c r="AH165" i="1"/>
  <c r="AC165" i="1"/>
  <c r="J164" i="1"/>
  <c r="K164" i="1" s="1"/>
  <c r="M164" i="1" s="1"/>
  <c r="N164" i="1" s="1"/>
  <c r="O164" i="1" s="1"/>
  <c r="T164" i="1" s="1"/>
  <c r="U164" i="1" s="1"/>
  <c r="W164" i="1" s="1"/>
  <c r="X164" i="1" s="1"/>
  <c r="Y164" i="1" s="1"/>
  <c r="I164" i="1"/>
  <c r="AL163" i="1"/>
  <c r="K163" i="1"/>
  <c r="AH162" i="1"/>
  <c r="AC162" i="1"/>
  <c r="K162" i="1"/>
  <c r="J161" i="1"/>
  <c r="K161" i="1" s="1"/>
  <c r="M161" i="1" s="1"/>
  <c r="N161" i="1" s="1"/>
  <c r="O161" i="1" s="1"/>
  <c r="T161" i="1" s="1"/>
  <c r="U161" i="1" s="1"/>
  <c r="W161" i="1" s="1"/>
  <c r="X161" i="1" s="1"/>
  <c r="I161" i="1"/>
  <c r="Y160" i="1"/>
  <c r="X160" i="1"/>
  <c r="O160" i="1"/>
  <c r="AL160" i="1" s="1"/>
  <c r="X158" i="1"/>
  <c r="O158" i="1"/>
  <c r="J157" i="1"/>
  <c r="K157" i="1" s="1"/>
  <c r="M157" i="1" s="1"/>
  <c r="N157" i="1" s="1"/>
  <c r="O157" i="1" s="1"/>
  <c r="T157" i="1" s="1"/>
  <c r="U157" i="1" s="1"/>
  <c r="W157" i="1" s="1"/>
  <c r="X157" i="1" s="1"/>
  <c r="Y157" i="1" s="1"/>
  <c r="AA157" i="1" s="1"/>
  <c r="AB157" i="1" s="1"/>
  <c r="AC157" i="1" s="1"/>
  <c r="I157" i="1"/>
  <c r="AD156" i="1"/>
  <c r="T156" i="1"/>
  <c r="AL156" i="1" s="1"/>
  <c r="AH155" i="1"/>
  <c r="X155" i="1"/>
  <c r="T155" i="1"/>
  <c r="AL153" i="1"/>
  <c r="AI153" i="1"/>
  <c r="I153" i="1"/>
  <c r="AI151" i="1"/>
  <c r="AH151" i="1"/>
  <c r="AE151" i="1"/>
  <c r="AD151" i="1"/>
  <c r="AC151" i="1"/>
  <c r="AA151" i="1"/>
  <c r="Y151" i="1"/>
  <c r="X151" i="1"/>
  <c r="U151" i="1"/>
  <c r="K151" i="1"/>
  <c r="J151" i="1"/>
  <c r="X149" i="1"/>
  <c r="W149" i="1"/>
  <c r="U149" i="1"/>
  <c r="T149" i="1"/>
  <c r="O149" i="1"/>
  <c r="N149" i="1"/>
  <c r="M149" i="1"/>
  <c r="K149" i="1"/>
  <c r="J149" i="1"/>
  <c r="I149" i="1"/>
  <c r="AF147" i="1"/>
  <c r="AC147" i="1"/>
  <c r="AB147" i="1"/>
  <c r="AA147" i="1"/>
  <c r="X147" i="1"/>
  <c r="W147" i="1"/>
  <c r="U147" i="1"/>
  <c r="O147" i="1"/>
  <c r="N147" i="1"/>
  <c r="M147" i="1"/>
  <c r="J147" i="1"/>
  <c r="I147" i="1"/>
  <c r="AD145" i="1"/>
  <c r="AC145" i="1"/>
  <c r="AB145" i="1"/>
  <c r="AA145" i="1"/>
  <c r="I145" i="1"/>
  <c r="AK143" i="1"/>
  <c r="AJ143" i="1"/>
  <c r="AH143" i="1"/>
  <c r="AF143" i="1"/>
  <c r="AE143" i="1"/>
  <c r="AC143" i="1"/>
  <c r="AB143" i="1"/>
  <c r="AA143" i="1"/>
  <c r="AL141" i="1"/>
  <c r="AL139" i="1"/>
  <c r="AK139" i="1"/>
  <c r="AI135" i="1" s="1"/>
  <c r="AB137" i="1"/>
  <c r="AA137" i="1"/>
  <c r="Y137" i="1"/>
  <c r="X137" i="1"/>
  <c r="AL135" i="1"/>
  <c r="AK135" i="1"/>
  <c r="AJ135" i="1"/>
  <c r="AH135" i="1"/>
  <c r="AL133" i="1"/>
  <c r="AL129" i="1"/>
  <c r="AI127" i="1"/>
  <c r="AL127" i="1" s="1"/>
  <c r="M126" i="1"/>
  <c r="N126" i="1" s="1"/>
  <c r="O126" i="1" s="1"/>
  <c r="T126" i="1" s="1"/>
  <c r="U126" i="1" s="1"/>
  <c r="W126" i="1" s="1"/>
  <c r="X126" i="1" s="1"/>
  <c r="Y126" i="1" s="1"/>
  <c r="AA126" i="1" s="1"/>
  <c r="AB126" i="1" s="1"/>
  <c r="AC126" i="1" s="1"/>
  <c r="AD126" i="1" s="1"/>
  <c r="AE126" i="1" s="1"/>
  <c r="AF126" i="1" s="1"/>
  <c r="J126" i="1"/>
  <c r="K126" i="1" s="1"/>
  <c r="I126" i="1"/>
  <c r="AL125" i="1"/>
  <c r="AF123" i="1"/>
  <c r="AJ119" i="1" s="1"/>
  <c r="J122" i="1"/>
  <c r="K122" i="1" s="1"/>
  <c r="M122" i="1" s="1"/>
  <c r="N122" i="1" s="1"/>
  <c r="O122" i="1" s="1"/>
  <c r="T122" i="1" s="1"/>
  <c r="I122" i="1"/>
  <c r="AI121" i="1"/>
  <c r="AH121" i="1"/>
  <c r="AF121" i="1"/>
  <c r="AE121" i="1"/>
  <c r="AD121" i="1"/>
  <c r="AC121" i="1"/>
  <c r="AB121" i="1"/>
  <c r="AA121" i="1"/>
  <c r="X121" i="1"/>
  <c r="W121" i="1"/>
  <c r="U121" i="1"/>
  <c r="T121" i="1"/>
  <c r="AL121" i="1" s="1"/>
  <c r="AK119" i="1"/>
  <c r="AI119" i="1"/>
  <c r="AH119" i="1"/>
  <c r="AF119" i="1"/>
  <c r="AD119" i="1"/>
  <c r="AC119" i="1"/>
  <c r="AB119" i="1"/>
  <c r="Y119" i="1"/>
  <c r="X119" i="1"/>
  <c r="W119" i="1"/>
  <c r="T119" i="1"/>
  <c r="J118" i="1"/>
  <c r="K118" i="1" s="1"/>
  <c r="M118" i="1" s="1"/>
  <c r="N118" i="1" s="1"/>
  <c r="O118" i="1" s="1"/>
  <c r="I118" i="1"/>
  <c r="AK117" i="1"/>
  <c r="T117" i="1"/>
  <c r="AL117" i="1" s="1"/>
  <c r="AK115" i="1"/>
  <c r="I114" i="1"/>
  <c r="J114" i="1" s="1"/>
  <c r="K114" i="1" s="1"/>
  <c r="M114" i="1" s="1"/>
  <c r="AE113" i="1"/>
  <c r="AD113" i="1"/>
  <c r="AC113" i="1"/>
  <c r="AB113" i="1"/>
  <c r="AA113" i="1"/>
  <c r="Y113" i="1"/>
  <c r="X113" i="1"/>
  <c r="W113" i="1"/>
  <c r="U113" i="1"/>
  <c r="O113" i="1"/>
  <c r="N113" i="1"/>
  <c r="N114" i="1" s="1"/>
  <c r="O114" i="1" s="1"/>
  <c r="T114" i="1" s="1"/>
  <c r="U114" i="1" s="1"/>
  <c r="M113" i="1"/>
  <c r="K113" i="1"/>
  <c r="AL113" i="1" s="1"/>
  <c r="AE111" i="1"/>
  <c r="AD111" i="1"/>
  <c r="AC111" i="1"/>
  <c r="AA111" i="1"/>
  <c r="Y111" i="1"/>
  <c r="X111" i="1"/>
  <c r="U111" i="1"/>
  <c r="O111" i="1"/>
  <c r="N111" i="1"/>
  <c r="N110" i="1"/>
  <c r="O110" i="1" s="1"/>
  <c r="T110" i="1" s="1"/>
  <c r="U110" i="1" s="1"/>
  <c r="W110" i="1" s="1"/>
  <c r="X110" i="1" s="1"/>
  <c r="Y110" i="1" s="1"/>
  <c r="AA110" i="1" s="1"/>
  <c r="AB110" i="1" s="1"/>
  <c r="AC110" i="1" s="1"/>
  <c r="I110" i="1"/>
  <c r="J110" i="1" s="1"/>
  <c r="K110" i="1" s="1"/>
  <c r="M110" i="1" s="1"/>
  <c r="W109" i="1"/>
  <c r="AL109" i="1" s="1"/>
  <c r="AK107" i="1"/>
  <c r="AC107" i="1"/>
  <c r="Y107" i="1"/>
  <c r="O107" i="1"/>
  <c r="AL107" i="1" s="1"/>
  <c r="J106" i="1"/>
  <c r="K106" i="1" s="1"/>
  <c r="M106" i="1" s="1"/>
  <c r="N106" i="1" s="1"/>
  <c r="O106" i="1" s="1"/>
  <c r="T106" i="1" s="1"/>
  <c r="U106" i="1" s="1"/>
  <c r="W106" i="1" s="1"/>
  <c r="X106" i="1" s="1"/>
  <c r="Y106" i="1" s="1"/>
  <c r="AA106" i="1" s="1"/>
  <c r="AB106" i="1" s="1"/>
  <c r="AC106" i="1" s="1"/>
  <c r="I106" i="1"/>
  <c r="AL105" i="1"/>
  <c r="AK103" i="1"/>
  <c r="AE103" i="1"/>
  <c r="Y103" i="1"/>
  <c r="O103" i="1"/>
  <c r="AL103" i="1" s="1"/>
  <c r="M102" i="1"/>
  <c r="K102" i="1"/>
  <c r="J102" i="1"/>
  <c r="I102" i="1"/>
  <c r="X101" i="1"/>
  <c r="W101" i="1"/>
  <c r="U101" i="1"/>
  <c r="T101" i="1"/>
  <c r="AL101" i="1" s="1"/>
  <c r="O101" i="1"/>
  <c r="N101" i="1"/>
  <c r="M101" i="1"/>
  <c r="AE99" i="1"/>
  <c r="AC99" i="1"/>
  <c r="AA99" i="1"/>
  <c r="X99" i="1"/>
  <c r="W99" i="1"/>
  <c r="U99" i="1"/>
  <c r="O99" i="1"/>
  <c r="N99" i="1"/>
  <c r="AL99" i="1" s="1"/>
  <c r="M99" i="1"/>
  <c r="K98" i="1"/>
  <c r="M98" i="1" s="1"/>
  <c r="N98" i="1" s="1"/>
  <c r="O98" i="1" s="1"/>
  <c r="T98" i="1" s="1"/>
  <c r="U98" i="1" s="1"/>
  <c r="W98" i="1" s="1"/>
  <c r="X98" i="1" s="1"/>
  <c r="Y98" i="1" s="1"/>
  <c r="AA98" i="1" s="1"/>
  <c r="AB98" i="1" s="1"/>
  <c r="AC98" i="1" s="1"/>
  <c r="AD98" i="1" s="1"/>
  <c r="I98" i="1"/>
  <c r="J98" i="1" s="1"/>
  <c r="AC97" i="1"/>
  <c r="U97" i="1"/>
  <c r="O97" i="1"/>
  <c r="M97" i="1"/>
  <c r="AL97" i="1" s="1"/>
  <c r="AF95" i="1"/>
  <c r="AA95" i="1"/>
  <c r="U95" i="1"/>
  <c r="M95" i="1"/>
  <c r="AL95" i="1" s="1"/>
  <c r="J94" i="1"/>
  <c r="K94" i="1" s="1"/>
  <c r="M94" i="1" s="1"/>
  <c r="N94" i="1" s="1"/>
  <c r="O94" i="1" s="1"/>
  <c r="T94" i="1" s="1"/>
  <c r="U94" i="1" s="1"/>
  <c r="W94" i="1" s="1"/>
  <c r="X94" i="1" s="1"/>
  <c r="Y94" i="1" s="1"/>
  <c r="AA94" i="1" s="1"/>
  <c r="AB94" i="1" s="1"/>
  <c r="AC94" i="1" s="1"/>
  <c r="AD94" i="1" s="1"/>
  <c r="AE94" i="1" s="1"/>
  <c r="I94" i="1"/>
  <c r="AD93" i="1"/>
  <c r="AC93" i="1"/>
  <c r="AB93" i="1"/>
  <c r="AA93" i="1"/>
  <c r="Y93" i="1"/>
  <c r="X93" i="1"/>
  <c r="W93" i="1"/>
  <c r="AK91" i="1"/>
  <c r="AD91" i="1"/>
  <c r="Y91" i="1"/>
  <c r="W91" i="1"/>
  <c r="I90" i="1"/>
  <c r="J90" i="1" s="1"/>
  <c r="K90" i="1" s="1"/>
  <c r="M90" i="1" s="1"/>
  <c r="N90" i="1" s="1"/>
  <c r="O90" i="1" s="1"/>
  <c r="T90" i="1" s="1"/>
  <c r="U90" i="1" s="1"/>
  <c r="W90" i="1" s="1"/>
  <c r="X90" i="1" s="1"/>
  <c r="Y90" i="1" s="1"/>
  <c r="AA90" i="1" s="1"/>
  <c r="AB90" i="1" s="1"/>
  <c r="AC90" i="1" s="1"/>
  <c r="AD90" i="1" s="1"/>
  <c r="AE90" i="1" s="1"/>
  <c r="AF90" i="1" s="1"/>
  <c r="AH90" i="1" s="1"/>
  <c r="AI90" i="1" s="1"/>
  <c r="AJ90" i="1" s="1"/>
  <c r="AK90" i="1" s="1"/>
  <c r="K89" i="1"/>
  <c r="AL89" i="1" s="1"/>
  <c r="AK87" i="1"/>
  <c r="AE87" i="1"/>
  <c r="Y87" i="1"/>
  <c r="O87" i="1"/>
  <c r="AL87" i="1" s="1"/>
  <c r="I86" i="1"/>
  <c r="J86" i="1" s="1"/>
  <c r="K86" i="1" s="1"/>
  <c r="M86" i="1" s="1"/>
  <c r="N86" i="1" s="1"/>
  <c r="O86" i="1" s="1"/>
  <c r="T86" i="1" s="1"/>
  <c r="U86" i="1" s="1"/>
  <c r="W86" i="1" s="1"/>
  <c r="X86" i="1" s="1"/>
  <c r="Y86" i="1" s="1"/>
  <c r="AA86" i="1" s="1"/>
  <c r="AB86" i="1" s="1"/>
  <c r="AC86" i="1" s="1"/>
  <c r="AD86" i="1" s="1"/>
  <c r="AE86" i="1" s="1"/>
  <c r="AF86" i="1" s="1"/>
  <c r="AH86" i="1" s="1"/>
  <c r="AI86" i="1" s="1"/>
  <c r="AJ86" i="1" s="1"/>
  <c r="AK86" i="1" s="1"/>
  <c r="X85" i="1"/>
  <c r="AL85" i="1" s="1"/>
  <c r="AK83" i="1"/>
  <c r="AJ83" i="1"/>
  <c r="AI83" i="1"/>
  <c r="AH83" i="1"/>
  <c r="AF83" i="1"/>
  <c r="AE83" i="1"/>
  <c r="AD83" i="1"/>
  <c r="AC83" i="1"/>
  <c r="AA83" i="1"/>
  <c r="Y83" i="1"/>
  <c r="X83" i="1"/>
  <c r="W83" i="1"/>
  <c r="U83" i="1"/>
  <c r="K83" i="1"/>
  <c r="J83" i="1"/>
  <c r="I83" i="1"/>
  <c r="AK81" i="1"/>
  <c r="AJ81" i="1"/>
  <c r="AI81" i="1"/>
  <c r="AH81" i="1"/>
  <c r="AF81" i="1"/>
  <c r="AE81" i="1"/>
  <c r="AD81" i="1"/>
  <c r="AC81" i="1"/>
  <c r="AB81" i="1"/>
  <c r="Y81" i="1"/>
  <c r="X81" i="1"/>
  <c r="W81" i="1"/>
  <c r="U81" i="1"/>
  <c r="T81" i="1"/>
  <c r="AL81" i="1" s="1"/>
  <c r="I81" i="1"/>
  <c r="I82" i="1" s="1"/>
  <c r="J82" i="1" s="1"/>
  <c r="K82" i="1" s="1"/>
  <c r="M82" i="1" s="1"/>
  <c r="N82" i="1" s="1"/>
  <c r="O82" i="1" s="1"/>
  <c r="T82" i="1" s="1"/>
  <c r="U82" i="1" s="1"/>
  <c r="W82" i="1" s="1"/>
  <c r="X82" i="1" s="1"/>
  <c r="Y82" i="1" s="1"/>
  <c r="AA82" i="1" s="1"/>
  <c r="AB82" i="1" s="1"/>
  <c r="AC82" i="1" s="1"/>
  <c r="AD82" i="1" s="1"/>
  <c r="AE82" i="1" s="1"/>
  <c r="AF82" i="1" s="1"/>
  <c r="AH82" i="1" s="1"/>
  <c r="AI82" i="1" s="1"/>
  <c r="AJ82" i="1" s="1"/>
  <c r="AK79" i="1"/>
  <c r="AJ79" i="1"/>
  <c r="AI79" i="1"/>
  <c r="AH79" i="1"/>
  <c r="AF79" i="1"/>
  <c r="AE79" i="1"/>
  <c r="AD79" i="1"/>
  <c r="AC79" i="1"/>
  <c r="AB79" i="1"/>
  <c r="Y79" i="1"/>
  <c r="X79" i="1"/>
  <c r="W79" i="1"/>
  <c r="U79" i="1"/>
  <c r="T79" i="1"/>
  <c r="AL79" i="1" s="1"/>
  <c r="I79" i="1"/>
  <c r="J78" i="1"/>
  <c r="K78" i="1" s="1"/>
  <c r="M78" i="1" s="1"/>
  <c r="N78" i="1" s="1"/>
  <c r="O78" i="1" s="1"/>
  <c r="T78" i="1" s="1"/>
  <c r="U78" i="1" s="1"/>
  <c r="W78" i="1" s="1"/>
  <c r="X78" i="1" s="1"/>
  <c r="Y78" i="1" s="1"/>
  <c r="AA78" i="1" s="1"/>
  <c r="AB78" i="1" s="1"/>
  <c r="AC78" i="1" s="1"/>
  <c r="AD78" i="1" s="1"/>
  <c r="AE78" i="1" s="1"/>
  <c r="AF78" i="1" s="1"/>
  <c r="AH78" i="1" s="1"/>
  <c r="I78" i="1"/>
  <c r="AL77" i="1"/>
  <c r="AH77" i="1"/>
  <c r="AF77" i="1"/>
  <c r="X77" i="1"/>
  <c r="M77" i="1"/>
  <c r="AK75" i="1"/>
  <c r="AJ75" i="1"/>
  <c r="AI75" i="1"/>
  <c r="AH75" i="1"/>
  <c r="AF75" i="1"/>
  <c r="AE75" i="1"/>
  <c r="AD75" i="1"/>
  <c r="AC75" i="1"/>
  <c r="X75" i="1"/>
  <c r="M75" i="1"/>
  <c r="AL75" i="1" s="1"/>
  <c r="J74" i="1"/>
  <c r="K74" i="1" s="1"/>
  <c r="M74" i="1" s="1"/>
  <c r="N74" i="1" s="1"/>
  <c r="O74" i="1" s="1"/>
  <c r="T74" i="1" s="1"/>
  <c r="U74" i="1" s="1"/>
  <c r="W74" i="1" s="1"/>
  <c r="X74" i="1" s="1"/>
  <c r="Y74" i="1" s="1"/>
  <c r="AA74" i="1" s="1"/>
  <c r="AB74" i="1" s="1"/>
  <c r="AC74" i="1" s="1"/>
  <c r="AD74" i="1" s="1"/>
  <c r="AE74" i="1" s="1"/>
  <c r="AF74" i="1" s="1"/>
  <c r="AH74" i="1" s="1"/>
  <c r="AI74" i="1" s="1"/>
  <c r="AJ74" i="1" s="1"/>
  <c r="I74" i="1"/>
  <c r="AJ73" i="1"/>
  <c r="AH73" i="1"/>
  <c r="AE73" i="1"/>
  <c r="M73" i="1"/>
  <c r="AL73" i="1" s="1"/>
  <c r="AK72" i="1"/>
  <c r="AJ72" i="1"/>
  <c r="AH72" i="1"/>
  <c r="AF72" i="1"/>
  <c r="AE72" i="1"/>
  <c r="M72" i="1"/>
  <c r="AL72" i="1" s="1"/>
  <c r="I71" i="1"/>
  <c r="J71" i="1" s="1"/>
  <c r="K71" i="1" s="1"/>
  <c r="M71" i="1" s="1"/>
  <c r="N71" i="1" s="1"/>
  <c r="O71" i="1" s="1"/>
  <c r="T71" i="1" s="1"/>
  <c r="U71" i="1" s="1"/>
  <c r="W71" i="1" s="1"/>
  <c r="X71" i="1" s="1"/>
  <c r="Y71" i="1" s="1"/>
  <c r="AA71" i="1" s="1"/>
  <c r="AB71" i="1" s="1"/>
  <c r="AC71" i="1" s="1"/>
  <c r="AD71" i="1" s="1"/>
  <c r="AE71" i="1" s="1"/>
  <c r="AH70" i="1"/>
  <c r="AE70" i="1"/>
  <c r="W70" i="1"/>
  <c r="M70" i="1"/>
  <c r="AL70" i="1" s="1"/>
  <c r="AK68" i="1"/>
  <c r="AJ68" i="1"/>
  <c r="AI68" i="1"/>
  <c r="AH68" i="1"/>
  <c r="AF68" i="1"/>
  <c r="AE68" i="1"/>
  <c r="W68" i="1"/>
  <c r="M68" i="1"/>
  <c r="I67" i="1"/>
  <c r="J67" i="1" s="1"/>
  <c r="K67" i="1" s="1"/>
  <c r="M67" i="1" s="1"/>
  <c r="N67" i="1" s="1"/>
  <c r="O67" i="1" s="1"/>
  <c r="T67" i="1" s="1"/>
  <c r="U67" i="1" s="1"/>
  <c r="W67" i="1" s="1"/>
  <c r="X67" i="1" s="1"/>
  <c r="Y67" i="1" s="1"/>
  <c r="AA67" i="1" s="1"/>
  <c r="AB67" i="1" s="1"/>
  <c r="AC67" i="1" s="1"/>
  <c r="AD67" i="1" s="1"/>
  <c r="AE67" i="1" s="1"/>
  <c r="AF67" i="1" s="1"/>
  <c r="AH67" i="1" s="1"/>
  <c r="AI67" i="1" s="1"/>
  <c r="AC66" i="1"/>
  <c r="W66" i="1"/>
  <c r="T66" i="1"/>
  <c r="O66" i="1"/>
  <c r="AL66" i="1" s="1"/>
  <c r="AI64" i="1"/>
  <c r="AH64" i="1"/>
  <c r="AF64" i="1"/>
  <c r="AE64" i="1"/>
  <c r="AD64" i="1"/>
  <c r="AC64" i="1"/>
  <c r="AB64" i="1"/>
  <c r="AA64" i="1"/>
  <c r="Y64" i="1"/>
  <c r="X64" i="1"/>
  <c r="W64" i="1"/>
  <c r="U64" i="1"/>
  <c r="T64" i="1"/>
  <c r="O64" i="1"/>
  <c r="N64" i="1"/>
  <c r="M64" i="1"/>
  <c r="K64" i="1"/>
  <c r="J64" i="1"/>
  <c r="AL64" i="1" s="1"/>
  <c r="I64" i="1"/>
  <c r="I63" i="1"/>
  <c r="AL62" i="1"/>
  <c r="AA62" i="1"/>
  <c r="Y62" i="1"/>
  <c r="X62" i="1"/>
  <c r="AK60" i="1"/>
  <c r="AJ60" i="1"/>
  <c r="AI60" i="1"/>
  <c r="AH60" i="1"/>
  <c r="AF60" i="1"/>
  <c r="AE60" i="1"/>
  <c r="AD60" i="1"/>
  <c r="AC60" i="1"/>
  <c r="AA60" i="1"/>
  <c r="Y60" i="1"/>
  <c r="X60" i="1"/>
  <c r="J60" i="1"/>
  <c r="J63" i="1" s="1"/>
  <c r="K63" i="1" s="1"/>
  <c r="M63" i="1" s="1"/>
  <c r="N63" i="1" s="1"/>
  <c r="O63" i="1" s="1"/>
  <c r="T63" i="1" s="1"/>
  <c r="U63" i="1" s="1"/>
  <c r="W63" i="1" s="1"/>
  <c r="X63" i="1" s="1"/>
  <c r="Y63" i="1" s="1"/>
  <c r="AA63" i="1" s="1"/>
  <c r="AB63" i="1" s="1"/>
  <c r="AC63" i="1" s="1"/>
  <c r="K59" i="1"/>
  <c r="M59" i="1" s="1"/>
  <c r="N59" i="1" s="1"/>
  <c r="O59" i="1" s="1"/>
  <c r="T59" i="1" s="1"/>
  <c r="U59" i="1" s="1"/>
  <c r="W59" i="1" s="1"/>
  <c r="X59" i="1" s="1"/>
  <c r="Y59" i="1" s="1"/>
  <c r="AA59" i="1" s="1"/>
  <c r="AB59" i="1" s="1"/>
  <c r="AC59" i="1" s="1"/>
  <c r="AD59" i="1" s="1"/>
  <c r="AE59" i="1" s="1"/>
  <c r="AF59" i="1" s="1"/>
  <c r="AH59" i="1" s="1"/>
  <c r="AI59" i="1" s="1"/>
  <c r="AJ59" i="1" s="1"/>
  <c r="AK59" i="1" s="1"/>
  <c r="J59" i="1"/>
  <c r="I59" i="1"/>
  <c r="AC58" i="1"/>
  <c r="T58" i="1"/>
  <c r="N58" i="1"/>
  <c r="J58" i="1"/>
  <c r="AL58" i="1" s="1"/>
  <c r="AK56" i="1"/>
  <c r="AI56" i="1"/>
  <c r="AF56" i="1"/>
  <c r="AD56" i="1"/>
  <c r="AB56" i="1"/>
  <c r="Y56" i="1"/>
  <c r="W56" i="1"/>
  <c r="T56" i="1"/>
  <c r="AL56" i="1" s="1"/>
  <c r="N56" i="1"/>
  <c r="K56" i="1"/>
  <c r="I55" i="1"/>
  <c r="J55" i="1" s="1"/>
  <c r="K55" i="1" s="1"/>
  <c r="M55" i="1" s="1"/>
  <c r="N55" i="1" s="1"/>
  <c r="O55" i="1" s="1"/>
  <c r="T55" i="1" s="1"/>
  <c r="U55" i="1" s="1"/>
  <c r="W55" i="1" s="1"/>
  <c r="X55" i="1" s="1"/>
  <c r="Y55" i="1" s="1"/>
  <c r="AA55" i="1" s="1"/>
  <c r="AB55" i="1" s="1"/>
  <c r="AC55" i="1" s="1"/>
  <c r="AD55" i="1" s="1"/>
  <c r="AE55" i="1" s="1"/>
  <c r="AF55" i="1" s="1"/>
  <c r="AH55" i="1" s="1"/>
  <c r="AI55" i="1" s="1"/>
  <c r="AJ55" i="1" s="1"/>
  <c r="AK55" i="1" s="1"/>
  <c r="AK54" i="1"/>
  <c r="AJ54" i="1"/>
  <c r="AI54" i="1"/>
  <c r="AH54" i="1"/>
  <c r="AF54" i="1"/>
  <c r="AE54" i="1"/>
  <c r="AD54" i="1"/>
  <c r="AC54" i="1"/>
  <c r="AB54" i="1"/>
  <c r="AA54" i="1"/>
  <c r="Y54" i="1"/>
  <c r="X54" i="1"/>
  <c r="W54" i="1"/>
  <c r="U54" i="1"/>
  <c r="T54" i="1"/>
  <c r="O54" i="1"/>
  <c r="N54" i="1"/>
  <c r="M54" i="1"/>
  <c r="K54" i="1"/>
  <c r="J54" i="1"/>
  <c r="I54" i="1"/>
  <c r="AL54" i="1" s="1"/>
  <c r="AK52" i="1"/>
  <c r="AJ52" i="1"/>
  <c r="AI52" i="1"/>
  <c r="AH52" i="1"/>
  <c r="AF52" i="1"/>
  <c r="AE52" i="1"/>
  <c r="AD52" i="1"/>
  <c r="AC52" i="1"/>
  <c r="AB52" i="1"/>
  <c r="AA52" i="1"/>
  <c r="Y52" i="1"/>
  <c r="X52" i="1"/>
  <c r="W52" i="1"/>
  <c r="U52" i="1"/>
  <c r="T52" i="1"/>
  <c r="O52" i="1"/>
  <c r="N52" i="1"/>
  <c r="M52" i="1"/>
  <c r="K52" i="1"/>
  <c r="J52" i="1"/>
  <c r="I52" i="1"/>
  <c r="K51" i="1"/>
  <c r="M51" i="1" s="1"/>
  <c r="N51" i="1" s="1"/>
  <c r="O51" i="1" s="1"/>
  <c r="T51" i="1" s="1"/>
  <c r="U51" i="1" s="1"/>
  <c r="W51" i="1" s="1"/>
  <c r="X51" i="1" s="1"/>
  <c r="Y51" i="1" s="1"/>
  <c r="AA51" i="1" s="1"/>
  <c r="AB51" i="1" s="1"/>
  <c r="AC51" i="1" s="1"/>
  <c r="AD51" i="1" s="1"/>
  <c r="AE51" i="1" s="1"/>
  <c r="AF51" i="1" s="1"/>
  <c r="AH51" i="1" s="1"/>
  <c r="AI51" i="1" s="1"/>
  <c r="J51" i="1"/>
  <c r="I51" i="1"/>
  <c r="AI50" i="1"/>
  <c r="AH50" i="1"/>
  <c r="AC50" i="1"/>
  <c r="W50" i="1"/>
  <c r="O50" i="1"/>
  <c r="N50" i="1"/>
  <c r="AL50" i="1" s="1"/>
  <c r="AK48" i="1"/>
  <c r="AJ48" i="1"/>
  <c r="AI48" i="1"/>
  <c r="AH48" i="1"/>
  <c r="AC48" i="1"/>
  <c r="W48" i="1"/>
  <c r="O48" i="1"/>
  <c r="N48" i="1"/>
  <c r="AK46" i="1"/>
  <c r="AI46" i="1"/>
  <c r="AC46" i="1"/>
  <c r="AB46" i="1"/>
  <c r="J46" i="1"/>
  <c r="AL46" i="1" s="1"/>
  <c r="I46" i="1"/>
  <c r="AK45" i="1"/>
  <c r="AI45" i="1"/>
  <c r="AC45" i="1"/>
  <c r="AB45" i="1"/>
  <c r="J45" i="1"/>
  <c r="I45" i="1"/>
  <c r="AH43" i="1"/>
  <c r="AD43" i="1"/>
  <c r="U43" i="1"/>
  <c r="O43" i="1"/>
  <c r="M43" i="1"/>
  <c r="K43" i="1"/>
  <c r="J43" i="1"/>
  <c r="I43" i="1"/>
  <c r="AK41" i="1"/>
  <c r="AJ41" i="1"/>
  <c r="AI41" i="1"/>
  <c r="AH41" i="1"/>
  <c r="AF41" i="1"/>
  <c r="AE41" i="1"/>
  <c r="AD41" i="1"/>
  <c r="AA41" i="1"/>
  <c r="U41" i="1"/>
  <c r="O41" i="1"/>
  <c r="M41" i="1"/>
  <c r="K41" i="1"/>
  <c r="AL41" i="1" s="1"/>
  <c r="J41" i="1"/>
  <c r="I41" i="1"/>
  <c r="I44" i="1" s="1"/>
  <c r="J44" i="1" s="1"/>
  <c r="K44" i="1" s="1"/>
  <c r="M44" i="1" s="1"/>
  <c r="N44" i="1" s="1"/>
  <c r="O44" i="1" s="1"/>
  <c r="T44" i="1" s="1"/>
  <c r="U44" i="1" s="1"/>
  <c r="W44" i="1" s="1"/>
  <c r="X44" i="1" s="1"/>
  <c r="Y44" i="1" s="1"/>
  <c r="AA44" i="1" s="1"/>
  <c r="AB44" i="1" s="1"/>
  <c r="AC44" i="1" s="1"/>
  <c r="AD44" i="1" s="1"/>
  <c r="AE44" i="1" s="1"/>
  <c r="AK39" i="1"/>
  <c r="AI39" i="1"/>
  <c r="AH39" i="1"/>
  <c r="AE39" i="1"/>
  <c r="AD39" i="1"/>
  <c r="U39" i="1"/>
  <c r="AL39" i="1" s="1"/>
  <c r="I39" i="1"/>
  <c r="AK38" i="1"/>
  <c r="AI38" i="1"/>
  <c r="AH38" i="1"/>
  <c r="AE38" i="1"/>
  <c r="AD38" i="1"/>
  <c r="AA38" i="1"/>
  <c r="U38" i="1"/>
  <c r="I38" i="1"/>
  <c r="W36" i="1"/>
  <c r="N36" i="1"/>
  <c r="I36" i="1"/>
  <c r="I37" i="1" s="1"/>
  <c r="J37" i="1" s="1"/>
  <c r="AJ34" i="1"/>
  <c r="AI34" i="1"/>
  <c r="AH34" i="1"/>
  <c r="AE34" i="1"/>
  <c r="AD34" i="1"/>
  <c r="AC34" i="1"/>
  <c r="AA34" i="1"/>
  <c r="Y34" i="1"/>
  <c r="X34" i="1"/>
  <c r="U34" i="1"/>
  <c r="N34" i="1"/>
  <c r="M34" i="1"/>
  <c r="J34" i="1"/>
  <c r="I34" i="1"/>
  <c r="AK32" i="1"/>
  <c r="AJ32" i="1"/>
  <c r="AI32" i="1"/>
  <c r="AH32" i="1"/>
  <c r="AF32" i="1"/>
  <c r="AE32" i="1"/>
  <c r="AD32" i="1"/>
  <c r="AC32" i="1"/>
  <c r="AB32" i="1"/>
  <c r="AA32" i="1"/>
  <c r="Y32" i="1"/>
  <c r="X32" i="1"/>
  <c r="W32" i="1"/>
  <c r="U32" i="1"/>
  <c r="T32" i="1"/>
  <c r="O32" i="1"/>
  <c r="N32" i="1"/>
  <c r="M32" i="1"/>
  <c r="K32" i="1"/>
  <c r="J32" i="1"/>
  <c r="I32" i="1"/>
  <c r="AK30" i="1"/>
  <c r="AI30" i="1"/>
  <c r="AH30" i="1"/>
  <c r="AF30" i="1"/>
  <c r="AD30" i="1"/>
  <c r="AC30" i="1"/>
  <c r="AB30" i="1"/>
  <c r="Y30" i="1"/>
  <c r="X30" i="1"/>
  <c r="W30" i="1"/>
  <c r="T30" i="1"/>
  <c r="O30" i="1"/>
  <c r="N30" i="1"/>
  <c r="K30" i="1"/>
  <c r="J30" i="1"/>
  <c r="I30" i="1"/>
  <c r="J29" i="1"/>
  <c r="K29" i="1" s="1"/>
  <c r="M29" i="1" s="1"/>
  <c r="N29" i="1" s="1"/>
  <c r="O29" i="1" s="1"/>
  <c r="T29" i="1" s="1"/>
  <c r="U29" i="1" s="1"/>
  <c r="W29" i="1" s="1"/>
  <c r="X29" i="1" s="1"/>
  <c r="Y29" i="1" s="1"/>
  <c r="AA29" i="1" s="1"/>
  <c r="AB29" i="1" s="1"/>
  <c r="AC29" i="1" s="1"/>
  <c r="AD29" i="1" s="1"/>
  <c r="AE29" i="1" s="1"/>
  <c r="AF29" i="1" s="1"/>
  <c r="AH29" i="1" s="1"/>
  <c r="AI29" i="1" s="1"/>
  <c r="AJ29" i="1" s="1"/>
  <c r="AK29" i="1" s="1"/>
  <c r="I29" i="1"/>
  <c r="AL28" i="1"/>
  <c r="O28" i="1"/>
  <c r="AI26" i="1"/>
  <c r="AE26" i="1"/>
  <c r="AB26" i="1"/>
  <c r="X26" i="1"/>
  <c r="T26" i="1"/>
  <c r="M26" i="1"/>
  <c r="AH22" i="1" s="1"/>
  <c r="AK24" i="1"/>
  <c r="AJ24" i="1"/>
  <c r="AI24" i="1"/>
  <c r="AH24" i="1"/>
  <c r="AF24" i="1"/>
  <c r="AE24" i="1"/>
  <c r="AD24" i="1"/>
  <c r="AC24" i="1"/>
  <c r="AB24" i="1"/>
  <c r="AA24" i="1"/>
  <c r="X24" i="1"/>
  <c r="W24" i="1"/>
  <c r="T24" i="1"/>
  <c r="O24" i="1"/>
  <c r="N24" i="1"/>
  <c r="M24" i="1"/>
  <c r="K24" i="1"/>
  <c r="J24" i="1"/>
  <c r="I24" i="1"/>
  <c r="AF22" i="1"/>
  <c r="X22" i="1"/>
  <c r="M22" i="1"/>
  <c r="AJ20" i="1"/>
  <c r="AH20" i="1"/>
  <c r="AF20" i="1"/>
  <c r="AE20" i="1"/>
  <c r="U20" i="1"/>
  <c r="M20" i="1"/>
  <c r="I20" i="1"/>
  <c r="AH18" i="1"/>
  <c r="M18" i="1"/>
  <c r="I17" i="1"/>
  <c r="J17" i="1" s="1"/>
  <c r="K17" i="1" s="1"/>
  <c r="AJ16" i="1"/>
  <c r="AF16" i="1"/>
  <c r="AD16" i="1"/>
  <c r="AC16" i="1"/>
  <c r="AB16" i="1"/>
  <c r="Y16" i="1"/>
  <c r="W16" i="1"/>
  <c r="M16" i="1"/>
  <c r="AL16" i="1" s="1"/>
  <c r="AF14" i="1"/>
  <c r="AA14" i="1"/>
  <c r="I13" i="1"/>
  <c r="AJ12" i="1"/>
  <c r="AE12" i="1"/>
  <c r="AD12" i="1"/>
  <c r="T12" i="1"/>
  <c r="N12" i="1"/>
  <c r="AL12" i="1" s="1"/>
  <c r="AK11" i="1"/>
  <c r="AE11" i="1"/>
  <c r="J11" i="1"/>
  <c r="AK9" i="1"/>
  <c r="AJ9" i="1"/>
  <c r="AI9" i="1"/>
  <c r="AH9" i="1"/>
  <c r="AF9" i="1"/>
  <c r="AE9" i="1"/>
  <c r="AD9" i="1"/>
  <c r="AC9" i="1"/>
  <c r="AB9" i="1"/>
  <c r="AA9" i="1"/>
  <c r="Y9" i="1"/>
  <c r="X9" i="1"/>
  <c r="W9" i="1"/>
  <c r="U9" i="1"/>
  <c r="T9" i="1"/>
  <c r="O9" i="1"/>
  <c r="N9" i="1"/>
  <c r="M9" i="1"/>
  <c r="K9" i="1"/>
  <c r="J9" i="1"/>
  <c r="AL9" i="1" s="1"/>
  <c r="I9" i="1"/>
  <c r="AJ7" i="1"/>
  <c r="AE7" i="1"/>
  <c r="AA7" i="1"/>
  <c r="U7" i="1"/>
  <c r="M7" i="1"/>
  <c r="W5" i="1"/>
  <c r="T5" i="1"/>
  <c r="O5" i="1"/>
  <c r="N5" i="1"/>
  <c r="M5" i="1"/>
  <c r="K5" i="1"/>
  <c r="J5" i="1"/>
  <c r="I5" i="1"/>
  <c r="AH3" i="1"/>
  <c r="AC3" i="1"/>
  <c r="X3" i="1"/>
  <c r="O3" i="1"/>
  <c r="J3" i="1"/>
  <c r="V44" i="2" l="1"/>
  <c r="M52" i="2"/>
  <c r="AJ52" i="2"/>
  <c r="AC55" i="2"/>
  <c r="M59" i="2"/>
  <c r="AI66" i="2"/>
  <c r="O44" i="2"/>
  <c r="Z44" i="2"/>
  <c r="AG44" i="2"/>
  <c r="O52" i="2"/>
  <c r="AB52" i="2"/>
  <c r="U55" i="2"/>
  <c r="AG55" i="2"/>
  <c r="Z59" i="2"/>
  <c r="AJ44" i="2"/>
  <c r="N44" i="2"/>
  <c r="AD44" i="2"/>
  <c r="Z52" i="2"/>
  <c r="P55" i="2"/>
  <c r="AG62" i="2"/>
  <c r="I44" i="2"/>
  <c r="I47" i="2" s="1"/>
  <c r="J47" i="2" s="1"/>
  <c r="T44" i="2"/>
  <c r="AA44" i="2"/>
  <c r="AH44" i="2"/>
  <c r="T52" i="2"/>
  <c r="AD52" i="2"/>
  <c r="L55" i="2"/>
  <c r="W55" i="2"/>
  <c r="AI55" i="2"/>
  <c r="AJ59" i="2"/>
  <c r="L66" i="2"/>
  <c r="AL5" i="1"/>
  <c r="M17" i="1"/>
  <c r="N17" i="1" s="1"/>
  <c r="O17" i="1" s="1"/>
  <c r="T17" i="1" s="1"/>
  <c r="U17" i="1" s="1"/>
  <c r="W17" i="1" s="1"/>
  <c r="X17" i="1" s="1"/>
  <c r="Y17" i="1" s="1"/>
  <c r="AA17" i="1" s="1"/>
  <c r="W203" i="1"/>
  <c r="X203" i="1" s="1"/>
  <c r="N102" i="1"/>
  <c r="O102" i="1" s="1"/>
  <c r="T102" i="1" s="1"/>
  <c r="U102" i="1" s="1"/>
  <c r="W102" i="1" s="1"/>
  <c r="X102" i="1" s="1"/>
  <c r="Y102" i="1" s="1"/>
  <c r="AA102" i="1" s="1"/>
  <c r="AB102" i="1" s="1"/>
  <c r="AC102" i="1" s="1"/>
  <c r="AD102" i="1" s="1"/>
  <c r="AE102" i="1" s="1"/>
  <c r="AH236" i="1"/>
  <c r="AC236" i="1"/>
  <c r="AJ232" i="1"/>
  <c r="AE232" i="1"/>
  <c r="AH228" i="1"/>
  <c r="AC228" i="1"/>
  <c r="AJ224" i="1"/>
  <c r="AE224" i="1"/>
  <c r="AJ220" i="1"/>
  <c r="AI217" i="1"/>
  <c r="AI211" i="1"/>
  <c r="AD211" i="1"/>
  <c r="AK207" i="1"/>
  <c r="AF207" i="1"/>
  <c r="AI204" i="1"/>
  <c r="AC204" i="1"/>
  <c r="AH200" i="1"/>
  <c r="AC200" i="1"/>
  <c r="W200" i="1"/>
  <c r="AL240" i="1"/>
  <c r="AK236" i="1"/>
  <c r="AF236" i="1"/>
  <c r="AI232" i="1"/>
  <c r="AD232" i="1"/>
  <c r="AK228" i="1"/>
  <c r="AF228" i="1"/>
  <c r="AI224" i="1"/>
  <c r="AD224" i="1"/>
  <c r="AI220" i="1"/>
  <c r="AK214" i="1"/>
  <c r="AH211" i="1"/>
  <c r="AC211" i="1"/>
  <c r="AJ207" i="1"/>
  <c r="AE207" i="1"/>
  <c r="AH204" i="1"/>
  <c r="AB204" i="1"/>
  <c r="AB206" i="1" s="1"/>
  <c r="AC206" i="1" s="1"/>
  <c r="AK200" i="1"/>
  <c r="AF200" i="1"/>
  <c r="AB200" i="1"/>
  <c r="AI236" i="1"/>
  <c r="AD236" i="1"/>
  <c r="AK232" i="1"/>
  <c r="AF232" i="1"/>
  <c r="AI228" i="1"/>
  <c r="AD228" i="1"/>
  <c r="AK224" i="1"/>
  <c r="AF224" i="1"/>
  <c r="AK220" i="1"/>
  <c r="AJ217" i="1"/>
  <c r="AI214" i="1"/>
  <c r="AL214" i="1" s="1"/>
  <c r="AJ211" i="1"/>
  <c r="AE211" i="1"/>
  <c r="AH207" i="1"/>
  <c r="AB207" i="1"/>
  <c r="AJ204" i="1"/>
  <c r="AE204" i="1"/>
  <c r="AI200" i="1"/>
  <c r="AD200" i="1"/>
  <c r="X200" i="1"/>
  <c r="K3" i="1"/>
  <c r="T3" i="1"/>
  <c r="Y3" i="1"/>
  <c r="AD3" i="1"/>
  <c r="AI3" i="1"/>
  <c r="I7" i="1"/>
  <c r="I10" i="1" s="1"/>
  <c r="J10" i="1" s="1"/>
  <c r="K10" i="1" s="1"/>
  <c r="M10" i="1" s="1"/>
  <c r="N10" i="1" s="1"/>
  <c r="O10" i="1" s="1"/>
  <c r="T10" i="1" s="1"/>
  <c r="U10" i="1" s="1"/>
  <c r="W10" i="1" s="1"/>
  <c r="X10" i="1" s="1"/>
  <c r="Y10" i="1" s="1"/>
  <c r="AA10" i="1" s="1"/>
  <c r="AB10" i="1" s="1"/>
  <c r="AC10" i="1" s="1"/>
  <c r="AD10" i="1" s="1"/>
  <c r="AE10" i="1" s="1"/>
  <c r="AF10" i="1" s="1"/>
  <c r="AH10" i="1" s="1"/>
  <c r="AI10" i="1" s="1"/>
  <c r="AJ10" i="1" s="1"/>
  <c r="AK10" i="1" s="1"/>
  <c r="N7" i="1"/>
  <c r="W7" i="1"/>
  <c r="AB7" i="1"/>
  <c r="AF7" i="1"/>
  <c r="AK7" i="1"/>
  <c r="N11" i="1"/>
  <c r="AL11" i="1" s="1"/>
  <c r="AF11" i="1"/>
  <c r="AB14" i="1"/>
  <c r="AJ14" i="1"/>
  <c r="U18" i="1"/>
  <c r="AK18" i="1"/>
  <c r="N22" i="1"/>
  <c r="AB22" i="1"/>
  <c r="AL36" i="1"/>
  <c r="AL43" i="1"/>
  <c r="AK34" i="1"/>
  <c r="AF34" i="1"/>
  <c r="AB34" i="1"/>
  <c r="W34" i="1"/>
  <c r="K34" i="1"/>
  <c r="K37" i="1" s="1"/>
  <c r="M37" i="1" s="1"/>
  <c r="N37" i="1" s="1"/>
  <c r="O37" i="1" s="1"/>
  <c r="T37" i="1" s="1"/>
  <c r="U37" i="1" s="1"/>
  <c r="W37" i="1" s="1"/>
  <c r="X37" i="1" s="1"/>
  <c r="Y37" i="1" s="1"/>
  <c r="AA37" i="1" s="1"/>
  <c r="AB37" i="1" s="1"/>
  <c r="AC37" i="1" s="1"/>
  <c r="AD37" i="1" s="1"/>
  <c r="AE37" i="1" s="1"/>
  <c r="AF37" i="1" s="1"/>
  <c r="AH37" i="1" s="1"/>
  <c r="AI37" i="1" s="1"/>
  <c r="AJ37" i="1" s="1"/>
  <c r="AK37" i="1" s="1"/>
  <c r="AL52" i="1"/>
  <c r="AL137" i="1"/>
  <c r="AL202" i="1"/>
  <c r="AI207" i="1"/>
  <c r="AF211" i="1"/>
  <c r="AI216" i="1"/>
  <c r="AC232" i="1"/>
  <c r="AE236" i="1"/>
  <c r="AJ22" i="1"/>
  <c r="AE22" i="1"/>
  <c r="AA22" i="1"/>
  <c r="O22" i="1"/>
  <c r="J22" i="1"/>
  <c r="AJ18" i="1"/>
  <c r="AA18" i="1"/>
  <c r="AI14" i="1"/>
  <c r="AC14" i="1"/>
  <c r="W14" i="1"/>
  <c r="AH11" i="1"/>
  <c r="Y11" i="1"/>
  <c r="AL60" i="1"/>
  <c r="M3" i="1"/>
  <c r="U3" i="1"/>
  <c r="AA3" i="1"/>
  <c r="AE3" i="1"/>
  <c r="AK3" i="1"/>
  <c r="J7" i="1"/>
  <c r="O7" i="1"/>
  <c r="X7" i="1"/>
  <c r="AC7" i="1"/>
  <c r="AH7" i="1"/>
  <c r="T11" i="1"/>
  <c r="AI11" i="1"/>
  <c r="M14" i="1"/>
  <c r="AD14" i="1"/>
  <c r="AK14" i="1"/>
  <c r="AE18" i="1"/>
  <c r="AL20" i="1"/>
  <c r="I22" i="1"/>
  <c r="T22" i="1"/>
  <c r="AC22" i="1"/>
  <c r="AI22" i="1"/>
  <c r="AL26" i="1"/>
  <c r="AL32" i="1"/>
  <c r="AJ30" i="1"/>
  <c r="AE30" i="1"/>
  <c r="AA30" i="1"/>
  <c r="U30" i="1"/>
  <c r="M30" i="1"/>
  <c r="AL30" i="1" s="1"/>
  <c r="AL38" i="1"/>
  <c r="AL83" i="1"/>
  <c r="AL91" i="1"/>
  <c r="AL93" i="1"/>
  <c r="AL145" i="1"/>
  <c r="AL149" i="1"/>
  <c r="I150" i="1"/>
  <c r="J150" i="1" s="1"/>
  <c r="K150" i="1" s="1"/>
  <c r="M150" i="1" s="1"/>
  <c r="N150" i="1" s="1"/>
  <c r="O150" i="1" s="1"/>
  <c r="AL178" i="1"/>
  <c r="O187" i="1"/>
  <c r="Y200" i="1"/>
  <c r="AK211" i="1"/>
  <c r="AC224" i="1"/>
  <c r="AE228" i="1"/>
  <c r="AH232" i="1"/>
  <c r="AJ236" i="1"/>
  <c r="AL257" i="1"/>
  <c r="I3" i="1"/>
  <c r="N3" i="1"/>
  <c r="W3" i="1"/>
  <c r="AB3" i="1"/>
  <c r="AF3" i="1"/>
  <c r="K7" i="1"/>
  <c r="T7" i="1"/>
  <c r="Y7" i="1"/>
  <c r="AD7" i="1"/>
  <c r="AI7" i="1"/>
  <c r="AD11" i="1"/>
  <c r="AJ11" i="1"/>
  <c r="J13" i="1"/>
  <c r="K13" i="1" s="1"/>
  <c r="M13" i="1" s="1"/>
  <c r="N13" i="1" s="1"/>
  <c r="O13" i="1" s="1"/>
  <c r="T13" i="1" s="1"/>
  <c r="U13" i="1" s="1"/>
  <c r="W13" i="1" s="1"/>
  <c r="X13" i="1" s="1"/>
  <c r="Y13" i="1" s="1"/>
  <c r="AA13" i="1" s="1"/>
  <c r="AB13" i="1" s="1"/>
  <c r="AC13" i="1" s="1"/>
  <c r="AD13" i="1" s="1"/>
  <c r="AE13" i="1" s="1"/>
  <c r="AF13" i="1" s="1"/>
  <c r="AH13" i="1" s="1"/>
  <c r="AI13" i="1" s="1"/>
  <c r="AJ13" i="1" s="1"/>
  <c r="Y14" i="1"/>
  <c r="AE14" i="1"/>
  <c r="I18" i="1"/>
  <c r="AF18" i="1"/>
  <c r="K22" i="1"/>
  <c r="W22" i="1"/>
  <c r="AD22" i="1"/>
  <c r="AK22" i="1"/>
  <c r="I33" i="1"/>
  <c r="J33" i="1" s="1"/>
  <c r="K33" i="1" s="1"/>
  <c r="I40" i="1"/>
  <c r="J40" i="1" s="1"/>
  <c r="K40" i="1" s="1"/>
  <c r="M40" i="1" s="1"/>
  <c r="N40" i="1" s="1"/>
  <c r="O40" i="1" s="1"/>
  <c r="T40" i="1" s="1"/>
  <c r="U40" i="1" s="1"/>
  <c r="W40" i="1" s="1"/>
  <c r="X40" i="1" s="1"/>
  <c r="Y40" i="1" s="1"/>
  <c r="AA40" i="1" s="1"/>
  <c r="AB40" i="1" s="1"/>
  <c r="AC40" i="1" s="1"/>
  <c r="AD40" i="1" s="1"/>
  <c r="AE40" i="1" s="1"/>
  <c r="AF40" i="1" s="1"/>
  <c r="AH40" i="1" s="1"/>
  <c r="AI40" i="1" s="1"/>
  <c r="AJ40" i="1" s="1"/>
  <c r="AK40" i="1" s="1"/>
  <c r="AL45" i="1"/>
  <c r="I47" i="1"/>
  <c r="J47" i="1" s="1"/>
  <c r="K47" i="1" s="1"/>
  <c r="M47" i="1" s="1"/>
  <c r="N47" i="1" s="1"/>
  <c r="O47" i="1" s="1"/>
  <c r="T47" i="1" s="1"/>
  <c r="U47" i="1" s="1"/>
  <c r="W47" i="1" s="1"/>
  <c r="X47" i="1" s="1"/>
  <c r="Y47" i="1" s="1"/>
  <c r="AA47" i="1" s="1"/>
  <c r="AB47" i="1" s="1"/>
  <c r="AC47" i="1" s="1"/>
  <c r="AD47" i="1" s="1"/>
  <c r="AE47" i="1" s="1"/>
  <c r="AF47" i="1" s="1"/>
  <c r="AH47" i="1" s="1"/>
  <c r="AI47" i="1" s="1"/>
  <c r="AJ47" i="1" s="1"/>
  <c r="AK47" i="1" s="1"/>
  <c r="AL48" i="1"/>
  <c r="AL68" i="1"/>
  <c r="AL170" i="1"/>
  <c r="AL174" i="1"/>
  <c r="AE200" i="1"/>
  <c r="AF204" i="1"/>
  <c r="AB210" i="1"/>
  <c r="AC210" i="1" s="1"/>
  <c r="AK217" i="1"/>
  <c r="AH224" i="1"/>
  <c r="AJ228" i="1"/>
  <c r="AL123" i="1"/>
  <c r="O22" i="2"/>
  <c r="W22" i="2"/>
  <c r="L26" i="2"/>
  <c r="T26" i="2"/>
  <c r="I30" i="2"/>
  <c r="I33" i="2" s="1"/>
  <c r="J33" i="2" s="1"/>
  <c r="L33" i="2" s="1"/>
  <c r="M33" i="2" s="1"/>
  <c r="P30" i="2"/>
  <c r="I59" i="2"/>
  <c r="V59" i="2"/>
  <c r="AH59" i="2"/>
  <c r="P62" i="2"/>
  <c r="AC62" i="2"/>
  <c r="U66" i="2"/>
  <c r="AI119" i="2"/>
  <c r="Z119" i="2"/>
  <c r="P119" i="2"/>
  <c r="AJ118" i="2"/>
  <c r="AC115" i="2"/>
  <c r="AH111" i="2"/>
  <c r="I111" i="2"/>
  <c r="I114" i="2" s="1"/>
  <c r="J114" i="2" s="1"/>
  <c r="L114" i="2" s="1"/>
  <c r="M114" i="2" s="1"/>
  <c r="AC119" i="2"/>
  <c r="U119" i="2"/>
  <c r="M119" i="2"/>
  <c r="P115" i="2"/>
  <c r="V111" i="2"/>
  <c r="AL245" i="1"/>
  <c r="T30" i="2"/>
  <c r="M30" i="2"/>
  <c r="V26" i="2"/>
  <c r="O26" i="2"/>
  <c r="I26" i="2"/>
  <c r="I29" i="2" s="1"/>
  <c r="J29" i="2" s="1"/>
  <c r="U22" i="2"/>
  <c r="N22" i="2"/>
  <c r="V19" i="2"/>
  <c r="O19" i="2"/>
  <c r="I19" i="2"/>
  <c r="I21" i="2" s="1"/>
  <c r="U15" i="2"/>
  <c r="N15" i="2"/>
  <c r="AH66" i="2"/>
  <c r="AB66" i="2"/>
  <c r="V66" i="2"/>
  <c r="O66" i="2"/>
  <c r="I66" i="2"/>
  <c r="I69" i="2" s="1"/>
  <c r="J69" i="2" s="1"/>
  <c r="AJ62" i="2"/>
  <c r="AD62" i="2"/>
  <c r="Z62" i="2"/>
  <c r="T62" i="2"/>
  <c r="M62" i="2"/>
  <c r="AI59" i="2"/>
  <c r="AC59" i="2"/>
  <c r="W59" i="2"/>
  <c r="P59" i="2"/>
  <c r="L59" i="2"/>
  <c r="AJ55" i="2"/>
  <c r="AD55" i="2"/>
  <c r="Z55" i="2"/>
  <c r="T55" i="2"/>
  <c r="M55" i="2"/>
  <c r="AG52" i="2"/>
  <c r="AA52" i="2"/>
  <c r="U52" i="2"/>
  <c r="N52" i="2"/>
  <c r="AJ66" i="2"/>
  <c r="AD66" i="2"/>
  <c r="Z66" i="2"/>
  <c r="T66" i="2"/>
  <c r="M66" i="2"/>
  <c r="AH62" i="2"/>
  <c r="AB62" i="2"/>
  <c r="V62" i="2"/>
  <c r="O62" i="2"/>
  <c r="I62" i="2"/>
  <c r="I65" i="2" s="1"/>
  <c r="J65" i="2" s="1"/>
  <c r="AG59" i="2"/>
  <c r="AA59" i="2"/>
  <c r="U59" i="2"/>
  <c r="N59" i="2"/>
  <c r="AH55" i="2"/>
  <c r="AB55" i="2"/>
  <c r="V55" i="2"/>
  <c r="O55" i="2"/>
  <c r="I55" i="2"/>
  <c r="AI52" i="2"/>
  <c r="AC52" i="2"/>
  <c r="W52" i="2"/>
  <c r="P52" i="2"/>
  <c r="L52" i="2"/>
  <c r="W111" i="1"/>
  <c r="W114" i="1" s="1"/>
  <c r="X114" i="1" s="1"/>
  <c r="Y114" i="1" s="1"/>
  <c r="AA114" i="1" s="1"/>
  <c r="AB114" i="1" s="1"/>
  <c r="AC114" i="1" s="1"/>
  <c r="AD114" i="1" s="1"/>
  <c r="AE114" i="1" s="1"/>
  <c r="AF114" i="1" s="1"/>
  <c r="AB111" i="1"/>
  <c r="T115" i="1"/>
  <c r="AL115" i="1" s="1"/>
  <c r="U119" i="1"/>
  <c r="AL119" i="1" s="1"/>
  <c r="AA119" i="1"/>
  <c r="AE119" i="1"/>
  <c r="AI131" i="1"/>
  <c r="AL131" i="1" s="1"/>
  <c r="I143" i="1"/>
  <c r="AD143" i="1"/>
  <c r="AI143" i="1"/>
  <c r="K147" i="1"/>
  <c r="T147" i="1"/>
  <c r="AL147" i="1" s="1"/>
  <c r="Y147" i="1"/>
  <c r="AE147" i="1"/>
  <c r="I151" i="1"/>
  <c r="W151" i="1"/>
  <c r="AB151" i="1"/>
  <c r="AF151" i="1"/>
  <c r="AD155" i="1"/>
  <c r="AL155" i="1" s="1"/>
  <c r="Y158" i="1"/>
  <c r="Y161" i="1" s="1"/>
  <c r="AA161" i="1" s="1"/>
  <c r="AB161" i="1" s="1"/>
  <c r="AA162" i="1"/>
  <c r="AL162" i="1" s="1"/>
  <c r="K165" i="1"/>
  <c r="AL165" i="1" s="1"/>
  <c r="J169" i="1"/>
  <c r="AL169" i="1" s="1"/>
  <c r="J172" i="1"/>
  <c r="AL172" i="1" s="1"/>
  <c r="AA176" i="1"/>
  <c r="AL176" i="1" s="1"/>
  <c r="O180" i="1"/>
  <c r="O183" i="1" s="1"/>
  <c r="T183" i="1" s="1"/>
  <c r="U183" i="1" s="1"/>
  <c r="W183" i="1" s="1"/>
  <c r="X183" i="1" s="1"/>
  <c r="Y183" i="1" s="1"/>
  <c r="AA183" i="1" s="1"/>
  <c r="AB183" i="1" s="1"/>
  <c r="AC183" i="1" s="1"/>
  <c r="AC180" i="1"/>
  <c r="T184" i="1"/>
  <c r="AL184" i="1" s="1"/>
  <c r="AA184" i="1"/>
  <c r="M188" i="1"/>
  <c r="AL188" i="1" s="1"/>
  <c r="U188" i="1"/>
  <c r="I191" i="1"/>
  <c r="J191" i="1" s="1"/>
  <c r="K191" i="1" s="1"/>
  <c r="I280" i="1"/>
  <c r="N30" i="2"/>
  <c r="V30" i="2"/>
  <c r="AI44" i="2"/>
  <c r="AC44" i="2"/>
  <c r="W44" i="2"/>
  <c r="P44" i="2"/>
  <c r="L44" i="2"/>
  <c r="L47" i="2" s="1"/>
  <c r="M47" i="2" s="1"/>
  <c r="O59" i="2"/>
  <c r="AB59" i="2"/>
  <c r="L62" i="2"/>
  <c r="W62" i="2"/>
  <c r="AI62" i="2"/>
  <c r="N66" i="2"/>
  <c r="AA66" i="2"/>
  <c r="M106" i="2"/>
  <c r="L119" i="2"/>
  <c r="AA119" i="2"/>
  <c r="I18" i="2"/>
  <c r="J18" i="2" s="1"/>
  <c r="L18" i="2" s="1"/>
  <c r="M18" i="2" s="1"/>
  <c r="V22" i="2"/>
  <c r="P26" i="2"/>
  <c r="O30" i="2"/>
  <c r="W30" i="2"/>
  <c r="I58" i="2"/>
  <c r="T59" i="2"/>
  <c r="AD59" i="2"/>
  <c r="N62" i="2"/>
  <c r="AA62" i="2"/>
  <c r="P66" i="2"/>
  <c r="AC66" i="2"/>
  <c r="I180" i="2"/>
  <c r="I183" i="2" s="1"/>
  <c r="O180" i="2"/>
  <c r="V180" i="2"/>
  <c r="AB180" i="2"/>
  <c r="AH180" i="2"/>
  <c r="M191" i="2"/>
  <c r="U191" i="2"/>
  <c r="AB191" i="2"/>
  <c r="AJ191" i="2"/>
  <c r="N194" i="2"/>
  <c r="V194" i="2"/>
  <c r="AD194" i="2"/>
  <c r="O198" i="2"/>
  <c r="Z198" i="2"/>
  <c r="AG198" i="2"/>
  <c r="P201" i="2"/>
  <c r="Z201" i="2"/>
  <c r="AG201" i="2"/>
  <c r="O209" i="2"/>
  <c r="W209" i="2"/>
  <c r="AG209" i="2"/>
  <c r="N217" i="2"/>
  <c r="V217" i="2"/>
  <c r="AH213" i="2"/>
  <c r="AB213" i="2"/>
  <c r="V213" i="2"/>
  <c r="O213" i="2"/>
  <c r="I213" i="2"/>
  <c r="I216" i="2" s="1"/>
  <c r="J216" i="2" s="1"/>
  <c r="AG205" i="2"/>
  <c r="AA205" i="2"/>
  <c r="U205" i="2"/>
  <c r="N205" i="2"/>
  <c r="AH201" i="2"/>
  <c r="AB201" i="2"/>
  <c r="V201" i="2"/>
  <c r="O201" i="2"/>
  <c r="I201" i="2"/>
  <c r="I204" i="2" s="1"/>
  <c r="AI198" i="2"/>
  <c r="AC198" i="2"/>
  <c r="W198" i="2"/>
  <c r="P198" i="2"/>
  <c r="L198" i="2"/>
  <c r="AJ187" i="2"/>
  <c r="AD187" i="2"/>
  <c r="Z187" i="2"/>
  <c r="AJ217" i="2"/>
  <c r="AD217" i="2"/>
  <c r="Z217" i="2"/>
  <c r="T217" i="2"/>
  <c r="M217" i="2"/>
  <c r="AJ209" i="2"/>
  <c r="AD209" i="2"/>
  <c r="Z209" i="2"/>
  <c r="T209" i="2"/>
  <c r="M209" i="2"/>
  <c r="AI194" i="2"/>
  <c r="AC194" i="2"/>
  <c r="W194" i="2"/>
  <c r="P194" i="2"/>
  <c r="L194" i="2"/>
  <c r="AI191" i="2"/>
  <c r="AC191" i="2"/>
  <c r="W191" i="2"/>
  <c r="P191" i="2"/>
  <c r="L191" i="2"/>
  <c r="C66" i="3"/>
  <c r="O80" i="2"/>
  <c r="V80" i="2"/>
  <c r="AB80" i="2"/>
  <c r="AH80" i="2"/>
  <c r="P84" i="2"/>
  <c r="W84" i="2"/>
  <c r="AC84" i="2"/>
  <c r="AI84" i="2"/>
  <c r="T88" i="2"/>
  <c r="Z88" i="2"/>
  <c r="AD88" i="2"/>
  <c r="AJ88" i="2"/>
  <c r="U92" i="2"/>
  <c r="AA92" i="2"/>
  <c r="AG92" i="2"/>
  <c r="O95" i="2"/>
  <c r="V95" i="2"/>
  <c r="AB95" i="2"/>
  <c r="AH95" i="2"/>
  <c r="P99" i="2"/>
  <c r="W99" i="2"/>
  <c r="AC99" i="2"/>
  <c r="AI99" i="2"/>
  <c r="O103" i="2"/>
  <c r="V103" i="2"/>
  <c r="AB103" i="2"/>
  <c r="N172" i="2"/>
  <c r="U172" i="2"/>
  <c r="AA172" i="2"/>
  <c r="AG172" i="2"/>
  <c r="M176" i="2"/>
  <c r="T176" i="2"/>
  <c r="Z176" i="2"/>
  <c r="AD176" i="2"/>
  <c r="AJ176" i="2"/>
  <c r="M180" i="2"/>
  <c r="T180" i="2"/>
  <c r="Z180" i="2"/>
  <c r="AD180" i="2"/>
  <c r="AJ180" i="2"/>
  <c r="M184" i="2"/>
  <c r="T184" i="2"/>
  <c r="Z184" i="2"/>
  <c r="AD184" i="2"/>
  <c r="AJ184" i="2"/>
  <c r="L187" i="2"/>
  <c r="P187" i="2"/>
  <c r="W187" i="2"/>
  <c r="AG187" i="2"/>
  <c r="O191" i="2"/>
  <c r="Z191" i="2"/>
  <c r="AG191" i="2"/>
  <c r="I194" i="2"/>
  <c r="I197" i="2" s="1"/>
  <c r="T194" i="2"/>
  <c r="AA194" i="2"/>
  <c r="AH194" i="2"/>
  <c r="M198" i="2"/>
  <c r="U198" i="2"/>
  <c r="AB198" i="2"/>
  <c r="AJ198" i="2"/>
  <c r="M201" i="2"/>
  <c r="U201" i="2"/>
  <c r="AC201" i="2"/>
  <c r="AJ201" i="2"/>
  <c r="M205" i="2"/>
  <c r="V205" i="2"/>
  <c r="AC205" i="2"/>
  <c r="AJ205" i="2"/>
  <c r="L209" i="2"/>
  <c r="U209" i="2"/>
  <c r="AB209" i="2"/>
  <c r="AI209" i="2"/>
  <c r="L213" i="2"/>
  <c r="T213" i="2"/>
  <c r="AA213" i="2"/>
  <c r="AI213" i="2"/>
  <c r="I217" i="2"/>
  <c r="I220" i="2" s="1"/>
  <c r="J220" i="2" s="1"/>
  <c r="L220" i="2" s="1"/>
  <c r="P217" i="2"/>
  <c r="AA217" i="2"/>
  <c r="AH217" i="2"/>
  <c r="C63" i="3"/>
  <c r="L305" i="2"/>
  <c r="P305" i="2"/>
  <c r="W305" i="2"/>
  <c r="AC305" i="2"/>
  <c r="AI305" i="2"/>
  <c r="M308" i="2"/>
  <c r="T308" i="2"/>
  <c r="Z308" i="2"/>
  <c r="AD308" i="2"/>
  <c r="AJ308" i="2"/>
  <c r="N311" i="2"/>
  <c r="U311" i="2"/>
  <c r="AA311" i="2"/>
  <c r="AG311" i="2"/>
  <c r="I314" i="2"/>
  <c r="O314" i="2"/>
  <c r="V314" i="2"/>
  <c r="AB314" i="2"/>
  <c r="AH314" i="2"/>
  <c r="L317" i="2"/>
  <c r="P317" i="2"/>
  <c r="W317" i="2"/>
  <c r="AC317" i="2"/>
  <c r="AI317" i="2"/>
  <c r="M319" i="2"/>
  <c r="T319" i="2"/>
  <c r="Z319" i="2"/>
  <c r="AD319" i="2"/>
  <c r="AJ319" i="2"/>
  <c r="N321" i="2"/>
  <c r="U321" i="2"/>
  <c r="AA321" i="2"/>
  <c r="AG321" i="2"/>
  <c r="I324" i="2"/>
  <c r="O324" i="2"/>
  <c r="V324" i="2"/>
  <c r="AB324" i="2"/>
  <c r="AH324" i="2"/>
  <c r="L327" i="2"/>
  <c r="P327" i="2"/>
  <c r="W327" i="2"/>
  <c r="AC327" i="2"/>
  <c r="AI327" i="2"/>
  <c r="M330" i="2"/>
  <c r="T330" i="2"/>
  <c r="Z330" i="2"/>
  <c r="AD330" i="2"/>
  <c r="AJ330" i="2"/>
  <c r="F18" i="3"/>
  <c r="I18" i="3" s="1"/>
  <c r="C70" i="3" s="1"/>
  <c r="F20" i="3"/>
  <c r="G52" i="3"/>
  <c r="H52" i="3" s="1"/>
  <c r="N305" i="2"/>
  <c r="U305" i="2"/>
  <c r="AA305" i="2"/>
  <c r="AG305" i="2"/>
  <c r="I308" i="2"/>
  <c r="O308" i="2"/>
  <c r="V308" i="2"/>
  <c r="AB308" i="2"/>
  <c r="AH308" i="2"/>
  <c r="L311" i="2"/>
  <c r="P311" i="2"/>
  <c r="W311" i="2"/>
  <c r="AC311" i="2"/>
  <c r="AI311" i="2"/>
  <c r="M314" i="2"/>
  <c r="T314" i="2"/>
  <c r="Z314" i="2"/>
  <c r="AD314" i="2"/>
  <c r="AJ314" i="2"/>
  <c r="N317" i="2"/>
  <c r="U317" i="2"/>
  <c r="AA317" i="2"/>
  <c r="AG317" i="2"/>
  <c r="I319" i="2"/>
  <c r="O319" i="2"/>
  <c r="V319" i="2"/>
  <c r="AB319" i="2"/>
  <c r="AH319" i="2"/>
  <c r="L321" i="2"/>
  <c r="P321" i="2"/>
  <c r="W321" i="2"/>
  <c r="AC321" i="2"/>
  <c r="AI321" i="2"/>
  <c r="M324" i="2"/>
  <c r="T324" i="2"/>
  <c r="Z324" i="2"/>
  <c r="AD324" i="2"/>
  <c r="AJ324" i="2"/>
  <c r="N327" i="2"/>
  <c r="U327" i="2"/>
  <c r="AA327" i="2"/>
  <c r="AG327" i="2"/>
  <c r="I330" i="2"/>
  <c r="O330" i="2"/>
  <c r="V330" i="2"/>
  <c r="AB330" i="2"/>
  <c r="F14" i="3"/>
  <c r="I14" i="3" s="1"/>
  <c r="M220" i="2" l="1"/>
  <c r="AL180" i="1"/>
  <c r="AL111" i="1"/>
  <c r="AL18" i="1"/>
  <c r="T187" i="1"/>
  <c r="U187" i="1" s="1"/>
  <c r="W187" i="1" s="1"/>
  <c r="X187" i="1" s="1"/>
  <c r="Y187" i="1" s="1"/>
  <c r="AA187" i="1" s="1"/>
  <c r="AB187" i="1" s="1"/>
  <c r="AC187" i="1" s="1"/>
  <c r="AD187" i="1" s="1"/>
  <c r="AE187" i="1" s="1"/>
  <c r="AF187" i="1" s="1"/>
  <c r="AH187" i="1" s="1"/>
  <c r="AI187" i="1" s="1"/>
  <c r="AJ187" i="1" s="1"/>
  <c r="AK187" i="1" s="1"/>
  <c r="AL200" i="1"/>
  <c r="J175" i="1"/>
  <c r="K175" i="1" s="1"/>
  <c r="M175" i="1" s="1"/>
  <c r="N175" i="1" s="1"/>
  <c r="O175" i="1" s="1"/>
  <c r="T175" i="1" s="1"/>
  <c r="U175" i="1" s="1"/>
  <c r="W175" i="1" s="1"/>
  <c r="X175" i="1" s="1"/>
  <c r="Y175" i="1" s="1"/>
  <c r="AA175" i="1" s="1"/>
  <c r="AB175" i="1" s="1"/>
  <c r="AC175" i="1" s="1"/>
  <c r="AA179" i="1"/>
  <c r="AB179" i="1" s="1"/>
  <c r="AC179" i="1" s="1"/>
  <c r="AD179" i="1" s="1"/>
  <c r="AE179" i="1" s="1"/>
  <c r="AF179" i="1" s="1"/>
  <c r="AH179" i="1" s="1"/>
  <c r="AI179" i="1" s="1"/>
  <c r="AJ179" i="1" s="1"/>
  <c r="AK179" i="1" s="1"/>
  <c r="C77" i="3"/>
  <c r="M191" i="1"/>
  <c r="N191" i="1" s="1"/>
  <c r="O191" i="1" s="1"/>
  <c r="T191" i="1" s="1"/>
  <c r="U191" i="1" s="1"/>
  <c r="W191" i="1" s="1"/>
  <c r="X191" i="1" s="1"/>
  <c r="Y191" i="1" s="1"/>
  <c r="AA191" i="1" s="1"/>
  <c r="AB191" i="1" s="1"/>
  <c r="AC191" i="1" s="1"/>
  <c r="AD191" i="1" s="1"/>
  <c r="AE191" i="1" s="1"/>
  <c r="AF191" i="1" s="1"/>
  <c r="AH191" i="1" s="1"/>
  <c r="I146" i="1"/>
  <c r="J146" i="1" s="1"/>
  <c r="K146" i="1" s="1"/>
  <c r="M146" i="1" s="1"/>
  <c r="N146" i="1" s="1"/>
  <c r="O146" i="1" s="1"/>
  <c r="T146" i="1" s="1"/>
  <c r="U146" i="1" s="1"/>
  <c r="W146" i="1" s="1"/>
  <c r="X146" i="1" s="1"/>
  <c r="Y146" i="1" s="1"/>
  <c r="AA146" i="1" s="1"/>
  <c r="AB146" i="1" s="1"/>
  <c r="AC146" i="1" s="1"/>
  <c r="AD146" i="1" s="1"/>
  <c r="AE146" i="1" s="1"/>
  <c r="AL143" i="1"/>
  <c r="AL224" i="1"/>
  <c r="AL22" i="1"/>
  <c r="I25" i="1"/>
  <c r="J25" i="1" s="1"/>
  <c r="K25" i="1" s="1"/>
  <c r="M25" i="1" s="1"/>
  <c r="N25" i="1" s="1"/>
  <c r="O25" i="1" s="1"/>
  <c r="T25" i="1" s="1"/>
  <c r="U25" i="1" s="1"/>
  <c r="W25" i="1" s="1"/>
  <c r="X25" i="1" s="1"/>
  <c r="Y25" i="1" s="1"/>
  <c r="AA25" i="1" s="1"/>
  <c r="AB25" i="1" s="1"/>
  <c r="AC25" i="1" s="1"/>
  <c r="AD25" i="1" s="1"/>
  <c r="AE25" i="1" s="1"/>
  <c r="AF25" i="1" s="1"/>
  <c r="AH25" i="1" s="1"/>
  <c r="AI25" i="1" s="1"/>
  <c r="AJ25" i="1" s="1"/>
  <c r="AK25" i="1" s="1"/>
  <c r="AL7" i="1"/>
  <c r="AL207" i="1"/>
  <c r="AL217" i="1"/>
  <c r="AI219" i="1"/>
  <c r="AL228" i="1"/>
  <c r="AL236" i="1"/>
  <c r="J171" i="1"/>
  <c r="K171" i="1" s="1"/>
  <c r="M171" i="1" s="1"/>
  <c r="N171" i="1" s="1"/>
  <c r="O171" i="1" s="1"/>
  <c r="T171" i="1" s="1"/>
  <c r="U171" i="1" s="1"/>
  <c r="W171" i="1" s="1"/>
  <c r="X171" i="1" s="1"/>
  <c r="Y171" i="1" s="1"/>
  <c r="AA171" i="1" s="1"/>
  <c r="AB171" i="1" s="1"/>
  <c r="AL34" i="1"/>
  <c r="U122" i="1"/>
  <c r="W122" i="1" s="1"/>
  <c r="X122" i="1" s="1"/>
  <c r="Y122" i="1" s="1"/>
  <c r="AA122" i="1" s="1"/>
  <c r="AB122" i="1" s="1"/>
  <c r="AC122" i="1" s="1"/>
  <c r="AD122" i="1" s="1"/>
  <c r="AE122" i="1" s="1"/>
  <c r="AF122" i="1" s="1"/>
  <c r="AH122" i="1" s="1"/>
  <c r="AI122" i="1" s="1"/>
  <c r="AJ122" i="1" s="1"/>
  <c r="AK122" i="1" s="1"/>
  <c r="Y203" i="1"/>
  <c r="AA203" i="1" s="1"/>
  <c r="AB203" i="1" s="1"/>
  <c r="AC203" i="1" s="1"/>
  <c r="AD203" i="1" s="1"/>
  <c r="AE203" i="1" s="1"/>
  <c r="AF203" i="1" s="1"/>
  <c r="AH203" i="1" s="1"/>
  <c r="AI203" i="1" s="1"/>
  <c r="AJ203" i="1" s="1"/>
  <c r="AK203" i="1" s="1"/>
  <c r="AB17" i="1"/>
  <c r="AC17" i="1" s="1"/>
  <c r="AD17" i="1" s="1"/>
  <c r="AE17" i="1" s="1"/>
  <c r="AF17" i="1" s="1"/>
  <c r="AH17" i="1" s="1"/>
  <c r="AI17" i="1" s="1"/>
  <c r="AJ17" i="1" s="1"/>
  <c r="L216" i="2"/>
  <c r="I154" i="1"/>
  <c r="J154" i="1" s="1"/>
  <c r="K154" i="1" s="1"/>
  <c r="M154" i="1" s="1"/>
  <c r="N154" i="1" s="1"/>
  <c r="O154" i="1" s="1"/>
  <c r="T154" i="1" s="1"/>
  <c r="U154" i="1" s="1"/>
  <c r="W154" i="1" s="1"/>
  <c r="X154" i="1" s="1"/>
  <c r="Y154" i="1" s="1"/>
  <c r="AA154" i="1" s="1"/>
  <c r="AB154" i="1" s="1"/>
  <c r="AC154" i="1" s="1"/>
  <c r="AD154" i="1" s="1"/>
  <c r="AE154" i="1" s="1"/>
  <c r="AF154" i="1" s="1"/>
  <c r="AH154" i="1" s="1"/>
  <c r="AI154" i="1" s="1"/>
  <c r="AL151" i="1"/>
  <c r="M33" i="1"/>
  <c r="N33" i="1" s="1"/>
  <c r="O33" i="1" s="1"/>
  <c r="T33" i="1" s="1"/>
  <c r="U33" i="1" s="1"/>
  <c r="W33" i="1" s="1"/>
  <c r="X33" i="1" s="1"/>
  <c r="Y33" i="1" s="1"/>
  <c r="AA33" i="1" s="1"/>
  <c r="AB33" i="1" s="1"/>
  <c r="AC33" i="1" s="1"/>
  <c r="AD33" i="1" s="1"/>
  <c r="AE33" i="1" s="1"/>
  <c r="AF33" i="1" s="1"/>
  <c r="AH33" i="1" s="1"/>
  <c r="AI33" i="1" s="1"/>
  <c r="AJ33" i="1" s="1"/>
  <c r="AK33" i="1" s="1"/>
  <c r="AL158" i="1"/>
  <c r="AL14" i="1"/>
  <c r="AL232" i="1"/>
  <c r="AI223" i="1"/>
  <c r="AL220" i="1"/>
  <c r="K168" i="1"/>
  <c r="M168" i="1" s="1"/>
  <c r="N168" i="1" s="1"/>
  <c r="O168" i="1" s="1"/>
  <c r="T168" i="1" s="1"/>
  <c r="U168" i="1" s="1"/>
  <c r="W168" i="1" s="1"/>
  <c r="X168" i="1" s="1"/>
  <c r="Y168" i="1" s="1"/>
  <c r="AA168" i="1" s="1"/>
  <c r="AB168" i="1" s="1"/>
  <c r="AC168" i="1" s="1"/>
  <c r="AA164" i="1"/>
  <c r="AB164" i="1" s="1"/>
  <c r="AC164" i="1" s="1"/>
  <c r="I21" i="1"/>
  <c r="J21" i="1" s="1"/>
  <c r="K21" i="1" s="1"/>
  <c r="M21" i="1" s="1"/>
  <c r="N21" i="1" s="1"/>
  <c r="O21" i="1" s="1"/>
  <c r="T21" i="1" s="1"/>
  <c r="U21" i="1" s="1"/>
  <c r="W21" i="1" s="1"/>
  <c r="X21" i="1" s="1"/>
  <c r="Y21" i="1" s="1"/>
  <c r="AA21" i="1" s="1"/>
  <c r="AB21" i="1" s="1"/>
  <c r="AC21" i="1" s="1"/>
  <c r="AD21" i="1" s="1"/>
  <c r="AE21" i="1" s="1"/>
  <c r="AF21" i="1" s="1"/>
  <c r="AH21" i="1" s="1"/>
  <c r="AI21" i="1" s="1"/>
  <c r="AJ21" i="1" s="1"/>
  <c r="AD157" i="1"/>
  <c r="AE157" i="1" s="1"/>
  <c r="AJ48" i="2"/>
  <c r="AD48" i="2"/>
  <c r="Z48" i="2"/>
  <c r="T48" i="2"/>
  <c r="M48" i="2"/>
  <c r="AH48" i="2"/>
  <c r="AB48" i="2"/>
  <c r="AI48" i="2"/>
  <c r="W48" i="2"/>
  <c r="O48" i="2"/>
  <c r="AG48" i="2"/>
  <c r="V48" i="2"/>
  <c r="N48" i="2"/>
  <c r="AC48" i="2"/>
  <c r="U48" i="2"/>
  <c r="L48" i="2"/>
  <c r="AA48" i="2"/>
  <c r="P48" i="2"/>
  <c r="I48" i="2"/>
  <c r="I51" i="2" s="1"/>
  <c r="J51" i="2" s="1"/>
  <c r="L51" i="2" s="1"/>
  <c r="AL3" i="1"/>
  <c r="T150" i="1"/>
  <c r="U150" i="1" s="1"/>
  <c r="W150" i="1" s="1"/>
  <c r="X150" i="1" s="1"/>
  <c r="Y150" i="1" s="1"/>
  <c r="AA150" i="1" s="1"/>
  <c r="AB150" i="1" s="1"/>
  <c r="AC150" i="1" s="1"/>
  <c r="AL204" i="1"/>
  <c r="AL211" i="1"/>
  <c r="T118" i="1"/>
  <c r="U118" i="1" s="1"/>
  <c r="W118" i="1" s="1"/>
  <c r="X118" i="1" s="1"/>
  <c r="Y118" i="1" s="1"/>
  <c r="AA118" i="1" s="1"/>
  <c r="AB118" i="1" s="1"/>
  <c r="AC118" i="1" s="1"/>
  <c r="AD118" i="1" s="1"/>
  <c r="AE118" i="1" s="1"/>
  <c r="AF118" i="1" s="1"/>
  <c r="AH118" i="1" s="1"/>
  <c r="AI118" i="1" s="1"/>
  <c r="AJ118" i="1" s="1"/>
  <c r="AK118" i="1" s="1"/>
  <c r="I6" i="1"/>
  <c r="J6" i="1" s="1"/>
  <c r="K6" i="1" s="1"/>
  <c r="M6" i="1" s="1"/>
  <c r="N6" i="1" s="1"/>
  <c r="O6" i="1" s="1"/>
  <c r="T6" i="1" s="1"/>
  <c r="U6" i="1" s="1"/>
  <c r="W6" i="1" s="1"/>
  <c r="X6" i="1" s="1"/>
  <c r="Y6" i="1" s="1"/>
  <c r="AA6" i="1" s="1"/>
  <c r="AB6" i="1" s="1"/>
  <c r="AC6" i="1" s="1"/>
  <c r="AD6" i="1" s="1"/>
  <c r="AE6" i="1" s="1"/>
  <c r="AF6" i="1" s="1"/>
  <c r="AH6" i="1" s="1"/>
  <c r="AI6" i="1" s="1"/>
  <c r="AK6" i="1" s="1"/>
  <c r="M51" i="2" l="1"/>
</calcChain>
</file>

<file path=xl/sharedStrings.xml><?xml version="1.0" encoding="utf-8"?>
<sst xmlns="http://schemas.openxmlformats.org/spreadsheetml/2006/main" count="2667" uniqueCount="497">
  <si>
    <r>
      <rPr>
        <b/>
        <sz val="14"/>
        <color theme="1"/>
        <rFont val="宋体"/>
        <family val="3"/>
        <charset val="134"/>
      </rPr>
      <t>电线部</t>
    </r>
    <r>
      <rPr>
        <b/>
        <sz val="14"/>
        <color theme="1"/>
        <rFont val="Times New Roman"/>
        <family val="1"/>
      </rPr>
      <t>2</t>
    </r>
    <r>
      <rPr>
        <b/>
        <sz val="14"/>
        <color theme="1"/>
        <rFont val="宋体"/>
        <family val="3"/>
        <charset val="134"/>
      </rPr>
      <t>月份生产排程计划</t>
    </r>
  </si>
  <si>
    <t>TYPE</t>
  </si>
  <si>
    <t>PART NUMBER</t>
  </si>
  <si>
    <t>ORDER</t>
  </si>
  <si>
    <t>PANJANG / PCS</t>
  </si>
  <si>
    <t>殚单数量</t>
    <phoneticPr fontId="0" type="noConversion"/>
  </si>
  <si>
    <t>生管交期</t>
    <phoneticPr fontId="0" type="noConversion"/>
  </si>
  <si>
    <t>SPESIFIKASI</t>
  </si>
  <si>
    <t xml:space="preserve">工序 PROSES </t>
  </si>
  <si>
    <t>TOTAL</t>
  </si>
  <si>
    <t>W03-25050003-Y</t>
  </si>
  <si>
    <t>每天 SETIAP HARI</t>
  </si>
  <si>
    <t>35 / 0,080A</t>
  </si>
  <si>
    <t>绞铜红黑(米)STRANDING (MERAH HITAM)</t>
  </si>
  <si>
    <t>MK83</t>
  </si>
  <si>
    <t>需求设备 JML MESIN YANG DIPERLUKAN</t>
  </si>
  <si>
    <t>实际产能 HASIL AKTUAL</t>
  </si>
  <si>
    <t>Selisih Produksi</t>
  </si>
  <si>
    <t>11 / 0,080A + 150D</t>
  </si>
  <si>
    <t>绞铜白(米)STRANDING (PUTIH)</t>
  </si>
  <si>
    <t>CORE MERAH</t>
  </si>
  <si>
    <t>芯线红(米) EKSTRUSI CORE MERAH</t>
  </si>
  <si>
    <t>CORE HITAM</t>
  </si>
  <si>
    <t>芯线黑(米)EKSTRUSI CORE HITAM</t>
  </si>
  <si>
    <t>芯押机 JML MESIN YANG DIPERLUKAN</t>
  </si>
  <si>
    <t>CORE PUTIH</t>
  </si>
  <si>
    <t>芯线白(米)EKSTRUSI CORE PUTIH</t>
  </si>
  <si>
    <t>总绞 包纸(米)TWISTING</t>
  </si>
  <si>
    <t>总绞机 JML MESIN YANG DIPERLUKAN</t>
  </si>
  <si>
    <t>外押（PCS）EKSTRUSI LUAR</t>
  </si>
  <si>
    <t>押出70机 MESIN EKSTRUSI 70</t>
  </si>
  <si>
    <t>MM38 / MP98</t>
  </si>
  <si>
    <t>W03-00040033-Y</t>
  </si>
  <si>
    <t>70 / 0,080A</t>
  </si>
  <si>
    <t>11 / 0,080A + 200D</t>
  </si>
  <si>
    <t>绞铜白黄(米)STRANDING (PUTIH KUNING)</t>
  </si>
  <si>
    <t xml:space="preserve">CORE KUNING </t>
  </si>
  <si>
    <t>芯线黄(米)EKSTRUSI CORE KUNING</t>
  </si>
  <si>
    <t>MK09</t>
  </si>
  <si>
    <t>W03-00030005-Y</t>
  </si>
  <si>
    <r>
      <t>2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imes New Roman"/>
        <family val="1"/>
      </rPr>
      <t>6:36000PCS
2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日：</t>
    </r>
    <r>
      <rPr>
        <sz val="11"/>
        <color theme="1"/>
        <rFont val="Times New Roman"/>
        <family val="1"/>
      </rPr>
      <t xml:space="preserve">20000PCS
</t>
    </r>
  </si>
  <si>
    <t>95 / 0,080A</t>
  </si>
  <si>
    <t>绞铜红(米)STRANDING (MERAH)</t>
  </si>
  <si>
    <t>绞铜白灰(米)STRANDING (PUTIH ABU-ABU)</t>
  </si>
  <si>
    <t>CORE ABU-ABU</t>
  </si>
  <si>
    <t>芯线灰(米)EKSTRUSI CORE ABU-ABU</t>
  </si>
  <si>
    <t>纏繞(米)WINDING</t>
  </si>
  <si>
    <t>纏繞机 JML MESIN YANG DIPERLUKAN</t>
  </si>
  <si>
    <t>押出50机 MESIN EKSTRUSI 50</t>
  </si>
  <si>
    <t>AX88</t>
  </si>
  <si>
    <t>W03-71010061-Y</t>
  </si>
  <si>
    <r>
      <t>2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imes New Roman"/>
        <family val="1"/>
      </rPr>
      <t>17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20000PCS</t>
    </r>
  </si>
  <si>
    <t>11 / 0,160A</t>
  </si>
  <si>
    <t>AY01</t>
  </si>
  <si>
    <t>W03-71010060-Y</t>
  </si>
  <si>
    <t>2月17：10000PCS</t>
  </si>
  <si>
    <t>MB50B</t>
  </si>
  <si>
    <t>W03-71010064-Y</t>
  </si>
  <si>
    <r>
      <t>2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imes New Roman"/>
        <family val="1"/>
      </rPr>
      <t>24</t>
    </r>
    <r>
      <rPr>
        <sz val="11"/>
        <color theme="1"/>
        <rFont val="宋体"/>
        <family val="3"/>
        <charset val="134"/>
      </rPr>
      <t>：每天</t>
    </r>
    <r>
      <rPr>
        <sz val="11"/>
        <color theme="1"/>
        <rFont val="Times New Roman"/>
        <family val="1"/>
      </rPr>
      <t>10000</t>
    </r>
  </si>
  <si>
    <t>26 / 0,080UEW</t>
  </si>
  <si>
    <t>BL98B</t>
  </si>
  <si>
    <t>W03-71010075-Y</t>
  </si>
  <si>
    <r>
      <t>3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日：</t>
    </r>
    <r>
      <rPr>
        <sz val="11"/>
        <color theme="1"/>
        <rFont val="Times New Roman"/>
        <family val="1"/>
      </rPr>
      <t>20000</t>
    </r>
  </si>
  <si>
    <t>65 / 0,160A</t>
  </si>
  <si>
    <t>28 + 24 /                   28 + 28</t>
  </si>
  <si>
    <t>7 / 0,200A</t>
  </si>
  <si>
    <t>7 / 0,120A</t>
  </si>
  <si>
    <t>绞铜(米)STRANDING</t>
  </si>
  <si>
    <t>7 / 0,127A</t>
  </si>
  <si>
    <t>绞铜白红黑(米)STRANDING (PUTIH HIJAU MERAH HITAM)</t>
  </si>
  <si>
    <t>芯线红(米) EKSTRUSI CORE MERAH 28 + 24</t>
  </si>
  <si>
    <t>芯线黑(米)EKSTRUSI CORE HITAM 28 + 24</t>
  </si>
  <si>
    <t>芯线红(米) EKSTRUSI CORE MERAH 28 + 28</t>
  </si>
  <si>
    <t>芯线黑(米)EKSTRUSI CORE HITAM 28 + 28</t>
  </si>
  <si>
    <t xml:space="preserve">CORE HIJAU </t>
  </si>
  <si>
    <t>芯线(米)EKSTRUSI CORE HIJAU</t>
  </si>
  <si>
    <t>总绞 包纸(米)TWISTING 28 + 24</t>
  </si>
  <si>
    <t>总绞 包纸(米)TWISTING 28 + 28</t>
  </si>
  <si>
    <t>編織(米)BRAIDING 28 + 24</t>
  </si>
  <si>
    <t>編織机 JML MESIN YANG DIPERLUKAN</t>
  </si>
  <si>
    <t>編織(米)BRAIDING 28 + 28</t>
  </si>
  <si>
    <t>28 + 24</t>
  </si>
  <si>
    <t>28 + 28</t>
  </si>
  <si>
    <t>SONY</t>
  </si>
  <si>
    <t>W03-27601194-Y</t>
  </si>
  <si>
    <r>
      <t>2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imes New Roman"/>
        <family val="1"/>
      </rPr>
      <t>25</t>
    </r>
    <r>
      <rPr>
        <sz val="11"/>
        <color theme="1"/>
        <rFont val="宋体"/>
        <family val="3"/>
        <charset val="134"/>
      </rPr>
      <t>开始产出：</t>
    </r>
    <r>
      <rPr>
        <sz val="11"/>
        <color theme="1"/>
        <rFont val="Times New Roman"/>
        <family val="1"/>
      </rPr>
      <t>50000
2</t>
    </r>
    <r>
      <rPr>
        <sz val="11"/>
        <color theme="1"/>
        <rFont val="宋体"/>
        <family val="3"/>
        <charset val="134"/>
      </rPr>
      <t>月20日发泡料到</t>
    </r>
  </si>
  <si>
    <t>7 / 0,080T</t>
  </si>
  <si>
    <t>绞铜白(米)STRANDING(PUTIH COKLAT MERAH KUNING ORANGE)</t>
  </si>
  <si>
    <t>绞铜机 JML MESIN YANG DIPERLUKAN</t>
  </si>
  <si>
    <t>CORE PUTIH FOAM</t>
  </si>
  <si>
    <t>芯线白(米)EKSTRUSI FOAM CORE PUTIH</t>
  </si>
  <si>
    <t>CORE COKLAT FOAM</t>
  </si>
  <si>
    <t>芯线(米)EKSTRUSI FOAM CORE COKLAT</t>
  </si>
  <si>
    <t>芯线机 JML MESIN YANG DIPERLUKAN</t>
  </si>
  <si>
    <t>CORE ORANGE</t>
  </si>
  <si>
    <t>芯线(米)EKSTRUSI CORE ORANGE</t>
  </si>
  <si>
    <t>對絞(米)SINGLE TWIST</t>
  </si>
  <si>
    <t>對絞机 JML MESIN YANG DIPERLUKAN</t>
  </si>
  <si>
    <t>包帶(米)BELT MACHINE</t>
  </si>
  <si>
    <t>包帶机 JML MESIN YANG DIPERLUKAN</t>
  </si>
  <si>
    <t>总绞(米)TWISTING</t>
  </si>
  <si>
    <t>編織(米)BRAIDING</t>
  </si>
  <si>
    <t>細伸COPPER DRAWING</t>
  </si>
  <si>
    <t>HASIL AKTUAL</t>
  </si>
  <si>
    <t>ANEALING, ENAMELING DAN TINING</t>
  </si>
  <si>
    <t>0,080A</t>
  </si>
  <si>
    <t>0,080T</t>
  </si>
  <si>
    <t>0,254T</t>
  </si>
  <si>
    <t>0,080UEW</t>
  </si>
  <si>
    <t xml:space="preserve">TOTAL </t>
  </si>
  <si>
    <t>电线部3月份生产排程计划</t>
  </si>
  <si>
    <t>伸线(KG)COPPER DRAWING</t>
  </si>
  <si>
    <t>需求设备JML MESIN YANG DIPERLUKAN</t>
  </si>
  <si>
    <t>纍計差異Selisih Produksi</t>
  </si>
  <si>
    <t>退火 ANEALING</t>
  </si>
  <si>
    <r>
      <rPr>
        <sz val="11"/>
        <color theme="1"/>
        <rFont val="宋体"/>
        <family val="3"/>
        <charset val="134"/>
      </rPr>
      <t>3月：每天</t>
    </r>
    <r>
      <rPr>
        <sz val="11"/>
        <color theme="1"/>
        <rFont val="Times New Roman"/>
        <family val="1"/>
      </rPr>
      <t>13000</t>
    </r>
  </si>
  <si>
    <t>漆包(KG)ENAMELING</t>
  </si>
  <si>
    <t>镀锡 TINING</t>
  </si>
  <si>
    <t xml:space="preserve"> </t>
  </si>
  <si>
    <t>W03-25040053-Y</t>
  </si>
  <si>
    <t>0,100T</t>
  </si>
  <si>
    <t>0,127T</t>
  </si>
  <si>
    <t>7 / 0,127T</t>
  </si>
  <si>
    <t>绞铜白(米)STRANDING</t>
  </si>
  <si>
    <t>绞铜白(米)STRANDING(HITAM)</t>
  </si>
  <si>
    <t>7 / 0,100T</t>
  </si>
  <si>
    <t>绞铜白(米)STRANDING(PUTIH HIJAU)</t>
  </si>
  <si>
    <t>34 / 0,100T</t>
  </si>
  <si>
    <t>绞铜(米)STRANDING(MERAH)</t>
  </si>
  <si>
    <t>芯线(米)EKSTRUSI CORE HITAM</t>
  </si>
  <si>
    <t>芯线(米)EKSTRUSI CORE PUTIH</t>
  </si>
  <si>
    <t>芯线綠(米)EKSTRUSI CORE HIJAU</t>
  </si>
  <si>
    <t>PANJANG (M)</t>
  </si>
  <si>
    <t>銅用量 BERAT (KG)</t>
  </si>
  <si>
    <t>細伸 COPPER DRAWING (JML MESIN)</t>
  </si>
  <si>
    <t>絞銅 STRANDING (JML MESIN)</t>
  </si>
  <si>
    <t>芯押 EKSTRUSI (JML MESIN)</t>
  </si>
  <si>
    <t>對絞 SINGLE TWIST (JML MESIN)</t>
  </si>
  <si>
    <t>包帶 BELT MACHINE (JML MESIN)</t>
  </si>
  <si>
    <t>總絞 TWISTING (JML MESIN)</t>
  </si>
  <si>
    <t>編織 BRAIDING  (JML MESIN)</t>
  </si>
  <si>
    <t xml:space="preserve">纏繞 WINDING (JML MESIN) </t>
  </si>
  <si>
    <t>外押 JACKET EKSTRUSI</t>
  </si>
  <si>
    <t>每天</t>
    <phoneticPr fontId="0" type="noConversion"/>
  </si>
  <si>
    <t>CORE KUNING</t>
  </si>
  <si>
    <t>0,120A</t>
  </si>
  <si>
    <t>CORE HIJAU</t>
  </si>
  <si>
    <r>
      <t>2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imes New Roman"/>
        <family val="1"/>
      </rPr>
      <t>25</t>
    </r>
    <r>
      <rPr>
        <sz val="11"/>
        <color theme="1"/>
        <rFont val="宋体"/>
        <family val="3"/>
        <charset val="134"/>
      </rPr>
      <t>开始产出：</t>
    </r>
    <r>
      <rPr>
        <sz val="11"/>
        <color theme="1"/>
        <rFont val="Times New Roman"/>
        <family val="1"/>
      </rPr>
      <t>50000
2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imes New Roman"/>
        <family val="1"/>
      </rPr>
      <t>12</t>
    </r>
    <r>
      <rPr>
        <sz val="11"/>
        <color theme="1"/>
        <rFont val="宋体"/>
        <family val="3"/>
        <charset val="134"/>
      </rPr>
      <t>日发泡料到</t>
    </r>
  </si>
  <si>
    <t>月用量</t>
    <phoneticPr fontId="0" type="noConversion"/>
  </si>
  <si>
    <t>机台数量</t>
    <phoneticPr fontId="0" type="noConversion"/>
  </si>
  <si>
    <t>芯押 EKSTRUSI</t>
  </si>
  <si>
    <t>0.080</t>
  </si>
  <si>
    <t>芯押 EKSTRUSI FOAM</t>
  </si>
  <si>
    <t>0.160</t>
  </si>
  <si>
    <t>對絞 SINGLE TWIST</t>
  </si>
  <si>
    <t>0.127</t>
  </si>
  <si>
    <t>包帶 BELT MACHIN</t>
  </si>
  <si>
    <t>0.120</t>
  </si>
  <si>
    <t>總絞 TWISTING</t>
  </si>
  <si>
    <t>0.200</t>
  </si>
  <si>
    <t>編織 BRAIDING</t>
  </si>
  <si>
    <t>0.254</t>
  </si>
  <si>
    <t xml:space="preserve">纏繞 WINDING </t>
  </si>
  <si>
    <t>絞銅 STRANDING</t>
  </si>
  <si>
    <t>11 / 0,080A</t>
  </si>
  <si>
    <t>PT.LINKFORTUNE</t>
  </si>
  <si>
    <r>
      <rPr>
        <sz val="10"/>
        <rFont val="Times New Roman"/>
        <family val="1"/>
      </rPr>
      <t>Tahun /</t>
    </r>
    <r>
      <rPr>
        <sz val="10"/>
        <color rgb="FF0000FF"/>
        <rFont val="Times New Roman"/>
        <family val="1"/>
      </rPr>
      <t>year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年：</t>
    </r>
    <r>
      <rPr>
        <sz val="10"/>
        <rFont val="Times New Roman"/>
        <family val="1"/>
      </rPr>
      <t>2023</t>
    </r>
  </si>
  <si>
    <r>
      <rPr>
        <sz val="10"/>
        <rFont val="Times New Roman"/>
        <family val="1"/>
      </rPr>
      <t xml:space="preserve">Tanggal
</t>
    </r>
    <r>
      <rPr>
        <sz val="10"/>
        <color rgb="FF0000FF"/>
        <rFont val="新細明體"/>
        <charset val="136"/>
      </rPr>
      <t>Date</t>
    </r>
    <r>
      <rPr>
        <sz val="10"/>
        <rFont val="新細明體"/>
        <charset val="134"/>
      </rPr>
      <t xml:space="preserve">
日期</t>
    </r>
  </si>
  <si>
    <r>
      <rPr>
        <sz val="10"/>
        <rFont val="Times New Roman"/>
        <family val="1"/>
      </rPr>
      <t xml:space="preserve">No mesin                        </t>
    </r>
    <r>
      <rPr>
        <i/>
        <sz val="10"/>
        <color indexed="12"/>
        <rFont val="Times New Roman"/>
        <family val="1"/>
      </rPr>
      <t xml:space="preserve">Machine Number                      </t>
    </r>
    <r>
      <rPr>
        <sz val="10"/>
        <rFont val="Times New Roman"/>
        <family val="1"/>
      </rPr>
      <t xml:space="preserve">機台號     </t>
    </r>
  </si>
  <si>
    <r>
      <rPr>
        <sz val="10"/>
        <rFont val="Times New Roman"/>
        <family val="1"/>
      </rPr>
      <t xml:space="preserve">Proses                    </t>
    </r>
    <r>
      <rPr>
        <i/>
        <sz val="10"/>
        <color indexed="12"/>
        <rFont val="Times New Roman"/>
        <family val="1"/>
      </rPr>
      <t xml:space="preserve">Process                      </t>
    </r>
    <r>
      <rPr>
        <sz val="10"/>
        <rFont val="Times New Roman"/>
        <family val="1"/>
      </rPr>
      <t xml:space="preserve">工序別 </t>
    </r>
  </si>
  <si>
    <t>Jumlah standar pada mesin标准开机台数</t>
  </si>
  <si>
    <r>
      <rPr>
        <sz val="10"/>
        <rFont val="Times New Roman"/>
        <family val="1"/>
      </rPr>
      <t>Order/peralatan tidak mencukupi
Jumlah pekerjaan sebenarnya</t>
    </r>
    <r>
      <rPr>
        <sz val="10"/>
        <rFont val="宋体"/>
        <charset val="134"/>
      </rPr>
      <t>定单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设备不足导致实际开机台数</t>
    </r>
  </si>
  <si>
    <r>
      <rPr>
        <sz val="10"/>
        <rFont val="Times New Roman"/>
        <family val="1"/>
      </rPr>
      <t xml:space="preserve">jumlah afkir (Kg)  </t>
    </r>
    <r>
      <rPr>
        <i/>
        <sz val="10"/>
        <color indexed="12"/>
        <rFont val="Times New Roman"/>
        <family val="1"/>
      </rPr>
      <t>Amount of reject</t>
    </r>
    <r>
      <rPr>
        <i/>
        <sz val="10"/>
        <color indexed="12"/>
        <rFont val="Times New Roman"/>
        <family val="1"/>
      </rPr>
      <t xml:space="preserve"> </t>
    </r>
    <r>
      <rPr>
        <sz val="10"/>
        <rFont val="Times New Roman"/>
        <family val="1"/>
      </rPr>
      <t xml:space="preserve">      報廢數     </t>
    </r>
  </si>
  <si>
    <r>
      <rPr>
        <sz val="10"/>
        <rFont val="Times New Roman"/>
        <family val="1"/>
      </rPr>
      <t xml:space="preserve">Persentase afkir   </t>
    </r>
    <r>
      <rPr>
        <i/>
        <sz val="10"/>
        <color indexed="12"/>
        <rFont val="Times New Roman"/>
        <family val="1"/>
      </rPr>
      <t xml:space="preserve">Precentage of reject    </t>
    </r>
    <r>
      <rPr>
        <sz val="10"/>
        <rFont val="Times New Roman"/>
        <family val="1"/>
      </rPr>
      <t xml:space="preserve"> 報廢率 </t>
    </r>
  </si>
  <si>
    <t>Jumlah operator
人数</t>
  </si>
  <si>
    <r>
      <rPr>
        <sz val="10"/>
        <rFont val="Times New Roman"/>
        <family val="1"/>
      </rPr>
      <t xml:space="preserve">Jam Kerja </t>
    </r>
    <r>
      <rPr>
        <i/>
        <sz val="10"/>
        <color indexed="12"/>
        <rFont val="Times New Roman"/>
        <family val="1"/>
      </rPr>
      <t xml:space="preserve">Working Hours 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工時</t>
    </r>
    <r>
      <rPr>
        <sz val="10"/>
        <rFont val="Times New Roman"/>
        <family val="1"/>
      </rPr>
      <t xml:space="preserve">      </t>
    </r>
  </si>
  <si>
    <t>Abnormal
Jam Kerja
异常工时</t>
  </si>
  <si>
    <t>Total Jam kerja
合计工时</t>
  </si>
  <si>
    <t>Jam kerja standar
标准工时
KG/H</t>
  </si>
  <si>
    <t>标准套用工时</t>
  </si>
  <si>
    <t>实际工时
人/时</t>
  </si>
  <si>
    <t>Rifky</t>
  </si>
  <si>
    <r>
      <rPr>
        <sz val="10"/>
        <rFont val="Times New Roman"/>
        <family val="1"/>
      </rPr>
      <t xml:space="preserve">disetujui                     
</t>
    </r>
    <r>
      <rPr>
        <sz val="10"/>
        <color rgb="FF0000FF"/>
        <rFont val="Times New Roman"/>
        <family val="1"/>
      </rPr>
      <t xml:space="preserve"> approve by  </t>
    </r>
    <r>
      <rPr>
        <sz val="10"/>
        <rFont val="Times New Roman"/>
        <family val="1"/>
      </rPr>
      <t xml:space="preserve">                  
</t>
    </r>
    <r>
      <rPr>
        <sz val="10"/>
        <rFont val="宋体"/>
        <charset val="134"/>
      </rPr>
      <t>核准</t>
    </r>
    <r>
      <rPr>
        <sz val="10"/>
        <rFont val="Times New Roman"/>
        <family val="1"/>
      </rPr>
      <t xml:space="preserve">  </t>
    </r>
  </si>
  <si>
    <r>
      <rPr>
        <sz val="10"/>
        <rFont val="Times New Roman"/>
        <family val="1"/>
      </rPr>
      <t xml:space="preserve">dicek                                        </t>
    </r>
    <r>
      <rPr>
        <i/>
        <sz val="10"/>
        <color indexed="12"/>
        <rFont val="Times New Roman"/>
        <family val="1"/>
      </rPr>
      <t>check by</t>
    </r>
    <r>
      <rPr>
        <sz val="10"/>
        <rFont val="Times New Roman"/>
        <family val="1"/>
      </rPr>
      <t xml:space="preserve">                                   審核</t>
    </r>
  </si>
  <si>
    <r>
      <rPr>
        <sz val="10"/>
        <rFont val="Times New Roman"/>
        <family val="1"/>
      </rPr>
      <t xml:space="preserve">dibuat                                          </t>
    </r>
    <r>
      <rPr>
        <i/>
        <sz val="10"/>
        <color indexed="12"/>
        <rFont val="Times New Roman"/>
        <family val="1"/>
      </rPr>
      <t xml:space="preserve">made by                                             </t>
    </r>
    <r>
      <rPr>
        <sz val="10"/>
        <rFont val="宋体"/>
        <charset val="134"/>
      </rPr>
      <t>作成</t>
    </r>
    <r>
      <rPr>
        <sz val="10"/>
        <rFont val="Times New Roman"/>
        <family val="1"/>
      </rPr>
      <t xml:space="preserve">  </t>
    </r>
  </si>
  <si>
    <t>袁  博</t>
  </si>
  <si>
    <t>李天富</t>
  </si>
  <si>
    <t>Ricky</t>
  </si>
  <si>
    <r>
      <rPr>
        <sz val="10"/>
        <rFont val="Times New Roman"/>
        <family val="1"/>
      </rPr>
      <t xml:space="preserve">Persentase target (%)    </t>
    </r>
    <r>
      <rPr>
        <i/>
        <sz val="10"/>
        <color indexed="12"/>
        <rFont val="Times New Roman"/>
        <family val="1"/>
      </rPr>
      <t xml:space="preserve">Target Precentage  </t>
    </r>
    <r>
      <rPr>
        <sz val="10"/>
        <rFont val="Times New Roman"/>
        <family val="1"/>
      </rPr>
      <t xml:space="preserve">達成率  </t>
    </r>
  </si>
  <si>
    <t>1m/H</t>
  </si>
  <si>
    <t>标准总工时</t>
  </si>
  <si>
    <t>Laporan Harian Stranding, Winding, Braiding, dan Twisting Kabel</t>
  </si>
  <si>
    <t>Stranding,Winding,Braiding and Twisting daily report</t>
  </si>
  <si>
    <t>絞線、纏繞日報表</t>
  </si>
  <si>
    <r>
      <rPr>
        <sz val="11"/>
        <rFont val="Times New Roman"/>
        <family val="1"/>
      </rPr>
      <t xml:space="preserve"> Kelas/</t>
    </r>
    <r>
      <rPr>
        <i/>
        <sz val="11"/>
        <color indexed="12"/>
        <rFont val="Times New Roman"/>
        <family val="1"/>
      </rPr>
      <t>Class</t>
    </r>
    <r>
      <rPr>
        <sz val="11"/>
        <rFont val="Times New Roman"/>
        <family val="1"/>
      </rPr>
      <t>/</t>
    </r>
    <r>
      <rPr>
        <sz val="11"/>
        <rFont val="宋体"/>
        <charset val="134"/>
      </rPr>
      <t>班別：</t>
    </r>
    <r>
      <rPr>
        <sz val="11"/>
        <rFont val="Times New Roman"/>
        <family val="1"/>
      </rPr>
      <t xml:space="preserve">       </t>
    </r>
    <r>
      <rPr>
        <sz val="11"/>
        <rFont val="宋体"/>
        <charset val="134"/>
      </rPr>
      <t>绞线</t>
    </r>
    <r>
      <rPr>
        <sz val="11"/>
        <rFont val="Times New Roman"/>
        <family val="1"/>
      </rPr>
      <t xml:space="preserve">                                                               </t>
    </r>
  </si>
  <si>
    <r>
      <rPr>
        <sz val="10"/>
        <rFont val="Times New Roman"/>
        <family val="1"/>
      </rPr>
      <t xml:space="preserve">Nomor mesin  </t>
    </r>
    <r>
      <rPr>
        <i/>
        <sz val="10"/>
        <color indexed="12"/>
        <rFont val="Times New Roman"/>
        <family val="1"/>
      </rPr>
      <t xml:space="preserve">Machine Number      </t>
    </r>
    <r>
      <rPr>
        <sz val="10"/>
        <rFont val="Times New Roman"/>
        <family val="1"/>
      </rPr>
      <t xml:space="preserve">機台號     </t>
    </r>
  </si>
  <si>
    <r>
      <rPr>
        <sz val="10"/>
        <rFont val="Times New Roman"/>
        <family val="1"/>
      </rPr>
      <t xml:space="preserve">Spesifikasi  </t>
    </r>
    <r>
      <rPr>
        <i/>
        <sz val="10"/>
        <color indexed="12"/>
        <rFont val="Times New Roman"/>
        <family val="1"/>
      </rPr>
      <t xml:space="preserve">Specification   </t>
    </r>
    <r>
      <rPr>
        <sz val="10"/>
        <rFont val="Times New Roman"/>
        <family val="1"/>
      </rPr>
      <t xml:space="preserve">        規格                           </t>
    </r>
  </si>
  <si>
    <r>
      <rPr>
        <sz val="10"/>
        <rFont val="Times New Roman"/>
        <family val="1"/>
      </rPr>
      <t xml:space="preserve">Putaran (mm)   </t>
    </r>
    <r>
      <rPr>
        <i/>
        <sz val="10"/>
        <color indexed="12"/>
        <rFont val="Times New Roman"/>
        <family val="1"/>
      </rPr>
      <t xml:space="preserve">Rotation </t>
    </r>
    <r>
      <rPr>
        <sz val="10"/>
        <rFont val="Times New Roman"/>
        <family val="1"/>
      </rPr>
      <t xml:space="preserve">絞距 </t>
    </r>
  </si>
  <si>
    <r>
      <rPr>
        <sz val="10"/>
        <rFont val="Times New Roman"/>
        <family val="1"/>
      </rPr>
      <t xml:space="preserve">No JO                        </t>
    </r>
    <r>
      <rPr>
        <i/>
        <sz val="10"/>
        <color indexed="12"/>
        <rFont val="Times New Roman"/>
        <family val="1"/>
      </rPr>
      <t xml:space="preserve">JO Number           </t>
    </r>
    <r>
      <rPr>
        <sz val="10"/>
        <rFont val="Times New Roman"/>
        <family val="1"/>
      </rPr>
      <t xml:space="preserve"> 制令號              </t>
    </r>
  </si>
  <si>
    <r>
      <rPr>
        <sz val="10"/>
        <rFont val="Times New Roman"/>
        <family val="1"/>
      </rPr>
      <t xml:space="preserve">Standar target
(M)  </t>
    </r>
    <r>
      <rPr>
        <i/>
        <sz val="10"/>
        <color indexed="12"/>
        <rFont val="Times New Roman"/>
        <family val="1"/>
      </rPr>
      <t xml:space="preserve">Standard of target  </t>
    </r>
    <r>
      <rPr>
        <sz val="10"/>
        <rFont val="宋体"/>
        <charset val="134"/>
      </rPr>
      <t>標準產量</t>
    </r>
    <r>
      <rPr>
        <sz val="10"/>
        <rFont val="Times New Roman"/>
        <family val="1"/>
      </rPr>
      <t xml:space="preserve">  </t>
    </r>
  </si>
  <si>
    <r>
      <rPr>
        <sz val="10"/>
        <rFont val="Times New Roman"/>
        <family val="1"/>
      </rPr>
      <t xml:space="preserve">Nomor produk kabel                  </t>
    </r>
    <r>
      <rPr>
        <i/>
        <sz val="10"/>
        <color indexed="12"/>
        <rFont val="Times New Roman"/>
        <family val="1"/>
      </rPr>
      <t xml:space="preserve">Wire product number   </t>
    </r>
    <r>
      <rPr>
        <sz val="10"/>
        <rFont val="Times New Roman"/>
        <family val="1"/>
      </rPr>
      <t xml:space="preserve">     線材品號  </t>
    </r>
  </si>
  <si>
    <r>
      <rPr>
        <sz val="10"/>
        <rFont val="Times New Roman"/>
        <family val="1"/>
      </rPr>
      <t xml:space="preserve">jumlah produksi (M)      </t>
    </r>
    <r>
      <rPr>
        <i/>
        <sz val="10"/>
        <color indexed="12"/>
        <rFont val="Times New Roman"/>
        <family val="1"/>
      </rPr>
      <t xml:space="preserve">Amount of Production </t>
    </r>
    <r>
      <rPr>
        <sz val="10"/>
        <rFont val="Times New Roman"/>
        <family val="1"/>
      </rPr>
      <t xml:space="preserve">生產數 </t>
    </r>
  </si>
  <si>
    <r>
      <rPr>
        <sz val="10"/>
        <rFont val="Times New Roman"/>
        <family val="1"/>
      </rPr>
      <t xml:space="preserve">berat
(KG)  </t>
    </r>
    <r>
      <rPr>
        <i/>
        <sz val="10"/>
        <color indexed="12"/>
        <rFont val="Times New Roman"/>
        <family val="1"/>
      </rPr>
      <t xml:space="preserve">Weight </t>
    </r>
    <r>
      <rPr>
        <sz val="10"/>
        <rFont val="Times New Roman"/>
        <family val="1"/>
      </rPr>
      <t xml:space="preserve">重量 </t>
    </r>
  </si>
  <si>
    <t>实际台数达成率</t>
  </si>
  <si>
    <r>
      <rPr>
        <sz val="10"/>
        <rFont val="Times New Roman"/>
        <family val="1"/>
      </rPr>
      <t xml:space="preserve">Operator </t>
    </r>
    <r>
      <rPr>
        <i/>
        <sz val="10"/>
        <color indexed="12"/>
        <rFont val="Times New Roman"/>
        <family val="1"/>
      </rPr>
      <t xml:space="preserve">Operator    </t>
    </r>
    <r>
      <rPr>
        <sz val="10"/>
        <rFont val="Times New Roman"/>
        <family val="1"/>
      </rPr>
      <t xml:space="preserve">作業員 </t>
    </r>
  </si>
  <si>
    <r>
      <rPr>
        <sz val="11"/>
        <rFont val="Times New Roman"/>
        <family val="1"/>
      </rPr>
      <t xml:space="preserve">jam produksi </t>
    </r>
    <r>
      <rPr>
        <i/>
        <sz val="11"/>
        <color indexed="12"/>
        <rFont val="Times New Roman"/>
        <family val="1"/>
      </rPr>
      <t xml:space="preserve">Production hours </t>
    </r>
    <r>
      <rPr>
        <sz val="11"/>
        <rFont val="Times New Roman"/>
        <family val="1"/>
      </rPr>
      <t xml:space="preserve">生產工時        </t>
    </r>
  </si>
  <si>
    <t>Jam kerja standar
标准工时
m/H</t>
  </si>
  <si>
    <r>
      <rPr>
        <sz val="10"/>
        <rFont val="Times New Roman"/>
        <family val="1"/>
      </rPr>
      <t xml:space="preserve">Catatan        </t>
    </r>
    <r>
      <rPr>
        <i/>
        <sz val="10"/>
        <color indexed="12"/>
        <rFont val="Times New Roman"/>
        <family val="1"/>
      </rPr>
      <t xml:space="preserve">Annotation    </t>
    </r>
    <r>
      <rPr>
        <i/>
        <sz val="10"/>
        <rFont val="Times New Roman"/>
        <family val="1"/>
      </rPr>
      <t xml:space="preserve">    </t>
    </r>
    <r>
      <rPr>
        <sz val="10"/>
        <rFont val="Times New Roman"/>
        <family val="1"/>
      </rPr>
      <t xml:space="preserve">      備注                    </t>
    </r>
  </si>
  <si>
    <t>SD-300-02</t>
  </si>
  <si>
    <t>绞线</t>
  </si>
  <si>
    <t>11 / 0,080A+150D</t>
  </si>
  <si>
    <t>Ratna, Jesi, Nata</t>
  </si>
  <si>
    <t>SD-300-07</t>
  </si>
  <si>
    <t>11 / 0,080A+200D</t>
  </si>
  <si>
    <t>MM 38 / MP 98</t>
  </si>
  <si>
    <t>SD-300-08</t>
  </si>
  <si>
    <t>SD-300-12</t>
  </si>
  <si>
    <t>7/0,08T</t>
  </si>
  <si>
    <t>SD-300-13</t>
  </si>
  <si>
    <t>SD-500-01</t>
  </si>
  <si>
    <t>SD-500-03</t>
  </si>
  <si>
    <t>SD-500-04</t>
  </si>
  <si>
    <t>SD-500-05</t>
  </si>
  <si>
    <t>Ratna, Jesi, Albab</t>
  </si>
  <si>
    <t>SD-400-04</t>
  </si>
  <si>
    <t>11 / 0,16 A</t>
  </si>
  <si>
    <t>AX88 / AY01</t>
  </si>
  <si>
    <t>SD-500-02</t>
  </si>
  <si>
    <t>65 / 0,160 A</t>
  </si>
  <si>
    <t>BA32 / BL98</t>
  </si>
  <si>
    <t>Risky, Bano, Nata</t>
  </si>
  <si>
    <t>Ikhsan, Jesi, Nata</t>
  </si>
  <si>
    <t>Syifa, Jesi, Nata</t>
  </si>
  <si>
    <t>Ikhsan, Bano, Nata</t>
  </si>
  <si>
    <t>Syifa, Bano, Nata</t>
  </si>
  <si>
    <t>Risky, Jesi</t>
  </si>
  <si>
    <t>SD-300-01</t>
  </si>
  <si>
    <t>MK 09</t>
  </si>
  <si>
    <t>Jesi, Ichsan, Nata</t>
  </si>
  <si>
    <t>Bano, Ichsan, Nata</t>
  </si>
  <si>
    <t>Jesi, Rizky, Nata</t>
  </si>
  <si>
    <t>Bano, Rizky, Nata</t>
  </si>
  <si>
    <t>SD-400-02</t>
  </si>
  <si>
    <t>7 / 0,20A</t>
  </si>
  <si>
    <t>USB 28+24 D</t>
  </si>
  <si>
    <t>W03-25040027-Y</t>
  </si>
  <si>
    <t>Rizky, Nata</t>
  </si>
  <si>
    <t>Jesi, Syifa, Nata</t>
  </si>
  <si>
    <t>Jesi, Ratna, Nata</t>
  </si>
  <si>
    <t>Bano, Ratna, Nata</t>
  </si>
  <si>
    <t>Bano, Syifa, Nata</t>
  </si>
  <si>
    <t>No. Format: CP-QEM-002  Rev: A0</t>
  </si>
  <si>
    <r>
      <rPr>
        <sz val="10"/>
        <rFont val="宋体"/>
        <charset val="134"/>
      </rPr>
      <t xml:space="preserve">Standar target
(KG)  </t>
    </r>
    <r>
      <rPr>
        <sz val="10"/>
        <color rgb="FF0000FF"/>
        <rFont val="宋体"/>
        <charset val="134"/>
      </rPr>
      <t>Standard of target</t>
    </r>
    <r>
      <rPr>
        <sz val="10"/>
        <rFont val="宋体"/>
        <charset val="134"/>
      </rPr>
      <t xml:space="preserve">  標準產量  </t>
    </r>
  </si>
  <si>
    <r>
      <rPr>
        <sz val="10"/>
        <rFont val="Times New Roman"/>
        <family val="1"/>
      </rPr>
      <t xml:space="preserve">Persentase (%) </t>
    </r>
    <r>
      <rPr>
        <i/>
        <sz val="10"/>
        <color indexed="12"/>
        <rFont val="Times New Roman"/>
        <family val="1"/>
      </rPr>
      <t xml:space="preserve">Precentage  </t>
    </r>
    <r>
      <rPr>
        <sz val="10"/>
        <rFont val="Times New Roman"/>
        <family val="1"/>
      </rPr>
      <t xml:space="preserve">達成率 </t>
    </r>
  </si>
  <si>
    <t>KB-1601</t>
  </si>
  <si>
    <t>编织</t>
  </si>
  <si>
    <t>USB 28+24+D</t>
  </si>
  <si>
    <t>Pupung, Arita</t>
  </si>
  <si>
    <t>KB-1609</t>
  </si>
  <si>
    <t>KB-1610</t>
  </si>
  <si>
    <t>WD-405-06</t>
  </si>
  <si>
    <t>MB 50</t>
  </si>
  <si>
    <t>Ami, Dwi, Bintang</t>
  </si>
  <si>
    <t>WD-405-07</t>
  </si>
  <si>
    <t>缠绕</t>
  </si>
  <si>
    <t>MK-09</t>
  </si>
  <si>
    <t>WD-405-08</t>
  </si>
  <si>
    <t>WD-405-11</t>
  </si>
  <si>
    <t>KB-1602</t>
  </si>
  <si>
    <t>KB-1607</t>
  </si>
  <si>
    <t>USB 28+28+D</t>
  </si>
  <si>
    <t>W03-25040036-Y</t>
  </si>
  <si>
    <t>Syifa, Dwi, Bintang</t>
  </si>
  <si>
    <t>WD-405-09</t>
  </si>
  <si>
    <t>WD-405-10</t>
  </si>
  <si>
    <t>KB-1606</t>
  </si>
  <si>
    <t>KB-1608</t>
  </si>
  <si>
    <t>Dwi, Kusniyo, Bintang</t>
  </si>
  <si>
    <t>Zul, Ditwi, Najmi</t>
  </si>
  <si>
    <t>WD-405-02</t>
  </si>
  <si>
    <t>Zul, Ditwi, Bintang</t>
  </si>
  <si>
    <t>Dwi, Ditwi, Bintang</t>
  </si>
  <si>
    <r>
      <rPr>
        <sz val="11"/>
        <rFont val="Times New Roman"/>
        <family val="1"/>
      </rPr>
      <t xml:space="preserve"> Kelas/</t>
    </r>
    <r>
      <rPr>
        <i/>
        <sz val="11"/>
        <color indexed="12"/>
        <rFont val="Times New Roman"/>
        <family val="1"/>
      </rPr>
      <t>Class</t>
    </r>
    <r>
      <rPr>
        <sz val="11"/>
        <rFont val="Times New Roman"/>
        <family val="1"/>
      </rPr>
      <t>/</t>
    </r>
    <r>
      <rPr>
        <sz val="11"/>
        <rFont val="宋体"/>
        <charset val="134"/>
      </rPr>
      <t>班別：</t>
    </r>
    <r>
      <rPr>
        <sz val="11"/>
        <rFont val="Times New Roman"/>
        <family val="1"/>
      </rPr>
      <t xml:space="preserve">       </t>
    </r>
    <r>
      <rPr>
        <sz val="11"/>
        <rFont val="宋体"/>
        <charset val="134"/>
      </rPr>
      <t>總絞</t>
    </r>
    <r>
      <rPr>
        <sz val="11"/>
        <rFont val="Times New Roman"/>
        <family val="1"/>
      </rPr>
      <t xml:space="preserve">                                                          </t>
    </r>
  </si>
  <si>
    <r>
      <rPr>
        <sz val="10"/>
        <rFont val="Times New Roman"/>
        <family val="1"/>
      </rPr>
      <t xml:space="preserve">Putaran (mm)   </t>
    </r>
    <r>
      <rPr>
        <i/>
        <sz val="10"/>
        <color indexed="12"/>
        <rFont val="Times New Roman"/>
        <family val="1"/>
      </rPr>
      <t xml:space="preserve">Rotation </t>
    </r>
    <r>
      <rPr>
        <sz val="10"/>
        <rFont val="宋体"/>
        <charset val="134"/>
      </rPr>
      <t>絞距</t>
    </r>
    <r>
      <rPr>
        <sz val="10"/>
        <rFont val="Times New Roman"/>
        <family val="1"/>
      </rPr>
      <t xml:space="preserve"> </t>
    </r>
  </si>
  <si>
    <r>
      <rPr>
        <sz val="10"/>
        <rFont val="Times New Roman"/>
        <family val="1"/>
      </rPr>
      <t xml:space="preserve">Nomor produk kabel                  </t>
    </r>
    <r>
      <rPr>
        <i/>
        <sz val="10"/>
        <color indexed="12"/>
        <rFont val="Times New Roman"/>
        <family val="1"/>
      </rPr>
      <t xml:space="preserve">Wire product number   </t>
    </r>
    <r>
      <rPr>
        <sz val="10"/>
        <rFont val="Times New Roman"/>
        <family val="1"/>
      </rPr>
      <t xml:space="preserve">     </t>
    </r>
    <r>
      <rPr>
        <sz val="10"/>
        <rFont val="宋体"/>
        <charset val="134"/>
      </rPr>
      <t>線材品號</t>
    </r>
    <r>
      <rPr>
        <sz val="10"/>
        <rFont val="Times New Roman"/>
        <family val="1"/>
      </rPr>
      <t xml:space="preserve">  </t>
    </r>
  </si>
  <si>
    <t>SW-6302</t>
  </si>
  <si>
    <t>總絞</t>
  </si>
  <si>
    <t>Bagas, Ari, Nanda</t>
  </si>
  <si>
    <t>SW-6303</t>
  </si>
  <si>
    <t>Bagas, Tutik, Anni</t>
  </si>
  <si>
    <t>SW-6304</t>
  </si>
  <si>
    <t>W03-25040031-Y</t>
  </si>
  <si>
    <t>Bagas, Else, Risin</t>
  </si>
  <si>
    <t>Nanda, Tutik, Bagas</t>
  </si>
  <si>
    <t>Ririn, Else, Bagas</t>
  </si>
  <si>
    <t>Anni, Ari, Bagas</t>
  </si>
  <si>
    <t>SW-6301</t>
  </si>
  <si>
    <t>Ari, Anni, Bagas</t>
  </si>
  <si>
    <t>Else, Nanda, Bagas</t>
  </si>
  <si>
    <t>Tutik, Ririn, Bagas</t>
  </si>
  <si>
    <t>Laporan harian ekstrusi</t>
  </si>
  <si>
    <t>Extrusion production daily report</t>
  </si>
  <si>
    <t>押出生產日報表</t>
  </si>
  <si>
    <r>
      <rPr>
        <sz val="10"/>
        <rFont val="Times New Roman"/>
        <family val="1"/>
      </rPr>
      <t>Kelas/</t>
    </r>
    <r>
      <rPr>
        <i/>
        <sz val="10"/>
        <color indexed="12"/>
        <rFont val="Times New Roman"/>
        <family val="1"/>
      </rPr>
      <t>Class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班別：押出</t>
    </r>
  </si>
  <si>
    <r>
      <rPr>
        <sz val="10"/>
        <rFont val="Times New Roman"/>
        <family val="1"/>
      </rPr>
      <t xml:space="preserve">No JO                    </t>
    </r>
    <r>
      <rPr>
        <i/>
        <sz val="10"/>
        <color rgb="FF0000FF"/>
        <rFont val="Times New Roman"/>
        <family val="1"/>
      </rPr>
      <t>JO</t>
    </r>
    <r>
      <rPr>
        <i/>
        <sz val="10"/>
        <color indexed="12"/>
        <rFont val="Times New Roman"/>
        <family val="1"/>
      </rPr>
      <t xml:space="preserve"> Number  </t>
    </r>
    <r>
      <rPr>
        <sz val="10"/>
        <rFont val="Times New Roman"/>
        <family val="1"/>
      </rPr>
      <t xml:space="preserve">            制令號                  </t>
    </r>
  </si>
  <si>
    <r>
      <rPr>
        <sz val="10"/>
        <rFont val="Times New Roman"/>
        <family val="1"/>
      </rPr>
      <t xml:space="preserve">Model                                      </t>
    </r>
    <r>
      <rPr>
        <i/>
        <sz val="10"/>
        <color indexed="12"/>
        <rFont val="Times New Roman"/>
        <family val="1"/>
      </rPr>
      <t>Model</t>
    </r>
    <r>
      <rPr>
        <sz val="10"/>
        <rFont val="Times New Roman"/>
        <family val="1"/>
      </rPr>
      <t xml:space="preserve">                                 
 </t>
    </r>
    <r>
      <rPr>
        <sz val="10"/>
        <rFont val="宋体"/>
        <charset val="134"/>
      </rPr>
      <t>機種</t>
    </r>
    <r>
      <rPr>
        <sz val="10"/>
        <rFont val="Times New Roman"/>
        <family val="1"/>
      </rPr>
      <t xml:space="preserve">                                    </t>
    </r>
  </si>
  <si>
    <r>
      <rPr>
        <sz val="10"/>
        <rFont val="Times New Roman"/>
        <family val="1"/>
      </rPr>
      <t>Kapasitas standar
（PCS/M）</t>
    </r>
    <r>
      <rPr>
        <i/>
        <sz val="10"/>
        <color indexed="12"/>
        <rFont val="Times New Roman"/>
        <family val="1"/>
      </rPr>
      <t xml:space="preserve">Standard capacity </t>
    </r>
    <r>
      <rPr>
        <sz val="10"/>
        <rFont val="Times New Roman"/>
        <family val="1"/>
      </rPr>
      <t xml:space="preserve">標準產能 </t>
    </r>
  </si>
  <si>
    <r>
      <rPr>
        <sz val="10"/>
        <rFont val="Times New Roman"/>
        <family val="1"/>
      </rPr>
      <t xml:space="preserve">Part no kabel             </t>
    </r>
    <r>
      <rPr>
        <i/>
        <sz val="10"/>
        <color indexed="12"/>
        <rFont val="Times New Roman"/>
        <family val="1"/>
      </rPr>
      <t xml:space="preserve">Wire product number  </t>
    </r>
    <r>
      <rPr>
        <sz val="10"/>
        <rFont val="Times New Roman"/>
        <family val="1"/>
      </rPr>
      <t xml:space="preserve">線材品號                 </t>
    </r>
  </si>
  <si>
    <r>
      <rPr>
        <sz val="10"/>
        <rFont val="Times New Roman"/>
        <family val="1"/>
      </rPr>
      <t xml:space="preserve">Jumlah produksi (m)  </t>
    </r>
    <r>
      <rPr>
        <i/>
        <sz val="10"/>
        <color indexed="12"/>
        <rFont val="Times New Roman"/>
        <family val="1"/>
      </rPr>
      <t>Amount of Production</t>
    </r>
    <r>
      <rPr>
        <sz val="10"/>
        <rFont val="宋体"/>
        <charset val="134"/>
      </rPr>
      <t>生產數</t>
    </r>
    <r>
      <rPr>
        <sz val="10"/>
        <rFont val="Times New Roman"/>
        <family val="1"/>
      </rPr>
      <t xml:space="preserve"> </t>
    </r>
  </si>
  <si>
    <r>
      <rPr>
        <sz val="10"/>
        <rFont val="Times New Roman"/>
        <family val="1"/>
      </rPr>
      <t xml:space="preserve"> Jumlah produk jadi
（PCS） </t>
    </r>
    <r>
      <rPr>
        <i/>
        <sz val="10"/>
        <color indexed="12"/>
        <rFont val="Times New Roman"/>
        <family val="1"/>
      </rPr>
      <t xml:space="preserve">Amount of Finished Product </t>
    </r>
    <r>
      <rPr>
        <sz val="10"/>
        <rFont val="Times New Roman"/>
        <family val="1"/>
      </rPr>
      <t>成品數</t>
    </r>
  </si>
  <si>
    <r>
      <rPr>
        <sz val="10"/>
        <rFont val="Times New Roman"/>
        <family val="1"/>
      </rPr>
      <t xml:space="preserve"> Berat (KG) </t>
    </r>
    <r>
      <rPr>
        <i/>
        <sz val="10"/>
        <color indexed="12"/>
        <rFont val="Times New Roman"/>
        <family val="1"/>
      </rPr>
      <t xml:space="preserve">Weight </t>
    </r>
    <r>
      <rPr>
        <sz val="10"/>
        <rFont val="Times New Roman"/>
        <family val="1"/>
      </rPr>
      <t xml:space="preserve">   重量      </t>
    </r>
  </si>
  <si>
    <r>
      <rPr>
        <sz val="10"/>
        <rFont val="Times New Roman"/>
        <family val="1"/>
      </rPr>
      <t xml:space="preserve">limbah lilit (KG)      </t>
    </r>
    <r>
      <rPr>
        <i/>
        <sz val="10"/>
        <color rgb="FF0000FF"/>
        <rFont val="Times New Roman"/>
        <family val="1"/>
      </rPr>
      <t xml:space="preserve">Coil Waste </t>
    </r>
    <r>
      <rPr>
        <sz val="10"/>
        <rFont val="Times New Roman"/>
        <family val="1"/>
      </rPr>
      <t>廢綫</t>
    </r>
    <r>
      <rPr>
        <sz val="10"/>
        <rFont val="Times New Roman"/>
        <family val="1"/>
      </rPr>
      <t xml:space="preserve"> </t>
    </r>
  </si>
  <si>
    <r>
      <rPr>
        <sz val="10"/>
        <rFont val="Times New Roman"/>
        <family val="1"/>
      </rPr>
      <t xml:space="preserve">limbah karet (KG)        </t>
    </r>
    <r>
      <rPr>
        <i/>
        <sz val="10"/>
        <color indexed="12"/>
        <rFont val="Times New Roman"/>
        <family val="1"/>
      </rPr>
      <t>Rubber Waste</t>
    </r>
    <r>
      <rPr>
        <sz val="10"/>
        <rFont val="Times New Roman"/>
        <family val="1"/>
      </rPr>
      <t xml:space="preserve">        廢膠    </t>
    </r>
  </si>
  <si>
    <r>
      <rPr>
        <sz val="10"/>
        <rFont val="Times New Roman"/>
        <family val="1"/>
      </rPr>
      <t xml:space="preserve">Persentase afkir (%)   </t>
    </r>
    <r>
      <rPr>
        <i/>
        <sz val="10"/>
        <color indexed="12"/>
        <rFont val="Times New Roman"/>
        <family val="1"/>
      </rPr>
      <t xml:space="preserve">Precentage of reject    </t>
    </r>
    <r>
      <rPr>
        <sz val="10"/>
        <rFont val="Times New Roman"/>
        <family val="1"/>
      </rPr>
      <t xml:space="preserve"> 報廢率 </t>
    </r>
  </si>
  <si>
    <r>
      <rPr>
        <sz val="10"/>
        <rFont val="Times New Roman"/>
        <family val="1"/>
      </rPr>
      <t xml:space="preserve">Persentase (%) </t>
    </r>
    <r>
      <rPr>
        <i/>
        <sz val="10"/>
        <color indexed="12"/>
        <rFont val="Times New Roman"/>
        <family val="1"/>
      </rPr>
      <t xml:space="preserve">Precentage 
 </t>
    </r>
    <r>
      <rPr>
        <sz val="10"/>
        <rFont val="宋体"/>
        <charset val="134"/>
      </rPr>
      <t>達成率</t>
    </r>
    <r>
      <rPr>
        <sz val="10"/>
        <rFont val="Times New Roman"/>
        <family val="1"/>
      </rPr>
      <t xml:space="preserve"> </t>
    </r>
  </si>
  <si>
    <r>
      <rPr>
        <sz val="10"/>
        <rFont val="Times New Roman"/>
        <family val="1"/>
      </rPr>
      <t xml:space="preserve">Operator </t>
    </r>
    <r>
      <rPr>
        <i/>
        <sz val="10"/>
        <color indexed="12"/>
        <rFont val="Times New Roman"/>
        <family val="1"/>
      </rPr>
      <t xml:space="preserve">Operator       </t>
    </r>
    <r>
      <rPr>
        <sz val="10"/>
        <rFont val="Times New Roman"/>
        <family val="1"/>
      </rPr>
      <t xml:space="preserve">作業員 </t>
    </r>
  </si>
  <si>
    <r>
      <rPr>
        <sz val="10"/>
        <rFont val="Times New Roman"/>
        <family val="1"/>
      </rPr>
      <t xml:space="preserve"> Keterangan                </t>
    </r>
    <r>
      <rPr>
        <i/>
        <sz val="10"/>
        <color indexed="12"/>
        <rFont val="Times New Roman"/>
        <family val="1"/>
      </rPr>
      <t xml:space="preserve">Annotation  </t>
    </r>
    <r>
      <rPr>
        <sz val="10"/>
        <rFont val="Times New Roman"/>
        <family val="1"/>
      </rPr>
      <t xml:space="preserve">                               備注</t>
    </r>
  </si>
  <si>
    <t>EX-3501</t>
  </si>
  <si>
    <t xml:space="preserve">28#*2C+24#*2C+AL+D+ </t>
  </si>
  <si>
    <t>W03-25040035-Y</t>
  </si>
  <si>
    <t>Sandy</t>
  </si>
  <si>
    <t>Hitam</t>
  </si>
  <si>
    <t>Merah</t>
  </si>
  <si>
    <t>Affib, Fahri</t>
  </si>
  <si>
    <t>Putih</t>
  </si>
  <si>
    <t>Fahri</t>
  </si>
  <si>
    <t>Hijau</t>
  </si>
  <si>
    <t>EX-3503</t>
  </si>
  <si>
    <t>Dava</t>
  </si>
  <si>
    <t>Ilham, Slamet</t>
  </si>
  <si>
    <t>Slamet</t>
  </si>
  <si>
    <t>EX-7001</t>
  </si>
  <si>
    <t>Ipul</t>
  </si>
  <si>
    <t>Sandy, Fahri</t>
  </si>
  <si>
    <t>Kuning</t>
  </si>
  <si>
    <t>Dava, Slamet</t>
  </si>
  <si>
    <t>EX-5001</t>
  </si>
  <si>
    <t>W03-71010062</t>
  </si>
  <si>
    <t>Deni, Zusril</t>
  </si>
  <si>
    <t>Fahri, Affib</t>
  </si>
  <si>
    <t xml:space="preserve">28#*2C+28#*2C+AL+D+ </t>
  </si>
  <si>
    <t>W03-25040037-Y</t>
  </si>
  <si>
    <t>Deni</t>
  </si>
  <si>
    <t>Ilham, Fahri</t>
  </si>
  <si>
    <t>EX-3502</t>
  </si>
  <si>
    <t>Dava, Ilham</t>
  </si>
  <si>
    <t>Achmad, Ipul</t>
  </si>
  <si>
    <t>W03-25040038-Y</t>
  </si>
  <si>
    <t>Zusril</t>
  </si>
  <si>
    <t>SONY HDMI</t>
  </si>
  <si>
    <t>Sandy, Affib, Fahri</t>
  </si>
  <si>
    <t>No. Format: CP-QEM-001 Rev: A0</t>
  </si>
  <si>
    <t>伸线工序：标准工时表</t>
  </si>
  <si>
    <t>工序</t>
  </si>
  <si>
    <t>设备型号</t>
  </si>
  <si>
    <t xml:space="preserve">Spesifikasi (mm)    Specification         規格 </t>
  </si>
  <si>
    <t>母线
单位:mm</t>
  </si>
  <si>
    <t>标准速度(1)
B(m/min)</t>
  </si>
  <si>
    <t>标准工时
(s/km)</t>
  </si>
  <si>
    <t>单位
固定成本</t>
  </si>
  <si>
    <t>变动成本=电费燃料+计件人工+其他制费</t>
  </si>
  <si>
    <t>单位
变动成本</t>
  </si>
  <si>
    <t>每KM绞铜加工费=单位固定+变动</t>
  </si>
  <si>
    <t>电费燃料（度/H）</t>
  </si>
  <si>
    <t>推算人工参考值</t>
  </si>
  <si>
    <t>差异%</t>
  </si>
  <si>
    <t>其他制费</t>
  </si>
  <si>
    <t>人/台</t>
  </si>
  <si>
    <t>mm</t>
  </si>
  <si>
    <t>中伸</t>
  </si>
  <si>
    <t>0.3人</t>
  </si>
  <si>
    <t>细伸</t>
  </si>
  <si>
    <t>B-24</t>
  </si>
  <si>
    <t>费用合计金额</t>
  </si>
  <si>
    <t>1000米重量</t>
  </si>
  <si>
    <t>1KG米数</t>
  </si>
  <si>
    <t>1分钟米数</t>
  </si>
  <si>
    <t>打85折后的工时</t>
  </si>
  <si>
    <t>退火、镀锡、烤漆工序：标准工时表</t>
  </si>
  <si>
    <t>人员配置</t>
  </si>
  <si>
    <t xml:space="preserve">Spesifikasi (mm)    Specification  規格 </t>
  </si>
  <si>
    <t>标准速度(2)
B(m/min)</t>
  </si>
  <si>
    <t>退火</t>
  </si>
  <si>
    <t>1人</t>
  </si>
  <si>
    <t>TA-32B</t>
  </si>
  <si>
    <t>退火机费用合计</t>
  </si>
  <si>
    <t>镀锡</t>
  </si>
  <si>
    <t>TA-32A</t>
  </si>
  <si>
    <t>镀锡机费用合计</t>
  </si>
  <si>
    <t>烤漆</t>
  </si>
  <si>
    <t>HE-2600</t>
  </si>
  <si>
    <t>漆包机费用合计</t>
  </si>
  <si>
    <t>绞线工序：标准工时表</t>
  </si>
  <si>
    <t>mesin
设备型号</t>
  </si>
  <si>
    <t xml:space="preserve">Putaran (mm)   Rotation 絞距 </t>
  </si>
  <si>
    <t>标准速度(2)
B(R/min)</t>
  </si>
  <si>
    <t>H/m</t>
  </si>
  <si>
    <t>300P
绞线机</t>
  </si>
  <si>
    <t>11/0,08+200/150D</t>
  </si>
  <si>
    <t>NB300P绞线机费用合计</t>
  </si>
  <si>
    <t>400P
绞线机</t>
  </si>
  <si>
    <t>NB400P绞线机费用合计</t>
  </si>
  <si>
    <t>500P
绞线机</t>
  </si>
  <si>
    <t>NB500P绞线机费用合计</t>
  </si>
  <si>
    <t>绞距*线速*2/1000=每分钟米数   60S/每分钟米数=1M需要多少秒  1000M秒数*0.85=标准工时</t>
  </si>
  <si>
    <t>缠线、编织工序：标准工时表</t>
  </si>
  <si>
    <t xml:space="preserve">缠
绕
</t>
  </si>
  <si>
    <t>1人6台</t>
  </si>
  <si>
    <t>PA405</t>
  </si>
  <si>
    <t>缠绕机费用合计</t>
  </si>
  <si>
    <t>编
织</t>
  </si>
  <si>
    <t>1人8台</t>
  </si>
  <si>
    <t>CHA-16</t>
  </si>
  <si>
    <t>编织机费用合计</t>
  </si>
  <si>
    <t>25.4/节距*8=目数；25.4/目数*8=节距</t>
  </si>
  <si>
    <t>标准工时=（p/(绞距*标准速度*宽放率）*H</t>
  </si>
  <si>
    <t>P=1000 定值</t>
  </si>
  <si>
    <t>缠绕宽放率=0.90</t>
  </si>
  <si>
    <t>编织宽放率=0.85</t>
  </si>
  <si>
    <t>H=一小时分钟数60</t>
  </si>
  <si>
    <t>对绞、总绞工序：标准工时、单位加工费试算表</t>
  </si>
  <si>
    <t>绞距(1)
A(mm)</t>
  </si>
  <si>
    <t xml:space="preserve">对绞
</t>
  </si>
  <si>
    <t>400#</t>
  </si>
  <si>
    <t>高频包带</t>
  </si>
  <si>
    <t>高频双层包带机
C300</t>
  </si>
  <si>
    <t>下包带节距</t>
  </si>
  <si>
    <t>转速</t>
  </si>
  <si>
    <t>总绞</t>
  </si>
  <si>
    <t>1人2台</t>
  </si>
  <si>
    <t>CH-630
总绞机</t>
  </si>
  <si>
    <t>CH-630总绞机费用合计</t>
  </si>
  <si>
    <t>押出工序：标准工时、单位加工费试算表</t>
  </si>
  <si>
    <t>胶料用量</t>
  </si>
  <si>
    <t>标准速度
A(R/min)
kecepatan</t>
  </si>
  <si>
    <t>标准工时
D=12*3600/C(s/km)</t>
  </si>
  <si>
    <t>PVC
(g)</t>
  </si>
  <si>
    <t>PP+EVA</t>
  </si>
  <si>
    <t>PU/TPE</t>
  </si>
  <si>
    <t>押出</t>
  </si>
  <si>
    <t>1人1台</t>
  </si>
  <si>
    <t>Φ35mm</t>
  </si>
  <si>
    <t>Φ50mm</t>
  </si>
  <si>
    <t>Φ70mm</t>
  </si>
  <si>
    <t>备注：押出线材绝缘或外被所需胶料用量kg/km，相近的取表中较大数值</t>
  </si>
  <si>
    <r>
      <rPr>
        <sz val="11"/>
        <color theme="1"/>
        <rFont val="Calibri"/>
        <family val="2"/>
        <scheme val="minor"/>
      </rPr>
      <t>计件人工0.000983</t>
    </r>
    <r>
      <rPr>
        <sz val="11"/>
        <color theme="1"/>
        <rFont val="宋体"/>
        <charset val="134"/>
      </rPr>
      <t>¥</t>
    </r>
    <r>
      <rPr>
        <sz val="11"/>
        <color theme="1"/>
        <rFont val="Calibri"/>
        <family val="2"/>
        <scheme val="minor"/>
      </rPr>
      <t>/S</t>
    </r>
  </si>
  <si>
    <t>MK 83</t>
  </si>
  <si>
    <t>SD-300-05</t>
  </si>
  <si>
    <t>Catur, Syifa, Nata</t>
  </si>
  <si>
    <t>SD-400-03</t>
  </si>
  <si>
    <t>26 / 0,08 UEW+200D</t>
  </si>
  <si>
    <t>Ratna, Nata</t>
  </si>
  <si>
    <t>Jesi</t>
  </si>
  <si>
    <t>Catur, Rizki, Nata</t>
  </si>
  <si>
    <t>Nata</t>
  </si>
  <si>
    <t>Asa, Ayu</t>
  </si>
  <si>
    <t>Arita</t>
  </si>
  <si>
    <t>Pupung</t>
  </si>
  <si>
    <t>Dwi, Kusniyo</t>
  </si>
  <si>
    <t>Zul, Kusniyo, Najmi</t>
  </si>
  <si>
    <t>Kusniyo, Najmi</t>
  </si>
  <si>
    <t>Najmi</t>
  </si>
  <si>
    <t>Zul, Kusniyo</t>
  </si>
  <si>
    <t>Dwi, Kusiyo, Najmi</t>
  </si>
  <si>
    <t>Zul, Najmi, Bintang</t>
  </si>
  <si>
    <t>Dwi, Kusniyo, Najmi</t>
  </si>
  <si>
    <t>Ari, Nanda, Bagas</t>
  </si>
  <si>
    <t>El, Nanda, Bagas</t>
  </si>
  <si>
    <t>Nanda, El, Bagas</t>
  </si>
  <si>
    <t>Nanda, Malik, Bagas</t>
  </si>
  <si>
    <t>Ririn, Ari, Bagas</t>
  </si>
  <si>
    <t>Bagas</t>
  </si>
  <si>
    <t>MERAH</t>
  </si>
  <si>
    <t>HITAM</t>
  </si>
  <si>
    <t>PUTIH</t>
  </si>
  <si>
    <t xml:space="preserve">KUNING </t>
  </si>
  <si>
    <t>ABU-ABU</t>
  </si>
  <si>
    <t xml:space="preserve">HIJAU </t>
  </si>
  <si>
    <t>PUTIH FOAM</t>
  </si>
  <si>
    <t>COKLAT FOAM</t>
  </si>
  <si>
    <t>ORANGE</t>
  </si>
  <si>
    <t>Ilham</t>
  </si>
  <si>
    <t>EX-5002</t>
  </si>
  <si>
    <t>BL98</t>
  </si>
  <si>
    <t>Sandy, Rifky</t>
  </si>
  <si>
    <t>Daffa, Sholeh, Fahri</t>
  </si>
  <si>
    <t>W03-25040039-Y</t>
  </si>
  <si>
    <t>Ipul, Zusril</t>
  </si>
  <si>
    <t>Sandy, Soleh</t>
  </si>
  <si>
    <t>Fahri, Ilham, Dava</t>
  </si>
  <si>
    <t>Feri</t>
  </si>
  <si>
    <t>Feri, Daffa</t>
  </si>
  <si>
    <t>Soleh</t>
  </si>
  <si>
    <t>Slamet, Dava</t>
  </si>
  <si>
    <t>Abu-Abu</t>
  </si>
  <si>
    <t>Rifky, Deni</t>
  </si>
  <si>
    <t>M Zusril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</si>
</sst>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8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#,##0\ &quot;PCS&quot;"/>
    <numFmt numFmtId="165" formatCode="0.000\ #&quot;M&quot;"/>
    <numFmt numFmtId="166" formatCode="0.00\ #&quot;M&quot;"/>
    <numFmt numFmtId="167" formatCode="0.00_ "/>
    <numFmt numFmtId="168" formatCode="0.0"/>
    <numFmt numFmtId="169" formatCode="0_ "/>
    <numFmt numFmtId="170" formatCode="m/d;@"/>
    <numFmt numFmtId="171" formatCode="0.00000_ "/>
    <numFmt numFmtId="172" formatCode="0.00_);[Red]\(0.00\)"/>
    <numFmt numFmtId="173" formatCode="0.0_ "/>
    <numFmt numFmtId="174" formatCode="0_);[Red]\(0\)"/>
    <numFmt numFmtId="175" formatCode="0.0_);[Red]\(0.0\)"/>
    <numFmt numFmtId="176" formatCode="0.0000_);[Red]\(0.0000\)"/>
    <numFmt numFmtId="177" formatCode="#\ &quot;M&quot;"/>
    <numFmt numFmtId="178" formatCode="#\ &quot;PCS&quot;"/>
    <numFmt numFmtId="179" formatCode="_(* #,##0_);_(* \(#,##0\);_(* &quot;-&quot;_);_(@_)"/>
    <numFmt numFmtId="180" formatCode="_ * #,##0.00_ ;_ * \-#,##0.00_ ;_ * &quot;-&quot;??_ ;_ @_ "/>
    <numFmt numFmtId="181" formatCode="_(* #,##0.00_);_(* \(#,##0.00\);_(* &quot;-&quot;??_);_(@_)"/>
    <numFmt numFmtId="182" formatCode="_-&quot;$&quot;* #,##0.00_-;\-&quot;$&quot;* #,##0.00_-;_-&quot;$&quot;* &quot;-&quot;??_-;_-@_-"/>
    <numFmt numFmtId="183" formatCode="_-&quot;$&quot;* #,##0_-;\-&quot;$&quot;* #,##0_-;_-&quot;$&quot;* &quot;-&quot;_-;_-@_-"/>
    <numFmt numFmtId="184" formatCode="[$-409]d\-mmm\-yy;@"/>
    <numFmt numFmtId="185" formatCode="[$-13809]dd/mm/yyyy;@"/>
    <numFmt numFmtId="186" formatCode="[$-421]dd\ mmmm\ yyyy;@"/>
    <numFmt numFmtId="187" formatCode="0.0000"/>
    <numFmt numFmtId="188" formatCode="&quot;$&quot;#,##0.00;[Red]\-&quot;$&quot;#,##0.00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3"/>
      <charset val="134"/>
    </font>
    <font>
      <b/>
      <sz val="14"/>
      <color theme="1"/>
      <name val="宋体"/>
      <family val="3"/>
      <charset val="134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宋体"/>
      <family val="3"/>
      <charset val="134"/>
    </font>
    <font>
      <b/>
      <sz val="12"/>
      <color theme="1"/>
      <name val="Times New Roman"/>
      <family val="1"/>
    </font>
    <font>
      <sz val="11"/>
      <color theme="1"/>
      <name val="宋体"/>
      <family val="3"/>
      <charset val="134"/>
    </font>
    <font>
      <sz val="8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Times New Roman"/>
      <family val="1"/>
    </font>
    <font>
      <b/>
      <sz val="11"/>
      <color theme="1"/>
      <name val="宋体"/>
      <family val="3"/>
      <charset val="134"/>
    </font>
    <font>
      <b/>
      <sz val="8"/>
      <color theme="1"/>
      <name val="Times New Roman"/>
      <family val="1"/>
    </font>
    <font>
      <sz val="10"/>
      <color theme="1"/>
      <name val="Times New Roman"/>
      <family val="1"/>
    </font>
    <font>
      <sz val="12"/>
      <name val="Times New Roman"/>
      <family val="1"/>
    </font>
    <font>
      <i/>
      <sz val="12"/>
      <color rgb="FF0000FF"/>
      <name val="Times New Roman"/>
      <family val="1"/>
    </font>
    <font>
      <sz val="10"/>
      <name val="Times New Roman"/>
      <family val="1"/>
    </font>
    <font>
      <i/>
      <sz val="10"/>
      <color indexed="12"/>
      <name val="Times New Roman"/>
      <family val="1"/>
    </font>
    <font>
      <sz val="10"/>
      <name val="宋体"/>
      <charset val="134"/>
    </font>
    <font>
      <sz val="10"/>
      <color rgb="FF0000FF"/>
      <name val="Times New Roman"/>
      <family val="1"/>
    </font>
    <font>
      <sz val="10"/>
      <color rgb="FF0000FF"/>
      <name val="新細明體"/>
      <charset val="136"/>
    </font>
    <font>
      <sz val="10"/>
      <name val="新細明體"/>
      <charset val="134"/>
    </font>
    <font>
      <i/>
      <sz val="10"/>
      <name val="Times New Roman"/>
      <family val="1"/>
    </font>
    <font>
      <sz val="11"/>
      <name val="Times New Roman"/>
      <family val="1"/>
    </font>
    <font>
      <sz val="10"/>
      <color theme="1"/>
      <name val="宋体"/>
      <charset val="134"/>
    </font>
    <font>
      <sz val="12"/>
      <name val="標楷體"/>
      <charset val="134"/>
    </font>
    <font>
      <i/>
      <sz val="11"/>
      <color indexed="12"/>
      <name val="Times New Roman"/>
      <family val="1"/>
    </font>
    <font>
      <sz val="11"/>
      <name val="宋体"/>
      <charset val="134"/>
    </font>
    <font>
      <sz val="12"/>
      <name val="新細明體"/>
      <charset val="134"/>
    </font>
    <font>
      <sz val="12"/>
      <color theme="1"/>
      <name val="Calibri"/>
      <family val="2"/>
      <scheme val="minor"/>
    </font>
    <font>
      <sz val="10"/>
      <color rgb="FF0000FF"/>
      <name val="宋体"/>
      <charset val="134"/>
    </font>
    <font>
      <sz val="11"/>
      <name val="標楷體"/>
      <charset val="134"/>
    </font>
    <font>
      <sz val="12"/>
      <name val="宋体"/>
      <charset val="134"/>
    </font>
    <font>
      <i/>
      <sz val="10"/>
      <color rgb="FF0000FF"/>
      <name val="Times New Roman"/>
      <family val="1"/>
    </font>
    <font>
      <sz val="10"/>
      <name val="新細明體"/>
      <charset val="136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indexed="8"/>
      <name val="Calibri"/>
      <family val="2"/>
    </font>
    <font>
      <sz val="12"/>
      <name val="新細明體"/>
      <charset val="136"/>
    </font>
    <font>
      <sz val="11"/>
      <color indexed="8"/>
      <name val="Calibri"/>
      <family val="2"/>
      <scheme val="minor"/>
    </font>
    <font>
      <sz val="11"/>
      <color indexed="8"/>
      <name val="新細明體"/>
      <charset val="136"/>
    </font>
    <font>
      <sz val="11"/>
      <color indexed="8"/>
      <name val="新細明體"/>
      <charset val="134"/>
    </font>
    <font>
      <sz val="11"/>
      <color theme="1"/>
      <name val="Calibri"/>
      <family val="2"/>
    </font>
    <font>
      <sz val="10"/>
      <name val="Arial"/>
      <family val="2"/>
    </font>
    <font>
      <sz val="12"/>
      <color indexed="8"/>
      <name val="Calibri"/>
      <family val="2"/>
    </font>
    <font>
      <sz val="1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</fonts>
  <fills count="2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196">
    <xf numFmtId="0" fontId="0" fillId="0" borderId="0"/>
    <xf numFmtId="0" fontId="3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41" fillId="0" borderId="0" applyFont="0" applyFill="0" applyBorder="0" applyAlignment="0" applyProtection="0">
      <alignment vertical="center"/>
    </xf>
    <xf numFmtId="0" fontId="41" fillId="0" borderId="0" applyFont="0" applyFill="0" applyBorder="0" applyAlignment="0" applyProtection="0">
      <alignment vertical="center"/>
    </xf>
    <xf numFmtId="0" fontId="41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/>
    <xf numFmtId="179" fontId="43" fillId="0" borderId="0" applyFont="0" applyFill="0" applyBorder="0" applyAlignment="0" applyProtection="0"/>
    <xf numFmtId="179" fontId="43" fillId="0" borderId="0" applyFont="0" applyFill="0" applyBorder="0" applyAlignment="0" applyProtection="0"/>
    <xf numFmtId="179" fontId="43" fillId="0" borderId="0" applyFont="0" applyFill="0" applyBorder="0" applyAlignment="0" applyProtection="0"/>
    <xf numFmtId="179" fontId="43" fillId="0" borderId="0" applyFont="0" applyFill="0" applyBorder="0" applyAlignment="0" applyProtection="0"/>
    <xf numFmtId="179" fontId="43" fillId="0" borderId="0" applyFont="0" applyFill="0" applyBorder="0" applyAlignment="0" applyProtection="0"/>
    <xf numFmtId="179" fontId="43" fillId="0" borderId="0" applyFont="0" applyFill="0" applyBorder="0" applyAlignment="0" applyProtection="0"/>
    <xf numFmtId="179" fontId="43" fillId="0" borderId="0" applyFont="0" applyFill="0" applyBorder="0" applyAlignment="0" applyProtection="0"/>
    <xf numFmtId="179" fontId="43" fillId="0" borderId="0" applyFont="0" applyFill="0" applyBorder="0" applyAlignment="0" applyProtection="0"/>
    <xf numFmtId="179" fontId="43" fillId="0" borderId="0" applyFont="0" applyFill="0" applyBorder="0" applyAlignment="0" applyProtection="0"/>
    <xf numFmtId="179" fontId="43" fillId="0" borderId="0" applyFont="0" applyFill="0" applyBorder="0" applyAlignment="0" applyProtection="0"/>
    <xf numFmtId="179" fontId="43" fillId="0" borderId="0" applyFont="0" applyFill="0" applyBorder="0" applyAlignment="0" applyProtection="0"/>
    <xf numFmtId="179" fontId="43" fillId="0" borderId="0" applyFont="0" applyFill="0" applyBorder="0" applyAlignment="0" applyProtection="0"/>
    <xf numFmtId="179" fontId="43" fillId="0" borderId="0" applyFont="0" applyFill="0" applyBorder="0" applyAlignment="0" applyProtection="0"/>
    <xf numFmtId="179" fontId="43" fillId="0" borderId="0" applyFont="0" applyFill="0" applyBorder="0" applyAlignment="0" applyProtection="0"/>
    <xf numFmtId="179" fontId="43" fillId="0" borderId="0" applyFont="0" applyFill="0" applyBorder="0" applyAlignment="0" applyProtection="0"/>
    <xf numFmtId="179" fontId="43" fillId="0" borderId="0" applyFont="0" applyFill="0" applyBorder="0" applyAlignment="0" applyProtection="0"/>
    <xf numFmtId="179" fontId="43" fillId="0" borderId="0" applyFont="0" applyFill="0" applyBorder="0" applyAlignment="0" applyProtection="0"/>
    <xf numFmtId="179" fontId="43" fillId="0" borderId="0" applyFont="0" applyFill="0" applyBorder="0" applyAlignment="0" applyProtection="0"/>
    <xf numFmtId="179" fontId="43" fillId="0" borderId="0" applyFont="0" applyFill="0" applyBorder="0" applyAlignment="0" applyProtection="0"/>
    <xf numFmtId="179" fontId="43" fillId="0" borderId="0" applyFont="0" applyFill="0" applyBorder="0" applyAlignment="0" applyProtection="0"/>
    <xf numFmtId="179" fontId="43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30" fillId="0" borderId="0" applyFont="0" applyFill="0" applyBorder="0" applyAlignment="0" applyProtection="0"/>
    <xf numFmtId="179" fontId="31" fillId="0" borderId="0" applyFont="0" applyFill="0" applyBorder="0" applyAlignment="0" applyProtection="0"/>
    <xf numFmtId="41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43" fontId="41" fillId="0" borderId="0" applyFont="0" applyFill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180" fontId="31" fillId="0" borderId="0" applyFont="0" applyFill="0" applyBorder="0" applyAlignment="0" applyProtection="0">
      <alignment vertical="center"/>
    </xf>
    <xf numFmtId="180" fontId="31" fillId="0" borderId="0" applyFont="0" applyFill="0" applyBorder="0" applyAlignment="0" applyProtection="0">
      <alignment vertical="center"/>
    </xf>
    <xf numFmtId="180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1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43" fontId="42" fillId="0" borderId="0" applyFont="0" applyFill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181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43" fontId="42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31" fillId="0" borderId="0" applyFont="0" applyFill="0" applyBorder="0" applyAlignment="0" applyProtection="0">
      <alignment vertical="center"/>
    </xf>
    <xf numFmtId="182" fontId="31" fillId="0" borderId="0" applyFont="0" applyFill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182" fontId="31" fillId="0" borderId="0" applyFont="0" applyFill="0" applyBorder="0" applyAlignment="0" applyProtection="0">
      <alignment vertical="center"/>
    </xf>
    <xf numFmtId="182" fontId="31" fillId="0" borderId="0" applyFont="0" applyFill="0" applyBorder="0" applyAlignment="0" applyProtection="0">
      <alignment vertical="center"/>
    </xf>
    <xf numFmtId="182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183" fontId="31" fillId="0" borderId="0" applyFont="0" applyFill="0" applyBorder="0" applyAlignment="0" applyProtection="0">
      <alignment vertical="center"/>
    </xf>
    <xf numFmtId="183" fontId="31" fillId="0" borderId="0" applyFont="0" applyFill="0" applyBorder="0" applyAlignment="0" applyProtection="0">
      <alignment vertical="center"/>
    </xf>
    <xf numFmtId="183" fontId="31" fillId="0" borderId="0" applyFont="0" applyFill="0" applyBorder="0" applyAlignment="0" applyProtection="0">
      <alignment vertical="center"/>
    </xf>
    <xf numFmtId="183" fontId="31" fillId="0" borderId="0" applyFont="0" applyFill="0" applyBorder="0" applyAlignment="0" applyProtection="0">
      <alignment vertical="center"/>
    </xf>
    <xf numFmtId="183" fontId="31" fillId="0" borderId="0" applyFont="0" applyFill="0" applyBorder="0" applyAlignment="0" applyProtection="0">
      <alignment vertical="center"/>
    </xf>
    <xf numFmtId="183" fontId="3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44" fillId="0" borderId="0"/>
    <xf numFmtId="0" fontId="45" fillId="0" borderId="0"/>
    <xf numFmtId="0" fontId="30" fillId="0" borderId="0"/>
    <xf numFmtId="0" fontId="30" fillId="0" borderId="0"/>
    <xf numFmtId="0" fontId="3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6" fillId="0" borderId="0"/>
    <xf numFmtId="0" fontId="47" fillId="0" borderId="0"/>
    <xf numFmtId="0" fontId="47" fillId="0" borderId="0"/>
    <xf numFmtId="0" fontId="47" fillId="0" borderId="0"/>
    <xf numFmtId="0" fontId="42" fillId="0" borderId="0"/>
    <xf numFmtId="0" fontId="4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2" fillId="0" borderId="0"/>
    <xf numFmtId="0" fontId="30" fillId="0" borderId="0"/>
    <xf numFmtId="0" fontId="30" fillId="0" borderId="0"/>
    <xf numFmtId="0" fontId="42" fillId="0" borderId="0"/>
    <xf numFmtId="0" fontId="4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6" fillId="0" borderId="0"/>
    <xf numFmtId="0" fontId="46" fillId="0" borderId="0"/>
    <xf numFmtId="0" fontId="4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6" fillId="0" borderId="0"/>
    <xf numFmtId="0" fontId="46" fillId="0" borderId="0"/>
    <xf numFmtId="0" fontId="46" fillId="0" borderId="0"/>
    <xf numFmtId="0" fontId="30" fillId="0" borderId="0"/>
    <xf numFmtId="0" fontId="42" fillId="0" borderId="0"/>
    <xf numFmtId="0" fontId="42" fillId="0" borderId="0"/>
    <xf numFmtId="0" fontId="30" fillId="0" borderId="0"/>
    <xf numFmtId="0" fontId="30" fillId="0" borderId="0"/>
    <xf numFmtId="0" fontId="30" fillId="0" borderId="0"/>
    <xf numFmtId="0" fontId="42" fillId="0" borderId="0"/>
    <xf numFmtId="0" fontId="30" fillId="0" borderId="0"/>
    <xf numFmtId="0" fontId="30" fillId="0" borderId="0"/>
    <xf numFmtId="0" fontId="30" fillId="0" borderId="0"/>
    <xf numFmtId="0" fontId="42" fillId="0" borderId="0"/>
    <xf numFmtId="0" fontId="30" fillId="0" borderId="0"/>
    <xf numFmtId="0" fontId="42" fillId="0" borderId="0"/>
    <xf numFmtId="0" fontId="42" fillId="0" borderId="0"/>
    <xf numFmtId="0" fontId="30" fillId="0" borderId="0"/>
    <xf numFmtId="0" fontId="30" fillId="0" borderId="0"/>
    <xf numFmtId="0" fontId="30" fillId="0" borderId="0"/>
    <xf numFmtId="0" fontId="42" fillId="0" borderId="0"/>
    <xf numFmtId="0" fontId="30" fillId="0" borderId="0"/>
    <xf numFmtId="0" fontId="30" fillId="0" borderId="0"/>
    <xf numFmtId="0" fontId="30" fillId="0" borderId="0"/>
    <xf numFmtId="0" fontId="42" fillId="0" borderId="0"/>
    <xf numFmtId="0" fontId="30" fillId="0" borderId="0"/>
    <xf numFmtId="0" fontId="42" fillId="0" borderId="0"/>
    <xf numFmtId="0" fontId="42" fillId="0" borderId="0"/>
    <xf numFmtId="0" fontId="30" fillId="0" borderId="0"/>
    <xf numFmtId="0" fontId="30" fillId="0" borderId="0"/>
    <xf numFmtId="0" fontId="30" fillId="0" borderId="0"/>
    <xf numFmtId="0" fontId="42" fillId="0" borderId="0"/>
    <xf numFmtId="0" fontId="30" fillId="0" borderId="0"/>
    <xf numFmtId="0" fontId="4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6" fillId="0" borderId="0"/>
    <xf numFmtId="0" fontId="46" fillId="0" borderId="0"/>
    <xf numFmtId="0" fontId="46" fillId="0" borderId="0"/>
    <xf numFmtId="0" fontId="44" fillId="0" borderId="0"/>
    <xf numFmtId="0" fontId="44" fillId="0" borderId="0"/>
    <xf numFmtId="0" fontId="45" fillId="0" borderId="0"/>
    <xf numFmtId="0" fontId="44" fillId="0" borderId="0"/>
    <xf numFmtId="0" fontId="44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44" fillId="0" borderId="0"/>
    <xf numFmtId="0" fontId="45" fillId="0" borderId="0"/>
    <xf numFmtId="0" fontId="44" fillId="0" borderId="0"/>
    <xf numFmtId="0" fontId="44" fillId="0" borderId="0"/>
    <xf numFmtId="0" fontId="45" fillId="0" borderId="0"/>
    <xf numFmtId="0" fontId="44" fillId="0" borderId="0"/>
    <xf numFmtId="0" fontId="44" fillId="0" borderId="0"/>
    <xf numFmtId="0" fontId="45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4" fontId="3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2" fillId="0" borderId="0"/>
    <xf numFmtId="0" fontId="30" fillId="0" borderId="0"/>
    <xf numFmtId="0" fontId="42" fillId="0" borderId="0"/>
    <xf numFmtId="0" fontId="4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2" fillId="0" borderId="0"/>
    <xf numFmtId="0" fontId="30" fillId="0" borderId="0"/>
    <xf numFmtId="0" fontId="31" fillId="0" borderId="0">
      <alignment vertical="center"/>
    </xf>
    <xf numFmtId="0" fontId="31" fillId="0" borderId="0">
      <alignment vertical="center"/>
    </xf>
    <xf numFmtId="185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184" fontId="31" fillId="0" borderId="0">
      <alignment vertical="center"/>
    </xf>
    <xf numFmtId="184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184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6" fontId="1" fillId="0" borderId="0"/>
    <xf numFmtId="186" fontId="1" fillId="0" borderId="0"/>
    <xf numFmtId="184" fontId="1" fillId="0" borderId="0"/>
    <xf numFmtId="18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1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43" fontId="42" fillId="0" borderId="0" applyFont="0" applyFill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48" fillId="0" borderId="0" applyFont="0" applyFill="0" applyBorder="0" applyAlignment="0" applyProtection="0">
      <alignment vertical="center"/>
    </xf>
    <xf numFmtId="43" fontId="48" fillId="0" borderId="0" applyFont="0" applyFill="0" applyBorder="0" applyAlignment="0" applyProtection="0">
      <alignment vertical="center"/>
    </xf>
    <xf numFmtId="43" fontId="48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187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187" fontId="42" fillId="0" borderId="0" applyFont="0" applyFill="0" applyBorder="0" applyAlignment="0" applyProtection="0">
      <alignment vertical="center"/>
    </xf>
    <xf numFmtId="187" fontId="30" fillId="0" borderId="0" applyFont="0" applyFill="0" applyBorder="0" applyAlignment="0" applyProtection="0">
      <alignment vertical="center"/>
    </xf>
    <xf numFmtId="187" fontId="42" fillId="0" borderId="0" applyFont="0" applyFill="0" applyBorder="0" applyAlignment="0" applyProtection="0">
      <alignment vertical="center"/>
    </xf>
    <xf numFmtId="187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187" fontId="42" fillId="0" borderId="0" applyFont="0" applyFill="0" applyBorder="0" applyAlignment="0" applyProtection="0">
      <alignment vertical="center"/>
    </xf>
    <xf numFmtId="187" fontId="30" fillId="0" borderId="0" applyFont="0" applyFill="0" applyBorder="0" applyAlignment="0" applyProtection="0">
      <alignment vertical="center"/>
    </xf>
    <xf numFmtId="187" fontId="42" fillId="0" borderId="0" applyFont="0" applyFill="0" applyBorder="0" applyAlignment="0" applyProtection="0">
      <alignment vertical="center"/>
    </xf>
    <xf numFmtId="187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187" fontId="42" fillId="0" borderId="0" applyFont="0" applyFill="0" applyBorder="0" applyAlignment="0" applyProtection="0">
      <alignment vertical="center"/>
    </xf>
    <xf numFmtId="187" fontId="30" fillId="0" borderId="0" applyFont="0" applyFill="0" applyBorder="0" applyAlignment="0" applyProtection="0">
      <alignment vertical="center"/>
    </xf>
    <xf numFmtId="187" fontId="42" fillId="0" borderId="0" applyFont="0" applyFill="0" applyBorder="0" applyAlignment="0" applyProtection="0">
      <alignment vertical="center"/>
    </xf>
    <xf numFmtId="188" fontId="42" fillId="0" borderId="0" applyFont="0" applyFill="0" applyBorder="0" applyAlignment="0" applyProtection="0">
      <alignment vertical="center"/>
    </xf>
    <xf numFmtId="188" fontId="42" fillId="0" borderId="0" applyFont="0" applyFill="0" applyBorder="0" applyAlignment="0" applyProtection="0">
      <alignment vertical="center"/>
    </xf>
    <xf numFmtId="188" fontId="3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2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183" fontId="31" fillId="0" borderId="0" applyFont="0" applyFill="0" applyBorder="0" applyAlignment="0" applyProtection="0">
      <alignment vertical="center"/>
    </xf>
    <xf numFmtId="183" fontId="31" fillId="0" borderId="0" applyFont="0" applyFill="0" applyBorder="0" applyAlignment="0" applyProtection="0">
      <alignment vertical="center"/>
    </xf>
    <xf numFmtId="183" fontId="31" fillId="0" borderId="0" applyFont="0" applyFill="0" applyBorder="0" applyAlignment="0" applyProtection="0">
      <alignment vertical="center"/>
    </xf>
  </cellStyleXfs>
  <cellXfs count="795">
    <xf numFmtId="0" fontId="0" fillId="0" borderId="0" xfId="0"/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4" borderId="3" xfId="0" applyFont="1" applyFill="1" applyBorder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3" fontId="5" fillId="4" borderId="7" xfId="0" applyNumberFormat="1" applyFont="1" applyFill="1" applyBorder="1" applyAlignment="1">
      <alignment horizontal="center" vertical="center"/>
    </xf>
    <xf numFmtId="4" fontId="11" fillId="0" borderId="0" xfId="0" applyNumberFormat="1" applyFont="1" applyFill="1" applyBorder="1" applyAlignment="1">
      <alignment horizontal="center" vertical="center"/>
    </xf>
    <xf numFmtId="4" fontId="11" fillId="0" borderId="0" xfId="0" applyNumberFormat="1" applyFont="1" applyFill="1" applyBorder="1" applyAlignment="1">
      <alignment vertical="center"/>
    </xf>
    <xf numFmtId="0" fontId="5" fillId="4" borderId="8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3" fontId="5" fillId="4" borderId="11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3" fontId="5" fillId="0" borderId="11" xfId="0" applyNumberFormat="1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4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vertical="center"/>
    </xf>
    <xf numFmtId="3" fontId="5" fillId="0" borderId="14" xfId="0" applyNumberFormat="1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3" fontId="5" fillId="0" borderId="0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" fontId="10" fillId="4" borderId="6" xfId="0" applyNumberFormat="1" applyFont="1" applyFill="1" applyBorder="1" applyAlignment="1">
      <alignment horizontal="center" vertical="center"/>
    </xf>
    <xf numFmtId="1" fontId="10" fillId="3" borderId="6" xfId="0" applyNumberFormat="1" applyFont="1" applyFill="1" applyBorder="1" applyAlignment="1">
      <alignment horizontal="center" vertical="center"/>
    </xf>
    <xf numFmtId="1" fontId="10" fillId="4" borderId="16" xfId="0" applyNumberFormat="1" applyFont="1" applyFill="1" applyBorder="1" applyAlignment="1">
      <alignment horizontal="center" vertical="center"/>
    </xf>
    <xf numFmtId="1" fontId="10" fillId="4" borderId="8" xfId="0" applyNumberFormat="1" applyFont="1" applyFill="1" applyBorder="1" applyAlignment="1">
      <alignment horizontal="center" vertical="center"/>
    </xf>
    <xf numFmtId="1" fontId="10" fillId="3" borderId="8" xfId="0" applyNumberFormat="1" applyFont="1" applyFill="1" applyBorder="1" applyAlignment="1">
      <alignment horizontal="center" vertical="center"/>
    </xf>
    <xf numFmtId="1" fontId="10" fillId="4" borderId="10" xfId="0" applyNumberFormat="1" applyFont="1" applyFill="1" applyBorder="1" applyAlignment="1">
      <alignment horizontal="center" vertical="center"/>
    </xf>
    <xf numFmtId="1" fontId="10" fillId="0" borderId="8" xfId="0" applyNumberFormat="1" applyFont="1" applyFill="1" applyBorder="1" applyAlignment="1">
      <alignment horizontal="center" vertical="center"/>
    </xf>
    <xf numFmtId="1" fontId="10" fillId="0" borderId="10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/>
    </xf>
    <xf numFmtId="1" fontId="10" fillId="3" borderId="2" xfId="0" applyNumberFormat="1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3" fontId="5" fillId="0" borderId="8" xfId="0" applyNumberFormat="1" applyFont="1" applyFill="1" applyBorder="1" applyAlignment="1">
      <alignment horizontal="center" vertical="center"/>
    </xf>
    <xf numFmtId="1" fontId="10" fillId="4" borderId="4" xfId="0" applyNumberFormat="1" applyFont="1" applyFill="1" applyBorder="1" applyAlignment="1">
      <alignment horizontal="center" vertical="center"/>
    </xf>
    <xf numFmtId="1" fontId="10" fillId="4" borderId="18" xfId="0" applyNumberFormat="1" applyFont="1" applyFill="1" applyBorder="1" applyAlignment="1">
      <alignment horizontal="center" vertical="center"/>
    </xf>
    <xf numFmtId="3" fontId="5" fillId="4" borderId="23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1" fontId="10" fillId="4" borderId="1" xfId="0" applyNumberFormat="1" applyFont="1" applyFill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3" fontId="5" fillId="0" borderId="26" xfId="0" applyNumberFormat="1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4" fontId="13" fillId="0" borderId="0" xfId="0" applyNumberFormat="1" applyFont="1" applyAlignment="1">
      <alignment horizontal="center" vertical="center"/>
    </xf>
    <xf numFmtId="4" fontId="11" fillId="5" borderId="8" xfId="0" applyNumberFormat="1" applyFont="1" applyFill="1" applyBorder="1" applyAlignment="1">
      <alignment horizontal="center" vertical="center"/>
    </xf>
    <xf numFmtId="3" fontId="11" fillId="5" borderId="7" xfId="0" applyNumberFormat="1" applyFont="1" applyFill="1" applyBorder="1" applyAlignment="1">
      <alignment horizontal="center" vertical="center"/>
    </xf>
    <xf numFmtId="0" fontId="5" fillId="6" borderId="8" xfId="0" applyNumberFormat="1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4" fontId="6" fillId="6" borderId="11" xfId="0" applyNumberFormat="1" applyFont="1" applyFill="1" applyBorder="1" applyAlignment="1">
      <alignment horizontal="center" vertical="center"/>
    </xf>
    <xf numFmtId="167" fontId="10" fillId="0" borderId="8" xfId="0" applyNumberFormat="1" applyFont="1" applyFill="1" applyBorder="1" applyAlignment="1">
      <alignment horizontal="center" vertical="center"/>
    </xf>
    <xf numFmtId="167" fontId="10" fillId="0" borderId="10" xfId="0" applyNumberFormat="1" applyFont="1" applyFill="1" applyBorder="1" applyAlignment="1">
      <alignment horizontal="center" vertical="center"/>
    </xf>
    <xf numFmtId="4" fontId="6" fillId="0" borderId="11" xfId="0" applyNumberFormat="1" applyFont="1" applyFill="1" applyBorder="1" applyAlignment="1">
      <alignment horizontal="center" vertical="center"/>
    </xf>
    <xf numFmtId="168" fontId="10" fillId="6" borderId="8" xfId="0" applyNumberFormat="1" applyFont="1" applyFill="1" applyBorder="1" applyAlignment="1">
      <alignment horizontal="center" vertical="center"/>
    </xf>
    <xf numFmtId="1" fontId="10" fillId="6" borderId="8" xfId="0" applyNumberFormat="1" applyFont="1" applyFill="1" applyBorder="1" applyAlignment="1">
      <alignment horizontal="center" vertical="center"/>
    </xf>
    <xf numFmtId="167" fontId="10" fillId="0" borderId="1" xfId="0" applyNumberFormat="1" applyFont="1" applyFill="1" applyBorder="1" applyAlignment="1">
      <alignment horizontal="center" vertical="center"/>
    </xf>
    <xf numFmtId="167" fontId="10" fillId="0" borderId="24" xfId="0" applyNumberFormat="1" applyFont="1" applyFill="1" applyBorder="1" applyAlignment="1">
      <alignment horizontal="center" vertical="center"/>
    </xf>
    <xf numFmtId="4" fontId="6" fillId="0" borderId="27" xfId="0" applyNumberFormat="1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4" fontId="6" fillId="6" borderId="7" xfId="0" applyNumberFormat="1" applyFont="1" applyFill="1" applyBorder="1" applyAlignment="1">
      <alignment horizontal="center" vertical="center"/>
    </xf>
    <xf numFmtId="167" fontId="14" fillId="0" borderId="2" xfId="0" applyNumberFormat="1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4" fontId="6" fillId="0" borderId="26" xfId="0" applyNumberFormat="1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167" fontId="10" fillId="7" borderId="8" xfId="0" applyNumberFormat="1" applyFont="1" applyFill="1" applyBorder="1" applyAlignment="1">
      <alignment horizontal="center" vertical="center"/>
    </xf>
    <xf numFmtId="167" fontId="10" fillId="7" borderId="10" xfId="0" applyNumberFormat="1" applyFont="1" applyFill="1" applyBorder="1" applyAlignment="1">
      <alignment horizontal="center" vertical="center"/>
    </xf>
    <xf numFmtId="4" fontId="6" fillId="7" borderId="11" xfId="0" applyNumberFormat="1" applyFont="1" applyFill="1" applyBorder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3" fontId="6" fillId="7" borderId="11" xfId="0" applyNumberFormat="1" applyFont="1" applyFill="1" applyBorder="1" applyAlignment="1">
      <alignment horizontal="center" vertical="center"/>
    </xf>
    <xf numFmtId="167" fontId="14" fillId="6" borderId="6" xfId="0" applyNumberFormat="1" applyFont="1" applyFill="1" applyBorder="1" applyAlignment="1">
      <alignment horizontal="center" vertical="center"/>
    </xf>
    <xf numFmtId="167" fontId="14" fillId="6" borderId="16" xfId="0" applyNumberFormat="1" applyFont="1" applyFill="1" applyBorder="1" applyAlignment="1">
      <alignment horizontal="center" vertical="center"/>
    </xf>
    <xf numFmtId="167" fontId="6" fillId="6" borderId="7" xfId="0" applyNumberFormat="1" applyFont="1" applyFill="1" applyBorder="1" applyAlignment="1">
      <alignment horizontal="center" vertical="center"/>
    </xf>
    <xf numFmtId="4" fontId="14" fillId="0" borderId="2" xfId="0" applyNumberFormat="1" applyFont="1" applyFill="1" applyBorder="1" applyAlignment="1">
      <alignment horizontal="center" vertical="center"/>
    </xf>
    <xf numFmtId="4" fontId="14" fillId="0" borderId="25" xfId="0" applyNumberFormat="1" applyFont="1" applyFill="1" applyBorder="1" applyAlignment="1">
      <alignment horizontal="center" vertical="center"/>
    </xf>
    <xf numFmtId="4" fontId="11" fillId="3" borderId="0" xfId="0" applyNumberFormat="1" applyFont="1" applyFill="1" applyAlignment="1">
      <alignment horizontal="center" vertical="center"/>
    </xf>
    <xf numFmtId="4" fontId="5" fillId="3" borderId="0" xfId="0" applyNumberFormat="1" applyFont="1" applyFill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3" fontId="11" fillId="8" borderId="0" xfId="0" applyNumberFormat="1" applyFont="1" applyFill="1" applyAlignment="1">
      <alignment horizontal="center" vertical="center"/>
    </xf>
    <xf numFmtId="4" fontId="11" fillId="8" borderId="0" xfId="0" applyNumberFormat="1" applyFont="1" applyFill="1" applyAlignment="1">
      <alignment horizontal="center" vertical="center"/>
    </xf>
    <xf numFmtId="1" fontId="11" fillId="8" borderId="0" xfId="0" applyNumberFormat="1" applyFont="1" applyFill="1" applyAlignment="1">
      <alignment horizontal="center" vertical="center"/>
    </xf>
    <xf numFmtId="1" fontId="11" fillId="3" borderId="0" xfId="0" applyNumberFormat="1" applyFont="1" applyFill="1" applyAlignment="1">
      <alignment horizontal="center" vertical="center"/>
    </xf>
    <xf numFmtId="1" fontId="5" fillId="3" borderId="0" xfId="0" applyNumberFormat="1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3" fontId="6" fillId="2" borderId="5" xfId="0" applyNumberFormat="1" applyFont="1" applyFill="1" applyBorder="1" applyAlignment="1">
      <alignment horizontal="center" vertical="center"/>
    </xf>
    <xf numFmtId="3" fontId="6" fillId="2" borderId="5" xfId="0" applyNumberFormat="1" applyFont="1" applyFill="1" applyBorder="1" applyAlignment="1">
      <alignment horizontal="center" vertical="center" wrapText="1"/>
    </xf>
    <xf numFmtId="3" fontId="7" fillId="2" borderId="5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5" fillId="4" borderId="15" xfId="0" applyFont="1" applyFill="1" applyBorder="1" applyAlignment="1">
      <alignment vertical="center"/>
    </xf>
    <xf numFmtId="0" fontId="5" fillId="4" borderId="6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169" fontId="10" fillId="0" borderId="4" xfId="0" applyNumberFormat="1" applyFont="1" applyFill="1" applyBorder="1" applyAlignment="1">
      <alignment horizontal="center"/>
    </xf>
    <xf numFmtId="167" fontId="10" fillId="9" borderId="4" xfId="0" applyNumberFormat="1" applyFont="1" applyFill="1" applyBorder="1" applyAlignment="1">
      <alignment horizontal="center"/>
    </xf>
    <xf numFmtId="167" fontId="10" fillId="3" borderId="4" xfId="0" applyNumberFormat="1" applyFont="1" applyFill="1" applyBorder="1" applyAlignment="1">
      <alignment horizontal="center"/>
    </xf>
    <xf numFmtId="169" fontId="10" fillId="9" borderId="4" xfId="0" applyNumberFormat="1" applyFont="1" applyFill="1" applyBorder="1" applyAlignment="1">
      <alignment horizontal="center"/>
    </xf>
    <xf numFmtId="167" fontId="10" fillId="10" borderId="4" xfId="0" applyNumberFormat="1" applyFont="1" applyFill="1" applyBorder="1" applyAlignment="1">
      <alignment horizontal="center"/>
    </xf>
    <xf numFmtId="169" fontId="10" fillId="0" borderId="8" xfId="0" applyNumberFormat="1" applyFont="1" applyFill="1" applyBorder="1" applyAlignment="1">
      <alignment horizontal="center"/>
    </xf>
    <xf numFmtId="167" fontId="10" fillId="10" borderId="18" xfId="0" applyNumberFormat="1" applyFont="1" applyFill="1" applyBorder="1" applyAlignment="1">
      <alignment horizontal="center"/>
    </xf>
    <xf numFmtId="0" fontId="5" fillId="11" borderId="4" xfId="0" applyFont="1" applyFill="1" applyBorder="1" applyAlignment="1">
      <alignment horizontal="center"/>
    </xf>
    <xf numFmtId="3" fontId="5" fillId="12" borderId="31" xfId="0" applyNumberFormat="1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167" fontId="10" fillId="0" borderId="4" xfId="0" applyNumberFormat="1" applyFont="1" applyFill="1" applyBorder="1" applyAlignment="1">
      <alignment horizontal="center"/>
    </xf>
    <xf numFmtId="0" fontId="5" fillId="11" borderId="8" xfId="0" applyFont="1" applyFill="1" applyBorder="1" applyAlignment="1">
      <alignment horizontal="center"/>
    </xf>
    <xf numFmtId="3" fontId="5" fillId="12" borderId="33" xfId="0" applyNumberFormat="1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167" fontId="10" fillId="0" borderId="1" xfId="0" applyNumberFormat="1" applyFont="1" applyFill="1" applyBorder="1" applyAlignment="1">
      <alignment horizontal="center"/>
    </xf>
    <xf numFmtId="167" fontId="10" fillId="9" borderId="1" xfId="0" applyNumberFormat="1" applyFont="1" applyFill="1" applyBorder="1" applyAlignment="1">
      <alignment horizontal="center"/>
    </xf>
    <xf numFmtId="167" fontId="10" fillId="3" borderId="1" xfId="0" applyNumberFormat="1" applyFont="1" applyFill="1" applyBorder="1" applyAlignment="1">
      <alignment horizontal="center"/>
    </xf>
    <xf numFmtId="167" fontId="10" fillId="10" borderId="1" xfId="0" applyNumberFormat="1" applyFont="1" applyFill="1" applyBorder="1" applyAlignment="1">
      <alignment horizontal="center"/>
    </xf>
    <xf numFmtId="167" fontId="10" fillId="10" borderId="10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167" fontId="10" fillId="9" borderId="8" xfId="0" applyNumberFormat="1" applyFont="1" applyFill="1" applyBorder="1" applyAlignment="1">
      <alignment horizontal="center"/>
    </xf>
    <xf numFmtId="167" fontId="10" fillId="3" borderId="8" xfId="0" applyNumberFormat="1" applyFont="1" applyFill="1" applyBorder="1" applyAlignment="1">
      <alignment horizontal="center"/>
    </xf>
    <xf numFmtId="167" fontId="10" fillId="10" borderId="8" xfId="0" applyNumberFormat="1" applyFont="1" applyFill="1" applyBorder="1" applyAlignment="1">
      <alignment horizontal="center"/>
    </xf>
    <xf numFmtId="167" fontId="10" fillId="0" borderId="8" xfId="0" applyNumberFormat="1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9" borderId="8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10" fillId="10" borderId="8" xfId="0" applyFont="1" applyFill="1" applyBorder="1" applyAlignment="1">
      <alignment horizontal="center"/>
    </xf>
    <xf numFmtId="0" fontId="10" fillId="10" borderId="10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10" fillId="9" borderId="8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10" borderId="8" xfId="0" applyFont="1" applyFill="1" applyBorder="1" applyAlignment="1">
      <alignment horizontal="center"/>
    </xf>
    <xf numFmtId="4" fontId="11" fillId="0" borderId="0" xfId="0" applyNumberFormat="1" applyFont="1" applyFill="1" applyBorder="1" applyAlignment="1">
      <alignment horizontal="center"/>
    </xf>
    <xf numFmtId="0" fontId="5" fillId="10" borderId="10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0" borderId="24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5" fillId="10" borderId="25" xfId="0" applyFont="1" applyFill="1" applyBorder="1" applyAlignment="1">
      <alignment horizontal="center"/>
    </xf>
    <xf numFmtId="2" fontId="10" fillId="0" borderId="6" xfId="0" applyNumberFormat="1" applyFont="1" applyFill="1" applyBorder="1" applyAlignment="1">
      <alignment horizontal="center"/>
    </xf>
    <xf numFmtId="2" fontId="10" fillId="9" borderId="6" xfId="0" applyNumberFormat="1" applyFont="1" applyFill="1" applyBorder="1" applyAlignment="1">
      <alignment horizontal="center"/>
    </xf>
    <xf numFmtId="2" fontId="10" fillId="3" borderId="6" xfId="0" applyNumberFormat="1" applyFont="1" applyFill="1" applyBorder="1" applyAlignment="1">
      <alignment horizontal="center"/>
    </xf>
    <xf numFmtId="0" fontId="10" fillId="9" borderId="6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10" borderId="6" xfId="0" applyFont="1" applyFill="1" applyBorder="1" applyAlignment="1">
      <alignment horizontal="center"/>
    </xf>
    <xf numFmtId="2" fontId="10" fillId="10" borderId="16" xfId="0" applyNumberFormat="1" applyFont="1" applyFill="1" applyBorder="1" applyAlignment="1">
      <alignment horizontal="center"/>
    </xf>
    <xf numFmtId="0" fontId="10" fillId="11" borderId="8" xfId="0" applyFont="1" applyFill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2" fontId="10" fillId="0" borderId="8" xfId="0" applyNumberFormat="1" applyFont="1" applyFill="1" applyBorder="1" applyAlignment="1">
      <alignment horizontal="center"/>
    </xf>
    <xf numFmtId="2" fontId="10" fillId="9" borderId="8" xfId="0" applyNumberFormat="1" applyFont="1" applyFill="1" applyBorder="1" applyAlignment="1">
      <alignment horizontal="center"/>
    </xf>
    <xf numFmtId="2" fontId="10" fillId="3" borderId="8" xfId="0" applyNumberFormat="1" applyFont="1" applyFill="1" applyBorder="1" applyAlignment="1">
      <alignment horizontal="center"/>
    </xf>
    <xf numFmtId="2" fontId="10" fillId="10" borderId="1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3" fontId="5" fillId="0" borderId="0" xfId="0" applyNumberFormat="1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0" fillId="10" borderId="1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10" fillId="3" borderId="9" xfId="0" applyFont="1" applyFill="1" applyBorder="1" applyAlignment="1">
      <alignment horizontal="center"/>
    </xf>
    <xf numFmtId="0" fontId="10" fillId="10" borderId="21" xfId="0" applyFont="1" applyFill="1" applyBorder="1" applyAlignment="1">
      <alignment horizontal="center"/>
    </xf>
    <xf numFmtId="3" fontId="5" fillId="0" borderId="28" xfId="0" applyNumberFormat="1" applyFont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9" borderId="2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10" borderId="2" xfId="0" applyFont="1" applyFill="1" applyBorder="1" applyAlignment="1">
      <alignment horizontal="center"/>
    </xf>
    <xf numFmtId="0" fontId="10" fillId="10" borderId="2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1" fontId="10" fillId="0" borderId="8" xfId="0" applyNumberFormat="1" applyFont="1" applyFill="1" applyBorder="1" applyAlignment="1">
      <alignment horizontal="center"/>
    </xf>
    <xf numFmtId="1" fontId="10" fillId="9" borderId="8" xfId="0" applyNumberFormat="1" applyFont="1" applyFill="1" applyBorder="1" applyAlignment="1">
      <alignment horizontal="center"/>
    </xf>
    <xf numFmtId="1" fontId="10" fillId="3" borderId="8" xfId="0" applyNumberFormat="1" applyFont="1" applyFill="1" applyBorder="1" applyAlignment="1">
      <alignment horizontal="center"/>
    </xf>
    <xf numFmtId="1" fontId="10" fillId="10" borderId="10" xfId="0" applyNumberFormat="1" applyFont="1" applyFill="1" applyBorder="1" applyAlignment="1">
      <alignment horizontal="center"/>
    </xf>
    <xf numFmtId="0" fontId="10" fillId="10" borderId="24" xfId="0" applyFont="1" applyFill="1" applyBorder="1" applyAlignment="1">
      <alignment horizontal="center"/>
    </xf>
    <xf numFmtId="0" fontId="10" fillId="9" borderId="6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10" borderId="6" xfId="0" applyFont="1" applyFill="1" applyBorder="1" applyAlignment="1">
      <alignment horizontal="center" vertical="center"/>
    </xf>
    <xf numFmtId="0" fontId="10" fillId="10" borderId="16" xfId="0" applyFont="1" applyFill="1" applyBorder="1" applyAlignment="1">
      <alignment horizontal="center" vertical="center"/>
    </xf>
    <xf numFmtId="0" fontId="10" fillId="10" borderId="8" xfId="0" applyFont="1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 vertical="center"/>
    </xf>
    <xf numFmtId="1" fontId="10" fillId="9" borderId="8" xfId="0" applyNumberFormat="1" applyFont="1" applyFill="1" applyBorder="1" applyAlignment="1">
      <alignment horizontal="center" vertical="center"/>
    </xf>
    <xf numFmtId="1" fontId="10" fillId="10" borderId="8" xfId="0" applyNumberFormat="1" applyFont="1" applyFill="1" applyBorder="1" applyAlignment="1">
      <alignment horizontal="center" vertical="center"/>
    </xf>
    <xf numFmtId="1" fontId="10" fillId="9" borderId="2" xfId="0" applyNumberFormat="1" applyFont="1" applyFill="1" applyBorder="1" applyAlignment="1">
      <alignment horizontal="center" vertical="center"/>
    </xf>
    <xf numFmtId="1" fontId="10" fillId="10" borderId="2" xfId="0" applyNumberFormat="1" applyFont="1" applyFill="1" applyBorder="1" applyAlignment="1">
      <alignment horizontal="center" vertical="center"/>
    </xf>
    <xf numFmtId="0" fontId="10" fillId="9" borderId="13" xfId="0" applyFont="1" applyFill="1" applyBorder="1" applyAlignment="1">
      <alignment horizontal="center" vertical="center"/>
    </xf>
    <xf numFmtId="0" fontId="10" fillId="10" borderId="22" xfId="0" applyFont="1" applyFill="1" applyBorder="1" applyAlignment="1">
      <alignment horizontal="center" vertical="center"/>
    </xf>
    <xf numFmtId="0" fontId="10" fillId="11" borderId="2" xfId="0" applyFont="1" applyFill="1" applyBorder="1" applyAlignment="1">
      <alignment horizontal="center"/>
    </xf>
    <xf numFmtId="3" fontId="5" fillId="12" borderId="38" xfId="0" applyNumberFormat="1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10" borderId="16" xfId="0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3" fontId="5" fillId="12" borderId="40" xfId="0" applyNumberFormat="1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/>
    </xf>
    <xf numFmtId="0" fontId="10" fillId="10" borderId="4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3" fontId="5" fillId="12" borderId="8" xfId="0" applyNumberFormat="1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/>
    </xf>
    <xf numFmtId="0" fontId="10" fillId="9" borderId="13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/>
    </xf>
    <xf numFmtId="0" fontId="10" fillId="10" borderId="13" xfId="0" applyFont="1" applyFill="1" applyBorder="1" applyAlignment="1">
      <alignment horizontal="center"/>
    </xf>
    <xf numFmtId="0" fontId="10" fillId="10" borderId="22" xfId="0" applyFont="1" applyFill="1" applyBorder="1" applyAlignment="1">
      <alignment horizontal="center"/>
    </xf>
    <xf numFmtId="0" fontId="10" fillId="11" borderId="13" xfId="0" applyFont="1" applyFill="1" applyBorder="1" applyAlignment="1">
      <alignment horizontal="center"/>
    </xf>
    <xf numFmtId="3" fontId="5" fillId="12" borderId="42" xfId="0" applyNumberFormat="1" applyFont="1" applyFill="1" applyBorder="1" applyAlignment="1">
      <alignment horizontal="center"/>
    </xf>
    <xf numFmtId="164" fontId="5" fillId="0" borderId="5" xfId="0" applyNumberFormat="1" applyFont="1" applyFill="1" applyBorder="1" applyAlignment="1">
      <alignment horizontal="center" vertical="center"/>
    </xf>
    <xf numFmtId="164" fontId="5" fillId="0" borderId="9" xfId="0" applyNumberFormat="1" applyFont="1" applyFill="1" applyBorder="1" applyAlignment="1">
      <alignment horizontal="center" vertical="center"/>
    </xf>
    <xf numFmtId="0" fontId="10" fillId="9" borderId="9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3" fontId="5" fillId="12" borderId="43" xfId="0" applyNumberFormat="1" applyFont="1" applyFill="1" applyBorder="1" applyAlignment="1">
      <alignment horizontal="center"/>
    </xf>
    <xf numFmtId="164" fontId="5" fillId="0" borderId="13" xfId="0" applyNumberFormat="1" applyFont="1" applyFill="1" applyBorder="1" applyAlignment="1">
      <alignment horizontal="center" vertical="center"/>
    </xf>
    <xf numFmtId="0" fontId="10" fillId="10" borderId="4" xfId="0" applyFont="1" applyFill="1" applyBorder="1" applyAlignment="1">
      <alignment horizontal="center" vertical="center"/>
    </xf>
    <xf numFmtId="3" fontId="5" fillId="11" borderId="4" xfId="0" applyNumberFormat="1" applyFont="1" applyFill="1" applyBorder="1" applyAlignment="1">
      <alignment horizontal="center" vertical="center"/>
    </xf>
    <xf numFmtId="3" fontId="5" fillId="3" borderId="4" xfId="0" applyNumberFormat="1" applyFont="1" applyFill="1" applyBorder="1" applyAlignment="1">
      <alignment horizontal="center"/>
    </xf>
    <xf numFmtId="3" fontId="5" fillId="11" borderId="8" xfId="0" applyNumberFormat="1" applyFont="1" applyFill="1" applyBorder="1" applyAlignment="1">
      <alignment horizontal="center" vertical="center"/>
    </xf>
    <xf numFmtId="3" fontId="5" fillId="3" borderId="8" xfId="0" applyNumberFormat="1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 vertical="center"/>
    </xf>
    <xf numFmtId="0" fontId="10" fillId="10" borderId="13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/>
    </xf>
    <xf numFmtId="3" fontId="5" fillId="11" borderId="2" xfId="0" applyNumberFormat="1" applyFont="1" applyFill="1" applyBorder="1" applyAlignment="1">
      <alignment horizontal="center" vertical="center"/>
    </xf>
    <xf numFmtId="3" fontId="5" fillId="3" borderId="2" xfId="0" applyNumberFormat="1" applyFont="1" applyFill="1" applyBorder="1" applyAlignment="1">
      <alignment horizontal="center"/>
    </xf>
    <xf numFmtId="0" fontId="5" fillId="9" borderId="0" xfId="0" applyFont="1" applyFill="1" applyBorder="1" applyAlignment="1">
      <alignment horizontal="center"/>
    </xf>
    <xf numFmtId="0" fontId="10" fillId="11" borderId="4" xfId="0" applyFont="1" applyFill="1" applyBorder="1" applyAlignment="1">
      <alignment horizontal="center"/>
    </xf>
    <xf numFmtId="1" fontId="10" fillId="4" borderId="4" xfId="0" applyNumberFormat="1" applyFont="1" applyFill="1" applyBorder="1" applyAlignment="1">
      <alignment horizontal="center"/>
    </xf>
    <xf numFmtId="1" fontId="10" fillId="9" borderId="4" xfId="0" applyNumberFormat="1" applyFont="1" applyFill="1" applyBorder="1" applyAlignment="1">
      <alignment horizontal="center"/>
    </xf>
    <xf numFmtId="1" fontId="10" fillId="3" borderId="4" xfId="0" applyNumberFormat="1" applyFont="1" applyFill="1" applyBorder="1" applyAlignment="1">
      <alignment horizontal="center"/>
    </xf>
    <xf numFmtId="1" fontId="10" fillId="10" borderId="8" xfId="0" applyNumberFormat="1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1" fontId="10" fillId="4" borderId="8" xfId="0" applyNumberFormat="1" applyFont="1" applyFill="1" applyBorder="1" applyAlignment="1">
      <alignment horizontal="center"/>
    </xf>
    <xf numFmtId="3" fontId="5" fillId="3" borderId="10" xfId="0" applyNumberFormat="1" applyFont="1" applyFill="1" applyBorder="1" applyAlignment="1">
      <alignment horizontal="center"/>
    </xf>
    <xf numFmtId="1" fontId="10" fillId="0" borderId="1" xfId="0" applyNumberFormat="1" applyFont="1" applyFill="1" applyBorder="1" applyAlignment="1">
      <alignment horizontal="center"/>
    </xf>
    <xf numFmtId="1" fontId="10" fillId="9" borderId="1" xfId="0" applyNumberFormat="1" applyFont="1" applyFill="1" applyBorder="1" applyAlignment="1">
      <alignment horizontal="center"/>
    </xf>
    <xf numFmtId="1" fontId="10" fillId="3" borderId="1" xfId="0" applyNumberFormat="1" applyFont="1" applyFill="1" applyBorder="1" applyAlignment="1">
      <alignment horizontal="center"/>
    </xf>
    <xf numFmtId="1" fontId="10" fillId="10" borderId="24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165" fontId="5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10" fillId="10" borderId="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3" fontId="5" fillId="12" borderId="0" xfId="0" applyNumberFormat="1" applyFont="1" applyFill="1" applyBorder="1" applyAlignment="1">
      <alignment horizontal="center"/>
    </xf>
    <xf numFmtId="3" fontId="5" fillId="0" borderId="0" xfId="0" applyNumberFormat="1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13" borderId="8" xfId="0" applyFont="1" applyFill="1" applyBorder="1" applyAlignment="1">
      <alignment horizontal="center" vertical="center"/>
    </xf>
    <xf numFmtId="3" fontId="6" fillId="13" borderId="8" xfId="0" applyNumberFormat="1" applyFont="1" applyFill="1" applyBorder="1" applyAlignment="1">
      <alignment horizontal="center" vertical="center"/>
    </xf>
    <xf numFmtId="3" fontId="7" fillId="13" borderId="8" xfId="0" applyNumberFormat="1" applyFont="1" applyFill="1" applyBorder="1" applyAlignment="1">
      <alignment horizontal="center" vertical="center"/>
    </xf>
    <xf numFmtId="3" fontId="6" fillId="13" borderId="8" xfId="0" applyNumberFormat="1" applyFont="1" applyFill="1" applyBorder="1" applyAlignment="1">
      <alignment horizontal="center" vertical="center" wrapText="1"/>
    </xf>
    <xf numFmtId="0" fontId="5" fillId="14" borderId="8" xfId="0" applyFont="1" applyFill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4" fontId="11" fillId="0" borderId="8" xfId="0" applyNumberFormat="1" applyFont="1" applyBorder="1" applyAlignment="1">
      <alignment horizontal="center" vertical="center"/>
    </xf>
    <xf numFmtId="4" fontId="11" fillId="0" borderId="8" xfId="0" applyNumberFormat="1" applyFont="1" applyBorder="1" applyAlignment="1">
      <alignment vertical="center"/>
    </xf>
    <xf numFmtId="4" fontId="5" fillId="0" borderId="8" xfId="0" applyNumberFormat="1" applyFont="1" applyBorder="1" applyAlignment="1">
      <alignment vertical="center"/>
    </xf>
    <xf numFmtId="4" fontId="5" fillId="0" borderId="8" xfId="0" applyNumberFormat="1" applyFont="1" applyBorder="1" applyAlignment="1">
      <alignment horizontal="center" vertical="center"/>
    </xf>
    <xf numFmtId="4" fontId="11" fillId="0" borderId="8" xfId="0" applyNumberFormat="1" applyFont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4" fontId="11" fillId="0" borderId="1" xfId="0" applyNumberFormat="1" applyFont="1" applyBorder="1" applyAlignment="1">
      <alignment horizontal="center"/>
    </xf>
    <xf numFmtId="4" fontId="11" fillId="0" borderId="0" xfId="0" applyNumberFormat="1" applyFont="1" applyAlignment="1">
      <alignment horizontal="center"/>
    </xf>
    <xf numFmtId="4" fontId="13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4" fontId="5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3" fontId="11" fillId="8" borderId="0" xfId="0" applyNumberFormat="1" applyFont="1" applyFill="1" applyAlignment="1">
      <alignment horizontal="center"/>
    </xf>
    <xf numFmtId="4" fontId="11" fillId="8" borderId="0" xfId="0" applyNumberFormat="1" applyFont="1" applyFill="1" applyAlignment="1">
      <alignment horizontal="center"/>
    </xf>
    <xf numFmtId="1" fontId="11" fillId="8" borderId="0" xfId="0" applyNumberFormat="1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18" fillId="4" borderId="8" xfId="0" applyFont="1" applyFill="1" applyBorder="1" applyAlignment="1">
      <alignment horizontal="center" vertical="center" wrapText="1"/>
    </xf>
    <xf numFmtId="0" fontId="18" fillId="15" borderId="8" xfId="0" applyFont="1" applyFill="1" applyBorder="1" applyAlignment="1">
      <alignment horizontal="center" vertical="center" wrapText="1"/>
    </xf>
    <xf numFmtId="0" fontId="20" fillId="4" borderId="8" xfId="0" applyFont="1" applyFill="1" applyBorder="1" applyAlignment="1">
      <alignment horizontal="center" vertical="center" wrapText="1"/>
    </xf>
    <xf numFmtId="0" fontId="20" fillId="16" borderId="8" xfId="0" applyFont="1" applyFill="1" applyBorder="1" applyAlignment="1">
      <alignment horizontal="center" vertical="center" wrapText="1"/>
    </xf>
    <xf numFmtId="170" fontId="5" fillId="0" borderId="1" xfId="0" applyNumberFormat="1" applyFont="1" applyBorder="1" applyAlignment="1">
      <alignment horizontal="center" vertical="center"/>
    </xf>
    <xf numFmtId="10" fontId="25" fillId="4" borderId="1" xfId="0" applyNumberFormat="1" applyFont="1" applyFill="1" applyBorder="1" applyAlignment="1">
      <alignment horizontal="center" vertical="center" wrapText="1"/>
    </xf>
    <xf numFmtId="10" fontId="25" fillId="4" borderId="8" xfId="0" applyNumberFormat="1" applyFont="1" applyFill="1" applyBorder="1" applyAlignment="1">
      <alignment horizontal="center" vertical="center" wrapText="1"/>
    </xf>
    <xf numFmtId="167" fontId="25" fillId="4" borderId="8" xfId="0" applyNumberFormat="1" applyFont="1" applyFill="1" applyBorder="1" applyAlignment="1">
      <alignment horizontal="center" vertical="center" wrapText="1"/>
    </xf>
    <xf numFmtId="167" fontId="25" fillId="16" borderId="8" xfId="0" applyNumberFormat="1" applyFont="1" applyFill="1" applyBorder="1" applyAlignment="1">
      <alignment horizontal="center" vertical="center" wrapText="1"/>
    </xf>
    <xf numFmtId="167" fontId="25" fillId="0" borderId="8" xfId="0" applyNumberFormat="1" applyFont="1" applyBorder="1" applyAlignment="1">
      <alignment horizontal="center" vertical="center" wrapText="1"/>
    </xf>
    <xf numFmtId="1" fontId="25" fillId="0" borderId="8" xfId="0" applyNumberFormat="1" applyFont="1" applyBorder="1" applyAlignment="1">
      <alignment horizontal="center" vertical="center" wrapText="1"/>
    </xf>
    <xf numFmtId="170" fontId="5" fillId="0" borderId="8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8" fillId="0" borderId="47" xfId="0" applyFont="1" applyBorder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10" fontId="18" fillId="15" borderId="8" xfId="0" applyNumberFormat="1" applyFont="1" applyFill="1" applyBorder="1" applyAlignment="1">
      <alignment horizontal="center" vertical="center" wrapText="1"/>
    </xf>
    <xf numFmtId="10" fontId="18" fillId="4" borderId="8" xfId="0" applyNumberFormat="1" applyFont="1" applyFill="1" applyBorder="1" applyAlignment="1">
      <alignment horizontal="center" vertical="center" wrapText="1"/>
    </xf>
    <xf numFmtId="2" fontId="25" fillId="0" borderId="8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27" fillId="0" borderId="45" xfId="0" applyFont="1" applyBorder="1" applyAlignment="1">
      <alignment vertical="center"/>
    </xf>
    <xf numFmtId="167" fontId="20" fillId="16" borderId="8" xfId="0" applyNumberFormat="1" applyFont="1" applyFill="1" applyBorder="1" applyAlignment="1">
      <alignment horizontal="center" vertical="center" wrapText="1"/>
    </xf>
    <xf numFmtId="0" fontId="25" fillId="0" borderId="8" xfId="1" applyFont="1" applyBorder="1" applyAlignment="1">
      <alignment horizontal="center" vertical="center" wrapText="1"/>
    </xf>
    <xf numFmtId="0" fontId="29" fillId="0" borderId="8" xfId="1" applyFont="1" applyBorder="1" applyAlignment="1">
      <alignment horizontal="center" vertical="center" wrapText="1"/>
    </xf>
    <xf numFmtId="169" fontId="25" fillId="0" borderId="8" xfId="0" applyNumberFormat="1" applyFont="1" applyBorder="1" applyAlignment="1">
      <alignment horizontal="center" vertical="center" wrapText="1"/>
    </xf>
    <xf numFmtId="2" fontId="25" fillId="0" borderId="8" xfId="1" applyNumberFormat="1" applyFont="1" applyBorder="1" applyAlignment="1">
      <alignment horizontal="center" vertical="center" wrapText="1"/>
    </xf>
    <xf numFmtId="171" fontId="25" fillId="4" borderId="8" xfId="0" applyNumberFormat="1" applyFont="1" applyFill="1" applyBorder="1" applyAlignment="1">
      <alignment horizontal="center" vertical="center" wrapText="1"/>
    </xf>
    <xf numFmtId="0" fontId="5" fillId="17" borderId="8" xfId="2" applyFont="1" applyFill="1" applyBorder="1" applyAlignment="1">
      <alignment horizontal="center" vertical="center"/>
    </xf>
    <xf numFmtId="1" fontId="25" fillId="0" borderId="8" xfId="0" applyNumberFormat="1" applyFont="1" applyBorder="1" applyAlignment="1">
      <alignment horizontal="center" vertical="center"/>
    </xf>
    <xf numFmtId="0" fontId="25" fillId="17" borderId="8" xfId="2" applyFont="1" applyFill="1" applyBorder="1" applyAlignment="1">
      <alignment horizontal="center" vertical="center"/>
    </xf>
    <xf numFmtId="0" fontId="5" fillId="17" borderId="0" xfId="2" applyFont="1" applyFill="1" applyBorder="1" applyAlignment="1">
      <alignment horizontal="center" vertical="center"/>
    </xf>
    <xf numFmtId="10" fontId="25" fillId="15" borderId="8" xfId="0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vertical="center"/>
    </xf>
    <xf numFmtId="0" fontId="27" fillId="4" borderId="8" xfId="0" applyFont="1" applyFill="1" applyBorder="1" applyAlignment="1">
      <alignment vertical="center"/>
    </xf>
    <xf numFmtId="0" fontId="27" fillId="4" borderId="1" xfId="0" applyFont="1" applyFill="1" applyBorder="1" applyAlignment="1">
      <alignment vertical="center"/>
    </xf>
    <xf numFmtId="0" fontId="25" fillId="17" borderId="0" xfId="2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47" xfId="0" applyFont="1" applyBorder="1" applyAlignment="1">
      <alignment horizontal="center" vertical="center" wrapText="1"/>
    </xf>
    <xf numFmtId="0" fontId="25" fillId="0" borderId="47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6" fillId="0" borderId="0" xfId="0" applyFont="1" applyAlignment="1">
      <alignment vertical="center"/>
    </xf>
    <xf numFmtId="0" fontId="27" fillId="0" borderId="0" xfId="0" applyFont="1"/>
    <xf numFmtId="2" fontId="25" fillId="0" borderId="0" xfId="0" applyNumberFormat="1" applyFont="1" applyAlignment="1">
      <alignment horizontal="center" vertical="center" wrapText="1"/>
    </xf>
    <xf numFmtId="2" fontId="27" fillId="0" borderId="0" xfId="0" applyNumberFormat="1" applyFont="1" applyAlignment="1">
      <alignment vertical="center"/>
    </xf>
    <xf numFmtId="167" fontId="27" fillId="0" borderId="0" xfId="0" applyNumberFormat="1" applyFont="1" applyAlignment="1">
      <alignment vertical="center"/>
    </xf>
    <xf numFmtId="0" fontId="25" fillId="0" borderId="0" xfId="0" applyFont="1" applyAlignment="1">
      <alignment horizontal="left" vertical="center" wrapText="1"/>
    </xf>
    <xf numFmtId="0" fontId="29" fillId="0" borderId="8" xfId="0" applyFont="1" applyBorder="1" applyAlignment="1">
      <alignment horizontal="center" vertical="center" wrapText="1"/>
    </xf>
    <xf numFmtId="172" fontId="20" fillId="16" borderId="8" xfId="0" applyNumberFormat="1" applyFont="1" applyFill="1" applyBorder="1" applyAlignment="1">
      <alignment horizontal="center" vertical="center" wrapText="1"/>
    </xf>
    <xf numFmtId="0" fontId="25" fillId="0" borderId="8" xfId="1" applyFont="1" applyBorder="1" applyAlignment="1">
      <alignment horizontal="center" vertical="center"/>
    </xf>
    <xf numFmtId="0" fontId="27" fillId="0" borderId="8" xfId="0" applyFont="1" applyBorder="1" applyAlignment="1">
      <alignment vertical="center"/>
    </xf>
    <xf numFmtId="173" fontId="25" fillId="4" borderId="8" xfId="1" applyNumberFormat="1" applyFont="1" applyFill="1" applyBorder="1" applyAlignment="1">
      <alignment horizontal="center" vertical="center" wrapText="1"/>
    </xf>
    <xf numFmtId="176" fontId="25" fillId="4" borderId="8" xfId="0" applyNumberFormat="1" applyFont="1" applyFill="1" applyBorder="1" applyAlignment="1">
      <alignment horizontal="center" vertical="center" wrapText="1"/>
    </xf>
    <xf numFmtId="172" fontId="25" fillId="16" borderId="8" xfId="0" applyNumberFormat="1" applyFont="1" applyFill="1" applyBorder="1" applyAlignment="1">
      <alignment horizontal="center" vertical="center" wrapText="1"/>
    </xf>
    <xf numFmtId="0" fontId="25" fillId="17" borderId="8" xfId="3" applyFont="1" applyFill="1" applyBorder="1" applyAlignment="1">
      <alignment horizontal="center" vertical="center"/>
    </xf>
    <xf numFmtId="0" fontId="25" fillId="0" borderId="47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33" fillId="0" borderId="0" xfId="0" applyFont="1" applyAlignment="1">
      <alignment vertical="center"/>
    </xf>
    <xf numFmtId="172" fontId="27" fillId="0" borderId="0" xfId="0" applyNumberFormat="1" applyFont="1" applyAlignment="1">
      <alignment vertical="center"/>
    </xf>
    <xf numFmtId="176" fontId="25" fillId="4" borderId="1" xfId="0" applyNumberFormat="1" applyFont="1" applyFill="1" applyBorder="1" applyAlignment="1">
      <alignment horizontal="center" vertical="center" wrapText="1"/>
    </xf>
    <xf numFmtId="172" fontId="25" fillId="16" borderId="1" xfId="0" applyNumberFormat="1" applyFont="1" applyFill="1" applyBorder="1" applyAlignment="1">
      <alignment horizontal="center" vertical="center" wrapText="1"/>
    </xf>
    <xf numFmtId="1" fontId="25" fillId="0" borderId="1" xfId="0" applyNumberFormat="1" applyFont="1" applyBorder="1" applyAlignment="1">
      <alignment horizontal="center" vertical="center"/>
    </xf>
    <xf numFmtId="0" fontId="18" fillId="0" borderId="45" xfId="0" applyFont="1" applyBorder="1" applyAlignment="1">
      <alignment vertical="center" wrapText="1"/>
    </xf>
    <xf numFmtId="0" fontId="18" fillId="0" borderId="8" xfId="0" applyFont="1" applyBorder="1" applyAlignment="1">
      <alignment horizontal="center" vertical="center"/>
    </xf>
    <xf numFmtId="1" fontId="25" fillId="4" borderId="8" xfId="0" applyNumberFormat="1" applyFont="1" applyFill="1" applyBorder="1" applyAlignment="1">
      <alignment horizontal="center" vertical="center" wrapText="1"/>
    </xf>
    <xf numFmtId="177" fontId="25" fillId="0" borderId="8" xfId="0" applyNumberFormat="1" applyFont="1" applyBorder="1" applyAlignment="1">
      <alignment horizontal="center" vertical="center" wrapText="1"/>
    </xf>
    <xf numFmtId="9" fontId="25" fillId="4" borderId="8" xfId="0" applyNumberFormat="1" applyFont="1" applyFill="1" applyBorder="1" applyAlignment="1">
      <alignment horizontal="center" vertical="center" wrapText="1"/>
    </xf>
    <xf numFmtId="176" fontId="25" fillId="4" borderId="8" xfId="0" applyNumberFormat="1" applyFont="1" applyFill="1" applyBorder="1" applyAlignment="1">
      <alignment horizontal="center" vertical="center"/>
    </xf>
    <xf numFmtId="177" fontId="5" fillId="0" borderId="8" xfId="0" applyNumberFormat="1" applyFont="1" applyBorder="1" applyAlignment="1">
      <alignment horizontal="center" vertical="center" wrapText="1"/>
    </xf>
    <xf numFmtId="178" fontId="25" fillId="0" borderId="8" xfId="0" applyNumberFormat="1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0" fontId="5" fillId="17" borderId="8" xfId="3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36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37" fillId="0" borderId="0" xfId="4" applyFont="1" applyAlignment="1">
      <alignment horizontal="left" vertical="center"/>
    </xf>
    <xf numFmtId="0" fontId="38" fillId="0" borderId="0" xfId="4" applyFont="1" applyAlignment="1">
      <alignment horizontal="center" vertical="center"/>
    </xf>
    <xf numFmtId="0" fontId="38" fillId="0" borderId="0" xfId="4" applyFont="1">
      <alignment vertical="center"/>
    </xf>
    <xf numFmtId="0" fontId="1" fillId="0" borderId="0" xfId="4">
      <alignment vertical="center"/>
    </xf>
    <xf numFmtId="0" fontId="1" fillId="0" borderId="8" xfId="4" applyBorder="1" applyAlignment="1">
      <alignment horizontal="center" vertical="center" wrapText="1"/>
    </xf>
    <xf numFmtId="0" fontId="1" fillId="18" borderId="21" xfId="4" applyFill="1" applyBorder="1" applyAlignment="1">
      <alignment horizontal="center" vertical="center" wrapText="1"/>
    </xf>
    <xf numFmtId="0" fontId="1" fillId="0" borderId="24" xfId="4" applyBorder="1" applyAlignment="1">
      <alignment horizontal="center" vertical="center"/>
    </xf>
    <xf numFmtId="0" fontId="1" fillId="18" borderId="8" xfId="4" applyFill="1" applyBorder="1" applyAlignment="1">
      <alignment horizontal="center" vertical="center"/>
    </xf>
    <xf numFmtId="0" fontId="1" fillId="0" borderId="8" xfId="4" applyBorder="1" applyAlignment="1">
      <alignment horizontal="center" vertical="center"/>
    </xf>
    <xf numFmtId="0" fontId="1" fillId="18" borderId="4" xfId="4" applyFill="1" applyBorder="1" applyAlignment="1">
      <alignment horizontal="center" vertical="center" wrapText="1"/>
    </xf>
    <xf numFmtId="0" fontId="1" fillId="18" borderId="24" xfId="4" applyFill="1" applyBorder="1" applyAlignment="1">
      <alignment horizontal="center" vertical="center"/>
    </xf>
    <xf numFmtId="169" fontId="1" fillId="0" borderId="8" xfId="4" applyNumberFormat="1" applyBorder="1" applyAlignment="1">
      <alignment horizontal="center" vertical="center"/>
    </xf>
    <xf numFmtId="169" fontId="1" fillId="18" borderId="8" xfId="4" applyNumberFormat="1" applyFill="1" applyBorder="1" applyAlignment="1">
      <alignment horizontal="center" vertical="center"/>
    </xf>
    <xf numFmtId="0" fontId="1" fillId="0" borderId="8" xfId="4" applyBorder="1">
      <alignment vertical="center"/>
    </xf>
    <xf numFmtId="0" fontId="1" fillId="18" borderId="24" xfId="4" applyFill="1" applyBorder="1" applyAlignment="1">
      <alignment vertical="center" wrapText="1"/>
    </xf>
    <xf numFmtId="167" fontId="1" fillId="0" borderId="8" xfId="4" applyNumberFormat="1" applyBorder="1" applyAlignment="1">
      <alignment horizontal="center" vertical="center"/>
    </xf>
    <xf numFmtId="169" fontId="1" fillId="0" borderId="8" xfId="4" applyNumberFormat="1" applyBorder="1">
      <alignment vertical="center"/>
    </xf>
    <xf numFmtId="0" fontId="1" fillId="0" borderId="0" xfId="4" applyAlignment="1">
      <alignment horizontal="center" vertical="center"/>
    </xf>
    <xf numFmtId="0" fontId="1" fillId="0" borderId="1" xfId="4" applyBorder="1" applyAlignment="1">
      <alignment horizontal="center" vertical="center"/>
    </xf>
    <xf numFmtId="0" fontId="39" fillId="18" borderId="48" xfId="4" applyFont="1" applyFill="1" applyBorder="1" applyAlignment="1">
      <alignment horizontal="left" vertical="center"/>
    </xf>
    <xf numFmtId="169" fontId="39" fillId="18" borderId="46" xfId="4" applyNumberFormat="1" applyFont="1" applyFill="1" applyBorder="1" applyAlignment="1">
      <alignment horizontal="left" vertical="center"/>
    </xf>
    <xf numFmtId="0" fontId="1" fillId="0" borderId="46" xfId="4" applyBorder="1" applyAlignment="1">
      <alignment horizontal="center" vertical="center"/>
    </xf>
    <xf numFmtId="0" fontId="39" fillId="0" borderId="48" xfId="4" applyFont="1" applyBorder="1" applyAlignment="1">
      <alignment horizontal="left" vertical="center"/>
    </xf>
    <xf numFmtId="0" fontId="39" fillId="0" borderId="46" xfId="4" applyFont="1" applyBorder="1" applyAlignment="1">
      <alignment horizontal="left" vertical="center"/>
    </xf>
    <xf numFmtId="0" fontId="1" fillId="19" borderId="8" xfId="4" applyFill="1" applyBorder="1" applyAlignment="1">
      <alignment vertical="center" wrapText="1"/>
    </xf>
    <xf numFmtId="1" fontId="1" fillId="19" borderId="8" xfId="4" applyNumberFormat="1" applyFill="1" applyBorder="1" applyAlignment="1">
      <alignment horizontal="center" vertical="center"/>
    </xf>
    <xf numFmtId="1" fontId="1" fillId="0" borderId="8" xfId="4" applyNumberFormat="1" applyBorder="1" applyAlignment="1">
      <alignment horizontal="center" vertical="center"/>
    </xf>
    <xf numFmtId="169" fontId="1" fillId="19" borderId="8" xfId="4" applyNumberFormat="1" applyFill="1" applyBorder="1" applyAlignment="1">
      <alignment horizontal="center" vertical="center"/>
    </xf>
    <xf numFmtId="0" fontId="0" fillId="0" borderId="0" xfId="4" applyFont="1">
      <alignment vertical="center"/>
    </xf>
    <xf numFmtId="168" fontId="1" fillId="19" borderId="8" xfId="4" applyNumberFormat="1" applyFill="1" applyBorder="1" applyAlignment="1">
      <alignment horizontal="center" vertical="center"/>
    </xf>
    <xf numFmtId="0" fontId="1" fillId="19" borderId="8" xfId="4" applyFill="1" applyBorder="1" applyAlignment="1">
      <alignment horizontal="center" vertical="center"/>
    </xf>
    <xf numFmtId="0" fontId="1" fillId="0" borderId="0" xfId="4" applyAlignment="1">
      <alignment horizontal="center" vertical="center" wrapText="1"/>
    </xf>
    <xf numFmtId="0" fontId="1" fillId="0" borderId="4" xfId="4" applyBorder="1" applyAlignment="1">
      <alignment horizontal="center" vertical="center"/>
    </xf>
    <xf numFmtId="0" fontId="1" fillId="19" borderId="4" xfId="4" applyFill="1" applyBorder="1" applyAlignment="1">
      <alignment horizontal="center" vertical="center"/>
    </xf>
    <xf numFmtId="0" fontId="1" fillId="0" borderId="4" xfId="4" applyBorder="1" applyAlignment="1">
      <alignment vertical="center" wrapText="1"/>
    </xf>
    <xf numFmtId="0" fontId="40" fillId="0" borderId="18" xfId="4" applyFont="1" applyBorder="1" applyAlignment="1">
      <alignment horizontal="left" vertical="center"/>
    </xf>
    <xf numFmtId="0" fontId="40" fillId="0" borderId="46" xfId="4" applyFont="1" applyBorder="1" applyAlignment="1">
      <alignment horizontal="left" vertical="center"/>
    </xf>
    <xf numFmtId="1" fontId="1" fillId="0" borderId="8" xfId="4" applyNumberFormat="1" applyBorder="1" applyAlignment="1">
      <alignment horizontal="left" vertical="center" indent="1"/>
    </xf>
    <xf numFmtId="0" fontId="39" fillId="0" borderId="8" xfId="4" applyFont="1" applyBorder="1" applyAlignment="1">
      <alignment horizontal="left" vertical="center"/>
    </xf>
    <xf numFmtId="173" fontId="1" fillId="0" borderId="8" xfId="4" applyNumberFormat="1" applyBorder="1" applyAlignment="1">
      <alignment horizontal="center" vertical="center"/>
    </xf>
    <xf numFmtId="0" fontId="39" fillId="0" borderId="8" xfId="4" applyFont="1" applyBorder="1" applyAlignment="1">
      <alignment horizontal="center" vertical="center"/>
    </xf>
    <xf numFmtId="2" fontId="1" fillId="0" borderId="8" xfId="4" applyNumberFormat="1" applyBorder="1" applyAlignment="1">
      <alignment horizontal="center" vertical="center"/>
    </xf>
    <xf numFmtId="0" fontId="1" fillId="0" borderId="49" xfId="4" applyBorder="1" applyAlignment="1">
      <alignment horizontal="center" vertical="center"/>
    </xf>
    <xf numFmtId="0" fontId="1" fillId="19" borderId="8" xfId="4" applyFill="1" applyBorder="1" applyAlignment="1">
      <alignment horizontal="left" vertical="center"/>
    </xf>
    <xf numFmtId="3" fontId="5" fillId="3" borderId="31" xfId="0" applyNumberFormat="1" applyFont="1" applyFill="1" applyBorder="1" applyAlignment="1">
      <alignment horizontal="center"/>
    </xf>
    <xf numFmtId="3" fontId="5" fillId="3" borderId="33" xfId="0" applyNumberFormat="1" applyFont="1" applyFill="1" applyBorder="1" applyAlignment="1">
      <alignment horizontal="center"/>
    </xf>
    <xf numFmtId="2" fontId="10" fillId="0" borderId="4" xfId="0" applyNumberFormat="1" applyFont="1" applyFill="1" applyBorder="1" applyAlignment="1">
      <alignment horizontal="center"/>
    </xf>
    <xf numFmtId="2" fontId="10" fillId="9" borderId="4" xfId="0" applyNumberFormat="1" applyFont="1" applyFill="1" applyBorder="1" applyAlignment="1">
      <alignment horizontal="center"/>
    </xf>
    <xf numFmtId="2" fontId="10" fillId="3" borderId="4" xfId="0" applyNumberFormat="1" applyFont="1" applyFill="1" applyBorder="1" applyAlignment="1">
      <alignment horizontal="center"/>
    </xf>
    <xf numFmtId="2" fontId="10" fillId="10" borderId="18" xfId="0" applyNumberFormat="1" applyFont="1" applyFill="1" applyBorder="1" applyAlignment="1">
      <alignment horizontal="center"/>
    </xf>
    <xf numFmtId="170" fontId="11" fillId="2" borderId="29" xfId="0" applyNumberFormat="1" applyFont="1" applyFill="1" applyBorder="1" applyAlignment="1">
      <alignment horizontal="center" vertical="center"/>
    </xf>
    <xf numFmtId="170" fontId="11" fillId="9" borderId="29" xfId="0" applyNumberFormat="1" applyFont="1" applyFill="1" applyBorder="1" applyAlignment="1">
      <alignment horizontal="center" vertical="center"/>
    </xf>
    <xf numFmtId="170" fontId="11" fillId="3" borderId="29" xfId="0" applyNumberFormat="1" applyFont="1" applyFill="1" applyBorder="1" applyAlignment="1">
      <alignment horizontal="center" vertical="center"/>
    </xf>
    <xf numFmtId="170" fontId="11" fillId="10" borderId="29" xfId="0" applyNumberFormat="1" applyFont="1" applyFill="1" applyBorder="1" applyAlignment="1">
      <alignment horizontal="center" vertical="center"/>
    </xf>
    <xf numFmtId="170" fontId="11" fillId="11" borderId="29" xfId="0" applyNumberFormat="1" applyFont="1" applyFill="1" applyBorder="1" applyAlignment="1">
      <alignment horizontal="center" vertical="center"/>
    </xf>
    <xf numFmtId="170" fontId="11" fillId="3" borderId="30" xfId="0" applyNumberFormat="1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/>
    </xf>
    <xf numFmtId="0" fontId="5" fillId="4" borderId="17" xfId="0" applyFont="1" applyFill="1" applyBorder="1" applyAlignment="1">
      <alignment vertical="center"/>
    </xf>
    <xf numFmtId="0" fontId="5" fillId="4" borderId="19" xfId="0" applyFont="1" applyFill="1" applyBorder="1" applyAlignment="1">
      <alignment vertical="center"/>
    </xf>
    <xf numFmtId="0" fontId="5" fillId="11" borderId="2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8" fillId="0" borderId="45" xfId="0" applyFont="1" applyBorder="1" applyAlignment="1">
      <alignment horizontal="center" vertical="center" wrapText="1"/>
    </xf>
    <xf numFmtId="0" fontId="18" fillId="0" borderId="45" xfId="0" applyFont="1" applyBorder="1" applyAlignment="1">
      <alignment horizontal="left" vertical="center" wrapText="1"/>
    </xf>
    <xf numFmtId="0" fontId="25" fillId="0" borderId="1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167" fontId="25" fillId="4" borderId="1" xfId="0" applyNumberFormat="1" applyFont="1" applyFill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 wrapText="1"/>
    </xf>
    <xf numFmtId="0" fontId="25" fillId="4" borderId="9" xfId="0" applyFont="1" applyFill="1" applyBorder="1" applyAlignment="1">
      <alignment horizontal="center" vertical="center"/>
    </xf>
    <xf numFmtId="174" fontId="25" fillId="0" borderId="4" xfId="0" applyNumberFormat="1" applyFont="1" applyBorder="1" applyAlignment="1">
      <alignment horizontal="center" vertical="center"/>
    </xf>
    <xf numFmtId="175" fontId="25" fillId="0" borderId="4" xfId="0" applyNumberFormat="1" applyFont="1" applyBorder="1" applyAlignment="1">
      <alignment horizontal="center" vertical="center"/>
    </xf>
    <xf numFmtId="167" fontId="25" fillId="0" borderId="4" xfId="0" applyNumberFormat="1" applyFont="1" applyBorder="1" applyAlignment="1">
      <alignment horizontal="center" vertical="center"/>
    </xf>
    <xf numFmtId="174" fontId="25" fillId="0" borderId="4" xfId="0" applyNumberFormat="1" applyFont="1" applyBorder="1" applyAlignment="1">
      <alignment horizontal="center" vertical="center" wrapText="1"/>
    </xf>
    <xf numFmtId="175" fontId="25" fillId="0" borderId="9" xfId="0" applyNumberFormat="1" applyFont="1" applyBorder="1" applyAlignment="1">
      <alignment horizontal="center" vertical="center" wrapText="1"/>
    </xf>
    <xf numFmtId="175" fontId="25" fillId="0" borderId="4" xfId="0" applyNumberFormat="1" applyFont="1" applyBorder="1" applyAlignment="1">
      <alignment horizontal="center" vertical="center" wrapText="1"/>
    </xf>
    <xf numFmtId="167" fontId="25" fillId="0" borderId="1" xfId="0" applyNumberFormat="1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169" fontId="25" fillId="0" borderId="1" xfId="0" applyNumberFormat="1" applyFont="1" applyBorder="1" applyAlignment="1">
      <alignment horizontal="center" vertical="center" wrapText="1"/>
    </xf>
    <xf numFmtId="169" fontId="25" fillId="0" borderId="9" xfId="0" applyNumberFormat="1" applyFont="1" applyBorder="1" applyAlignment="1">
      <alignment horizontal="center" vertical="center" wrapText="1"/>
    </xf>
    <xf numFmtId="169" fontId="25" fillId="0" borderId="4" xfId="0" applyNumberFormat="1" applyFont="1" applyBorder="1" applyAlignment="1">
      <alignment horizontal="center" vertical="center" wrapText="1"/>
    </xf>
    <xf numFmtId="173" fontId="25" fillId="0" borderId="1" xfId="0" applyNumberFormat="1" applyFont="1" applyBorder="1" applyAlignment="1">
      <alignment horizontal="center" vertical="center" wrapText="1"/>
    </xf>
    <xf numFmtId="173" fontId="25" fillId="0" borderId="4" xfId="0" applyNumberFormat="1" applyFont="1" applyBorder="1" applyAlignment="1">
      <alignment horizontal="center" vertical="center" wrapText="1"/>
    </xf>
    <xf numFmtId="167" fontId="25" fillId="0" borderId="9" xfId="0" applyNumberFormat="1" applyFont="1" applyBorder="1" applyAlignment="1">
      <alignment horizontal="center" vertical="center" wrapText="1"/>
    </xf>
    <xf numFmtId="167" fontId="25" fillId="0" borderId="4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23" fillId="0" borderId="0" xfId="0" applyFont="1" applyAlignment="1">
      <alignment horizontal="center" vertical="center" wrapText="1"/>
    </xf>
    <xf numFmtId="0" fontId="5" fillId="0" borderId="15" xfId="0" applyFont="1" applyFill="1" applyBorder="1" applyAlignment="1">
      <alignment vertical="center"/>
    </xf>
    <xf numFmtId="0" fontId="5" fillId="0" borderId="17" xfId="0" applyFont="1" applyFill="1" applyBorder="1" applyAlignment="1">
      <alignment vertical="center"/>
    </xf>
    <xf numFmtId="4" fontId="11" fillId="0" borderId="0" xfId="0" applyNumberFormat="1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164" fontId="5" fillId="0" borderId="5" xfId="0" applyNumberFormat="1" applyFont="1" applyFill="1" applyBorder="1" applyAlignment="1">
      <alignment horizontal="center" vertical="center" wrapText="1"/>
    </xf>
    <xf numFmtId="164" fontId="5" fillId="0" borderId="9" xfId="0" applyNumberFormat="1" applyFont="1" applyFill="1" applyBorder="1" applyAlignment="1">
      <alignment horizontal="center" vertical="center" wrapText="1"/>
    </xf>
    <xf numFmtId="164" fontId="5" fillId="0" borderId="13" xfId="0" applyNumberFormat="1" applyFont="1" applyFill="1" applyBorder="1" applyAlignment="1">
      <alignment horizontal="center" vertical="center" wrapText="1"/>
    </xf>
    <xf numFmtId="165" fontId="5" fillId="0" borderId="5" xfId="0" applyNumberFormat="1" applyFont="1" applyFill="1" applyBorder="1" applyAlignment="1">
      <alignment horizontal="center" vertical="center"/>
    </xf>
    <xf numFmtId="165" fontId="5" fillId="0" borderId="9" xfId="0" applyNumberFormat="1" applyFont="1" applyFill="1" applyBorder="1" applyAlignment="1">
      <alignment horizontal="center" vertical="center"/>
    </xf>
    <xf numFmtId="165" fontId="5" fillId="0" borderId="13" xfId="0" applyNumberFormat="1" applyFont="1" applyFill="1" applyBorder="1" applyAlignment="1">
      <alignment horizontal="center" vertical="center"/>
    </xf>
    <xf numFmtId="3" fontId="5" fillId="0" borderId="5" xfId="0" applyNumberFormat="1" applyFont="1" applyBorder="1" applyAlignment="1">
      <alignment horizontal="center" vertical="center"/>
    </xf>
    <xf numFmtId="3" fontId="5" fillId="0" borderId="9" xfId="0" applyNumberFormat="1" applyFont="1" applyBorder="1" applyAlignment="1">
      <alignment horizontal="center" vertical="center"/>
    </xf>
    <xf numFmtId="3" fontId="5" fillId="0" borderId="13" xfId="0" applyNumberFormat="1" applyFont="1" applyBorder="1" applyAlignment="1">
      <alignment horizontal="center" vertical="center"/>
    </xf>
    <xf numFmtId="164" fontId="9" fillId="0" borderId="5" xfId="0" applyNumberFormat="1" applyFont="1" applyFill="1" applyBorder="1" applyAlignment="1">
      <alignment horizontal="center" vertical="center" wrapText="1"/>
    </xf>
    <xf numFmtId="164" fontId="9" fillId="0" borderId="9" xfId="0" applyNumberFormat="1" applyFont="1" applyFill="1" applyBorder="1" applyAlignment="1">
      <alignment horizontal="center" vertical="center" wrapText="1"/>
    </xf>
    <xf numFmtId="164" fontId="9" fillId="0" borderId="13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64" fontId="5" fillId="4" borderId="5" xfId="0" applyNumberFormat="1" applyFont="1" applyFill="1" applyBorder="1" applyAlignment="1">
      <alignment horizontal="center" vertical="center" wrapText="1"/>
    </xf>
    <xf numFmtId="164" fontId="5" fillId="4" borderId="9" xfId="0" applyNumberFormat="1" applyFont="1" applyFill="1" applyBorder="1" applyAlignment="1">
      <alignment horizontal="center" vertical="center" wrapText="1"/>
    </xf>
    <xf numFmtId="164" fontId="5" fillId="4" borderId="13" xfId="0" applyNumberFormat="1" applyFont="1" applyFill="1" applyBorder="1" applyAlignment="1">
      <alignment horizontal="center" vertical="center" wrapText="1"/>
    </xf>
    <xf numFmtId="165" fontId="5" fillId="4" borderId="5" xfId="0" applyNumberFormat="1" applyFont="1" applyFill="1" applyBorder="1" applyAlignment="1">
      <alignment horizontal="center" vertical="center" wrapText="1"/>
    </xf>
    <xf numFmtId="165" fontId="5" fillId="4" borderId="9" xfId="0" applyNumberFormat="1" applyFont="1" applyFill="1" applyBorder="1" applyAlignment="1">
      <alignment horizontal="center" vertical="center" wrapText="1"/>
    </xf>
    <xf numFmtId="165" fontId="5" fillId="4" borderId="13" xfId="0" applyNumberFormat="1" applyFont="1" applyFill="1" applyBorder="1" applyAlignment="1">
      <alignment horizontal="center" vertical="center" wrapText="1"/>
    </xf>
    <xf numFmtId="164" fontId="5" fillId="4" borderId="5" xfId="0" applyNumberFormat="1" applyFont="1" applyFill="1" applyBorder="1" applyAlignment="1">
      <alignment horizontal="center" vertical="center"/>
    </xf>
    <xf numFmtId="164" fontId="5" fillId="4" borderId="9" xfId="0" applyNumberFormat="1" applyFont="1" applyFill="1" applyBorder="1" applyAlignment="1">
      <alignment horizontal="center" vertical="center"/>
    </xf>
    <xf numFmtId="164" fontId="5" fillId="4" borderId="13" xfId="0" applyNumberFormat="1" applyFont="1" applyFill="1" applyBorder="1" applyAlignment="1">
      <alignment horizontal="center" vertical="center"/>
    </xf>
    <xf numFmtId="164" fontId="9" fillId="4" borderId="5" xfId="0" applyNumberFormat="1" applyFont="1" applyFill="1" applyBorder="1" applyAlignment="1">
      <alignment horizontal="center" vertical="center" wrapText="1"/>
    </xf>
    <xf numFmtId="164" fontId="9" fillId="4" borderId="9" xfId="0" applyNumberFormat="1" applyFont="1" applyFill="1" applyBorder="1" applyAlignment="1">
      <alignment horizontal="center" vertical="center" wrapText="1"/>
    </xf>
    <xf numFmtId="164" fontId="9" fillId="4" borderId="13" xfId="0" applyNumberFormat="1" applyFont="1" applyFill="1" applyBorder="1" applyAlignment="1">
      <alignment horizontal="center" vertical="center" wrapText="1"/>
    </xf>
    <xf numFmtId="165" fontId="5" fillId="0" borderId="5" xfId="0" applyNumberFormat="1" applyFont="1" applyFill="1" applyBorder="1" applyAlignment="1">
      <alignment horizontal="center" vertical="center" wrapText="1"/>
    </xf>
    <xf numFmtId="165" fontId="5" fillId="0" borderId="9" xfId="0" applyNumberFormat="1" applyFont="1" applyFill="1" applyBorder="1" applyAlignment="1">
      <alignment horizontal="center" vertical="center" wrapText="1"/>
    </xf>
    <xf numFmtId="165" fontId="5" fillId="0" borderId="13" xfId="0" applyNumberFormat="1" applyFont="1" applyFill="1" applyBorder="1" applyAlignment="1">
      <alignment horizontal="center" vertical="center" wrapText="1"/>
    </xf>
    <xf numFmtId="164" fontId="5" fillId="0" borderId="5" xfId="0" applyNumberFormat="1" applyFont="1" applyFill="1" applyBorder="1" applyAlignment="1">
      <alignment horizontal="center" vertical="center"/>
    </xf>
    <xf numFmtId="164" fontId="5" fillId="0" borderId="9" xfId="0" applyNumberFormat="1" applyFont="1" applyFill="1" applyBorder="1" applyAlignment="1">
      <alignment horizontal="center" vertical="center"/>
    </xf>
    <xf numFmtId="164" fontId="5" fillId="0" borderId="13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164" fontId="5" fillId="0" borderId="4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Fill="1" applyBorder="1" applyAlignment="1">
      <alignment horizontal="center" vertical="center" wrapText="1"/>
    </xf>
    <xf numFmtId="166" fontId="5" fillId="0" borderId="4" xfId="0" applyNumberFormat="1" applyFont="1" applyFill="1" applyBorder="1" applyAlignment="1">
      <alignment horizontal="center" vertical="center" wrapText="1"/>
    </xf>
    <xf numFmtId="166" fontId="5" fillId="0" borderId="8" xfId="0" applyNumberFormat="1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166" fontId="5" fillId="0" borderId="1" xfId="0" applyNumberFormat="1" applyFont="1" applyFill="1" applyBorder="1" applyAlignment="1">
      <alignment horizontal="center" vertical="center" wrapText="1"/>
    </xf>
    <xf numFmtId="166" fontId="5" fillId="0" borderId="9" xfId="0" applyNumberFormat="1" applyFont="1" applyFill="1" applyBorder="1" applyAlignment="1">
      <alignment horizontal="center" vertical="center" wrapText="1"/>
    </xf>
    <xf numFmtId="166" fontId="5" fillId="0" borderId="13" xfId="0" applyNumberFormat="1" applyFont="1" applyFill="1" applyBorder="1" applyAlignment="1">
      <alignment horizontal="center" vertical="center" wrapText="1"/>
    </xf>
    <xf numFmtId="166" fontId="5" fillId="0" borderId="5" xfId="0" applyNumberFormat="1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3" fontId="5" fillId="0" borderId="5" xfId="0" applyNumberFormat="1" applyFont="1" applyFill="1" applyBorder="1" applyAlignment="1">
      <alignment horizontal="center" vertical="center"/>
    </xf>
    <xf numFmtId="3" fontId="5" fillId="0" borderId="9" xfId="0" applyNumberFormat="1" applyFont="1" applyFill="1" applyBorder="1" applyAlignment="1">
      <alignment horizontal="center" vertical="center"/>
    </xf>
    <xf numFmtId="3" fontId="5" fillId="0" borderId="13" xfId="0" applyNumberFormat="1" applyFont="1" applyFill="1" applyBorder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3" fontId="11" fillId="7" borderId="15" xfId="0" applyNumberFormat="1" applyFont="1" applyFill="1" applyBorder="1" applyAlignment="1">
      <alignment horizontal="center" vertical="center"/>
    </xf>
    <xf numFmtId="3" fontId="11" fillId="7" borderId="19" xfId="0" applyNumberFormat="1" applyFont="1" applyFill="1" applyBorder="1" applyAlignment="1">
      <alignment horizontal="center" vertical="center"/>
    </xf>
    <xf numFmtId="4" fontId="11" fillId="6" borderId="15" xfId="0" applyNumberFormat="1" applyFont="1" applyFill="1" applyBorder="1" applyAlignment="1">
      <alignment horizontal="center" vertical="center"/>
    </xf>
    <xf numFmtId="4" fontId="11" fillId="6" borderId="19" xfId="0" applyNumberFormat="1" applyFont="1" applyFill="1" applyBorder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166" fontId="5" fillId="4" borderId="5" xfId="0" applyNumberFormat="1" applyFont="1" applyFill="1" applyBorder="1" applyAlignment="1">
      <alignment horizontal="center" vertical="center" wrapText="1"/>
    </xf>
    <xf numFmtId="166" fontId="5" fillId="4" borderId="9" xfId="0" applyNumberFormat="1" applyFont="1" applyFill="1" applyBorder="1" applyAlignment="1">
      <alignment horizontal="center" vertical="center" wrapText="1"/>
    </xf>
    <xf numFmtId="166" fontId="5" fillId="4" borderId="13" xfId="0" applyNumberFormat="1" applyFont="1" applyFill="1" applyBorder="1" applyAlignment="1">
      <alignment horizontal="center" vertical="center" wrapText="1"/>
    </xf>
    <xf numFmtId="0" fontId="5" fillId="0" borderId="35" xfId="0" applyFont="1" applyFill="1" applyBorder="1" applyAlignment="1">
      <alignment horizontal="center" vertical="center"/>
    </xf>
    <xf numFmtId="0" fontId="5" fillId="0" borderId="41" xfId="0" applyFont="1" applyFill="1" applyBorder="1" applyAlignment="1">
      <alignment horizontal="center" vertical="center"/>
    </xf>
    <xf numFmtId="0" fontId="5" fillId="0" borderId="39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4" fontId="11" fillId="0" borderId="9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5" fillId="14" borderId="8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4" borderId="9" xfId="0" applyFont="1" applyFill="1" applyBorder="1" applyAlignment="1">
      <alignment horizontal="center" vertical="center"/>
    </xf>
    <xf numFmtId="164" fontId="5" fillId="14" borderId="8" xfId="0" applyNumberFormat="1" applyFont="1" applyFill="1" applyBorder="1" applyAlignment="1">
      <alignment horizontal="center" vertical="center"/>
    </xf>
    <xf numFmtId="164" fontId="9" fillId="14" borderId="1" xfId="0" applyNumberFormat="1" applyFont="1" applyFill="1" applyBorder="1" applyAlignment="1">
      <alignment horizontal="center" vertical="center"/>
    </xf>
    <xf numFmtId="164" fontId="5" fillId="14" borderId="9" xfId="0" applyNumberFormat="1" applyFont="1" applyFill="1" applyBorder="1" applyAlignment="1">
      <alignment horizontal="center" vertical="center"/>
    </xf>
    <xf numFmtId="164" fontId="5" fillId="14" borderId="4" xfId="0" applyNumberFormat="1" applyFont="1" applyFill="1" applyBorder="1" applyAlignment="1">
      <alignment horizontal="center" vertical="center"/>
    </xf>
    <xf numFmtId="4" fontId="11" fillId="0" borderId="8" xfId="0" applyNumberFormat="1" applyFont="1" applyBorder="1" applyAlignment="1">
      <alignment horizontal="center" vertical="center"/>
    </xf>
    <xf numFmtId="164" fontId="5" fillId="14" borderId="1" xfId="0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 wrapText="1"/>
    </xf>
    <xf numFmtId="164" fontId="5" fillId="0" borderId="9" xfId="0" applyNumberFormat="1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14" borderId="44" xfId="0" applyFont="1" applyFill="1" applyBorder="1" applyAlignment="1">
      <alignment horizontal="center" vertical="center"/>
    </xf>
    <xf numFmtId="0" fontId="5" fillId="14" borderId="3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/>
    </xf>
    <xf numFmtId="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164" fontId="5" fillId="0" borderId="9" xfId="0" applyNumberFormat="1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/>
    </xf>
    <xf numFmtId="0" fontId="26" fillId="0" borderId="46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46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48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 wrapText="1"/>
    </xf>
    <xf numFmtId="167" fontId="25" fillId="4" borderId="1" xfId="0" applyNumberFormat="1" applyFont="1" applyFill="1" applyBorder="1" applyAlignment="1">
      <alignment horizontal="center" vertical="center"/>
    </xf>
    <xf numFmtId="0" fontId="25" fillId="4" borderId="9" xfId="0" applyFont="1" applyFill="1" applyBorder="1" applyAlignment="1">
      <alignment horizontal="center" vertical="center"/>
    </xf>
    <xf numFmtId="0" fontId="25" fillId="4" borderId="4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46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167" fontId="25" fillId="4" borderId="1" xfId="0" applyNumberFormat="1" applyFont="1" applyFill="1" applyBorder="1" applyAlignment="1">
      <alignment horizontal="center" vertical="center" wrapText="1"/>
    </xf>
    <xf numFmtId="0" fontId="25" fillId="4" borderId="9" xfId="0" applyFont="1" applyFill="1" applyBorder="1" applyAlignment="1">
      <alignment horizontal="center" vertical="center" wrapText="1"/>
    </xf>
    <xf numFmtId="0" fontId="25" fillId="4" borderId="4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167" fontId="25" fillId="4" borderId="9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5" fillId="0" borderId="45" xfId="0" applyFont="1" applyBorder="1" applyAlignment="1">
      <alignment horizontal="left" vertical="center"/>
    </xf>
    <xf numFmtId="0" fontId="18" fillId="0" borderId="45" xfId="0" applyFont="1" applyBorder="1" applyAlignment="1">
      <alignment horizontal="center" vertical="center" wrapText="1"/>
    </xf>
    <xf numFmtId="0" fontId="18" fillId="0" borderId="45" xfId="0" applyFont="1" applyBorder="1" applyAlignment="1">
      <alignment horizontal="left" vertical="center" wrapText="1"/>
    </xf>
    <xf numFmtId="0" fontId="26" fillId="0" borderId="8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174" fontId="25" fillId="0" borderId="1" xfId="0" applyNumberFormat="1" applyFont="1" applyBorder="1" applyAlignment="1">
      <alignment horizontal="center" vertical="center"/>
    </xf>
    <xf numFmtId="174" fontId="25" fillId="0" borderId="9" xfId="0" applyNumberFormat="1" applyFont="1" applyBorder="1" applyAlignment="1">
      <alignment horizontal="center" vertical="center"/>
    </xf>
    <xf numFmtId="174" fontId="25" fillId="0" borderId="4" xfId="0" applyNumberFormat="1" applyFont="1" applyBorder="1" applyAlignment="1">
      <alignment horizontal="center" vertical="center"/>
    </xf>
    <xf numFmtId="175" fontId="25" fillId="0" borderId="1" xfId="0" applyNumberFormat="1" applyFont="1" applyBorder="1" applyAlignment="1">
      <alignment horizontal="center" vertical="center"/>
    </xf>
    <xf numFmtId="175" fontId="25" fillId="0" borderId="9" xfId="0" applyNumberFormat="1" applyFont="1" applyBorder="1" applyAlignment="1">
      <alignment horizontal="center" vertical="center"/>
    </xf>
    <xf numFmtId="175" fontId="25" fillId="0" borderId="4" xfId="0" applyNumberFormat="1" applyFont="1" applyBorder="1" applyAlignment="1">
      <alignment horizontal="center" vertical="center"/>
    </xf>
    <xf numFmtId="167" fontId="25" fillId="0" borderId="1" xfId="0" applyNumberFormat="1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174" fontId="25" fillId="0" borderId="1" xfId="0" applyNumberFormat="1" applyFont="1" applyBorder="1" applyAlignment="1">
      <alignment horizontal="center" vertical="center" wrapText="1"/>
    </xf>
    <xf numFmtId="174" fontId="25" fillId="0" borderId="9" xfId="0" applyNumberFormat="1" applyFont="1" applyBorder="1" applyAlignment="1">
      <alignment horizontal="center" vertical="center" wrapText="1"/>
    </xf>
    <xf numFmtId="174" fontId="25" fillId="0" borderId="4" xfId="0" applyNumberFormat="1" applyFont="1" applyBorder="1" applyAlignment="1">
      <alignment horizontal="center" vertical="center" wrapText="1"/>
    </xf>
    <xf numFmtId="175" fontId="25" fillId="0" borderId="1" xfId="0" applyNumberFormat="1" applyFont="1" applyBorder="1" applyAlignment="1">
      <alignment horizontal="center" vertical="center" wrapText="1"/>
    </xf>
    <xf numFmtId="175" fontId="25" fillId="0" borderId="9" xfId="0" applyNumberFormat="1" applyFont="1" applyBorder="1" applyAlignment="1">
      <alignment horizontal="center" vertical="center" wrapText="1"/>
    </xf>
    <xf numFmtId="175" fontId="25" fillId="0" borderId="4" xfId="0" applyNumberFormat="1" applyFont="1" applyBorder="1" applyAlignment="1">
      <alignment horizontal="center" vertical="center" wrapText="1"/>
    </xf>
    <xf numFmtId="167" fontId="25" fillId="0" borderId="1" xfId="0" applyNumberFormat="1" applyFont="1" applyBorder="1" applyAlignment="1">
      <alignment horizontal="center" vertical="center"/>
    </xf>
    <xf numFmtId="167" fontId="25" fillId="0" borderId="9" xfId="0" applyNumberFormat="1" applyFont="1" applyBorder="1" applyAlignment="1">
      <alignment horizontal="center" vertical="center"/>
    </xf>
    <xf numFmtId="167" fontId="25" fillId="0" borderId="4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169" fontId="25" fillId="0" borderId="1" xfId="0" applyNumberFormat="1" applyFont="1" applyBorder="1" applyAlignment="1">
      <alignment horizontal="center" vertical="center" wrapText="1"/>
    </xf>
    <xf numFmtId="169" fontId="25" fillId="0" borderId="9" xfId="0" applyNumberFormat="1" applyFont="1" applyBorder="1" applyAlignment="1">
      <alignment horizontal="center" vertical="center" wrapText="1"/>
    </xf>
    <xf numFmtId="169" fontId="25" fillId="0" borderId="4" xfId="0" applyNumberFormat="1" applyFont="1" applyBorder="1" applyAlignment="1">
      <alignment horizontal="center" vertical="center" wrapText="1"/>
    </xf>
    <xf numFmtId="173" fontId="25" fillId="0" borderId="1" xfId="0" applyNumberFormat="1" applyFont="1" applyBorder="1" applyAlignment="1">
      <alignment horizontal="center" vertical="center" wrapText="1"/>
    </xf>
    <xf numFmtId="173" fontId="25" fillId="0" borderId="9" xfId="0" applyNumberFormat="1" applyFont="1" applyBorder="1" applyAlignment="1">
      <alignment horizontal="center" vertical="center" wrapText="1"/>
    </xf>
    <xf numFmtId="173" fontId="25" fillId="0" borderId="4" xfId="0" applyNumberFormat="1" applyFont="1" applyBorder="1" applyAlignment="1">
      <alignment horizontal="center" vertical="center" wrapText="1"/>
    </xf>
    <xf numFmtId="167" fontId="25" fillId="0" borderId="9" xfId="0" applyNumberFormat="1" applyFont="1" applyBorder="1" applyAlignment="1">
      <alignment horizontal="center" vertical="center" wrapText="1"/>
    </xf>
    <xf numFmtId="167" fontId="25" fillId="0" borderId="4" xfId="0" applyNumberFormat="1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23" fillId="0" borderId="0" xfId="0" applyFont="1" applyAlignment="1">
      <alignment horizontal="center" vertical="center" wrapText="1"/>
    </xf>
    <xf numFmtId="0" fontId="18" fillId="0" borderId="45" xfId="0" applyFont="1" applyBorder="1" applyAlignment="1">
      <alignment horizontal="left" vertical="center"/>
    </xf>
    <xf numFmtId="0" fontId="1" fillId="0" borderId="1" xfId="4" applyBorder="1" applyAlignment="1">
      <alignment horizontal="center" vertical="center" wrapText="1"/>
    </xf>
    <xf numFmtId="0" fontId="1" fillId="0" borderId="9" xfId="4" applyBorder="1" applyAlignment="1">
      <alignment horizontal="center" vertical="center" wrapText="1"/>
    </xf>
    <xf numFmtId="0" fontId="39" fillId="0" borderId="24" xfId="4" applyFont="1" applyBorder="1" applyAlignment="1">
      <alignment horizontal="center" vertical="center" wrapText="1"/>
    </xf>
    <xf numFmtId="0" fontId="39" fillId="0" borderId="21" xfId="4" applyFont="1" applyBorder="1" applyAlignment="1">
      <alignment horizontal="center" vertical="center" wrapText="1"/>
    </xf>
    <xf numFmtId="0" fontId="39" fillId="0" borderId="18" xfId="4" applyFont="1" applyBorder="1" applyAlignment="1">
      <alignment horizontal="center" vertical="center" wrapText="1"/>
    </xf>
    <xf numFmtId="0" fontId="1" fillId="0" borderId="8" xfId="4" applyBorder="1" applyAlignment="1">
      <alignment horizontal="center" vertical="center" wrapText="1"/>
    </xf>
    <xf numFmtId="0" fontId="1" fillId="0" borderId="8" xfId="4" applyBorder="1" applyAlignment="1">
      <alignment horizontal="center" vertical="center"/>
    </xf>
    <xf numFmtId="0" fontId="1" fillId="18" borderId="1" xfId="4" applyFill="1" applyBorder="1" applyAlignment="1">
      <alignment horizontal="center" vertical="center" wrapText="1"/>
    </xf>
    <xf numFmtId="0" fontId="1" fillId="18" borderId="4" xfId="4" applyFill="1" applyBorder="1" applyAlignment="1">
      <alignment horizontal="center" vertical="center" wrapText="1"/>
    </xf>
    <xf numFmtId="0" fontId="1" fillId="18" borderId="8" xfId="4" applyFill="1" applyBorder="1" applyAlignment="1">
      <alignment horizontal="center" vertical="center" wrapText="1"/>
    </xf>
    <xf numFmtId="0" fontId="1" fillId="18" borderId="8" xfId="4" applyFill="1" applyBorder="1" applyAlignment="1">
      <alignment horizontal="center" vertical="center"/>
    </xf>
    <xf numFmtId="0" fontId="0" fillId="0" borderId="1" xfId="4" applyFont="1" applyBorder="1" applyAlignment="1">
      <alignment horizontal="center" vertical="center" wrapText="1"/>
    </xf>
    <xf numFmtId="0" fontId="1" fillId="0" borderId="4" xfId="4" applyBorder="1" applyAlignment="1">
      <alignment horizontal="center" vertical="center" wrapText="1"/>
    </xf>
    <xf numFmtId="0" fontId="39" fillId="0" borderId="47" xfId="4" applyFont="1" applyBorder="1" applyAlignment="1">
      <alignment horizontal="center" vertical="center"/>
    </xf>
    <xf numFmtId="0" fontId="39" fillId="0" borderId="0" xfId="4" applyFont="1" applyAlignment="1">
      <alignment horizontal="center" vertical="center"/>
    </xf>
    <xf numFmtId="0" fontId="39" fillId="0" borderId="45" xfId="4" applyFont="1" applyBorder="1" applyAlignment="1">
      <alignment horizontal="center" vertical="center"/>
    </xf>
    <xf numFmtId="0" fontId="1" fillId="0" borderId="24" xfId="4" applyBorder="1" applyAlignment="1">
      <alignment horizontal="center" vertical="center" wrapText="1"/>
    </xf>
    <xf numFmtId="0" fontId="1" fillId="0" borderId="21" xfId="4" applyBorder="1" applyAlignment="1">
      <alignment horizontal="center" vertical="center" wrapText="1"/>
    </xf>
    <xf numFmtId="0" fontId="1" fillId="0" borderId="18" xfId="4" applyBorder="1" applyAlignment="1">
      <alignment horizontal="center" vertical="center" wrapText="1"/>
    </xf>
    <xf numFmtId="0" fontId="39" fillId="0" borderId="10" xfId="4" applyFont="1" applyBorder="1" applyAlignment="1">
      <alignment horizontal="left" vertical="center"/>
    </xf>
    <xf numFmtId="0" fontId="39" fillId="0" borderId="48" xfId="4" applyFont="1" applyBorder="1" applyAlignment="1">
      <alignment horizontal="left" vertical="center"/>
    </xf>
    <xf numFmtId="0" fontId="39" fillId="0" borderId="46" xfId="4" applyFont="1" applyBorder="1" applyAlignment="1">
      <alignment horizontal="left" vertical="center"/>
    </xf>
    <xf numFmtId="0" fontId="39" fillId="0" borderId="46" xfId="4" applyFont="1" applyBorder="1" applyAlignment="1">
      <alignment horizontal="center" vertical="center" wrapText="1"/>
    </xf>
    <xf numFmtId="0" fontId="1" fillId="0" borderId="1" xfId="4" applyBorder="1" applyAlignment="1">
      <alignment horizontal="center" vertical="center"/>
    </xf>
    <xf numFmtId="0" fontId="1" fillId="0" borderId="4" xfId="4" applyBorder="1" applyAlignment="1">
      <alignment horizontal="center" vertical="center"/>
    </xf>
    <xf numFmtId="0" fontId="1" fillId="0" borderId="0" xfId="4" applyAlignment="1">
      <alignment horizontal="center" vertical="center" wrapText="1"/>
    </xf>
    <xf numFmtId="0" fontId="1" fillId="19" borderId="8" xfId="4" applyFill="1" applyBorder="1" applyAlignment="1">
      <alignment horizontal="center" vertical="center" wrapText="1"/>
    </xf>
    <xf numFmtId="0" fontId="1" fillId="19" borderId="8" xfId="4" applyFill="1" applyBorder="1" applyAlignment="1">
      <alignment horizontal="center" vertical="center"/>
    </xf>
    <xf numFmtId="0" fontId="1" fillId="19" borderId="1" xfId="4" applyFill="1" applyBorder="1" applyAlignment="1">
      <alignment horizontal="center" vertical="center"/>
    </xf>
    <xf numFmtId="0" fontId="1" fillId="19" borderId="4" xfId="4" applyFill="1" applyBorder="1" applyAlignment="1">
      <alignment horizontal="center" vertical="center"/>
    </xf>
    <xf numFmtId="0" fontId="1" fillId="0" borderId="0" xfId="4" applyAlignment="1">
      <alignment horizontal="left" vertical="center"/>
    </xf>
    <xf numFmtId="0" fontId="39" fillId="0" borderId="8" xfId="4" applyFont="1" applyBorder="1" applyAlignment="1">
      <alignment horizontal="center" vertical="center" wrapText="1"/>
    </xf>
    <xf numFmtId="0" fontId="39" fillId="0" borderId="18" xfId="4" applyFont="1" applyBorder="1" applyAlignment="1">
      <alignment horizontal="left" vertical="center"/>
    </xf>
    <xf numFmtId="0" fontId="39" fillId="0" borderId="45" xfId="4" applyFont="1" applyBorder="1" applyAlignment="1">
      <alignment horizontal="left" vertical="center"/>
    </xf>
    <xf numFmtId="0" fontId="40" fillId="0" borderId="10" xfId="4" applyFont="1" applyBorder="1" applyAlignment="1">
      <alignment horizontal="left" vertical="center"/>
    </xf>
    <xf numFmtId="0" fontId="40" fillId="0" borderId="48" xfId="4" applyFont="1" applyBorder="1" applyAlignment="1">
      <alignment horizontal="left" vertical="center"/>
    </xf>
    <xf numFmtId="0" fontId="40" fillId="0" borderId="46" xfId="4" applyFont="1" applyBorder="1" applyAlignment="1">
      <alignment horizontal="left" vertical="center"/>
    </xf>
    <xf numFmtId="0" fontId="1" fillId="19" borderId="1" xfId="4" applyFill="1" applyBorder="1" applyAlignment="1">
      <alignment horizontal="center" vertical="center" wrapText="1"/>
    </xf>
    <xf numFmtId="0" fontId="1" fillId="19" borderId="4" xfId="4" applyFill="1" applyBorder="1" applyAlignment="1">
      <alignment horizontal="center" vertical="center" wrapText="1"/>
    </xf>
    <xf numFmtId="0" fontId="39" fillId="19" borderId="8" xfId="4" applyFont="1" applyFill="1" applyBorder="1" applyAlignment="1">
      <alignment horizontal="center" vertical="center" wrapText="1"/>
    </xf>
    <xf numFmtId="0" fontId="1" fillId="0" borderId="8" xfId="4" applyBorder="1" applyAlignment="1">
      <alignment horizontal="left" vertical="center"/>
    </xf>
    <xf numFmtId="0" fontId="1" fillId="0" borderId="9" xfId="4" applyBorder="1" applyAlignment="1">
      <alignment horizontal="center" vertical="center"/>
    </xf>
    <xf numFmtId="0" fontId="39" fillId="0" borderId="8" xfId="4" applyFont="1" applyBorder="1" applyAlignment="1">
      <alignment horizontal="center" vertical="center"/>
    </xf>
    <xf numFmtId="0" fontId="49" fillId="0" borderId="8" xfId="1" applyFont="1" applyBorder="1" applyAlignment="1">
      <alignment horizontal="center" vertical="center" wrapText="1"/>
    </xf>
    <xf numFmtId="0" fontId="49" fillId="0" borderId="8" xfId="0" applyFont="1" applyBorder="1" applyAlignment="1">
      <alignment horizontal="center" vertical="center" wrapText="1"/>
    </xf>
    <xf numFmtId="0" fontId="50" fillId="17" borderId="0" xfId="2" applyFont="1" applyFill="1" applyBorder="1" applyAlignment="1">
      <alignment horizontal="center" vertical="center"/>
    </xf>
    <xf numFmtId="2" fontId="49" fillId="0" borderId="8" xfId="1" applyNumberFormat="1" applyFont="1" applyBorder="1" applyAlignment="1">
      <alignment horizontal="center" vertical="center" wrapText="1"/>
    </xf>
    <xf numFmtId="0" fontId="50" fillId="17" borderId="8" xfId="2" applyFont="1" applyFill="1" applyBorder="1" applyAlignment="1">
      <alignment horizontal="center" vertical="center"/>
    </xf>
    <xf numFmtId="167" fontId="25" fillId="4" borderId="8" xfId="0" applyNumberFormat="1" applyFont="1" applyFill="1" applyBorder="1" applyAlignment="1">
      <alignment horizontal="center" vertical="center"/>
    </xf>
    <xf numFmtId="0" fontId="25" fillId="4" borderId="8" xfId="0" applyFont="1" applyFill="1" applyBorder="1" applyAlignment="1">
      <alignment horizontal="center" vertical="center"/>
    </xf>
    <xf numFmtId="0" fontId="49" fillId="17" borderId="0" xfId="2" applyFont="1" applyFill="1" applyBorder="1" applyAlignment="1">
      <alignment horizontal="center" vertical="center"/>
    </xf>
    <xf numFmtId="1" fontId="49" fillId="0" borderId="1" xfId="0" applyNumberFormat="1" applyFont="1" applyBorder="1" applyAlignment="1">
      <alignment horizontal="center" vertical="center" wrapText="1"/>
    </xf>
    <xf numFmtId="168" fontId="49" fillId="0" borderId="1" xfId="0" applyNumberFormat="1" applyFont="1" applyBorder="1" applyAlignment="1">
      <alignment horizontal="center" vertical="center" wrapText="1"/>
    </xf>
    <xf numFmtId="1" fontId="49" fillId="0" borderId="9" xfId="0" applyNumberFormat="1" applyFont="1" applyBorder="1" applyAlignment="1">
      <alignment horizontal="center" vertical="center" wrapText="1"/>
    </xf>
    <xf numFmtId="168" fontId="49" fillId="0" borderId="9" xfId="0" applyNumberFormat="1" applyFont="1" applyBorder="1" applyAlignment="1">
      <alignment horizontal="center" vertical="center" wrapText="1"/>
    </xf>
    <xf numFmtId="1" fontId="49" fillId="0" borderId="4" xfId="0" applyNumberFormat="1" applyFont="1" applyBorder="1" applyAlignment="1">
      <alignment horizontal="center" vertical="center" wrapText="1"/>
    </xf>
    <xf numFmtId="168" fontId="49" fillId="0" borderId="4" xfId="0" applyNumberFormat="1" applyFont="1" applyBorder="1" applyAlignment="1">
      <alignment horizontal="center" vertical="center" wrapText="1"/>
    </xf>
    <xf numFmtId="1" fontId="49" fillId="0" borderId="9" xfId="0" applyNumberFormat="1" applyFont="1" applyBorder="1" applyAlignment="1">
      <alignment horizontal="center" vertical="center" wrapText="1"/>
    </xf>
    <xf numFmtId="168" fontId="49" fillId="0" borderId="9" xfId="0" applyNumberFormat="1" applyFont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174" fontId="49" fillId="0" borderId="1" xfId="0" applyNumberFormat="1" applyFont="1" applyBorder="1" applyAlignment="1">
      <alignment horizontal="center" vertical="center"/>
    </xf>
    <xf numFmtId="169" fontId="49" fillId="0" borderId="1" xfId="0" applyNumberFormat="1" applyFont="1" applyBorder="1" applyAlignment="1">
      <alignment horizontal="center" vertical="center" wrapText="1"/>
    </xf>
    <xf numFmtId="167" fontId="49" fillId="0" borderId="1" xfId="0" applyNumberFormat="1" applyFont="1" applyBorder="1" applyAlignment="1">
      <alignment horizontal="center" vertical="center"/>
    </xf>
    <xf numFmtId="172" fontId="49" fillId="16" borderId="8" xfId="0" applyNumberFormat="1" applyFont="1" applyFill="1" applyBorder="1" applyAlignment="1">
      <alignment horizontal="center" vertical="center" wrapText="1"/>
    </xf>
    <xf numFmtId="174" fontId="49" fillId="0" borderId="9" xfId="0" applyNumberFormat="1" applyFont="1" applyBorder="1" applyAlignment="1">
      <alignment horizontal="center" vertical="center"/>
    </xf>
    <xf numFmtId="169" fontId="49" fillId="0" borderId="9" xfId="0" applyNumberFormat="1" applyFont="1" applyBorder="1" applyAlignment="1">
      <alignment horizontal="center" vertical="center" wrapText="1"/>
    </xf>
    <xf numFmtId="167" fontId="49" fillId="0" borderId="9" xfId="0" applyNumberFormat="1" applyFont="1" applyBorder="1" applyAlignment="1">
      <alignment horizontal="center" vertical="center"/>
    </xf>
    <xf numFmtId="174" fontId="49" fillId="0" borderId="4" xfId="0" applyNumberFormat="1" applyFont="1" applyBorder="1" applyAlignment="1">
      <alignment horizontal="center" vertical="center"/>
    </xf>
    <xf numFmtId="169" fontId="49" fillId="0" borderId="4" xfId="0" applyNumberFormat="1" applyFont="1" applyBorder="1" applyAlignment="1">
      <alignment horizontal="center" vertical="center" wrapText="1"/>
    </xf>
    <xf numFmtId="167" fontId="49" fillId="0" borderId="4" xfId="0" applyNumberFormat="1" applyFont="1" applyBorder="1" applyAlignment="1">
      <alignment horizontal="center" vertical="center"/>
    </xf>
    <xf numFmtId="174" fontId="49" fillId="0" borderId="4" xfId="0" applyNumberFormat="1" applyFont="1" applyBorder="1" applyAlignment="1">
      <alignment horizontal="center" vertical="center"/>
    </xf>
    <xf numFmtId="169" fontId="49" fillId="0" borderId="4" xfId="0" applyNumberFormat="1" applyFont="1" applyBorder="1" applyAlignment="1">
      <alignment horizontal="center" vertical="center" wrapText="1"/>
    </xf>
    <xf numFmtId="167" fontId="49" fillId="0" borderId="4" xfId="0" applyNumberFormat="1" applyFont="1" applyBorder="1" applyAlignment="1">
      <alignment horizontal="center" vertical="center"/>
    </xf>
    <xf numFmtId="175" fontId="49" fillId="0" borderId="4" xfId="0" applyNumberFormat="1" applyFont="1" applyBorder="1" applyAlignment="1">
      <alignment horizontal="center" vertical="center"/>
    </xf>
    <xf numFmtId="175" fontId="49" fillId="0" borderId="4" xfId="0" applyNumberFormat="1" applyFont="1" applyBorder="1" applyAlignment="1">
      <alignment horizontal="center" vertical="center" wrapText="1"/>
    </xf>
    <xf numFmtId="167" fontId="25" fillId="0" borderId="8" xfId="0" applyNumberFormat="1" applyFont="1" applyBorder="1" applyAlignment="1">
      <alignment horizontal="center" vertical="center" wrapText="1"/>
    </xf>
    <xf numFmtId="169" fontId="25" fillId="0" borderId="1" xfId="0" applyNumberFormat="1" applyFont="1" applyBorder="1" applyAlignment="1">
      <alignment horizontal="center" vertical="center"/>
    </xf>
    <xf numFmtId="0" fontId="49" fillId="0" borderId="8" xfId="0" applyFont="1" applyBorder="1" applyAlignment="1">
      <alignment horizontal="center" vertical="center"/>
    </xf>
    <xf numFmtId="1" fontId="49" fillId="4" borderId="8" xfId="0" applyNumberFormat="1" applyFont="1" applyFill="1" applyBorder="1" applyAlignment="1">
      <alignment horizontal="center" vertical="center" wrapText="1"/>
    </xf>
    <xf numFmtId="177" fontId="49" fillId="0" borderId="8" xfId="0" applyNumberFormat="1" applyFont="1" applyBorder="1" applyAlignment="1">
      <alignment horizontal="center" vertical="center" wrapText="1"/>
    </xf>
    <xf numFmtId="178" fontId="49" fillId="0" borderId="8" xfId="0" applyNumberFormat="1" applyFont="1" applyBorder="1" applyAlignment="1">
      <alignment horizontal="center" vertical="center" wrapText="1"/>
    </xf>
    <xf numFmtId="2" fontId="49" fillId="0" borderId="8" xfId="0" applyNumberFormat="1" applyFont="1" applyBorder="1" applyAlignment="1">
      <alignment horizontal="center" vertical="center" wrapText="1"/>
    </xf>
    <xf numFmtId="0" fontId="49" fillId="17" borderId="8" xfId="2" applyFont="1" applyFill="1" applyBorder="1" applyAlignment="1">
      <alignment horizontal="center" vertical="center"/>
    </xf>
    <xf numFmtId="0" fontId="51" fillId="0" borderId="8" xfId="0" applyFont="1" applyBorder="1" applyAlignment="1">
      <alignment horizontal="center" vertical="center"/>
    </xf>
    <xf numFmtId="176" fontId="49" fillId="4" borderId="8" xfId="0" applyNumberFormat="1" applyFont="1" applyFill="1" applyBorder="1" applyAlignment="1">
      <alignment horizontal="center" vertical="center"/>
    </xf>
    <xf numFmtId="167" fontId="49" fillId="0" borderId="8" xfId="0" applyNumberFormat="1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</cellXfs>
  <cellStyles count="1196">
    <cellStyle name="Comma [0] 2" xfId="5"/>
    <cellStyle name="Comma [0] 2 2" xfId="6"/>
    <cellStyle name="Comma [0] 2 2 2" xfId="7"/>
    <cellStyle name="Comma [0] 2 2 2 2" xfId="8"/>
    <cellStyle name="Comma [0] 2 3" xfId="9"/>
    <cellStyle name="Comma [0] 2 3 2" xfId="10"/>
    <cellStyle name="Comma [0] 2 3 2 2" xfId="11"/>
    <cellStyle name="Comma [0] 2 4" xfId="12"/>
    <cellStyle name="Comma [0] 2 4 2" xfId="13"/>
    <cellStyle name="Comma [0] 2 4 2 2" xfId="14"/>
    <cellStyle name="Comma [0] 2 5" xfId="15"/>
    <cellStyle name="Comma [0] 2 5 2" xfId="16"/>
    <cellStyle name="Comma [0] 2 5 2 2" xfId="17"/>
    <cellStyle name="Comma [0] 2 6" xfId="18"/>
    <cellStyle name="Comma [0] 2 6 2" xfId="19"/>
    <cellStyle name="Comma [0] 2 6 2 2" xfId="20"/>
    <cellStyle name="Comma [0] 2 7" xfId="21"/>
    <cellStyle name="Comma [0] 2 7 2" xfId="22"/>
    <cellStyle name="Comma [0] 2 7 2 2" xfId="23"/>
    <cellStyle name="Comma [0] 2 8" xfId="24"/>
    <cellStyle name="Comma [0] 2 8 2" xfId="25"/>
    <cellStyle name="Comma [0] 2 9" xfId="26"/>
    <cellStyle name="Comma [0] 3" xfId="27"/>
    <cellStyle name="Comma [0] 3 2" xfId="28"/>
    <cellStyle name="Comma [0] 3 2 2" xfId="29"/>
    <cellStyle name="Comma [0] 3 2 2 2" xfId="30"/>
    <cellStyle name="Comma [0] 3 2 2 2 2" xfId="31"/>
    <cellStyle name="Comma [0] 3 2 3" xfId="32"/>
    <cellStyle name="Comma [0] 3 2 3 2" xfId="33"/>
    <cellStyle name="Comma [0] 3 3" xfId="34"/>
    <cellStyle name="Comma [0] 3 3 2" xfId="35"/>
    <cellStyle name="Comma [0] 3 3 2 2" xfId="36"/>
    <cellStyle name="Comma [0] 3 3 2 2 2" xfId="37"/>
    <cellStyle name="Comma [0] 3 3 3" xfId="38"/>
    <cellStyle name="Comma [0] 3 3 3 2" xfId="39"/>
    <cellStyle name="Comma [0] 3 4" xfId="40"/>
    <cellStyle name="Comma [0] 3 4 2" xfId="41"/>
    <cellStyle name="Comma [0] 3 4 2 2" xfId="42"/>
    <cellStyle name="Comma [0] 3 5" xfId="43"/>
    <cellStyle name="Comma [0] 3 5 2" xfId="44"/>
    <cellStyle name="Comma [0] 3 5 2 2" xfId="45"/>
    <cellStyle name="Comma [0] 3 6" xfId="46"/>
    <cellStyle name="Comma [0] 3 6 2" xfId="47"/>
    <cellStyle name="Comma [0] 3 6 2 2" xfId="48"/>
    <cellStyle name="Comma [0] 3 7" xfId="49"/>
    <cellStyle name="Comma [0] 3 7 2" xfId="50"/>
    <cellStyle name="Comma [0] 4" xfId="51"/>
    <cellStyle name="Comma [0] 5" xfId="52"/>
    <cellStyle name="Comma [0] 6" xfId="53"/>
    <cellStyle name="Comma [0] 6 2" xfId="54"/>
    <cellStyle name="Comma [0] 7" xfId="55"/>
    <cellStyle name="Comma [0] 8" xfId="56"/>
    <cellStyle name="Comma 10" xfId="57"/>
    <cellStyle name="Comma 10 2" xfId="58"/>
    <cellStyle name="Comma 10 2 2" xfId="59"/>
    <cellStyle name="Comma 11" xfId="60"/>
    <cellStyle name="Comma 11 2" xfId="61"/>
    <cellStyle name="Comma 11 2 2" xfId="62"/>
    <cellStyle name="Comma 12" xfId="63"/>
    <cellStyle name="Comma 12 2" xfId="64"/>
    <cellStyle name="Comma 12 2 2" xfId="65"/>
    <cellStyle name="Comma 13" xfId="66"/>
    <cellStyle name="Comma 13 2" xfId="67"/>
    <cellStyle name="Comma 13 2 2" xfId="68"/>
    <cellStyle name="Comma 14" xfId="69"/>
    <cellStyle name="Comma 15" xfId="70"/>
    <cellStyle name="Comma 16" xfId="71"/>
    <cellStyle name="Comma 17" xfId="72"/>
    <cellStyle name="Comma 18" xfId="73"/>
    <cellStyle name="Comma 19" xfId="74"/>
    <cellStyle name="Comma 2" xfId="75"/>
    <cellStyle name="Comma 2 2" xfId="76"/>
    <cellStyle name="Comma 2 2 2" xfId="77"/>
    <cellStyle name="Comma 2 2 2 2" xfId="78"/>
    <cellStyle name="Comma 2 2 2 2 2" xfId="79"/>
    <cellStyle name="Comma 2 2 2 2 2 2" xfId="80"/>
    <cellStyle name="Comma 2 2 2 2 2 2 2" xfId="81"/>
    <cellStyle name="Comma 2 2 2 2 2 3" xfId="82"/>
    <cellStyle name="Comma 2 2 2 3" xfId="83"/>
    <cellStyle name="Comma 2 2 2 3 2" xfId="84"/>
    <cellStyle name="Comma 2 2 2 3 2 2" xfId="85"/>
    <cellStyle name="Comma 2 2 2 3 2 2 2" xfId="86"/>
    <cellStyle name="Comma 2 2 2 3 2 3" xfId="87"/>
    <cellStyle name="Comma 2 2 2 4" xfId="88"/>
    <cellStyle name="Comma 2 2 2 4 2" xfId="89"/>
    <cellStyle name="Comma 2 2 2 4 2 2" xfId="90"/>
    <cellStyle name="Comma 2 2 2 4 2 2 2" xfId="91"/>
    <cellStyle name="Comma 2 2 2 4 2 3" xfId="92"/>
    <cellStyle name="Comma 2 2 2 5" xfId="93"/>
    <cellStyle name="Comma 2 2 2 5 2" xfId="94"/>
    <cellStyle name="Comma 2 2 2 5 2 2" xfId="95"/>
    <cellStyle name="Comma 2 2 2 5 3" xfId="96"/>
    <cellStyle name="Comma 2 2 3" xfId="97"/>
    <cellStyle name="Comma 2 2 3 2" xfId="98"/>
    <cellStyle name="Comma 2 2 3 2 2" xfId="99"/>
    <cellStyle name="Comma 2 2 3 2 2 2" xfId="100"/>
    <cellStyle name="Comma 2 2 3 2 2 2 2" xfId="101"/>
    <cellStyle name="Comma 2 2 3 2 2 3" xfId="102"/>
    <cellStyle name="Comma 2 2 3 3" xfId="103"/>
    <cellStyle name="Comma 2 2 3 3 2" xfId="104"/>
    <cellStyle name="Comma 2 2 3 3 2 2" xfId="105"/>
    <cellStyle name="Comma 2 2 3 4" xfId="106"/>
    <cellStyle name="Comma 2 2 3 4 2" xfId="107"/>
    <cellStyle name="Comma 2 2 3 4 2 2" xfId="108"/>
    <cellStyle name="Comma 2 2 3 4 3" xfId="109"/>
    <cellStyle name="Comma 2 2 4" xfId="110"/>
    <cellStyle name="Comma 2 2 4 2" xfId="111"/>
    <cellStyle name="Comma 2 2 4 2 2" xfId="112"/>
    <cellStyle name="Comma 2 2 4 3" xfId="113"/>
    <cellStyle name="Comma 2 3" xfId="114"/>
    <cellStyle name="Comma 2 3 2" xfId="115"/>
    <cellStyle name="Comma 2 3 2 2" xfId="116"/>
    <cellStyle name="Comma 2 3 2 2 2" xfId="117"/>
    <cellStyle name="Comma 2 3 3" xfId="118"/>
    <cellStyle name="Comma 2 3 3 2" xfId="119"/>
    <cellStyle name="Comma 2 4" xfId="120"/>
    <cellStyle name="Comma 2 4 2" xfId="121"/>
    <cellStyle name="Comma 2 4 2 2" xfId="122"/>
    <cellStyle name="Comma 2 4 2 2 2" xfId="123"/>
    <cellStyle name="Comma 2 4 3" xfId="124"/>
    <cellStyle name="Comma 2 4 3 2" xfId="125"/>
    <cellStyle name="Comma 2 5" xfId="126"/>
    <cellStyle name="Comma 2 5 2" xfId="127"/>
    <cellStyle name="Comma 2 5 2 2" xfId="128"/>
    <cellStyle name="Comma 2 5 2 2 2" xfId="129"/>
    <cellStyle name="Comma 2 5 3" xfId="130"/>
    <cellStyle name="Comma 2 5 3 2" xfId="131"/>
    <cellStyle name="Comma 2 5 3 2 2" xfId="132"/>
    <cellStyle name="Comma 2 5 4" xfId="133"/>
    <cellStyle name="Comma 2 5 4 2" xfId="134"/>
    <cellStyle name="Comma 2 6" xfId="135"/>
    <cellStyle name="Comma 2 6 2" xfId="136"/>
    <cellStyle name="Comma 2 6 2 2" xfId="137"/>
    <cellStyle name="Comma 2 7" xfId="138"/>
    <cellStyle name="Comma 2 7 2" xfId="139"/>
    <cellStyle name="Comma 20" xfId="140"/>
    <cellStyle name="Comma 21" xfId="141"/>
    <cellStyle name="Comma 22" xfId="142"/>
    <cellStyle name="Comma 23" xfId="143"/>
    <cellStyle name="Comma 24" xfId="144"/>
    <cellStyle name="Comma 25" xfId="145"/>
    <cellStyle name="Comma 26" xfId="146"/>
    <cellStyle name="Comma 27" xfId="147"/>
    <cellStyle name="Comma 28" xfId="148"/>
    <cellStyle name="Comma 29" xfId="149"/>
    <cellStyle name="Comma 3" xfId="150"/>
    <cellStyle name="Comma 3 2" xfId="151"/>
    <cellStyle name="Comma 3 2 2" xfId="152"/>
    <cellStyle name="Comma 3 2 2 2" xfId="153"/>
    <cellStyle name="Comma 3 3" xfId="154"/>
    <cellStyle name="Comma 3 3 2" xfId="155"/>
    <cellStyle name="Comma 3 4" xfId="156"/>
    <cellStyle name="Comma 30" xfId="157"/>
    <cellStyle name="Comma 31" xfId="158"/>
    <cellStyle name="Comma 32" xfId="159"/>
    <cellStyle name="Comma 33" xfId="160"/>
    <cellStyle name="Comma 4" xfId="161"/>
    <cellStyle name="Comma 4 2" xfId="162"/>
    <cellStyle name="Comma 4 2 2" xfId="163"/>
    <cellStyle name="Comma 4 2 2 2" xfId="164"/>
    <cellStyle name="Comma 4 3" xfId="165"/>
    <cellStyle name="Comma 4 3 2" xfId="166"/>
    <cellStyle name="Comma 4 4" xfId="167"/>
    <cellStyle name="Comma 5" xfId="168"/>
    <cellStyle name="Comma 5 2" xfId="169"/>
    <cellStyle name="Comma 5 2 2" xfId="170"/>
    <cellStyle name="Comma 5 2 2 2" xfId="171"/>
    <cellStyle name="Comma 5 3" xfId="172"/>
    <cellStyle name="Comma 5 3 2" xfId="173"/>
    <cellStyle name="Comma 5 4" xfId="174"/>
    <cellStyle name="Comma 6" xfId="175"/>
    <cellStyle name="Comma 6 2" xfId="176"/>
    <cellStyle name="Comma 6 2 2" xfId="177"/>
    <cellStyle name="Comma 6 2 2 2" xfId="178"/>
    <cellStyle name="Comma 6 3" xfId="179"/>
    <cellStyle name="Comma 6 3 2" xfId="180"/>
    <cellStyle name="Comma 6 3 2 2" xfId="181"/>
    <cellStyle name="Comma 6 4" xfId="182"/>
    <cellStyle name="Comma 6 4 2" xfId="183"/>
    <cellStyle name="Comma 6 5" xfId="184"/>
    <cellStyle name="Comma 7" xfId="185"/>
    <cellStyle name="Comma 7 2" xfId="186"/>
    <cellStyle name="Comma 7 2 2" xfId="187"/>
    <cellStyle name="Comma 8" xfId="188"/>
    <cellStyle name="Comma 8 2" xfId="189"/>
    <cellStyle name="Comma 8 2 2" xfId="190"/>
    <cellStyle name="Comma 9" xfId="191"/>
    <cellStyle name="Comma 9 2" xfId="192"/>
    <cellStyle name="Comma 9 2 2" xfId="193"/>
    <cellStyle name="Currency [0] 2" xfId="194"/>
    <cellStyle name="Currency [0] 2 2" xfId="195"/>
    <cellStyle name="Currency [0] 2 2 2" xfId="196"/>
    <cellStyle name="Currency [0] 3" xfId="197"/>
    <cellStyle name="Currency [0] 3 2" xfId="198"/>
    <cellStyle name="Currency [0] 3 2 2" xfId="199"/>
    <cellStyle name="Currency [0] 4" xfId="200"/>
    <cellStyle name="Currency [0] 4 2" xfId="201"/>
    <cellStyle name="Currency [0] 4 2 2" xfId="202"/>
    <cellStyle name="Currency [0] 4 3" xfId="203"/>
    <cellStyle name="Currency [0] 5" xfId="204"/>
    <cellStyle name="Normal" xfId="0" builtinId="0"/>
    <cellStyle name="Normal 10" xfId="205"/>
    <cellStyle name="Normal 10 2" xfId="206"/>
    <cellStyle name="Normal 10 2 2" xfId="207"/>
    <cellStyle name="Normal 10 2 2 2" xfId="208"/>
    <cellStyle name="Normal 10 2 3" xfId="209"/>
    <cellStyle name="Normal 11" xfId="210"/>
    <cellStyle name="Normal 11 2" xfId="211"/>
    <cellStyle name="Normal 11 2 2" xfId="212"/>
    <cellStyle name="Normal 12" xfId="213"/>
    <cellStyle name="Normal 12 2" xfId="214"/>
    <cellStyle name="Normal 12 2 2" xfId="215"/>
    <cellStyle name="Normal 12 3" xfId="216"/>
    <cellStyle name="Normal 13" xfId="217"/>
    <cellStyle name="Normal 13 2" xfId="218"/>
    <cellStyle name="Normal 14" xfId="219"/>
    <cellStyle name="Normal 15" xfId="220"/>
    <cellStyle name="Normal 16" xfId="221"/>
    <cellStyle name="Normal 16 2" xfId="222"/>
    <cellStyle name="Normal 16 2 2" xfId="223"/>
    <cellStyle name="Normal 2" xfId="1"/>
    <cellStyle name="Normal 2 10" xfId="224"/>
    <cellStyle name="Normal 2 10 2" xfId="225"/>
    <cellStyle name="Normal 2 11" xfId="226"/>
    <cellStyle name="Normal 2 12" xfId="227"/>
    <cellStyle name="Normal 2 12 2" xfId="228"/>
    <cellStyle name="Normal 2 12 2 2" xfId="229"/>
    <cellStyle name="Normal 2 12 2 2 2" xfId="230"/>
    <cellStyle name="Normal 2 12 2 2 2 2" xfId="231"/>
    <cellStyle name="Normal 2 12 2 3" xfId="232"/>
    <cellStyle name="Normal 2 12 2 3 2" xfId="233"/>
    <cellStyle name="Normal 2 12 3" xfId="234"/>
    <cellStyle name="Normal 2 12 3 2" xfId="235"/>
    <cellStyle name="Normal 2 13" xfId="236"/>
    <cellStyle name="Normal 2 18" xfId="237"/>
    <cellStyle name="Normal 2 18 2" xfId="238"/>
    <cellStyle name="Normal 2 18 2 2" xfId="239"/>
    <cellStyle name="Normal 2 2" xfId="240"/>
    <cellStyle name="Normal 2 2 2" xfId="241"/>
    <cellStyle name="Normal 2 2 2 2" xfId="242"/>
    <cellStyle name="Normal 2 2 2 2 2" xfId="243"/>
    <cellStyle name="Normal 2 2 2 2 2 2" xfId="244"/>
    <cellStyle name="Normal 2 2 2 2 2 2 2" xfId="245"/>
    <cellStyle name="Normal 2 2 2 2 3" xfId="246"/>
    <cellStyle name="Normal 2 2 2 2 3 2" xfId="247"/>
    <cellStyle name="Normal 2 2 2 2 4" xfId="248"/>
    <cellStyle name="Normal 2 2 2 3" xfId="249"/>
    <cellStyle name="Normal 2 2 2 3 2" xfId="250"/>
    <cellStyle name="Normal 2 2 2 3 2 2" xfId="251"/>
    <cellStyle name="Normal 2 2 2 4" xfId="252"/>
    <cellStyle name="Normal 2 2 2 4 2" xfId="253"/>
    <cellStyle name="Normal 2 2 2 4 2 2" xfId="254"/>
    <cellStyle name="Normal 2 2 2 5" xfId="255"/>
    <cellStyle name="Normal 2 2 2 5 2" xfId="256"/>
    <cellStyle name="Normal 2 2 2 5 2 2" xfId="257"/>
    <cellStyle name="Normal 2 2 2 6" xfId="258"/>
    <cellStyle name="Normal 2 2 2 6 2" xfId="259"/>
    <cellStyle name="Normal 2 2 2 6 2 2" xfId="260"/>
    <cellStyle name="Normal 2 2 2 7" xfId="261"/>
    <cellStyle name="Normal 2 2 2 7 2" xfId="262"/>
    <cellStyle name="Normal 2 2 3" xfId="263"/>
    <cellStyle name="Normal 2 2 3 2" xfId="264"/>
    <cellStyle name="Normal 2 2 3 2 2" xfId="265"/>
    <cellStyle name="Normal 2 2 3 2 2 2" xfId="266"/>
    <cellStyle name="Normal 2 2 3 3" xfId="267"/>
    <cellStyle name="Normal 2 2 3 3 2" xfId="268"/>
    <cellStyle name="Normal 2 2 3 4" xfId="269"/>
    <cellStyle name="Normal 2 2 4" xfId="270"/>
    <cellStyle name="Normal 2 2 4 2" xfId="271"/>
    <cellStyle name="Normal 2 2 4 2 2" xfId="272"/>
    <cellStyle name="Normal 2 2 4 2 2 2" xfId="273"/>
    <cellStyle name="Normal 2 2 4 3" xfId="274"/>
    <cellStyle name="Normal 2 2 4 3 2" xfId="275"/>
    <cellStyle name="Normal 2 2 4 4" xfId="276"/>
    <cellStyle name="Normal 2 2 5" xfId="277"/>
    <cellStyle name="Normal 2 2 5 2" xfId="278"/>
    <cellStyle name="Normal 2 2 6" xfId="279"/>
    <cellStyle name="Normal 2 3" xfId="280"/>
    <cellStyle name="Normal 2 3 2" xfId="281"/>
    <cellStyle name="Normal 2 3 2 2" xfId="282"/>
    <cellStyle name="Normal 2 3 2 2 2" xfId="283"/>
    <cellStyle name="Normal 2 3 3" xfId="284"/>
    <cellStyle name="Normal 2 3 3 2" xfId="285"/>
    <cellStyle name="Normal 2 3 3 2 2" xfId="286"/>
    <cellStyle name="Normal 2 3 3 2 2 2" xfId="287"/>
    <cellStyle name="Normal 2 3 3 3" xfId="288"/>
    <cellStyle name="Normal 2 3 3 3 2" xfId="289"/>
    <cellStyle name="Normal 2 3 4" xfId="290"/>
    <cellStyle name="Normal 2 3 4 2" xfId="291"/>
    <cellStyle name="Normal 2 3 4 2 2" xfId="292"/>
    <cellStyle name="Normal 2 3 4 2 2 2" xfId="293"/>
    <cellStyle name="Normal 2 3 4 3" xfId="294"/>
    <cellStyle name="Normal 2 3 4 3 2" xfId="295"/>
    <cellStyle name="Normal 2 3 5" xfId="296"/>
    <cellStyle name="Normal 2 3 5 2" xfId="297"/>
    <cellStyle name="Normal 2 3 5 2 2" xfId="298"/>
    <cellStyle name="Normal 2 3 6" xfId="299"/>
    <cellStyle name="Normal 2 3 6 2" xfId="300"/>
    <cellStyle name="Normal 2 4" xfId="301"/>
    <cellStyle name="Normal 2 4 2" xfId="302"/>
    <cellStyle name="Normal 2 4 2 2" xfId="303"/>
    <cellStyle name="Normal 2 4 2 2 2" xfId="304"/>
    <cellStyle name="Normal 2 4 3" xfId="305"/>
    <cellStyle name="Normal 2 4 3 2" xfId="306"/>
    <cellStyle name="Normal 2 4 4" xfId="307"/>
    <cellStyle name="Normal 2 5" xfId="308"/>
    <cellStyle name="Normal 2 5 2" xfId="309"/>
    <cellStyle name="Normal 2 5 2 2" xfId="310"/>
    <cellStyle name="Normal 2 5 2 2 2" xfId="311"/>
    <cellStyle name="Normal 2 5 3" xfId="312"/>
    <cellStyle name="Normal 2 5 3 2" xfId="313"/>
    <cellStyle name="Normal 2 5 4" xfId="314"/>
    <cellStyle name="Normal 2 6" xfId="315"/>
    <cellStyle name="Normal 2 6 2" xfId="316"/>
    <cellStyle name="Normal 2 6 2 2" xfId="317"/>
    <cellStyle name="Normal 2 7" xfId="318"/>
    <cellStyle name="Normal 2 7 2" xfId="319"/>
    <cellStyle name="Normal 2 7 2 2" xfId="320"/>
    <cellStyle name="Normal 2 8" xfId="321"/>
    <cellStyle name="Normal 2 8 2" xfId="322"/>
    <cellStyle name="Normal 2 8 2 2" xfId="323"/>
    <cellStyle name="Normal 2 9" xfId="324"/>
    <cellStyle name="Normal 2 9 2" xfId="325"/>
    <cellStyle name="Normal 2 9 2 2" xfId="326"/>
    <cellStyle name="Normal 24" xfId="327"/>
    <cellStyle name="Normal 24 2" xfId="328"/>
    <cellStyle name="Normal 24 2 2" xfId="329"/>
    <cellStyle name="Normal 27" xfId="330"/>
    <cellStyle name="Normal 27 2" xfId="331"/>
    <cellStyle name="Normal 27 2 2" xfId="332"/>
    <cellStyle name="Normal 3" xfId="333"/>
    <cellStyle name="Normal 3 10" xfId="334"/>
    <cellStyle name="Normal 3 2" xfId="335"/>
    <cellStyle name="Normal 3 2 2" xfId="336"/>
    <cellStyle name="Normal 3 2 2 2" xfId="337"/>
    <cellStyle name="Normal 3 2 2 2 2" xfId="338"/>
    <cellStyle name="Normal 3 2 2 2 2 2" xfId="339"/>
    <cellStyle name="Normal 3 2 2 2 3" xfId="340"/>
    <cellStyle name="Normal 3 2 3" xfId="341"/>
    <cellStyle name="Normal 3 2 3 2" xfId="342"/>
    <cellStyle name="Normal 3 2 3 3" xfId="343"/>
    <cellStyle name="Normal 3 2 3 3 2" xfId="344"/>
    <cellStyle name="Normal 3 2 3 3 2 2" xfId="345"/>
    <cellStyle name="Normal 3 2 3 3 2 2 2" xfId="346"/>
    <cellStyle name="Normal 3 2 3 3 2 2 2 2" xfId="347"/>
    <cellStyle name="Normal 3 2 3 3 2 2 2 2 2" xfId="348"/>
    <cellStyle name="Normal 3 2 3 3 2 2 3" xfId="349"/>
    <cellStyle name="Normal 3 2 3 3 2 2 3 2" xfId="350"/>
    <cellStyle name="Normal 3 2 3 3 2 3" xfId="351"/>
    <cellStyle name="Normal 3 2 3 3 2 3 2" xfId="352"/>
    <cellStyle name="Normal 3 2 3 3 3" xfId="353"/>
    <cellStyle name="Normal 3 2 3 3 3 2" xfId="354"/>
    <cellStyle name="Normal 3 2 3 4" xfId="355"/>
    <cellStyle name="Normal 3 2 3 4 2" xfId="356"/>
    <cellStyle name="Normal 3 2 4" xfId="357"/>
    <cellStyle name="Normal 3 2 5" xfId="358"/>
    <cellStyle name="Normal 3 2 5 2" xfId="359"/>
    <cellStyle name="Normal 3 2 6" xfId="360"/>
    <cellStyle name="Normal 3 3" xfId="361"/>
    <cellStyle name="Normal 3 3 2" xfId="362"/>
    <cellStyle name="Normal 3 3 2 2" xfId="363"/>
    <cellStyle name="Normal 3 3 2 2 2" xfId="364"/>
    <cellStyle name="Normal 3 3 2 2 2 2" xfId="365"/>
    <cellStyle name="Normal 3 3 2 2 3" xfId="366"/>
    <cellStyle name="Normal 3 3 2 3" xfId="367"/>
    <cellStyle name="Normal 3 3 2 3 2" xfId="368"/>
    <cellStyle name="Normal 3 3 2 4" xfId="369"/>
    <cellStyle name="Normal 3 3 3" xfId="370"/>
    <cellStyle name="Normal 3 3 3 2" xfId="371"/>
    <cellStyle name="Normal 3 3 3 2 2" xfId="372"/>
    <cellStyle name="Normal 3 3 3 2 2 2" xfId="373"/>
    <cellStyle name="Normal 3 3 3 2 3" xfId="374"/>
    <cellStyle name="Normal 3 3 4" xfId="375"/>
    <cellStyle name="Normal 3 3 4 2" xfId="376"/>
    <cellStyle name="Normal 3 3 4 3" xfId="377"/>
    <cellStyle name="Normal 3 3 4 3 2" xfId="378"/>
    <cellStyle name="Normal 3 3 4 3 2 2" xfId="379"/>
    <cellStyle name="Normal 3 3 4 3 2 2 2" xfId="380"/>
    <cellStyle name="Normal 3 3 4 3 2 2 2 2" xfId="381"/>
    <cellStyle name="Normal 3 3 4 3 2 2 2 2 2" xfId="382"/>
    <cellStyle name="Normal 3 3 4 3 2 2 3" xfId="383"/>
    <cellStyle name="Normal 3 3 4 3 2 2 3 2" xfId="384"/>
    <cellStyle name="Normal 3 3 4 3 2 3" xfId="385"/>
    <cellStyle name="Normal 3 3 4 3 2 3 2" xfId="386"/>
    <cellStyle name="Normal 3 3 4 3 3" xfId="387"/>
    <cellStyle name="Normal 3 3 4 3 3 2" xfId="388"/>
    <cellStyle name="Normal 3 3 4 4" xfId="389"/>
    <cellStyle name="Normal 3 3 4 4 2" xfId="390"/>
    <cellStyle name="Normal 3 3 5" xfId="391"/>
    <cellStyle name="Normal 3 3 6" xfId="392"/>
    <cellStyle name="Normal 3 4" xfId="393"/>
    <cellStyle name="Normal 3 4 2" xfId="394"/>
    <cellStyle name="Normal 3 4 2 2" xfId="395"/>
    <cellStyle name="Normal 3 4 2 2 2" xfId="396"/>
    <cellStyle name="Normal 3 4 2 2 2 2" xfId="397"/>
    <cellStyle name="Normal 3 4 2 2 3" xfId="398"/>
    <cellStyle name="Normal 3 4 3" xfId="399"/>
    <cellStyle name="Normal 3 4 3 2" xfId="400"/>
    <cellStyle name="Normal 3 4 3 2 2" xfId="401"/>
    <cellStyle name="Normal 3 4 3 3" xfId="402"/>
    <cellStyle name="Normal 3 4 4" xfId="403"/>
    <cellStyle name="Normal 3 5" xfId="404"/>
    <cellStyle name="Normal 3 5 2" xfId="405"/>
    <cellStyle name="Normal 3 5 2 2" xfId="406"/>
    <cellStyle name="Normal 3 5 2 2 2" xfId="407"/>
    <cellStyle name="Normal 3 5 2 3" xfId="408"/>
    <cellStyle name="Normal 3 6" xfId="409"/>
    <cellStyle name="Normal 3 6 2" xfId="410"/>
    <cellStyle name="Normal 3 6 2 2" xfId="411"/>
    <cellStyle name="Normal 3 6 2 2 2" xfId="412"/>
    <cellStyle name="Normal 3 6 2 3" xfId="413"/>
    <cellStyle name="Normal 3 7" xfId="414"/>
    <cellStyle name="Normal 3 7 2" xfId="415"/>
    <cellStyle name="Normal 3 7 2 2" xfId="416"/>
    <cellStyle name="Normal 3 7 2 2 2" xfId="417"/>
    <cellStyle name="Normal 3 7 2 3" xfId="418"/>
    <cellStyle name="Normal 3 8" xfId="419"/>
    <cellStyle name="Normal 3 8 2" xfId="420"/>
    <cellStyle name="Normal 3 8 2 2" xfId="421"/>
    <cellStyle name="Normal 3 8 3" xfId="422"/>
    <cellStyle name="Normal 3 9" xfId="423"/>
    <cellStyle name="Normal 3 9 2" xfId="424"/>
    <cellStyle name="Normal 30" xfId="425"/>
    <cellStyle name="Normal 30 2" xfId="426"/>
    <cellStyle name="Normal 30 2 2" xfId="427"/>
    <cellStyle name="Normal 33" xfId="428"/>
    <cellStyle name="Normal 33 2" xfId="429"/>
    <cellStyle name="Normal 33 2 2" xfId="430"/>
    <cellStyle name="Normal 35" xfId="431"/>
    <cellStyle name="Normal 35 2" xfId="432"/>
    <cellStyle name="Normal 35 2 2" xfId="433"/>
    <cellStyle name="Normal 39" xfId="434"/>
    <cellStyle name="Normal 39 2" xfId="435"/>
    <cellStyle name="Normal 39 2 2" xfId="436"/>
    <cellStyle name="Normal 4" xfId="437"/>
    <cellStyle name="Normal 4 10" xfId="438"/>
    <cellStyle name="Normal 4 10 2" xfId="439"/>
    <cellStyle name="Normal 4 11" xfId="440"/>
    <cellStyle name="Normal 4 2" xfId="441"/>
    <cellStyle name="Normal 4 2 2" xfId="442"/>
    <cellStyle name="Normal 4 2 2 2" xfId="443"/>
    <cellStyle name="Normal 4 2 2 2 2" xfId="444"/>
    <cellStyle name="Normal 4 2 2 2 2 2" xfId="445"/>
    <cellStyle name="Normal 4 2 2 2 3" xfId="446"/>
    <cellStyle name="Normal 4 2 2 3" xfId="447"/>
    <cellStyle name="Normal 4 2 2 3 2" xfId="448"/>
    <cellStyle name="Normal 4 2 2 4" xfId="449"/>
    <cellStyle name="Normal 4 2 3" xfId="450"/>
    <cellStyle name="Normal 4 2 3 2" xfId="451"/>
    <cellStyle name="Normal 4 2 3 2 2" xfId="452"/>
    <cellStyle name="Normal 4 2 3 3" xfId="453"/>
    <cellStyle name="Normal 4 3" xfId="454"/>
    <cellStyle name="Normal 4 3 2" xfId="455"/>
    <cellStyle name="Normal 4 3 2 2" xfId="456"/>
    <cellStyle name="Normal 4 4" xfId="457"/>
    <cellStyle name="Normal 4 4 2" xfId="458"/>
    <cellStyle name="Normal 4 4 2 2" xfId="459"/>
    <cellStyle name="Normal 4 4 2 2 2" xfId="460"/>
    <cellStyle name="Normal 4 4 2 2 2 2" xfId="461"/>
    <cellStyle name="Normal 4 4 2 2 3" xfId="462"/>
    <cellStyle name="Normal 4 4 2 3" xfId="463"/>
    <cellStyle name="Normal 4 4 2 3 2" xfId="464"/>
    <cellStyle name="Normal 4 4 2 4" xfId="465"/>
    <cellStyle name="Normal 4 4 3" xfId="466"/>
    <cellStyle name="Normal 4 4 3 2" xfId="467"/>
    <cellStyle name="Normal 4 4 3 2 2" xfId="468"/>
    <cellStyle name="Normal 4 4 3 3" xfId="469"/>
    <cellStyle name="Normal 4 5" xfId="470"/>
    <cellStyle name="Normal 4 5 2" xfId="471"/>
    <cellStyle name="Normal 4 5 2 2" xfId="472"/>
    <cellStyle name="Normal 4 5 2 2 2" xfId="473"/>
    <cellStyle name="Normal 4 5 2 3" xfId="474"/>
    <cellStyle name="Normal 4 6" xfId="475"/>
    <cellStyle name="Normal 4 6 2" xfId="476"/>
    <cellStyle name="Normal 4 6 2 2" xfId="477"/>
    <cellStyle name="Normal 4 6 2 2 2" xfId="478"/>
    <cellStyle name="Normal 4 6 2 3" xfId="479"/>
    <cellStyle name="Normal 4 7" xfId="480"/>
    <cellStyle name="Normal 4 7 2" xfId="481"/>
    <cellStyle name="Normal 4 7 2 2" xfId="482"/>
    <cellStyle name="Normal 4 7 2 2 2" xfId="483"/>
    <cellStyle name="Normal 4 7 2 3" xfId="484"/>
    <cellStyle name="Normal 4 8" xfId="485"/>
    <cellStyle name="Normal 4 8 2" xfId="486"/>
    <cellStyle name="Normal 4 8 2 2" xfId="487"/>
    <cellStyle name="Normal 4 8 2 2 2" xfId="488"/>
    <cellStyle name="Normal 4 8 2 3" xfId="489"/>
    <cellStyle name="Normal 4 9" xfId="490"/>
    <cellStyle name="Normal 4 9 2" xfId="491"/>
    <cellStyle name="Normal 4 9 2 2" xfId="492"/>
    <cellStyle name="Normal 4 9 3" xfId="493"/>
    <cellStyle name="Normal 40" xfId="494"/>
    <cellStyle name="Normal 40 2" xfId="495"/>
    <cellStyle name="Normal 40 2 2" xfId="496"/>
    <cellStyle name="Normal 41" xfId="497"/>
    <cellStyle name="Normal 41 2" xfId="498"/>
    <cellStyle name="Normal 41 2 2" xfId="499"/>
    <cellStyle name="Normal 42" xfId="500"/>
    <cellStyle name="Normal 42 2" xfId="501"/>
    <cellStyle name="Normal 42 2 2" xfId="502"/>
    <cellStyle name="Normal 45" xfId="503"/>
    <cellStyle name="Normal 45 2" xfId="504"/>
    <cellStyle name="Normal 45 2 2" xfId="505"/>
    <cellStyle name="Normal 48" xfId="506"/>
    <cellStyle name="Normal 48 2" xfId="507"/>
    <cellStyle name="Normal 48 2 2" xfId="508"/>
    <cellStyle name="Normal 5" xfId="509"/>
    <cellStyle name="Normal 5 2" xfId="510"/>
    <cellStyle name="Normal 5 2 2" xfId="511"/>
    <cellStyle name="Normal 5 2 2 2" xfId="512"/>
    <cellStyle name="Normal 5 2 2 2 2" xfId="513"/>
    <cellStyle name="Normal 5 2 2 2 3" xfId="514"/>
    <cellStyle name="Normal 5 2 2 2 3 2" xfId="515"/>
    <cellStyle name="Normal 5 2 2 2 3 2 2" xfId="516"/>
    <cellStyle name="Normal 5 2 2 2 3 2 2 2" xfId="517"/>
    <cellStyle name="Normal 5 2 2 2 3 2 2 2 2" xfId="518"/>
    <cellStyle name="Normal 5 2 2 2 3 2 3" xfId="519"/>
    <cellStyle name="Normal 5 2 2 2 3 2 3 2" xfId="520"/>
    <cellStyle name="Normal 5 2 2 2 3 3" xfId="521"/>
    <cellStyle name="Normal 5 2 2 2 3 3 2" xfId="522"/>
    <cellStyle name="Normal 5 2 2 2 4" xfId="523"/>
    <cellStyle name="Normal 5 2 2 2 4 2" xfId="524"/>
    <cellStyle name="Normal 5 2 2 3" xfId="525"/>
    <cellStyle name="Normal 5 2 2 4" xfId="526"/>
    <cellStyle name="Normal 5 2 2 4 2" xfId="527"/>
    <cellStyle name="Normal 5 2 2 5" xfId="528"/>
    <cellStyle name="Normal 5 2 3" xfId="529"/>
    <cellStyle name="Normal 5 3" xfId="530"/>
    <cellStyle name="Normal 5 3 2" xfId="531"/>
    <cellStyle name="Normal 5 3 2 2" xfId="532"/>
    <cellStyle name="Normal 5 4" xfId="533"/>
    <cellStyle name="Normal 5 4 2" xfId="534"/>
    <cellStyle name="Normal 5 4 2 2" xfId="535"/>
    <cellStyle name="Normal 5 4 3" xfId="536"/>
    <cellStyle name="Normal 5 4 3 2" xfId="537"/>
    <cellStyle name="Normal 5 4 4" xfId="538"/>
    <cellStyle name="Normal 5 4 5" xfId="539"/>
    <cellStyle name="Normal 5 5" xfId="540"/>
    <cellStyle name="Normal 5 5 2" xfId="541"/>
    <cellStyle name="Normal 5 6" xfId="542"/>
    <cellStyle name="Normal 51" xfId="543"/>
    <cellStyle name="Normal 51 2" xfId="544"/>
    <cellStyle name="Normal 51 2 2" xfId="545"/>
    <cellStyle name="Normal 52" xfId="546"/>
    <cellStyle name="Normal 52 2" xfId="547"/>
    <cellStyle name="Normal 52 2 2" xfId="548"/>
    <cellStyle name="Normal 56" xfId="549"/>
    <cellStyle name="Normal 56 2" xfId="550"/>
    <cellStyle name="Normal 56 2 2" xfId="551"/>
    <cellStyle name="Normal 57" xfId="552"/>
    <cellStyle name="Normal 57 2" xfId="553"/>
    <cellStyle name="Normal 57 2 2" xfId="554"/>
    <cellStyle name="Normal 58" xfId="555"/>
    <cellStyle name="Normal 58 2" xfId="556"/>
    <cellStyle name="Normal 58 2 2" xfId="557"/>
    <cellStyle name="Normal 6" xfId="558"/>
    <cellStyle name="Normal 6 2" xfId="559"/>
    <cellStyle name="Normal 6 2 2" xfId="560"/>
    <cellStyle name="Normal 6 2 2 2" xfId="561"/>
    <cellStyle name="Normal 6 2 2 2 2" xfId="562"/>
    <cellStyle name="Normal 6 2 2 3" xfId="563"/>
    <cellStyle name="Normal 6 3" xfId="564"/>
    <cellStyle name="Normal 6 3 2" xfId="565"/>
    <cellStyle name="Normal 6 3 2 2" xfId="566"/>
    <cellStyle name="Normal 6 3 2 2 2" xfId="567"/>
    <cellStyle name="Normal 6 3 2 3" xfId="568"/>
    <cellStyle name="Normal 6 4" xfId="569"/>
    <cellStyle name="Normal 6 4 2" xfId="570"/>
    <cellStyle name="Normal 6 4 2 2" xfId="571"/>
    <cellStyle name="Normal 6 4 2 2 2" xfId="572"/>
    <cellStyle name="Normal 6 4 2 3" xfId="573"/>
    <cellStyle name="Normal 6 5" xfId="574"/>
    <cellStyle name="Normal 6 5 2" xfId="575"/>
    <cellStyle name="Normal 6 5 2 2" xfId="576"/>
    <cellStyle name="Normal 6 5 2 2 2" xfId="577"/>
    <cellStyle name="Normal 6 5 2 3" xfId="578"/>
    <cellStyle name="Normal 6 6" xfId="579"/>
    <cellStyle name="Normal 6 6 2" xfId="580"/>
    <cellStyle name="Normal 6 6 2 2" xfId="581"/>
    <cellStyle name="Normal 6 6 3" xfId="582"/>
    <cellStyle name="Normal 6 7" xfId="583"/>
    <cellStyle name="Normal 6 7 2" xfId="584"/>
    <cellStyle name="Normal 6 8" xfId="585"/>
    <cellStyle name="Normal 7" xfId="586"/>
    <cellStyle name="Normal 7 2" xfId="587"/>
    <cellStyle name="Normal 7 2 2" xfId="588"/>
    <cellStyle name="Normal 7 2 2 2" xfId="589"/>
    <cellStyle name="Normal 7 2 3" xfId="590"/>
    <cellStyle name="Normal 7 3" xfId="591"/>
    <cellStyle name="Normal 8" xfId="592"/>
    <cellStyle name="Normal 8 2" xfId="593"/>
    <cellStyle name="Normal 8 2 2" xfId="594"/>
    <cellStyle name="Normal 8 2 2 2" xfId="595"/>
    <cellStyle name="Normal 8 2 3" xfId="596"/>
    <cellStyle name="Normal 8 3" xfId="597"/>
    <cellStyle name="Normal 9" xfId="598"/>
    <cellStyle name="Normal 9 2" xfId="599"/>
    <cellStyle name="Normal 9 2 2" xfId="600"/>
    <cellStyle name="Normal 9 2 2 2" xfId="601"/>
    <cellStyle name="Normal 9 2 3" xfId="602"/>
    <cellStyle name="Percent 2" xfId="603"/>
    <cellStyle name="Percent 2 2" xfId="604"/>
    <cellStyle name="Percent 2 2 2" xfId="605"/>
    <cellStyle name="Percent 2 2 2 2" xfId="606"/>
    <cellStyle name="Percent 2 2 2 2 2" xfId="607"/>
    <cellStyle name="Percent 2 2 3" xfId="608"/>
    <cellStyle name="Percent 2 2 3 2" xfId="609"/>
    <cellStyle name="Percent 2 2 3 2 2" xfId="610"/>
    <cellStyle name="Percent 2 2 4" xfId="611"/>
    <cellStyle name="Percent 2 2 4 2" xfId="612"/>
    <cellStyle name="Percent 2 2 4 2 2" xfId="613"/>
    <cellStyle name="Percent 2 2 5" xfId="614"/>
    <cellStyle name="Percent 2 2 5 2" xfId="615"/>
    <cellStyle name="Percent 2 3" xfId="616"/>
    <cellStyle name="Percent 2 3 2" xfId="617"/>
    <cellStyle name="Percent 2 3 2 2" xfId="618"/>
    <cellStyle name="Percent 2 4" xfId="619"/>
    <cellStyle name="Percent 2 4 2" xfId="620"/>
    <cellStyle name="Percent 2 4 2 2" xfId="621"/>
    <cellStyle name="Percent 2 5" xfId="622"/>
    <cellStyle name="Percent 2 5 2" xfId="623"/>
    <cellStyle name="Percent 2 5 2 2" xfId="624"/>
    <cellStyle name="Percent 2 6" xfId="625"/>
    <cellStyle name="Percent 2 6 2" xfId="626"/>
    <cellStyle name="Percent 3" xfId="627"/>
    <cellStyle name="Percent 3 2" xfId="628"/>
    <cellStyle name="Percent 3 2 2" xfId="629"/>
    <cellStyle name="Percent 3 2 2 2" xfId="630"/>
    <cellStyle name="Percent 3 3" xfId="631"/>
    <cellStyle name="Percent 3 3 2" xfId="632"/>
    <cellStyle name="Percent 3 3 2 2" xfId="633"/>
    <cellStyle name="Percent 3 3 3" xfId="634"/>
    <cellStyle name="Percent 3 4" xfId="635"/>
    <cellStyle name="Percent 4" xfId="636"/>
    <cellStyle name="Percent 4 2" xfId="637"/>
    <cellStyle name="Percent 4 2 2" xfId="638"/>
    <cellStyle name="Percent 4 3" xfId="639"/>
    <cellStyle name="Percent 5" xfId="640"/>
    <cellStyle name="Percent 6" xfId="641"/>
    <cellStyle name="Percent 6 2" xfId="642"/>
    <cellStyle name="Percent 7" xfId="643"/>
    <cellStyle name="Percent 8" xfId="644"/>
    <cellStyle name="一般 2" xfId="645"/>
    <cellStyle name="一般 2 2" xfId="646"/>
    <cellStyle name="一般 2 2 2" xfId="647"/>
    <cellStyle name="一般 2 2 2 2" xfId="648"/>
    <cellStyle name="一般 2 2 2 2 2" xfId="649"/>
    <cellStyle name="一般 2 2 3" xfId="650"/>
    <cellStyle name="一般 2 2 3 2" xfId="651"/>
    <cellStyle name="一般 2 2 4" xfId="652"/>
    <cellStyle name="一般 2 3" xfId="653"/>
    <cellStyle name="一般 2 3 2" xfId="654"/>
    <cellStyle name="一般 2 3 2 2" xfId="655"/>
    <cellStyle name="一般 2 4" xfId="656"/>
    <cellStyle name="一般 2 4 2" xfId="657"/>
    <cellStyle name="一般 2 4 2 2" xfId="658"/>
    <cellStyle name="一般 2 5" xfId="659"/>
    <cellStyle name="一般 2 5 2" xfId="660"/>
    <cellStyle name="一般 2 5 2 2" xfId="661"/>
    <cellStyle name="一般 2 6" xfId="662"/>
    <cellStyle name="一般 2 6 2" xfId="663"/>
    <cellStyle name="一般 2 6 2 2" xfId="664"/>
    <cellStyle name="一般 2 7" xfId="665"/>
    <cellStyle name="一般 2 7 2" xfId="666"/>
    <cellStyle name="一般 2 7 2 2" xfId="667"/>
    <cellStyle name="一般 2 8" xfId="668"/>
    <cellStyle name="一般 2 8 2" xfId="669"/>
    <cellStyle name="一般 3" xfId="2"/>
    <cellStyle name="一般 3 10" xfId="670"/>
    <cellStyle name="一般 3 10 2" xfId="671"/>
    <cellStyle name="一般 3 10 3 3" xfId="672"/>
    <cellStyle name="一般 3 14" xfId="673"/>
    <cellStyle name="一般 3 14 2" xfId="3"/>
    <cellStyle name="一般 3 14 2 2" xfId="674"/>
    <cellStyle name="一般 3 14 2 2 2" xfId="675"/>
    <cellStyle name="一般 3 14 2 2 2 3" xfId="676"/>
    <cellStyle name="一般 3 14 2 3" xfId="677"/>
    <cellStyle name="一般 3 14 2 3 2" xfId="678"/>
    <cellStyle name="一般 3 2" xfId="679"/>
    <cellStyle name="一般 3 2 2" xfId="680"/>
    <cellStyle name="一般 3 2 2 2" xfId="681"/>
    <cellStyle name="一般 3 3" xfId="682"/>
    <cellStyle name="一般 3 3 2" xfId="683"/>
    <cellStyle name="一般 3 3 2 2" xfId="684"/>
    <cellStyle name="一般 3 4" xfId="685"/>
    <cellStyle name="一般 3 4 2" xfId="686"/>
    <cellStyle name="一般 3 4 2 2" xfId="687"/>
    <cellStyle name="一般 3 5" xfId="688"/>
    <cellStyle name="一般 3 5 2" xfId="689"/>
    <cellStyle name="一般 3 5 2 10" xfId="690"/>
    <cellStyle name="一般 3 5 2 2" xfId="691"/>
    <cellStyle name="一般 3 5 2 2 2" xfId="692"/>
    <cellStyle name="一般 3 5 3" xfId="693"/>
    <cellStyle name="一般 3 5 3 2" xfId="694"/>
    <cellStyle name="一般 3 6" xfId="695"/>
    <cellStyle name="一般 3 6 2" xfId="696"/>
    <cellStyle name="一般 3 6 2 2" xfId="697"/>
    <cellStyle name="一般 3 7" xfId="698"/>
    <cellStyle name="一般 3 7 2" xfId="699"/>
    <cellStyle name="一般 3 7 2 2" xfId="700"/>
    <cellStyle name="一般 3 8" xfId="701"/>
    <cellStyle name="一般 3 8 2" xfId="702"/>
    <cellStyle name="一般 3 8 2 2" xfId="703"/>
    <cellStyle name="一般 3 9" xfId="704"/>
    <cellStyle name="一般 3 9 2" xfId="705"/>
    <cellStyle name="一般 3 9 2 2" xfId="706"/>
    <cellStyle name="一般 4" xfId="707"/>
    <cellStyle name="一般 4 10" xfId="708"/>
    <cellStyle name="一般 4 2" xfId="709"/>
    <cellStyle name="一般 4 2 2" xfId="710"/>
    <cellStyle name="一般 4 2 2 2" xfId="711"/>
    <cellStyle name="一般 4 2 2 2 2" xfId="712"/>
    <cellStyle name="一般 4 2 2 2 2 2" xfId="713"/>
    <cellStyle name="一般 4 2 2 2 3" xfId="714"/>
    <cellStyle name="一般 4 2 2 3" xfId="715"/>
    <cellStyle name="一般 4 2 2 3 2" xfId="716"/>
    <cellStyle name="一般 4 2 2 4" xfId="717"/>
    <cellStyle name="一般 4 2 3" xfId="718"/>
    <cellStyle name="一般 4 2 3 2" xfId="719"/>
    <cellStyle name="一般 4 2 3 2 2" xfId="720"/>
    <cellStyle name="一般 4 2 3 3" xfId="721"/>
    <cellStyle name="一般 4 3" xfId="722"/>
    <cellStyle name="一般 4 3 2" xfId="723"/>
    <cellStyle name="一般 4 3 2 2" xfId="724"/>
    <cellStyle name="一般 4 3 2 2 2" xfId="725"/>
    <cellStyle name="一般 4 3 2 2 2 2" xfId="726"/>
    <cellStyle name="一般 4 3 2 2 2 2 2" xfId="727"/>
    <cellStyle name="一般 4 3 2 2 2 2 2 2" xfId="728"/>
    <cellStyle name="一般 4 3 2 2 3" xfId="729"/>
    <cellStyle name="一般 4 3 2 2 3 2" xfId="730"/>
    <cellStyle name="一般 4 3 2 2 4" xfId="731"/>
    <cellStyle name="一般 4 3 2 3" xfId="732"/>
    <cellStyle name="一般 4 4" xfId="733"/>
    <cellStyle name="一般 4 4 2" xfId="734"/>
    <cellStyle name="一般 4 4 2 2" xfId="735"/>
    <cellStyle name="一般 4 4 2 2 2" xfId="736"/>
    <cellStyle name="一般 4 4 2 3" xfId="737"/>
    <cellStyle name="一般 4 5" xfId="738"/>
    <cellStyle name="一般 4 5 2" xfId="739"/>
    <cellStyle name="一般 4 5 2 2" xfId="740"/>
    <cellStyle name="一般 4 5 2 2 2" xfId="741"/>
    <cellStyle name="一般 4 5 2 3" xfId="742"/>
    <cellStyle name="一般 4 6" xfId="743"/>
    <cellStyle name="一般 4 6 2" xfId="744"/>
    <cellStyle name="一般 4 6 2 2" xfId="745"/>
    <cellStyle name="一般 4 6 2 2 2" xfId="746"/>
    <cellStyle name="一般 4 6 2 3" xfId="747"/>
    <cellStyle name="一般 4 7" xfId="748"/>
    <cellStyle name="一般 4 7 2" xfId="749"/>
    <cellStyle name="一般 4 7 2 2" xfId="750"/>
    <cellStyle name="一般 4 7 2 2 2" xfId="751"/>
    <cellStyle name="一般 4 7 2 3" xfId="752"/>
    <cellStyle name="一般 4 8" xfId="753"/>
    <cellStyle name="一般 4 8 2" xfId="754"/>
    <cellStyle name="一般 4 8 2 2" xfId="755"/>
    <cellStyle name="一般 4 8 3" xfId="756"/>
    <cellStyle name="一般 4 9" xfId="757"/>
    <cellStyle name="一般 4 9 2" xfId="758"/>
    <cellStyle name="一般 5" xfId="759"/>
    <cellStyle name="一般 5 2" xfId="760"/>
    <cellStyle name="一般 5 2 2" xfId="761"/>
    <cellStyle name="一般 5 2 2 2" xfId="762"/>
    <cellStyle name="一般 5 2 2 2 2" xfId="763"/>
    <cellStyle name="一般 5 2 2 3" xfId="764"/>
    <cellStyle name="一般 5 3" xfId="765"/>
    <cellStyle name="一般 5 3 2" xfId="766"/>
    <cellStyle name="一般 5 3 2 2" xfId="767"/>
    <cellStyle name="一般 5 3 2 2 2" xfId="768"/>
    <cellStyle name="一般 5 3 2 3" xfId="769"/>
    <cellStyle name="一般 5 4" xfId="770"/>
    <cellStyle name="一般 5 4 2" xfId="771"/>
    <cellStyle name="一般 5 4 2 2" xfId="772"/>
    <cellStyle name="一般 5 4 2 2 2" xfId="773"/>
    <cellStyle name="一般 5 4 2 3" xfId="774"/>
    <cellStyle name="一般 5 5" xfId="775"/>
    <cellStyle name="一般 5 5 2" xfId="776"/>
    <cellStyle name="一般 5 5 2 2" xfId="777"/>
    <cellStyle name="一般 5 5 3" xfId="778"/>
    <cellStyle name="一般 5 6" xfId="779"/>
    <cellStyle name="一般 5 6 2" xfId="780"/>
    <cellStyle name="一般 5 7" xfId="781"/>
    <cellStyle name="一般 6" xfId="782"/>
    <cellStyle name="一般 6 2" xfId="783"/>
    <cellStyle name="一般 6 2 2" xfId="784"/>
    <cellStyle name="一般 6 2 2 2" xfId="785"/>
    <cellStyle name="一般 6 2 3" xfId="786"/>
    <cellStyle name="一般 7" xfId="787"/>
    <cellStyle name="一般 7 2" xfId="788"/>
    <cellStyle name="一般 7 2 2" xfId="789"/>
    <cellStyle name="一般 7 2 2 2" xfId="790"/>
    <cellStyle name="一般 7 2 3" xfId="791"/>
    <cellStyle name="一般 8" xfId="792"/>
    <cellStyle name="一般 8 2" xfId="793"/>
    <cellStyle name="一般 8 2 2" xfId="794"/>
    <cellStyle name="一般 8 2 2 2" xfId="795"/>
    <cellStyle name="一般 8 2 2 2 2" xfId="796"/>
    <cellStyle name="一般 8 2 2 3" xfId="797"/>
    <cellStyle name="一般 8 3" xfId="798"/>
    <cellStyle name="一般 8 3 2" xfId="799"/>
    <cellStyle name="一般 8 3 2 2" xfId="800"/>
    <cellStyle name="一般 8 3 2 2 2" xfId="801"/>
    <cellStyle name="一般 8 3 2 3" xfId="802"/>
    <cellStyle name="一般 8 4" xfId="803"/>
    <cellStyle name="一般 8 4 2" xfId="804"/>
    <cellStyle name="一般 8 4 2 2" xfId="805"/>
    <cellStyle name="一般 8 4 3" xfId="806"/>
    <cellStyle name="一般_2013接单明细" xfId="807"/>
    <cellStyle name="千位分隔 2" xfId="808"/>
    <cellStyle name="千位分隔 2 2" xfId="809"/>
    <cellStyle name="千位分隔 2 2 2" xfId="810"/>
    <cellStyle name="千位分隔 2 2 2 2" xfId="811"/>
    <cellStyle name="千位分隔 2 2 2 2 2" xfId="812"/>
    <cellStyle name="千位分隔 2 2 2 2 2 2" xfId="813"/>
    <cellStyle name="千位分隔 2 2 2 2 3" xfId="814"/>
    <cellStyle name="千位分隔 2 2 3" xfId="815"/>
    <cellStyle name="千位分隔 2 2 3 2" xfId="816"/>
    <cellStyle name="千位分隔 2 2 3 2 2" xfId="817"/>
    <cellStyle name="千位分隔 2 2 3 2 2 2" xfId="818"/>
    <cellStyle name="千位分隔 2 2 3 2 3" xfId="819"/>
    <cellStyle name="千位分隔 2 2 4" xfId="820"/>
    <cellStyle name="千位分隔 2 2 4 2" xfId="821"/>
    <cellStyle name="千位分隔 2 2 4 2 2" xfId="822"/>
    <cellStyle name="千位分隔 2 2 4 2 2 2" xfId="823"/>
    <cellStyle name="千位分隔 2 2 4 2 3" xfId="824"/>
    <cellStyle name="千位分隔 2 2 5" xfId="825"/>
    <cellStyle name="千位分隔 2 2 5 2" xfId="826"/>
    <cellStyle name="千位分隔 2 2 5 2 2" xfId="827"/>
    <cellStyle name="千位分隔 2 2 5 3" xfId="828"/>
    <cellStyle name="千位分隔 2 3" xfId="829"/>
    <cellStyle name="千位分隔 2 3 2" xfId="830"/>
    <cellStyle name="千位分隔 2 3 2 2" xfId="831"/>
    <cellStyle name="千位分隔 2 3 2 2 2" xfId="832"/>
    <cellStyle name="千位分隔 2 3 2 2 2 2" xfId="833"/>
    <cellStyle name="千位分隔 2 3 2 2 3" xfId="834"/>
    <cellStyle name="千位分隔 2 3 3" xfId="835"/>
    <cellStyle name="千位分隔 2 3 3 2" xfId="836"/>
    <cellStyle name="千位分隔 2 3 3 2 2" xfId="837"/>
    <cellStyle name="千位分隔 2 3 4" xfId="838"/>
    <cellStyle name="千位分隔 2 3 4 2" xfId="839"/>
    <cellStyle name="千位分隔 2 3 4 2 2" xfId="840"/>
    <cellStyle name="千位分隔 2 3 4 3" xfId="841"/>
    <cellStyle name="千位分隔 2 4" xfId="842"/>
    <cellStyle name="千位分隔 2 4 2" xfId="843"/>
    <cellStyle name="千位分隔 2 4 2 2" xfId="844"/>
    <cellStyle name="千位分隔 2 4 2 2 2" xfId="845"/>
    <cellStyle name="千位分隔 2 4 2 3" xfId="846"/>
    <cellStyle name="千位分隔 2 5" xfId="847"/>
    <cellStyle name="千位分隔 2 5 2" xfId="848"/>
    <cellStyle name="千位分隔 2 5 2 2" xfId="849"/>
    <cellStyle name="千位分隔 2 5 3" xfId="850"/>
    <cellStyle name="千位分隔 2 6" xfId="851"/>
    <cellStyle name="千位分隔 2 6 2" xfId="852"/>
    <cellStyle name="千位分隔 2 7" xfId="853"/>
    <cellStyle name="千分位 2" xfId="854"/>
    <cellStyle name="千分位 2 2" xfId="855"/>
    <cellStyle name="千分位 2 2 2" xfId="856"/>
    <cellStyle name="千分位 2 2 2 2" xfId="857"/>
    <cellStyle name="千分位 2 2 2 2 2" xfId="858"/>
    <cellStyle name="千分位 2 2 3" xfId="859"/>
    <cellStyle name="千分位 2 2 3 2" xfId="860"/>
    <cellStyle name="千分位 2 3" xfId="861"/>
    <cellStyle name="千分位 2 3 2" xfId="862"/>
    <cellStyle name="千分位 2 3 2 2" xfId="863"/>
    <cellStyle name="千分位 2 4" xfId="864"/>
    <cellStyle name="千分位 2 4 2" xfId="865"/>
    <cellStyle name="千分位 2 4 2 2" xfId="866"/>
    <cellStyle name="千分位 2 5" xfId="867"/>
    <cellStyle name="千分位 2 5 2" xfId="868"/>
    <cellStyle name="千分位 3" xfId="869"/>
    <cellStyle name="千分位 3 2" xfId="870"/>
    <cellStyle name="千分位 3 2 2" xfId="871"/>
    <cellStyle name="千分位 3 2 2 2" xfId="872"/>
    <cellStyle name="千分位 3 2 2 2 2" xfId="873"/>
    <cellStyle name="千分位 3 2 3" xfId="874"/>
    <cellStyle name="千分位 3 2 3 2" xfId="875"/>
    <cellStyle name="千分位 3 3" xfId="876"/>
    <cellStyle name="千分位 3 3 2" xfId="877"/>
    <cellStyle name="千分位 3 3 2 2" xfId="878"/>
    <cellStyle name="千分位 3 3 2 2 2" xfId="879"/>
    <cellStyle name="千分位 3 3 3" xfId="880"/>
    <cellStyle name="千分位 3 3 3 2" xfId="881"/>
    <cellStyle name="千分位 3 3 3 2 2" xfId="882"/>
    <cellStyle name="千分位 3 3 4" xfId="883"/>
    <cellStyle name="千分位 3 3 4 2" xfId="884"/>
    <cellStyle name="千分位 3 4" xfId="885"/>
    <cellStyle name="千分位 3 4 2" xfId="886"/>
    <cellStyle name="千分位 3 4 2 2" xfId="887"/>
    <cellStyle name="千分位 3 5" xfId="888"/>
    <cellStyle name="千分位 3 5 2" xfId="889"/>
    <cellStyle name="千分位 4" xfId="890"/>
    <cellStyle name="千分位 4 2" xfId="891"/>
    <cellStyle name="千分位 4 2 2" xfId="892"/>
    <cellStyle name="千分位 4 2 2 2" xfId="893"/>
    <cellStyle name="千分位 4 2 2 2 2" xfId="894"/>
    <cellStyle name="千分位 4 2 2 3" xfId="895"/>
    <cellStyle name="千分位 4 3" xfId="896"/>
    <cellStyle name="千分位 4 3 2" xfId="897"/>
    <cellStyle name="千分位 4 3 2 2" xfId="898"/>
    <cellStyle name="千分位 4 3 3" xfId="899"/>
    <cellStyle name="千分位 5" xfId="900"/>
    <cellStyle name="千分位 5 2" xfId="901"/>
    <cellStyle name="千分位 5 2 2" xfId="902"/>
    <cellStyle name="千分位 5 2 2 2" xfId="903"/>
    <cellStyle name="千分位 5 3" xfId="904"/>
    <cellStyle name="千分位 5 3 2" xfId="905"/>
    <cellStyle name="千分位 5 3 2 2" xfId="906"/>
    <cellStyle name="千分位 5 4" xfId="907"/>
    <cellStyle name="千分位 5 4 2" xfId="908"/>
    <cellStyle name="千分位 5 4 2 2" xfId="909"/>
    <cellStyle name="千分位 5 4 2 2 2" xfId="910"/>
    <cellStyle name="千分位 5 4 2 3" xfId="911"/>
    <cellStyle name="千分位 5 5" xfId="912"/>
    <cellStyle name="千分位 5 5 2" xfId="913"/>
    <cellStyle name="千分位 6" xfId="914"/>
    <cellStyle name="千分位 6 2" xfId="915"/>
    <cellStyle name="千分位 6 2 2" xfId="916"/>
    <cellStyle name="千分位 6 2 2 2" xfId="917"/>
    <cellStyle name="千分位 6 3" xfId="918"/>
    <cellStyle name="千分位 6 3 2" xfId="919"/>
    <cellStyle name="千分位 6 3 2 2" xfId="920"/>
    <cellStyle name="千分位 6 4" xfId="921"/>
    <cellStyle name="千分位 6 4 2" xfId="922"/>
    <cellStyle name="千分位 7" xfId="923"/>
    <cellStyle name="千分位 7 2" xfId="924"/>
    <cellStyle name="千分位 7 2 2" xfId="925"/>
    <cellStyle name="千分位[0] 2" xfId="926"/>
    <cellStyle name="千分位[0] 2 2" xfId="927"/>
    <cellStyle name="千分位[0] 2 2 2" xfId="928"/>
    <cellStyle name="千分位[0] 2 2 2 2" xfId="929"/>
    <cellStyle name="千分位[0] 2 2 2 2 2" xfId="930"/>
    <cellStyle name="千分位[0] 2 2 3" xfId="931"/>
    <cellStyle name="千分位[0] 2 2 3 2" xfId="932"/>
    <cellStyle name="千分位[0] 2 2 3 2 2" xfId="933"/>
    <cellStyle name="千分位[0] 2 2 4" xfId="934"/>
    <cellStyle name="千分位[0] 2 2 4 2" xfId="935"/>
    <cellStyle name="千分位[0] 2 2 5" xfId="936"/>
    <cellStyle name="千分位[0] 2 3" xfId="937"/>
    <cellStyle name="千分位[0] 2 3 2" xfId="938"/>
    <cellStyle name="千分位[0] 2 3 2 2" xfId="939"/>
    <cellStyle name="千分位[0] 2 3 2 2 2" xfId="940"/>
    <cellStyle name="千分位[0] 2 3 3" xfId="941"/>
    <cellStyle name="千分位[0] 2 3 3 2" xfId="942"/>
    <cellStyle name="千分位[0] 2 3 4" xfId="943"/>
    <cellStyle name="千分位[0] 2 4" xfId="944"/>
    <cellStyle name="千分位[0] 2 4 2" xfId="945"/>
    <cellStyle name="千分位[0] 2 4 2 2" xfId="946"/>
    <cellStyle name="千分位[0] 2 4 2 2 2" xfId="947"/>
    <cellStyle name="千分位[0] 2 4 3" xfId="948"/>
    <cellStyle name="千分位[0] 2 4 3 2" xfId="949"/>
    <cellStyle name="千分位[0] 2 4 4" xfId="950"/>
    <cellStyle name="千分位[0] 2 5" xfId="951"/>
    <cellStyle name="千分位[0] 2 5 2" xfId="952"/>
    <cellStyle name="千分位[0] 2 5 2 2" xfId="953"/>
    <cellStyle name="千分位[0] 2 6" xfId="954"/>
    <cellStyle name="千分位[0] 2 6 2" xfId="955"/>
    <cellStyle name="千分位[0] 3" xfId="956"/>
    <cellStyle name="千分位[0] 3 2" xfId="957"/>
    <cellStyle name="千分位[0] 3 2 2" xfId="958"/>
    <cellStyle name="常规 10" xfId="959"/>
    <cellStyle name="常规 10 2" xfId="960"/>
    <cellStyle name="常规 10 2 2" xfId="961"/>
    <cellStyle name="常规 10 2 2 2" xfId="962"/>
    <cellStyle name="常规 10 2 3" xfId="963"/>
    <cellStyle name="常规 10 3" xfId="964"/>
    <cellStyle name="常规 10 3 2" xfId="965"/>
    <cellStyle name="常规 10 4" xfId="966"/>
    <cellStyle name="常规 11" xfId="967"/>
    <cellStyle name="常规 11 2" xfId="968"/>
    <cellStyle name="常规 11 2 2" xfId="969"/>
    <cellStyle name="常规 11 2 2 2" xfId="970"/>
    <cellStyle name="常规 11 2 3" xfId="971"/>
    <cellStyle name="常规 11 3" xfId="972"/>
    <cellStyle name="常规 11 3 2" xfId="973"/>
    <cellStyle name="常规 11 4" xfId="974"/>
    <cellStyle name="常规 12" xfId="975"/>
    <cellStyle name="常规 12 2" xfId="976"/>
    <cellStyle name="常规 12 2 2" xfId="977"/>
    <cellStyle name="常规 12 2 2 2" xfId="978"/>
    <cellStyle name="常规 12 2 3" xfId="979"/>
    <cellStyle name="常规 12 3" xfId="980"/>
    <cellStyle name="常规 12 3 2" xfId="981"/>
    <cellStyle name="常规 12 4" xfId="982"/>
    <cellStyle name="常规 13" xfId="983"/>
    <cellStyle name="常规 13 2" xfId="984"/>
    <cellStyle name="常规 13 2 2" xfId="985"/>
    <cellStyle name="常规 13 2 2 2" xfId="986"/>
    <cellStyle name="常规 13 2 3" xfId="987"/>
    <cellStyle name="常规 13 3" xfId="988"/>
    <cellStyle name="常规 13 3 2" xfId="989"/>
    <cellStyle name="常规 13 4" xfId="990"/>
    <cellStyle name="常规 14" xfId="991"/>
    <cellStyle name="常规 14 2" xfId="992"/>
    <cellStyle name="常规 14 2 2" xfId="993"/>
    <cellStyle name="常规 14 2 3" xfId="994"/>
    <cellStyle name="常规 14 2 3 2" xfId="995"/>
    <cellStyle name="常规 14 2 3 2 2" xfId="996"/>
    <cellStyle name="常规 14 2 3 2 2 2" xfId="997"/>
    <cellStyle name="常规 14 2 3 2 2 2 2" xfId="998"/>
    <cellStyle name="常规 14 2 3 2 3" xfId="999"/>
    <cellStyle name="常规 14 2 3 2 3 2" xfId="1000"/>
    <cellStyle name="常规 14 2 3 3" xfId="1001"/>
    <cellStyle name="常规 14 2 3 3 2" xfId="1002"/>
    <cellStyle name="常规 14 2 4" xfId="1003"/>
    <cellStyle name="常规 14 2 4 2" xfId="1004"/>
    <cellStyle name="常规 15" xfId="1005"/>
    <cellStyle name="常规 15 2" xfId="1006"/>
    <cellStyle name="常规 15 2 2" xfId="1007"/>
    <cellStyle name="常规 15 2 3" xfId="1008"/>
    <cellStyle name="常规 15 2 3 2" xfId="1009"/>
    <cellStyle name="常规 15 2 3 2 2" xfId="1010"/>
    <cellStyle name="常规 15 2 3 2 2 2" xfId="1011"/>
    <cellStyle name="常规 15 2 3 2 2 2 2" xfId="1012"/>
    <cellStyle name="常规 15 2 3 2 3" xfId="1013"/>
    <cellStyle name="常规 15 2 3 2 3 2" xfId="1014"/>
    <cellStyle name="常规 15 2 3 3" xfId="1015"/>
    <cellStyle name="常规 15 2 3 3 2" xfId="1016"/>
    <cellStyle name="常规 15 2 4" xfId="1017"/>
    <cellStyle name="常规 15 2 4 2" xfId="1018"/>
    <cellStyle name="常规 16" xfId="1019"/>
    <cellStyle name="常规 16 2" xfId="1020"/>
    <cellStyle name="常规 16 2 2" xfId="1021"/>
    <cellStyle name="常规 16 2 3" xfId="1022"/>
    <cellStyle name="常规 16 2 3 2" xfId="1023"/>
    <cellStyle name="常规 16 2 3 2 2" xfId="1024"/>
    <cellStyle name="常规 16 2 3 2 2 2" xfId="1025"/>
    <cellStyle name="常规 16 2 3 2 2 2 2" xfId="1026"/>
    <cellStyle name="常规 16 2 3 2 3" xfId="1027"/>
    <cellStyle name="常规 16 2 3 2 3 2" xfId="1028"/>
    <cellStyle name="常规 16 2 3 3" xfId="1029"/>
    <cellStyle name="常规 16 2 3 3 2" xfId="1030"/>
    <cellStyle name="常规 16 2 4" xfId="1031"/>
    <cellStyle name="常规 16 2 4 2" xfId="1032"/>
    <cellStyle name="常规 17" xfId="1033"/>
    <cellStyle name="常规 17 2" xfId="1034"/>
    <cellStyle name="常规 17 2 2" xfId="1035"/>
    <cellStyle name="常规 17 2 3" xfId="1036"/>
    <cellStyle name="常规 17 2 3 2" xfId="1037"/>
    <cellStyle name="常规 17 2 3 2 2" xfId="1038"/>
    <cellStyle name="常规 17 2 3 2 2 2" xfId="1039"/>
    <cellStyle name="常规 17 2 3 2 2 2 2" xfId="1040"/>
    <cellStyle name="常规 17 2 3 2 3" xfId="1041"/>
    <cellStyle name="常规 17 2 3 2 3 2" xfId="1042"/>
    <cellStyle name="常规 17 2 3 3" xfId="1043"/>
    <cellStyle name="常规 17 2 3 3 2" xfId="1044"/>
    <cellStyle name="常规 17 2 4" xfId="1045"/>
    <cellStyle name="常规 17 2 4 2" xfId="1046"/>
    <cellStyle name="常规 2" xfId="4"/>
    <cellStyle name="常规 2 2" xfId="1047"/>
    <cellStyle name="常规 2 2 2" xfId="1048"/>
    <cellStyle name="常规 2 2 2 2" xfId="1049"/>
    <cellStyle name="常规 2 2 2 2 2" xfId="1050"/>
    <cellStyle name="常规 2 2 2 3" xfId="1051"/>
    <cellStyle name="常规 2 3" xfId="1052"/>
    <cellStyle name="常规 2 3 2" xfId="1053"/>
    <cellStyle name="常规 2 3 2 2" xfId="1054"/>
    <cellStyle name="常规 2 3 2 2 2" xfId="1055"/>
    <cellStyle name="常规 2 3 2 2 3" xfId="1056"/>
    <cellStyle name="常规 2 3 2 2 3 2" xfId="1057"/>
    <cellStyle name="常规 2 3 2 2 3 2 2" xfId="1058"/>
    <cellStyle name="常规 2 3 2 2 3 2 2 2" xfId="1059"/>
    <cellStyle name="常规 2 3 2 2 3 2 2 2 2" xfId="1060"/>
    <cellStyle name="常规 2 3 2 2 3 2 3" xfId="1061"/>
    <cellStyle name="常规 2 3 2 2 3 2 3 2" xfId="1062"/>
    <cellStyle name="常规 2 3 2 2 3 3" xfId="1063"/>
    <cellStyle name="常规 2 3 2 2 3 3 2" xfId="1064"/>
    <cellStyle name="常规 2 3 2 2 4" xfId="1065"/>
    <cellStyle name="常规 2 3 2 2 4 2" xfId="1066"/>
    <cellStyle name="常规 2 3 2 3" xfId="1067"/>
    <cellStyle name="常规 2 3 2 4" xfId="1068"/>
    <cellStyle name="常规 2 3 2 4 2" xfId="1069"/>
    <cellStyle name="常规 2 3 2 5" xfId="1070"/>
    <cellStyle name="常规 2 3 3" xfId="1071"/>
    <cellStyle name="常规 2 4" xfId="1072"/>
    <cellStyle name="常规 2 4 2" xfId="1073"/>
    <cellStyle name="常规 2 4 2 2" xfId="1074"/>
    <cellStyle name="常规 2 4 2 2 2" xfId="1075"/>
    <cellStyle name="常规 2 4 2 3" xfId="1076"/>
    <cellStyle name="常规 2 5" xfId="1077"/>
    <cellStyle name="常规 2 5 2" xfId="1078"/>
    <cellStyle name="常规 2 5 2 2" xfId="1079"/>
    <cellStyle name="常规 2 5 3" xfId="1080"/>
    <cellStyle name="常规 2 6" xfId="1081"/>
    <cellStyle name="常规 2 6 2" xfId="1082"/>
    <cellStyle name="常规 2 7" xfId="1083"/>
    <cellStyle name="常规 2 8" xfId="1084"/>
    <cellStyle name="常规 3" xfId="1085"/>
    <cellStyle name="常规 3 2" xfId="1086"/>
    <cellStyle name="常规 3 2 2" xfId="1087"/>
    <cellStyle name="常规 3 2 2 2" xfId="1088"/>
    <cellStyle name="常规 3 2 2 2 2" xfId="1089"/>
    <cellStyle name="常规 3 2 2 3" xfId="1090"/>
    <cellStyle name="常规 3 2 3" xfId="1091"/>
    <cellStyle name="常规 3 2 3 2" xfId="1092"/>
    <cellStyle name="常规 3 2 4" xfId="1093"/>
    <cellStyle name="常规 3 3" xfId="1094"/>
    <cellStyle name="常规 3 3 2" xfId="1095"/>
    <cellStyle name="常规 3 3 2 2" xfId="1096"/>
    <cellStyle name="常规 3 3 2 2 2" xfId="1097"/>
    <cellStyle name="常规 3 3 2 3" xfId="1098"/>
    <cellStyle name="常规 3 3 3" xfId="1099"/>
    <cellStyle name="常规 3 3 3 2" xfId="1100"/>
    <cellStyle name="常规 3 3 4" xfId="1101"/>
    <cellStyle name="常规 3 4" xfId="1102"/>
    <cellStyle name="常规 3 4 2" xfId="1103"/>
    <cellStyle name="常规 3 4 2 2" xfId="1104"/>
    <cellStyle name="常规 3 4 2 2 2" xfId="1105"/>
    <cellStyle name="常规 3 4 2 3" xfId="1106"/>
    <cellStyle name="常规 3 4 3" xfId="1107"/>
    <cellStyle name="常规 3 4 3 2" xfId="1108"/>
    <cellStyle name="常规 3 4 4" xfId="1109"/>
    <cellStyle name="常规 3 5" xfId="1110"/>
    <cellStyle name="常规 3 5 2" xfId="1111"/>
    <cellStyle name="常规 3 5 2 2" xfId="1112"/>
    <cellStyle name="常规 3 5 2 2 2" xfId="1113"/>
    <cellStyle name="常规 3 5 2 3" xfId="1114"/>
    <cellStyle name="常规 3 5 3" xfId="1115"/>
    <cellStyle name="常规 3 5 3 2" xfId="1116"/>
    <cellStyle name="常规 3 5 4" xfId="1117"/>
    <cellStyle name="常规 3 6" xfId="1118"/>
    <cellStyle name="常规 3 6 2" xfId="1119"/>
    <cellStyle name="常规 3 6 2 2" xfId="1120"/>
    <cellStyle name="常规 3 6 2 2 2" xfId="1121"/>
    <cellStyle name="常规 3 6 2 3" xfId="1122"/>
    <cellStyle name="常规 3 6 3" xfId="1123"/>
    <cellStyle name="常规 3 6 3 2" xfId="1124"/>
    <cellStyle name="常规 3 6 4" xfId="1125"/>
    <cellStyle name="常规 3 7" xfId="1126"/>
    <cellStyle name="常规 3 7 2" xfId="1127"/>
    <cellStyle name="常规 3 7 3" xfId="1128"/>
    <cellStyle name="常规 3 7 3 2" xfId="1129"/>
    <cellStyle name="常规 3 7 3 2 2" xfId="1130"/>
    <cellStyle name="常规 3 7 3 2 2 2" xfId="1131"/>
    <cellStyle name="常规 3 7 3 2 2 2 2" xfId="1132"/>
    <cellStyle name="常规 3 7 3 2 3" xfId="1133"/>
    <cellStyle name="常规 3 7 3 2 3 2" xfId="1134"/>
    <cellStyle name="常规 3 7 3 3" xfId="1135"/>
    <cellStyle name="常规 3 7 3 3 2" xfId="1136"/>
    <cellStyle name="常规 3 7 4" xfId="1137"/>
    <cellStyle name="常规 3 7 4 2" xfId="1138"/>
    <cellStyle name="常规 4" xfId="1139"/>
    <cellStyle name="常规 4 2" xfId="1140"/>
    <cellStyle name="常规 4 2 2" xfId="1141"/>
    <cellStyle name="常规 4 2 2 2" xfId="1142"/>
    <cellStyle name="常规 4 2 3" xfId="1143"/>
    <cellStyle name="常规 4 3" xfId="1144"/>
    <cellStyle name="常规 4 3 2" xfId="1145"/>
    <cellStyle name="常规 4 4" xfId="1146"/>
    <cellStyle name="常规 5" xfId="1147"/>
    <cellStyle name="常规 5 2" xfId="1148"/>
    <cellStyle name="常规 5 2 2" xfId="1149"/>
    <cellStyle name="常规 5 2 2 2" xfId="1150"/>
    <cellStyle name="常规 5 2 3" xfId="1151"/>
    <cellStyle name="常规 5 3" xfId="1152"/>
    <cellStyle name="常规 5 3 2" xfId="1153"/>
    <cellStyle name="常规 5 4" xfId="1154"/>
    <cellStyle name="常规 6" xfId="1155"/>
    <cellStyle name="常规 6 2" xfId="1156"/>
    <cellStyle name="常规 6 2 2" xfId="1157"/>
    <cellStyle name="常规 6 2 2 2" xfId="1158"/>
    <cellStyle name="常规 6 2 3" xfId="1159"/>
    <cellStyle name="常规 6 3" xfId="1160"/>
    <cellStyle name="常规 6 3 2" xfId="1161"/>
    <cellStyle name="常规 6 4" xfId="1162"/>
    <cellStyle name="常规 7" xfId="1163"/>
    <cellStyle name="常规 7 2" xfId="1164"/>
    <cellStyle name="常规 7 2 2" xfId="1165"/>
    <cellStyle name="常规 7 2 2 2" xfId="1166"/>
    <cellStyle name="常规 7 2 3" xfId="1167"/>
    <cellStyle name="常规 7 3" xfId="1168"/>
    <cellStyle name="常规 7 3 2" xfId="1169"/>
    <cellStyle name="常规 7 4" xfId="1170"/>
    <cellStyle name="常规 8" xfId="1171"/>
    <cellStyle name="常规 8 2" xfId="1172"/>
    <cellStyle name="常规 8 2 2" xfId="1173"/>
    <cellStyle name="常规 8 2 2 2" xfId="1174"/>
    <cellStyle name="常规 8 2 3" xfId="1175"/>
    <cellStyle name="常规 8 3" xfId="1176"/>
    <cellStyle name="常规 8 3 2" xfId="1177"/>
    <cellStyle name="常规 8 4" xfId="1178"/>
    <cellStyle name="常规 9" xfId="1179"/>
    <cellStyle name="常规 9 2" xfId="1180"/>
    <cellStyle name="常规 9 2 2" xfId="1181"/>
    <cellStyle name="常规 9 2 2 2" xfId="1182"/>
    <cellStyle name="常规 9 2 3" xfId="1183"/>
    <cellStyle name="常规 9 3" xfId="1184"/>
    <cellStyle name="常规 9 3 2" xfId="1185"/>
    <cellStyle name="常规 9 4" xfId="1186"/>
    <cellStyle name="百分比 2" xfId="1187"/>
    <cellStyle name="百分比 2 2" xfId="1188"/>
    <cellStyle name="百分比 2 2 2" xfId="1189"/>
    <cellStyle name="百分比 3" xfId="1190"/>
    <cellStyle name="百分比 3 2" xfId="1191"/>
    <cellStyle name="百分比 3 2 2" xfId="1192"/>
    <cellStyle name="貨幣 [0] 2" xfId="1193"/>
    <cellStyle name="貨幣 [0] 2 2" xfId="1194"/>
    <cellStyle name="貨幣 [0] 2 2 2" xfId="1195"/>
  </cellStyles>
  <dxfs count="302"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HARIAN/2024/&#20462;&#25913;&#21518;&#30005;&#32447;&#37096;&#29983;&#20135;&#26085;&#25253;&#34920;%202024.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HARIAN/2024/&#20462;&#25913;&#21518;&#30005;&#32447;&#37096;&#29983;&#20135;&#26085;&#25253;&#34920;%202024.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人员出勤表ABSEN"/>
      <sheetName val="伸线wire drawing"/>
      <sheetName val="退火anil "/>
      <sheetName val="絞線Twisting wire"/>
      <sheetName val="编织 缠绕 Winding, Braiding,"/>
      <sheetName val="總絞Twisting core"/>
      <sheetName val=" 押出ekstrusi"/>
      <sheetName val="伸线工时wire drawing"/>
      <sheetName val="退火 镀锡 烤漆工时anil celup cat"/>
      <sheetName val="绞线工时Twisting wire"/>
      <sheetName val="缠绕 编织工时Winding, Braiding,"/>
      <sheetName val="对绞 总绞工时Twisting core"/>
      <sheetName val="押出工时ekstru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0">
          <cell r="G10">
            <v>447.12</v>
          </cell>
        </row>
        <row r="11">
          <cell r="G11">
            <v>541.08000000000004</v>
          </cell>
        </row>
        <row r="12">
          <cell r="G12">
            <v>651.24</v>
          </cell>
        </row>
        <row r="13">
          <cell r="G13">
            <v>780.84</v>
          </cell>
        </row>
        <row r="26">
          <cell r="G26">
            <v>156.06</v>
          </cell>
        </row>
        <row r="27">
          <cell r="G27">
            <v>188.19</v>
          </cell>
        </row>
      </sheetData>
      <sheetData sheetId="11">
        <row r="30">
          <cell r="G30">
            <v>803.25</v>
          </cell>
        </row>
        <row r="31">
          <cell r="G31">
            <v>1147.5</v>
          </cell>
        </row>
        <row r="32">
          <cell r="G32">
            <v>1377</v>
          </cell>
        </row>
      </sheetData>
      <sheetData sheetId="12">
        <row r="5">
          <cell r="I5">
            <v>10851.063829787199</v>
          </cell>
        </row>
        <row r="6">
          <cell r="I6">
            <v>9967.4267100977195</v>
          </cell>
        </row>
        <row r="7">
          <cell r="I7">
            <v>8668.5552407931991</v>
          </cell>
        </row>
        <row r="8">
          <cell r="I8">
            <v>7806.1224489795904</v>
          </cell>
        </row>
        <row r="9">
          <cell r="I9">
            <v>6496.8152866241999</v>
          </cell>
        </row>
        <row r="11">
          <cell r="I11">
            <v>4334.2776203965996</v>
          </cell>
        </row>
        <row r="19">
          <cell r="I19">
            <v>3469.38775510204</v>
          </cell>
        </row>
        <row r="20">
          <cell r="I20">
            <v>2167.1388101982998</v>
          </cell>
        </row>
        <row r="27">
          <cell r="I27">
            <v>2602.0408163265301</v>
          </cell>
        </row>
        <row r="28">
          <cell r="I28">
            <v>2167.1388101982998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8"/>
  <sheetViews>
    <sheetView showGridLines="0" zoomScaleNormal="100" workbookViewId="0">
      <pane ySplit="2" topLeftCell="A3" activePane="bottomLeft" state="frozen"/>
      <selection activeCell="N109" activeCellId="1" sqref="AA92 N109"/>
      <selection pane="bottomLeft" activeCell="N109" activeCellId="1" sqref="AA92 N109"/>
    </sheetView>
  </sheetViews>
  <sheetFormatPr defaultColWidth="9.140625" defaultRowHeight="15"/>
  <cols>
    <col min="1" max="1" width="13.7109375" style="2" customWidth="1"/>
    <col min="2" max="2" width="18.140625" style="2" customWidth="1"/>
    <col min="3" max="5" width="12" style="3" customWidth="1"/>
    <col min="6" max="6" width="11.5703125" style="3" customWidth="1"/>
    <col min="7" max="7" width="29.7109375" style="2" customWidth="1"/>
    <col min="8" max="8" width="62.85546875" style="2" customWidth="1"/>
    <col min="9" max="11" width="7.7109375" style="2" customWidth="1"/>
    <col min="12" max="12" width="7.7109375" style="95" customWidth="1"/>
    <col min="13" max="15" width="7.7109375" style="2" customWidth="1"/>
    <col min="16" max="19" width="7.7109375" style="95" customWidth="1"/>
    <col min="20" max="21" width="7.7109375" style="2" customWidth="1"/>
    <col min="22" max="22" width="7.7109375" style="95" customWidth="1"/>
    <col min="23" max="25" width="7.7109375" style="2" customWidth="1"/>
    <col min="26" max="26" width="7.7109375" style="95" customWidth="1"/>
    <col min="27" max="32" width="7.7109375" style="2" customWidth="1"/>
    <col min="33" max="33" width="7.7109375" style="95" customWidth="1"/>
    <col min="34" max="37" width="7.7109375" style="2" customWidth="1"/>
    <col min="38" max="39" width="11.7109375" style="3" customWidth="1"/>
    <col min="40" max="40" width="13.42578125" style="3" customWidth="1"/>
    <col min="41" max="48" width="11.7109375" style="3" customWidth="1"/>
    <col min="49" max="16384" width="9.140625" style="2"/>
  </cols>
  <sheetData>
    <row r="1" spans="1:50" ht="41.45" customHeight="1">
      <c r="A1" s="1" t="s">
        <v>0</v>
      </c>
      <c r="J1" s="4"/>
      <c r="K1" s="4"/>
      <c r="L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spans="1:50" s="14" customFormat="1" ht="41.45" customHeight="1" thickBot="1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9" t="s">
        <v>6</v>
      </c>
      <c r="G2" s="5" t="s">
        <v>7</v>
      </c>
      <c r="H2" s="10" t="s">
        <v>8</v>
      </c>
      <c r="I2" s="5">
        <v>1</v>
      </c>
      <c r="J2" s="5">
        <v>2</v>
      </c>
      <c r="K2" s="5">
        <v>3</v>
      </c>
      <c r="L2" s="11">
        <v>4</v>
      </c>
      <c r="M2" s="5">
        <v>5</v>
      </c>
      <c r="N2" s="5">
        <v>6</v>
      </c>
      <c r="O2" s="5">
        <v>7</v>
      </c>
      <c r="P2" s="11">
        <v>8</v>
      </c>
      <c r="Q2" s="11">
        <v>9</v>
      </c>
      <c r="R2" s="11">
        <v>10</v>
      </c>
      <c r="S2" s="11">
        <v>11</v>
      </c>
      <c r="T2" s="5">
        <v>12</v>
      </c>
      <c r="U2" s="5">
        <v>13</v>
      </c>
      <c r="V2" s="11">
        <v>14</v>
      </c>
      <c r="W2" s="5">
        <v>15</v>
      </c>
      <c r="X2" s="5">
        <v>16</v>
      </c>
      <c r="Y2" s="5">
        <v>17</v>
      </c>
      <c r="Z2" s="11">
        <v>18</v>
      </c>
      <c r="AA2" s="5">
        <v>19</v>
      </c>
      <c r="AB2" s="5">
        <v>20</v>
      </c>
      <c r="AC2" s="5">
        <v>21</v>
      </c>
      <c r="AD2" s="5">
        <v>22</v>
      </c>
      <c r="AE2" s="5">
        <v>23</v>
      </c>
      <c r="AF2" s="5">
        <v>24</v>
      </c>
      <c r="AG2" s="11">
        <v>25</v>
      </c>
      <c r="AH2" s="5">
        <v>26</v>
      </c>
      <c r="AI2" s="5">
        <v>27</v>
      </c>
      <c r="AJ2" s="5">
        <v>28</v>
      </c>
      <c r="AK2" s="5">
        <v>29</v>
      </c>
      <c r="AL2" s="5" t="s">
        <v>9</v>
      </c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3"/>
      <c r="AX2" s="13"/>
    </row>
    <row r="3" spans="1:50" ht="15" customHeight="1">
      <c r="A3" s="15"/>
      <c r="B3" s="545" t="s">
        <v>10</v>
      </c>
      <c r="C3" s="548">
        <v>8000</v>
      </c>
      <c r="D3" s="551">
        <v>1.59</v>
      </c>
      <c r="E3" s="554"/>
      <c r="F3" s="557" t="s">
        <v>11</v>
      </c>
      <c r="G3" s="16" t="s">
        <v>12</v>
      </c>
      <c r="H3" s="17" t="s">
        <v>13</v>
      </c>
      <c r="I3" s="18">
        <f>($M$26*$D$3/3)*4</f>
        <v>50880</v>
      </c>
      <c r="J3" s="18">
        <f>($M$26*$D$3/3)*4</f>
        <v>50880</v>
      </c>
      <c r="K3" s="18">
        <f>($M$26*$D$3/3)*4</f>
        <v>50880</v>
      </c>
      <c r="L3" s="19"/>
      <c r="M3" s="18">
        <f>($M$26*$D$3/3)*4</f>
        <v>50880</v>
      </c>
      <c r="N3" s="18">
        <f>($M$26*$D$3/3)*4</f>
        <v>50880</v>
      </c>
      <c r="O3" s="18">
        <f>($M$26*$D$3/3)*4</f>
        <v>50880</v>
      </c>
      <c r="P3" s="19"/>
      <c r="Q3" s="19"/>
      <c r="R3" s="19"/>
      <c r="S3" s="19"/>
      <c r="T3" s="18">
        <f>($M$26*$D$3/3)*4</f>
        <v>50880</v>
      </c>
      <c r="U3" s="18">
        <f>($M$26*$D$3/3)*4</f>
        <v>50880</v>
      </c>
      <c r="V3" s="19"/>
      <c r="W3" s="18">
        <f>($M$26*$D$3/3)*4</f>
        <v>50880</v>
      </c>
      <c r="X3" s="18">
        <f>($M$26*$D$3/3)*4</f>
        <v>50880</v>
      </c>
      <c r="Y3" s="18">
        <f>($M$26*$D$3/3)*4</f>
        <v>50880</v>
      </c>
      <c r="Z3" s="19"/>
      <c r="AA3" s="18">
        <f t="shared" ref="AA3:AF3" si="0">($M$26*$D$3/3)*4</f>
        <v>50880</v>
      </c>
      <c r="AB3" s="18">
        <f t="shared" si="0"/>
        <v>50880</v>
      </c>
      <c r="AC3" s="18">
        <f t="shared" si="0"/>
        <v>50880</v>
      </c>
      <c r="AD3" s="18">
        <f t="shared" si="0"/>
        <v>50880</v>
      </c>
      <c r="AE3" s="18">
        <f t="shared" si="0"/>
        <v>50880</v>
      </c>
      <c r="AF3" s="18">
        <f t="shared" si="0"/>
        <v>50880</v>
      </c>
      <c r="AG3" s="19"/>
      <c r="AH3" s="18">
        <f>($M$26*$D$3/3)*4</f>
        <v>50880</v>
      </c>
      <c r="AI3" s="18">
        <f>($M$26*$D$3/3)*4</f>
        <v>50880</v>
      </c>
      <c r="AJ3" s="18"/>
      <c r="AK3" s="18">
        <f>($M$26*$D$3/3)*4</f>
        <v>50880</v>
      </c>
      <c r="AL3" s="20">
        <f>SUM(I3:AK3)</f>
        <v>1017600</v>
      </c>
      <c r="AM3" s="21"/>
      <c r="AN3" s="21"/>
      <c r="AO3" s="21"/>
      <c r="AP3" s="21"/>
      <c r="AQ3" s="21"/>
      <c r="AR3" s="21"/>
      <c r="AS3" s="525"/>
      <c r="AT3" s="22"/>
      <c r="AU3" s="22"/>
      <c r="AV3" s="525"/>
    </row>
    <row r="4" spans="1:50">
      <c r="A4" s="526" t="s">
        <v>14</v>
      </c>
      <c r="B4" s="546"/>
      <c r="C4" s="549"/>
      <c r="D4" s="552"/>
      <c r="E4" s="555"/>
      <c r="F4" s="558"/>
      <c r="G4" s="23"/>
      <c r="H4" s="24" t="s">
        <v>15</v>
      </c>
      <c r="I4" s="25">
        <v>2</v>
      </c>
      <c r="J4" s="25">
        <v>2</v>
      </c>
      <c r="K4" s="25">
        <v>2</v>
      </c>
      <c r="L4" s="26"/>
      <c r="M4" s="25">
        <v>3</v>
      </c>
      <c r="N4" s="25">
        <v>3</v>
      </c>
      <c r="O4" s="25">
        <v>3</v>
      </c>
      <c r="P4" s="26"/>
      <c r="Q4" s="26"/>
      <c r="R4" s="26"/>
      <c r="S4" s="26"/>
      <c r="T4" s="25">
        <v>3</v>
      </c>
      <c r="U4" s="25">
        <v>3</v>
      </c>
      <c r="V4" s="26"/>
      <c r="W4" s="25">
        <v>3</v>
      </c>
      <c r="X4" s="25">
        <v>3</v>
      </c>
      <c r="Y4" s="25">
        <v>3</v>
      </c>
      <c r="Z4" s="26"/>
      <c r="AA4" s="25">
        <v>3</v>
      </c>
      <c r="AB4" s="25">
        <v>3</v>
      </c>
      <c r="AC4" s="25">
        <v>3</v>
      </c>
      <c r="AD4" s="25">
        <v>3</v>
      </c>
      <c r="AE4" s="25">
        <v>3</v>
      </c>
      <c r="AF4" s="25">
        <v>3</v>
      </c>
      <c r="AG4" s="26"/>
      <c r="AH4" s="25">
        <v>3</v>
      </c>
      <c r="AI4" s="25">
        <v>3</v>
      </c>
      <c r="AJ4" s="25"/>
      <c r="AK4" s="27"/>
      <c r="AL4" s="28"/>
      <c r="AM4" s="21"/>
      <c r="AN4" s="21"/>
      <c r="AO4" s="21"/>
      <c r="AP4" s="21"/>
      <c r="AQ4" s="21"/>
      <c r="AR4" s="21"/>
      <c r="AS4" s="525"/>
      <c r="AT4" s="22"/>
      <c r="AU4" s="22"/>
      <c r="AV4" s="525"/>
    </row>
    <row r="5" spans="1:50">
      <c r="A5" s="526"/>
      <c r="B5" s="546"/>
      <c r="C5" s="549"/>
      <c r="D5" s="552"/>
      <c r="E5" s="555"/>
      <c r="F5" s="558"/>
      <c r="G5" s="29"/>
      <c r="H5" s="30" t="s">
        <v>16</v>
      </c>
      <c r="I5" s="31">
        <f>9674+6802+9575+9264</f>
        <v>35315</v>
      </c>
      <c r="J5" s="31">
        <f>8810+8935+9469+7767</f>
        <v>34981</v>
      </c>
      <c r="K5" s="31">
        <f>5480+5550+4121+6234+5498</f>
        <v>26883</v>
      </c>
      <c r="L5" s="26"/>
      <c r="M5" s="31">
        <f>8984+6391+8970+6862</f>
        <v>31207</v>
      </c>
      <c r="N5" s="31">
        <f>10854+9741+9346+9269</f>
        <v>39210</v>
      </c>
      <c r="O5" s="31">
        <f>8918+3748+9346+9269</f>
        <v>31281</v>
      </c>
      <c r="P5" s="26"/>
      <c r="Q5" s="26"/>
      <c r="R5" s="26"/>
      <c r="S5" s="26"/>
      <c r="T5" s="31">
        <f>8979+9437+8197+9515</f>
        <v>36128</v>
      </c>
      <c r="U5" s="31">
        <v>34638</v>
      </c>
      <c r="V5" s="26"/>
      <c r="W5" s="31">
        <f>9373+8709+8516+9500</f>
        <v>36098</v>
      </c>
      <c r="X5" s="31">
        <v>36002</v>
      </c>
      <c r="Y5" s="31">
        <v>31805</v>
      </c>
      <c r="Z5" s="26"/>
      <c r="AA5" s="31">
        <v>39344</v>
      </c>
      <c r="AB5" s="31">
        <v>53234</v>
      </c>
      <c r="AC5" s="31">
        <v>61229</v>
      </c>
      <c r="AD5" s="31">
        <v>55874</v>
      </c>
      <c r="AE5" s="31">
        <v>57633</v>
      </c>
      <c r="AF5" s="31">
        <v>35676</v>
      </c>
      <c r="AG5" s="26"/>
      <c r="AH5" s="31">
        <v>75368</v>
      </c>
      <c r="AI5" s="31">
        <v>40329</v>
      </c>
      <c r="AJ5" s="31"/>
      <c r="AK5" s="32">
        <v>53187</v>
      </c>
      <c r="AL5" s="33">
        <f>SUM(I5:AK5)</f>
        <v>845422</v>
      </c>
      <c r="AM5" s="21"/>
      <c r="AN5" s="21"/>
      <c r="AO5" s="21"/>
      <c r="AP5" s="21"/>
      <c r="AQ5" s="21"/>
      <c r="AR5" s="21"/>
      <c r="AS5" s="525"/>
      <c r="AT5" s="22"/>
      <c r="AU5" s="22"/>
      <c r="AV5" s="525"/>
    </row>
    <row r="6" spans="1:50">
      <c r="A6" s="526"/>
      <c r="B6" s="546"/>
      <c r="C6" s="549"/>
      <c r="D6" s="552"/>
      <c r="E6" s="555"/>
      <c r="F6" s="558"/>
      <c r="G6" s="29"/>
      <c r="H6" s="30" t="s">
        <v>17</v>
      </c>
      <c r="I6" s="31">
        <f>I5-I3</f>
        <v>-15565</v>
      </c>
      <c r="J6" s="31">
        <f>I6+(J5-J3)</f>
        <v>-31464</v>
      </c>
      <c r="K6" s="31">
        <f>J6+(K5-K3)</f>
        <v>-55461</v>
      </c>
      <c r="L6" s="26"/>
      <c r="M6" s="31">
        <f>K6+(M5-M3)</f>
        <v>-75134</v>
      </c>
      <c r="N6" s="31">
        <f>M6+(N5-N3)</f>
        <v>-86804</v>
      </c>
      <c r="O6" s="31">
        <f>N6+(O5-O3)</f>
        <v>-106403</v>
      </c>
      <c r="P6" s="26"/>
      <c r="Q6" s="26"/>
      <c r="R6" s="26"/>
      <c r="S6" s="26"/>
      <c r="T6" s="31">
        <f>O6+(T5-T3)</f>
        <v>-121155</v>
      </c>
      <c r="U6" s="31">
        <f>T6+(U5-U3)</f>
        <v>-137397</v>
      </c>
      <c r="V6" s="26"/>
      <c r="W6" s="31">
        <f>U6+(W5-W3)</f>
        <v>-152179</v>
      </c>
      <c r="X6" s="31">
        <f>W6+(X5-X3)</f>
        <v>-167057</v>
      </c>
      <c r="Y6" s="31">
        <f>X6+(Y5-Y3)</f>
        <v>-186132</v>
      </c>
      <c r="Z6" s="26"/>
      <c r="AA6" s="31">
        <f>Y6+(AA5-AA3)</f>
        <v>-197668</v>
      </c>
      <c r="AB6" s="31">
        <f>AA6+(AB5-AB3)</f>
        <v>-195314</v>
      </c>
      <c r="AC6" s="31">
        <f>AB6+(AC5-AC3)</f>
        <v>-184965</v>
      </c>
      <c r="AD6" s="31">
        <f>AC6+(AD5-AD3)</f>
        <v>-179971</v>
      </c>
      <c r="AE6" s="31">
        <f>AD6+(AE5-AE3)</f>
        <v>-173218</v>
      </c>
      <c r="AF6" s="31">
        <f>AE6+(AF5-AF3)</f>
        <v>-188422</v>
      </c>
      <c r="AG6" s="26"/>
      <c r="AH6" s="31">
        <f>AF6+(AH5-AH3)</f>
        <v>-163934</v>
      </c>
      <c r="AI6" s="31">
        <f>AH6+(AI5-AI3)</f>
        <v>-174485</v>
      </c>
      <c r="AJ6" s="31"/>
      <c r="AK6" s="31">
        <f>AI6+(AK5-AK3)</f>
        <v>-172178</v>
      </c>
      <c r="AL6" s="33"/>
      <c r="AM6" s="21"/>
      <c r="AN6" s="21"/>
      <c r="AO6" s="21"/>
      <c r="AP6" s="21"/>
      <c r="AQ6" s="21"/>
      <c r="AR6" s="21"/>
      <c r="AS6" s="525"/>
      <c r="AT6" s="22"/>
      <c r="AU6" s="22"/>
      <c r="AV6" s="525"/>
    </row>
    <row r="7" spans="1:50">
      <c r="A7" s="526"/>
      <c r="B7" s="546"/>
      <c r="C7" s="549"/>
      <c r="D7" s="552"/>
      <c r="E7" s="555"/>
      <c r="F7" s="558"/>
      <c r="G7" s="23" t="s">
        <v>18</v>
      </c>
      <c r="H7" s="24" t="s">
        <v>19</v>
      </c>
      <c r="I7" s="25">
        <f>$M$26*$D$3/3</f>
        <v>12720</v>
      </c>
      <c r="J7" s="25">
        <f>$M$26*$D$3/3</f>
        <v>12720</v>
      </c>
      <c r="K7" s="25">
        <f>$M$26*$D$3/3</f>
        <v>12720</v>
      </c>
      <c r="L7" s="34"/>
      <c r="M7" s="25">
        <f>$M$26*$D$3/3</f>
        <v>12720</v>
      </c>
      <c r="N7" s="25">
        <f>$M$26*$D$3/3</f>
        <v>12720</v>
      </c>
      <c r="O7" s="25">
        <f>$M$26*$D$3/3</f>
        <v>12720</v>
      </c>
      <c r="P7" s="34"/>
      <c r="Q7" s="34"/>
      <c r="R7" s="34"/>
      <c r="S7" s="34"/>
      <c r="T7" s="25">
        <f>$M$26*$D$3/3</f>
        <v>12720</v>
      </c>
      <c r="U7" s="25">
        <f>$M$26*$D$3/3</f>
        <v>12720</v>
      </c>
      <c r="V7" s="34"/>
      <c r="W7" s="25">
        <f>$M$26*$D$3/3</f>
        <v>12720</v>
      </c>
      <c r="X7" s="25">
        <f>$M$26*$D$3/3</f>
        <v>12720</v>
      </c>
      <c r="Y7" s="25">
        <f>$M$26*$D$3/3</f>
        <v>12720</v>
      </c>
      <c r="Z7" s="34"/>
      <c r="AA7" s="25">
        <f t="shared" ref="AA7:AF7" si="1">$M$26*$D$3/3</f>
        <v>12720</v>
      </c>
      <c r="AB7" s="25">
        <f t="shared" si="1"/>
        <v>12720</v>
      </c>
      <c r="AC7" s="25">
        <f t="shared" si="1"/>
        <v>12720</v>
      </c>
      <c r="AD7" s="25">
        <f t="shared" si="1"/>
        <v>12720</v>
      </c>
      <c r="AE7" s="25">
        <f t="shared" si="1"/>
        <v>12720</v>
      </c>
      <c r="AF7" s="25">
        <f t="shared" si="1"/>
        <v>12720</v>
      </c>
      <c r="AG7" s="34"/>
      <c r="AH7" s="25">
        <f>$M$26*$D$3/3</f>
        <v>12720</v>
      </c>
      <c r="AI7" s="25">
        <f>$M$26*$D$3/3</f>
        <v>12720</v>
      </c>
      <c r="AJ7" s="25">
        <f>$M$26*$D$3/3</f>
        <v>12720</v>
      </c>
      <c r="AK7" s="27">
        <f>$M$26*$D$3/3</f>
        <v>12720</v>
      </c>
      <c r="AL7" s="28">
        <f>SUM(I7:AK7)</f>
        <v>267120</v>
      </c>
      <c r="AM7" s="21"/>
      <c r="AN7" s="21"/>
      <c r="AO7" s="21"/>
      <c r="AP7" s="21"/>
      <c r="AQ7" s="21"/>
      <c r="AR7" s="21"/>
      <c r="AS7" s="525"/>
      <c r="AT7" s="22"/>
      <c r="AU7" s="22"/>
      <c r="AV7" s="525"/>
    </row>
    <row r="8" spans="1:50">
      <c r="A8" s="526"/>
      <c r="B8" s="546"/>
      <c r="C8" s="549"/>
      <c r="D8" s="552"/>
      <c r="E8" s="555"/>
      <c r="F8" s="558"/>
      <c r="G8" s="23"/>
      <c r="H8" s="24" t="s">
        <v>15</v>
      </c>
      <c r="I8" s="25">
        <v>2</v>
      </c>
      <c r="J8" s="25">
        <v>2</v>
      </c>
      <c r="K8" s="25">
        <v>2</v>
      </c>
      <c r="L8" s="34"/>
      <c r="M8" s="25">
        <v>2</v>
      </c>
      <c r="N8" s="25">
        <v>2</v>
      </c>
      <c r="O8" s="25">
        <v>2</v>
      </c>
      <c r="P8" s="34"/>
      <c r="Q8" s="34"/>
      <c r="R8" s="34"/>
      <c r="S8" s="34"/>
      <c r="T8" s="25">
        <v>2</v>
      </c>
      <c r="U8" s="25">
        <v>2</v>
      </c>
      <c r="V8" s="34"/>
      <c r="W8" s="25">
        <v>2</v>
      </c>
      <c r="X8" s="25">
        <v>2</v>
      </c>
      <c r="Y8" s="25">
        <v>2</v>
      </c>
      <c r="Z8" s="34"/>
      <c r="AA8" s="25">
        <v>2</v>
      </c>
      <c r="AB8" s="25">
        <v>2</v>
      </c>
      <c r="AC8" s="25">
        <v>2</v>
      </c>
      <c r="AD8" s="25">
        <v>2</v>
      </c>
      <c r="AE8" s="25">
        <v>2</v>
      </c>
      <c r="AF8" s="25">
        <v>2</v>
      </c>
      <c r="AG8" s="34"/>
      <c r="AH8" s="25">
        <v>2</v>
      </c>
      <c r="AI8" s="25">
        <v>2</v>
      </c>
      <c r="AJ8" s="25">
        <v>2</v>
      </c>
      <c r="AK8" s="27">
        <v>2</v>
      </c>
      <c r="AL8" s="28"/>
      <c r="AM8" s="21"/>
      <c r="AN8" s="21"/>
      <c r="AO8" s="21"/>
      <c r="AP8" s="21"/>
      <c r="AQ8" s="21"/>
      <c r="AR8" s="21"/>
      <c r="AS8" s="525"/>
      <c r="AT8" s="22"/>
      <c r="AU8" s="22"/>
      <c r="AV8" s="525"/>
    </row>
    <row r="9" spans="1:50">
      <c r="A9" s="526"/>
      <c r="B9" s="546"/>
      <c r="C9" s="549"/>
      <c r="D9" s="552"/>
      <c r="E9" s="555"/>
      <c r="F9" s="558"/>
      <c r="G9" s="29"/>
      <c r="H9" s="30" t="s">
        <v>16</v>
      </c>
      <c r="I9" s="35">
        <f>5951+6056</f>
        <v>12007</v>
      </c>
      <c r="J9" s="31">
        <f>6333+6085</f>
        <v>12418</v>
      </c>
      <c r="K9" s="31">
        <f>3759+3971+3269</f>
        <v>10999</v>
      </c>
      <c r="L9" s="34"/>
      <c r="M9" s="31">
        <f>6601+5996</f>
        <v>12597</v>
      </c>
      <c r="N9" s="31">
        <f>6742+6181</f>
        <v>12923</v>
      </c>
      <c r="O9" s="31">
        <f>6185+3951</f>
        <v>10136</v>
      </c>
      <c r="P9" s="34"/>
      <c r="Q9" s="34"/>
      <c r="R9" s="34"/>
      <c r="S9" s="34"/>
      <c r="T9" s="31">
        <f>4845+6409</f>
        <v>11254</v>
      </c>
      <c r="U9" s="31">
        <f>6654+6302</f>
        <v>12956</v>
      </c>
      <c r="V9" s="34"/>
      <c r="W9" s="31">
        <f>6311+6521</f>
        <v>12832</v>
      </c>
      <c r="X9" s="31">
        <f>5981+6083</f>
        <v>12064</v>
      </c>
      <c r="Y9" s="31">
        <f>6018+6138</f>
        <v>12156</v>
      </c>
      <c r="Z9" s="34"/>
      <c r="AA9" s="31">
        <f>6017+5803</f>
        <v>11820</v>
      </c>
      <c r="AB9" s="31">
        <f>6271+5650</f>
        <v>11921</v>
      </c>
      <c r="AC9" s="31">
        <f>6049+4751</f>
        <v>10800</v>
      </c>
      <c r="AD9" s="31">
        <f>5999+5621</f>
        <v>11620</v>
      </c>
      <c r="AE9" s="31">
        <f>5713+5477</f>
        <v>11190</v>
      </c>
      <c r="AF9" s="31">
        <f>3448+3223</f>
        <v>6671</v>
      </c>
      <c r="AG9" s="34"/>
      <c r="AH9" s="31">
        <f>5303+5932+5931</f>
        <v>17166</v>
      </c>
      <c r="AI9" s="31">
        <f>1769+4877+4803</f>
        <v>11449</v>
      </c>
      <c r="AJ9" s="31">
        <f>4476+4625+3667</f>
        <v>12768</v>
      </c>
      <c r="AK9" s="32">
        <f>4422+4470+4060</f>
        <v>12952</v>
      </c>
      <c r="AL9" s="33">
        <f>SUM(I9:AK9)</f>
        <v>250699</v>
      </c>
      <c r="AM9" s="21"/>
      <c r="AN9" s="21"/>
      <c r="AO9" s="21"/>
      <c r="AP9" s="21"/>
      <c r="AQ9" s="21"/>
      <c r="AR9" s="21"/>
      <c r="AS9" s="525"/>
      <c r="AT9" s="22"/>
      <c r="AU9" s="22"/>
      <c r="AV9" s="525"/>
    </row>
    <row r="10" spans="1:50">
      <c r="A10" s="526"/>
      <c r="B10" s="546"/>
      <c r="C10" s="549"/>
      <c r="D10" s="552"/>
      <c r="E10" s="555"/>
      <c r="F10" s="558"/>
      <c r="G10" s="29"/>
      <c r="H10" s="30" t="s">
        <v>17</v>
      </c>
      <c r="I10" s="31">
        <f>I9-I7</f>
        <v>-713</v>
      </c>
      <c r="J10" s="31">
        <f>I10+(J9-J7)</f>
        <v>-1015</v>
      </c>
      <c r="K10" s="31">
        <f>J10+(K9-K7)</f>
        <v>-2736</v>
      </c>
      <c r="L10" s="34"/>
      <c r="M10" s="31">
        <f>K10+(M9-M7)</f>
        <v>-2859</v>
      </c>
      <c r="N10" s="31">
        <f>M10+(N9-N7)</f>
        <v>-2656</v>
      </c>
      <c r="O10" s="31">
        <f>N10+(O9-O7)</f>
        <v>-5240</v>
      </c>
      <c r="P10" s="34"/>
      <c r="Q10" s="34"/>
      <c r="R10" s="34"/>
      <c r="S10" s="34"/>
      <c r="T10" s="31">
        <f>O10+(T9-T7)</f>
        <v>-6706</v>
      </c>
      <c r="U10" s="31">
        <f>T10+(U9-U7)</f>
        <v>-6470</v>
      </c>
      <c r="V10" s="34"/>
      <c r="W10" s="31">
        <f>U10+(W9-W7)</f>
        <v>-6358</v>
      </c>
      <c r="X10" s="31">
        <f>W10+(X9-X7)</f>
        <v>-7014</v>
      </c>
      <c r="Y10" s="31">
        <f>X10+(Y9-Y7)</f>
        <v>-7578</v>
      </c>
      <c r="Z10" s="34"/>
      <c r="AA10" s="31">
        <f>Y10+(AA9-AA7)</f>
        <v>-8478</v>
      </c>
      <c r="AB10" s="31">
        <f>AA10+(AB9-AB7)</f>
        <v>-9277</v>
      </c>
      <c r="AC10" s="31">
        <f>AB10+(AC9-AC7)</f>
        <v>-11197</v>
      </c>
      <c r="AD10" s="31">
        <f>AC10+(AD9-AD7)</f>
        <v>-12297</v>
      </c>
      <c r="AE10" s="31">
        <f>AD10+(AE9-AE7)</f>
        <v>-13827</v>
      </c>
      <c r="AF10" s="31">
        <f>AE10+(AF9-AF7)</f>
        <v>-19876</v>
      </c>
      <c r="AG10" s="34"/>
      <c r="AH10" s="31">
        <f>AF10+(AH9-AH7)</f>
        <v>-15430</v>
      </c>
      <c r="AI10" s="31">
        <f>AH10+(AI9-AI7)</f>
        <v>-16701</v>
      </c>
      <c r="AJ10" s="31">
        <f>AI10+(AJ9-AJ7)</f>
        <v>-16653</v>
      </c>
      <c r="AK10" s="31">
        <f>AJ10+(AK9-AK7)</f>
        <v>-16421</v>
      </c>
      <c r="AL10" s="33"/>
      <c r="AM10" s="21"/>
      <c r="AN10" s="21"/>
      <c r="AO10" s="21"/>
      <c r="AP10" s="21"/>
      <c r="AQ10" s="21"/>
      <c r="AR10" s="21"/>
      <c r="AS10" s="525"/>
      <c r="AT10" s="22"/>
      <c r="AU10" s="22"/>
      <c r="AV10" s="525"/>
    </row>
    <row r="11" spans="1:50">
      <c r="A11" s="526"/>
      <c r="B11" s="546"/>
      <c r="C11" s="549"/>
      <c r="D11" s="552"/>
      <c r="E11" s="555"/>
      <c r="F11" s="558"/>
      <c r="G11" s="23" t="s">
        <v>20</v>
      </c>
      <c r="H11" s="24" t="s">
        <v>21</v>
      </c>
      <c r="I11" s="25"/>
      <c r="J11" s="25">
        <f>(($M$26*$D$3/3)*2)*2</f>
        <v>50880</v>
      </c>
      <c r="K11" s="25"/>
      <c r="L11" s="34"/>
      <c r="M11" s="25"/>
      <c r="N11" s="25">
        <f>(($M$26*$D$3/3)*2)*3</f>
        <v>76320</v>
      </c>
      <c r="O11" s="25"/>
      <c r="P11" s="34"/>
      <c r="Q11" s="34"/>
      <c r="R11" s="34"/>
      <c r="S11" s="34"/>
      <c r="T11" s="25">
        <f>(($M$26*$D$3/3)*2)*2</f>
        <v>50880</v>
      </c>
      <c r="U11" s="25"/>
      <c r="V11" s="34"/>
      <c r="W11" s="25"/>
      <c r="X11" s="25"/>
      <c r="Y11" s="25">
        <f>(($M$26*$D$3/3)*2)*4</f>
        <v>101760</v>
      </c>
      <c r="Z11" s="34"/>
      <c r="AA11" s="25"/>
      <c r="AB11" s="25"/>
      <c r="AC11" s="25"/>
      <c r="AD11" s="25">
        <f>(($M$26*$D$3/3)*2)*4</f>
        <v>101760</v>
      </c>
      <c r="AE11" s="25">
        <f t="shared" ref="AE11:AF11" si="2">($M$26*$D$3/3)*2</f>
        <v>25440</v>
      </c>
      <c r="AF11" s="25">
        <f t="shared" si="2"/>
        <v>25440</v>
      </c>
      <c r="AG11" s="34"/>
      <c r="AH11" s="25">
        <f>($M$26*$D$3/3)*2</f>
        <v>25440</v>
      </c>
      <c r="AI11" s="25">
        <f>($M$26*$D$3/3)*2</f>
        <v>25440</v>
      </c>
      <c r="AJ11" s="25">
        <f>($M$26*$D$3/3)*2</f>
        <v>25440</v>
      </c>
      <c r="AK11" s="27">
        <f>($M$26*$D$3/3)*2</f>
        <v>25440</v>
      </c>
      <c r="AL11" s="28">
        <f>SUM(I11:AK11)</f>
        <v>534240</v>
      </c>
      <c r="AM11" s="36"/>
      <c r="AN11" s="37"/>
      <c r="AO11" s="37"/>
      <c r="AP11" s="22"/>
      <c r="AQ11" s="21"/>
      <c r="AR11" s="21"/>
      <c r="AS11" s="525"/>
      <c r="AT11" s="22"/>
      <c r="AU11" s="22"/>
      <c r="AV11" s="525"/>
    </row>
    <row r="12" spans="1:50">
      <c r="A12" s="526"/>
      <c r="B12" s="546"/>
      <c r="C12" s="549"/>
      <c r="D12" s="552"/>
      <c r="E12" s="555"/>
      <c r="F12" s="558"/>
      <c r="G12" s="29"/>
      <c r="H12" s="30" t="s">
        <v>16</v>
      </c>
      <c r="I12" s="29"/>
      <c r="J12" s="31">
        <v>39168</v>
      </c>
      <c r="K12" s="29"/>
      <c r="L12" s="34"/>
      <c r="M12" s="31"/>
      <c r="N12" s="38">
        <f>4675+35202</f>
        <v>39877</v>
      </c>
      <c r="O12" s="31"/>
      <c r="P12" s="34"/>
      <c r="Q12" s="34"/>
      <c r="R12" s="34"/>
      <c r="S12" s="34"/>
      <c r="T12" s="31">
        <f>59551</f>
        <v>59551</v>
      </c>
      <c r="U12" s="29"/>
      <c r="V12" s="34"/>
      <c r="W12" s="31"/>
      <c r="X12" s="29"/>
      <c r="Y12" s="31">
        <v>91222</v>
      </c>
      <c r="Z12" s="34"/>
      <c r="AA12" s="29"/>
      <c r="AB12" s="31"/>
      <c r="AC12" s="29"/>
      <c r="AD12" s="31">
        <f>37812</f>
        <v>37812</v>
      </c>
      <c r="AE12" s="31">
        <f>82883+20610</f>
        <v>103493</v>
      </c>
      <c r="AF12" s="31"/>
      <c r="AG12" s="34"/>
      <c r="AH12" s="31"/>
      <c r="AI12" s="31"/>
      <c r="AJ12" s="31">
        <f>11510+46320</f>
        <v>57830</v>
      </c>
      <c r="AK12" s="32"/>
      <c r="AL12" s="33">
        <f>SUM(I12:AK12)</f>
        <v>428953</v>
      </c>
      <c r="AM12" s="36"/>
      <c r="AN12" s="37"/>
      <c r="AO12" s="37"/>
      <c r="AP12" s="22"/>
      <c r="AQ12" s="21"/>
      <c r="AR12" s="21"/>
      <c r="AS12" s="525"/>
      <c r="AT12" s="22"/>
      <c r="AU12" s="22"/>
      <c r="AV12" s="525"/>
    </row>
    <row r="13" spans="1:50">
      <c r="A13" s="526"/>
      <c r="B13" s="546"/>
      <c r="C13" s="549"/>
      <c r="D13" s="552"/>
      <c r="E13" s="555"/>
      <c r="F13" s="558"/>
      <c r="G13" s="29"/>
      <c r="H13" s="30" t="s">
        <v>17</v>
      </c>
      <c r="I13" s="31">
        <f>I12-I11</f>
        <v>0</v>
      </c>
      <c r="J13" s="31">
        <f>I13+(J12-J11)</f>
        <v>-11712</v>
      </c>
      <c r="K13" s="31">
        <f>J13+(K12-K11)</f>
        <v>-11712</v>
      </c>
      <c r="L13" s="34"/>
      <c r="M13" s="31">
        <f>K13+(M12-M11)</f>
        <v>-11712</v>
      </c>
      <c r="N13" s="31">
        <f>M13+(N12-N11)</f>
        <v>-48155</v>
      </c>
      <c r="O13" s="31">
        <f>N13+(O12-O11)</f>
        <v>-48155</v>
      </c>
      <c r="P13" s="34"/>
      <c r="Q13" s="34"/>
      <c r="R13" s="34"/>
      <c r="S13" s="34"/>
      <c r="T13" s="31">
        <f>O13+(T12-T11)</f>
        <v>-39484</v>
      </c>
      <c r="U13" s="31">
        <f>T13+(U12-U11)</f>
        <v>-39484</v>
      </c>
      <c r="V13" s="34"/>
      <c r="W13" s="31">
        <f>U13+(W12-W11)</f>
        <v>-39484</v>
      </c>
      <c r="X13" s="31">
        <f>W13+(X12-X11)</f>
        <v>-39484</v>
      </c>
      <c r="Y13" s="31">
        <f>X13+(Y12-Y11)</f>
        <v>-50022</v>
      </c>
      <c r="Z13" s="34"/>
      <c r="AA13" s="31">
        <f>Y13+(AA12-AA11)</f>
        <v>-50022</v>
      </c>
      <c r="AB13" s="31">
        <f>AA13+(AB12-AB11)</f>
        <v>-50022</v>
      </c>
      <c r="AC13" s="31">
        <f>AB13+(AC12-AC11)</f>
        <v>-50022</v>
      </c>
      <c r="AD13" s="31">
        <f>AC13+(AD12-AD11)</f>
        <v>-113970</v>
      </c>
      <c r="AE13" s="31">
        <f>AD13+(AE12-AE11)</f>
        <v>-35917</v>
      </c>
      <c r="AF13" s="31">
        <f>AE13+(AF12-AF11)</f>
        <v>-61357</v>
      </c>
      <c r="AG13" s="34"/>
      <c r="AH13" s="31">
        <f>AF13+(AH12-AH11)</f>
        <v>-86797</v>
      </c>
      <c r="AI13" s="31">
        <f>AH13+(AI12-AI11)</f>
        <v>-112237</v>
      </c>
      <c r="AJ13" s="31">
        <f>AI13+(AJ12-AJ11)</f>
        <v>-79847</v>
      </c>
      <c r="AK13" s="32"/>
      <c r="AL13" s="33"/>
      <c r="AM13" s="36"/>
      <c r="AN13" s="37"/>
      <c r="AO13" s="37"/>
      <c r="AP13" s="22"/>
      <c r="AQ13" s="21"/>
      <c r="AR13" s="21"/>
      <c r="AS13" s="525"/>
      <c r="AT13" s="22"/>
      <c r="AU13" s="22"/>
      <c r="AV13" s="525"/>
    </row>
    <row r="14" spans="1:50">
      <c r="A14" s="526"/>
      <c r="B14" s="546"/>
      <c r="C14" s="549"/>
      <c r="D14" s="552"/>
      <c r="E14" s="555"/>
      <c r="F14" s="558"/>
      <c r="G14" s="23" t="s">
        <v>22</v>
      </c>
      <c r="H14" s="24" t="s">
        <v>23</v>
      </c>
      <c r="I14" s="25"/>
      <c r="J14" s="25"/>
      <c r="K14" s="25"/>
      <c r="L14" s="34"/>
      <c r="M14" s="25">
        <f>(($M$26*$D$3/3)*2)*4</f>
        <v>101760</v>
      </c>
      <c r="N14" s="25"/>
      <c r="O14" s="25"/>
      <c r="P14" s="34"/>
      <c r="Q14" s="34"/>
      <c r="R14" s="34"/>
      <c r="S14" s="34"/>
      <c r="T14" s="25"/>
      <c r="U14" s="25"/>
      <c r="V14" s="34"/>
      <c r="W14" s="25">
        <f>(($M$26*$D$3/3)*2)*5</f>
        <v>127200</v>
      </c>
      <c r="X14" s="25"/>
      <c r="Y14" s="25">
        <f>(($M$26*$D$3/3)*2)*2</f>
        <v>50880</v>
      </c>
      <c r="Z14" s="34"/>
      <c r="AA14" s="25">
        <f t="shared" ref="AA14:AF14" si="3">($M$26*$D$3/3)*2</f>
        <v>25440</v>
      </c>
      <c r="AB14" s="25">
        <f t="shared" si="3"/>
        <v>25440</v>
      </c>
      <c r="AC14" s="25">
        <f t="shared" si="3"/>
        <v>25440</v>
      </c>
      <c r="AD14" s="25">
        <f t="shared" si="3"/>
        <v>25440</v>
      </c>
      <c r="AE14" s="25">
        <f t="shared" si="3"/>
        <v>25440</v>
      </c>
      <c r="AF14" s="25">
        <f t="shared" si="3"/>
        <v>25440</v>
      </c>
      <c r="AG14" s="34"/>
      <c r="AH14" s="25"/>
      <c r="AI14" s="25">
        <f>(($M$26*$D$3/3)*2)*2</f>
        <v>50880</v>
      </c>
      <c r="AJ14" s="25">
        <f>($M$26*$D$3/3)*2</f>
        <v>25440</v>
      </c>
      <c r="AK14" s="27">
        <f>($M$26*$D$3/3)*2</f>
        <v>25440</v>
      </c>
      <c r="AL14" s="28">
        <f>SUM(I14:AK14)</f>
        <v>534240</v>
      </c>
      <c r="AM14" s="36"/>
      <c r="AN14" s="37"/>
      <c r="AO14" s="37"/>
      <c r="AP14" s="22"/>
      <c r="AQ14" s="21"/>
      <c r="AR14" s="21"/>
      <c r="AS14" s="525"/>
      <c r="AT14" s="22"/>
      <c r="AU14" s="22"/>
      <c r="AV14" s="525"/>
    </row>
    <row r="15" spans="1:50">
      <c r="A15" s="526"/>
      <c r="B15" s="546"/>
      <c r="C15" s="549"/>
      <c r="D15" s="552"/>
      <c r="E15" s="555"/>
      <c r="F15" s="558"/>
      <c r="G15" s="23"/>
      <c r="H15" s="24" t="s">
        <v>24</v>
      </c>
      <c r="I15" s="25"/>
      <c r="J15" s="25"/>
      <c r="K15" s="25"/>
      <c r="L15" s="34"/>
      <c r="M15" s="25">
        <v>1</v>
      </c>
      <c r="N15" s="25"/>
      <c r="O15" s="25"/>
      <c r="P15" s="34"/>
      <c r="Q15" s="34"/>
      <c r="R15" s="34"/>
      <c r="S15" s="34"/>
      <c r="T15" s="25"/>
      <c r="U15" s="25"/>
      <c r="V15" s="34"/>
      <c r="W15" s="25">
        <v>1</v>
      </c>
      <c r="X15" s="25"/>
      <c r="Y15" s="25">
        <v>1</v>
      </c>
      <c r="Z15" s="34"/>
      <c r="AA15" s="25">
        <v>1</v>
      </c>
      <c r="AB15" s="25">
        <v>1</v>
      </c>
      <c r="AC15" s="25">
        <v>1</v>
      </c>
      <c r="AD15" s="25">
        <v>1</v>
      </c>
      <c r="AE15" s="25">
        <v>1</v>
      </c>
      <c r="AF15" s="25">
        <v>1</v>
      </c>
      <c r="AG15" s="34"/>
      <c r="AH15" s="25"/>
      <c r="AI15" s="25">
        <v>1</v>
      </c>
      <c r="AJ15" s="25">
        <v>1</v>
      </c>
      <c r="AK15" s="27">
        <v>1</v>
      </c>
      <c r="AL15" s="28"/>
      <c r="AM15" s="36"/>
      <c r="AN15" s="37"/>
      <c r="AO15" s="37"/>
      <c r="AP15" s="22"/>
      <c r="AQ15" s="21"/>
      <c r="AR15" s="21"/>
      <c r="AS15" s="525"/>
      <c r="AT15" s="22"/>
      <c r="AU15" s="22"/>
      <c r="AV15" s="525"/>
    </row>
    <row r="16" spans="1:50">
      <c r="A16" s="526"/>
      <c r="B16" s="546"/>
      <c r="C16" s="549"/>
      <c r="D16" s="552"/>
      <c r="E16" s="555"/>
      <c r="F16" s="558"/>
      <c r="G16" s="29"/>
      <c r="H16" s="30" t="s">
        <v>16</v>
      </c>
      <c r="I16" s="29"/>
      <c r="J16" s="31"/>
      <c r="K16" s="29"/>
      <c r="L16" s="34"/>
      <c r="M16" s="31">
        <f>73834</f>
        <v>73834</v>
      </c>
      <c r="N16" s="29"/>
      <c r="O16" s="31"/>
      <c r="P16" s="34"/>
      <c r="Q16" s="34"/>
      <c r="R16" s="34"/>
      <c r="S16" s="34"/>
      <c r="T16" s="31"/>
      <c r="U16" s="29"/>
      <c r="V16" s="34"/>
      <c r="W16" s="31">
        <f>24221+30054</f>
        <v>54275</v>
      </c>
      <c r="X16" s="29"/>
      <c r="Y16" s="31">
        <f>16621</f>
        <v>16621</v>
      </c>
      <c r="Z16" s="34"/>
      <c r="AA16" s="31">
        <v>31237</v>
      </c>
      <c r="AB16" s="31">
        <f>13884</f>
        <v>13884</v>
      </c>
      <c r="AC16" s="31">
        <f>20263</f>
        <v>20263</v>
      </c>
      <c r="AD16" s="31">
        <f>52209</f>
        <v>52209</v>
      </c>
      <c r="AE16" s="29"/>
      <c r="AF16" s="31">
        <f>32441+23338</f>
        <v>55779</v>
      </c>
      <c r="AG16" s="34"/>
      <c r="AH16" s="29"/>
      <c r="AI16" s="31">
        <v>53459</v>
      </c>
      <c r="AJ16" s="31">
        <f>54563+64759</f>
        <v>119322</v>
      </c>
      <c r="AK16" s="32"/>
      <c r="AL16" s="33">
        <f>SUM(I16:AK16)</f>
        <v>490883</v>
      </c>
      <c r="AM16" s="36"/>
      <c r="AN16" s="37"/>
      <c r="AO16" s="37"/>
      <c r="AP16" s="22"/>
      <c r="AQ16" s="21"/>
      <c r="AR16" s="21"/>
      <c r="AS16" s="525"/>
      <c r="AT16" s="22"/>
      <c r="AU16" s="22"/>
      <c r="AV16" s="525"/>
    </row>
    <row r="17" spans="1:48">
      <c r="A17" s="526"/>
      <c r="B17" s="546"/>
      <c r="C17" s="549"/>
      <c r="D17" s="552"/>
      <c r="E17" s="555"/>
      <c r="F17" s="558"/>
      <c r="G17" s="29"/>
      <c r="H17" s="30" t="s">
        <v>17</v>
      </c>
      <c r="I17" s="31">
        <f>I16-I14</f>
        <v>0</v>
      </c>
      <c r="J17" s="31">
        <f>I17+(J16-J14)</f>
        <v>0</v>
      </c>
      <c r="K17" s="31">
        <f>J17+(K16-K14)</f>
        <v>0</v>
      </c>
      <c r="L17" s="34"/>
      <c r="M17" s="31">
        <f>K17+(M16-M14)</f>
        <v>-27926</v>
      </c>
      <c r="N17" s="31">
        <f>M17+(N16-N14)</f>
        <v>-27926</v>
      </c>
      <c r="O17" s="31">
        <f>N17+(O16-O14)</f>
        <v>-27926</v>
      </c>
      <c r="P17" s="34"/>
      <c r="Q17" s="34"/>
      <c r="R17" s="34"/>
      <c r="S17" s="34"/>
      <c r="T17" s="31">
        <f>O17+(T16-T14)</f>
        <v>-27926</v>
      </c>
      <c r="U17" s="31">
        <f>T17+(U16-U14)</f>
        <v>-27926</v>
      </c>
      <c r="V17" s="34"/>
      <c r="W17" s="31">
        <f>U17+(W16-W14)</f>
        <v>-100851</v>
      </c>
      <c r="X17" s="31">
        <f>W17+(X16-X14)</f>
        <v>-100851</v>
      </c>
      <c r="Y17" s="31">
        <f>X17+(Y16-Y14)</f>
        <v>-135110</v>
      </c>
      <c r="Z17" s="34"/>
      <c r="AA17" s="31">
        <f>Y17+(AA16-AA14)</f>
        <v>-129313</v>
      </c>
      <c r="AB17" s="31">
        <f>AA17+(AB16-AB14)</f>
        <v>-140869</v>
      </c>
      <c r="AC17" s="31">
        <f>AB17+(AC16-AC14)</f>
        <v>-146046</v>
      </c>
      <c r="AD17" s="31">
        <f>AC17+(AD16-AD14)</f>
        <v>-119277</v>
      </c>
      <c r="AE17" s="31">
        <f>AD17+(AE16-AE14)</f>
        <v>-144717</v>
      </c>
      <c r="AF17" s="31">
        <f>AE17+(AF16-AF14)</f>
        <v>-114378</v>
      </c>
      <c r="AG17" s="34"/>
      <c r="AH17" s="31">
        <f>AF17+(AH16-AH14)</f>
        <v>-114378</v>
      </c>
      <c r="AI17" s="31">
        <f>AH17+(AI16-AI14)</f>
        <v>-111799</v>
      </c>
      <c r="AJ17" s="31">
        <f>AI17+(AJ16-AJ14)</f>
        <v>-17917</v>
      </c>
      <c r="AK17" s="32"/>
      <c r="AL17" s="33"/>
      <c r="AM17" s="36"/>
      <c r="AN17" s="37"/>
      <c r="AO17" s="37"/>
      <c r="AP17" s="22"/>
      <c r="AQ17" s="21"/>
      <c r="AR17" s="21"/>
      <c r="AS17" s="525"/>
      <c r="AT17" s="22"/>
      <c r="AU17" s="22"/>
      <c r="AV17" s="525"/>
    </row>
    <row r="18" spans="1:48">
      <c r="A18" s="526"/>
      <c r="B18" s="546"/>
      <c r="C18" s="549"/>
      <c r="D18" s="552"/>
      <c r="E18" s="555"/>
      <c r="F18" s="558"/>
      <c r="G18" s="23" t="s">
        <v>25</v>
      </c>
      <c r="H18" s="24" t="s">
        <v>26</v>
      </c>
      <c r="I18" s="25">
        <f>$M$26*$D$3/3</f>
        <v>12720</v>
      </c>
      <c r="J18" s="25"/>
      <c r="K18" s="25"/>
      <c r="L18" s="34"/>
      <c r="M18" s="25">
        <f>($M$26*$D$3/3)*3</f>
        <v>38160</v>
      </c>
      <c r="N18" s="25"/>
      <c r="O18" s="25"/>
      <c r="P18" s="34"/>
      <c r="Q18" s="34"/>
      <c r="R18" s="34"/>
      <c r="S18" s="34"/>
      <c r="T18" s="25"/>
      <c r="U18" s="25">
        <f>($M$26*$D$3/3)*4</f>
        <v>50880</v>
      </c>
      <c r="V18" s="34"/>
      <c r="W18" s="25"/>
      <c r="X18" s="25"/>
      <c r="Y18" s="25"/>
      <c r="Z18" s="34"/>
      <c r="AA18" s="25">
        <f>($M$26*$D$3/3)*4</f>
        <v>50880</v>
      </c>
      <c r="AB18" s="25"/>
      <c r="AC18" s="25"/>
      <c r="AD18" s="25"/>
      <c r="AE18" s="25">
        <f>($M$26*$D$3/3)*4</f>
        <v>50880</v>
      </c>
      <c r="AF18" s="25">
        <f t="shared" ref="AF18" si="4">$M$26*$D$3/3</f>
        <v>12720</v>
      </c>
      <c r="AG18" s="34"/>
      <c r="AH18" s="25">
        <f>$M$26*$D$3/3</f>
        <v>12720</v>
      </c>
      <c r="AI18" s="25"/>
      <c r="AJ18" s="25">
        <f>($M$26*$D$3/3)*2</f>
        <v>25440</v>
      </c>
      <c r="AK18" s="27">
        <f>$M$26*$D$3/3</f>
        <v>12720</v>
      </c>
      <c r="AL18" s="28">
        <f>SUM(I18:AK18)</f>
        <v>267120</v>
      </c>
      <c r="AM18" s="36"/>
      <c r="AN18" s="37"/>
      <c r="AO18" s="37"/>
      <c r="AP18" s="22"/>
      <c r="AQ18" s="21"/>
      <c r="AR18" s="21"/>
      <c r="AS18" s="525"/>
      <c r="AT18" s="22"/>
      <c r="AU18" s="22"/>
      <c r="AV18" s="525"/>
    </row>
    <row r="19" spans="1:48">
      <c r="A19" s="526"/>
      <c r="B19" s="546"/>
      <c r="C19" s="549"/>
      <c r="D19" s="552"/>
      <c r="E19" s="555"/>
      <c r="F19" s="558"/>
      <c r="G19" s="23"/>
      <c r="H19" s="24" t="s">
        <v>24</v>
      </c>
      <c r="I19" s="25">
        <v>1</v>
      </c>
      <c r="J19" s="25"/>
      <c r="K19" s="25"/>
      <c r="L19" s="34"/>
      <c r="M19" s="25">
        <v>1</v>
      </c>
      <c r="N19" s="25"/>
      <c r="O19" s="25"/>
      <c r="P19" s="34"/>
      <c r="Q19" s="34"/>
      <c r="R19" s="34"/>
      <c r="S19" s="34"/>
      <c r="T19" s="25"/>
      <c r="U19" s="25">
        <v>1</v>
      </c>
      <c r="V19" s="34"/>
      <c r="W19" s="25">
        <v>1</v>
      </c>
      <c r="X19" s="25">
        <v>1</v>
      </c>
      <c r="Y19" s="25">
        <v>1</v>
      </c>
      <c r="Z19" s="34"/>
      <c r="AA19" s="25">
        <v>1</v>
      </c>
      <c r="AB19" s="25"/>
      <c r="AC19" s="25"/>
      <c r="AD19" s="25"/>
      <c r="AE19" s="25">
        <v>1</v>
      </c>
      <c r="AF19" s="25">
        <v>1</v>
      </c>
      <c r="AG19" s="34"/>
      <c r="AH19" s="25">
        <v>1</v>
      </c>
      <c r="AI19" s="25"/>
      <c r="AJ19" s="25">
        <v>1</v>
      </c>
      <c r="AK19" s="27">
        <v>1</v>
      </c>
      <c r="AL19" s="28"/>
      <c r="AM19" s="36"/>
      <c r="AN19" s="37"/>
      <c r="AO19" s="37"/>
      <c r="AP19" s="22"/>
      <c r="AQ19" s="21"/>
      <c r="AR19" s="21"/>
      <c r="AS19" s="525"/>
      <c r="AT19" s="22"/>
      <c r="AU19" s="22"/>
      <c r="AV19" s="525"/>
    </row>
    <row r="20" spans="1:48">
      <c r="A20" s="526"/>
      <c r="B20" s="546"/>
      <c r="C20" s="549"/>
      <c r="D20" s="552"/>
      <c r="E20" s="555"/>
      <c r="F20" s="558"/>
      <c r="G20" s="29"/>
      <c r="H20" s="30" t="s">
        <v>16</v>
      </c>
      <c r="I20" s="38">
        <f>39236</f>
        <v>39236</v>
      </c>
      <c r="J20" s="31"/>
      <c r="K20" s="29"/>
      <c r="L20" s="34"/>
      <c r="M20" s="31">
        <f>27053+7020</f>
        <v>34073</v>
      </c>
      <c r="N20" s="39"/>
      <c r="O20" s="31"/>
      <c r="P20" s="34"/>
      <c r="Q20" s="34"/>
      <c r="R20" s="34"/>
      <c r="S20" s="34"/>
      <c r="T20" s="31"/>
      <c r="U20" s="31">
        <f>27392+17240</f>
        <v>44632</v>
      </c>
      <c r="V20" s="34"/>
      <c r="W20" s="31"/>
      <c r="X20" s="29"/>
      <c r="Y20" s="31"/>
      <c r="Z20" s="34"/>
      <c r="AA20" s="31">
        <v>21179</v>
      </c>
      <c r="AB20" s="31"/>
      <c r="AC20" s="29"/>
      <c r="AD20" s="31"/>
      <c r="AE20" s="31">
        <f>33630</f>
        <v>33630</v>
      </c>
      <c r="AF20" s="31">
        <f>34453</f>
        <v>34453</v>
      </c>
      <c r="AG20" s="34"/>
      <c r="AH20" s="31">
        <f>20357</f>
        <v>20357</v>
      </c>
      <c r="AI20" s="31"/>
      <c r="AJ20" s="31">
        <f>42502</f>
        <v>42502</v>
      </c>
      <c r="AK20" s="32"/>
      <c r="AL20" s="33">
        <f>SUM(I20:AK20)</f>
        <v>270062</v>
      </c>
      <c r="AM20" s="36"/>
      <c r="AN20" s="37"/>
      <c r="AO20" s="37"/>
      <c r="AP20" s="22"/>
      <c r="AQ20" s="21"/>
      <c r="AR20" s="21"/>
      <c r="AS20" s="525"/>
      <c r="AT20" s="22"/>
      <c r="AU20" s="22"/>
      <c r="AV20" s="525"/>
    </row>
    <row r="21" spans="1:48">
      <c r="A21" s="526"/>
      <c r="B21" s="546"/>
      <c r="C21" s="549"/>
      <c r="D21" s="552"/>
      <c r="E21" s="555"/>
      <c r="F21" s="558"/>
      <c r="G21" s="29"/>
      <c r="H21" s="30" t="s">
        <v>17</v>
      </c>
      <c r="I21" s="31">
        <f>I20-I18</f>
        <v>26516</v>
      </c>
      <c r="J21" s="31">
        <f>I21+(J20-J18)</f>
        <v>26516</v>
      </c>
      <c r="K21" s="31">
        <f>J21+(K20-K18)</f>
        <v>26516</v>
      </c>
      <c r="L21" s="34"/>
      <c r="M21" s="31">
        <f>K21+(M20-M18)</f>
        <v>22429</v>
      </c>
      <c r="N21" s="31">
        <f>M21+(N20-N18)</f>
        <v>22429</v>
      </c>
      <c r="O21" s="31">
        <f>N21+(O20-O18)</f>
        <v>22429</v>
      </c>
      <c r="P21" s="34"/>
      <c r="Q21" s="34"/>
      <c r="R21" s="34"/>
      <c r="S21" s="34"/>
      <c r="T21" s="31">
        <f>O21+(T20-T18)</f>
        <v>22429</v>
      </c>
      <c r="U21" s="31">
        <f>T21+(U20-U18)</f>
        <v>16181</v>
      </c>
      <c r="V21" s="34"/>
      <c r="W21" s="31">
        <f>U21+(W20-W18)</f>
        <v>16181</v>
      </c>
      <c r="X21" s="31">
        <f>W21+(X20-X18)</f>
        <v>16181</v>
      </c>
      <c r="Y21" s="31">
        <f>X21+(Y20-Y18)</f>
        <v>16181</v>
      </c>
      <c r="Z21" s="34"/>
      <c r="AA21" s="31">
        <f>Y21+(AA20-AA18)</f>
        <v>-13520</v>
      </c>
      <c r="AB21" s="31">
        <f>AA21+(AB20-AB18)</f>
        <v>-13520</v>
      </c>
      <c r="AC21" s="31">
        <f>AB21+(AC20-AC18)</f>
        <v>-13520</v>
      </c>
      <c r="AD21" s="31">
        <f>AC21+(AD20-AD18)</f>
        <v>-13520</v>
      </c>
      <c r="AE21" s="31">
        <f>AD21+(AE20-AE18)</f>
        <v>-30770</v>
      </c>
      <c r="AF21" s="31">
        <f>AE21+(AF20-AF18)</f>
        <v>-9037</v>
      </c>
      <c r="AG21" s="34"/>
      <c r="AH21" s="31">
        <f>AF21+(AH20-AH18)</f>
        <v>-1400</v>
      </c>
      <c r="AI21" s="31">
        <f>AH21+(AI20-AI18)</f>
        <v>-1400</v>
      </c>
      <c r="AJ21" s="31">
        <f>AI21+(AJ20-AJ18)</f>
        <v>15662</v>
      </c>
      <c r="AK21" s="32"/>
      <c r="AL21" s="33"/>
      <c r="AM21" s="36"/>
      <c r="AN21" s="37"/>
      <c r="AO21" s="37"/>
      <c r="AP21" s="22"/>
      <c r="AQ21" s="21"/>
      <c r="AR21" s="21"/>
      <c r="AS21" s="525"/>
      <c r="AT21" s="22"/>
      <c r="AU21" s="22"/>
      <c r="AV21" s="525"/>
    </row>
    <row r="22" spans="1:48">
      <c r="A22" s="526"/>
      <c r="B22" s="546"/>
      <c r="C22" s="549"/>
      <c r="D22" s="552"/>
      <c r="E22" s="555"/>
      <c r="F22" s="558"/>
      <c r="G22" s="23"/>
      <c r="H22" s="24" t="s">
        <v>27</v>
      </c>
      <c r="I22" s="25">
        <f>$M$26*$D$3/3</f>
        <v>12720</v>
      </c>
      <c r="J22" s="25">
        <f>$M$26*$D$3/3</f>
        <v>12720</v>
      </c>
      <c r="K22" s="25">
        <f>$M$26*$D$3/3</f>
        <v>12720</v>
      </c>
      <c r="L22" s="34"/>
      <c r="M22" s="25">
        <f>$M$26*$D$3/3</f>
        <v>12720</v>
      </c>
      <c r="N22" s="25">
        <f>$M$26*$D$3/3</f>
        <v>12720</v>
      </c>
      <c r="O22" s="25">
        <f>$M$26*$D$3/3</f>
        <v>12720</v>
      </c>
      <c r="P22" s="34"/>
      <c r="Q22" s="34"/>
      <c r="R22" s="34"/>
      <c r="S22" s="34"/>
      <c r="T22" s="25">
        <f>$M$26*$D$3/3</f>
        <v>12720</v>
      </c>
      <c r="U22" s="25"/>
      <c r="V22" s="34"/>
      <c r="W22" s="25">
        <f>($M$26*$D$3/3)*2</f>
        <v>25440</v>
      </c>
      <c r="X22" s="25">
        <f>$M$26*$D$3/3</f>
        <v>12720</v>
      </c>
      <c r="Y22" s="25"/>
      <c r="Z22" s="34"/>
      <c r="AA22" s="25">
        <f>($M$26*$D$3/3)*2</f>
        <v>25440</v>
      </c>
      <c r="AB22" s="25">
        <f t="shared" ref="AB22:AF22" si="5">$M$26*$D$3/3</f>
        <v>12720</v>
      </c>
      <c r="AC22" s="25">
        <f t="shared" si="5"/>
        <v>12720</v>
      </c>
      <c r="AD22" s="25">
        <f t="shared" si="5"/>
        <v>12720</v>
      </c>
      <c r="AE22" s="25">
        <f t="shared" si="5"/>
        <v>12720</v>
      </c>
      <c r="AF22" s="25">
        <f t="shared" si="5"/>
        <v>12720</v>
      </c>
      <c r="AG22" s="34"/>
      <c r="AH22" s="25">
        <f>$M$26*$D$3/3</f>
        <v>12720</v>
      </c>
      <c r="AI22" s="25">
        <f>$M$26*$D$3/3</f>
        <v>12720</v>
      </c>
      <c r="AJ22" s="25">
        <f>$M$26*$D$3/3</f>
        <v>12720</v>
      </c>
      <c r="AK22" s="27">
        <f>$M$26*$D$3/3</f>
        <v>12720</v>
      </c>
      <c r="AL22" s="28">
        <f>SUM(I22:AK22)</f>
        <v>267120</v>
      </c>
      <c r="AM22" s="36"/>
      <c r="AN22" s="37"/>
      <c r="AO22" s="37"/>
      <c r="AP22" s="22"/>
      <c r="AQ22" s="21"/>
      <c r="AR22" s="21"/>
      <c r="AS22" s="525"/>
      <c r="AT22" s="22"/>
      <c r="AU22" s="22"/>
      <c r="AV22" s="525"/>
    </row>
    <row r="23" spans="1:48">
      <c r="A23" s="526"/>
      <c r="B23" s="546"/>
      <c r="C23" s="549"/>
      <c r="D23" s="552"/>
      <c r="E23" s="555"/>
      <c r="F23" s="558"/>
      <c r="G23" s="23"/>
      <c r="H23" s="24" t="s">
        <v>28</v>
      </c>
      <c r="I23" s="25">
        <v>1</v>
      </c>
      <c r="J23" s="25">
        <v>1</v>
      </c>
      <c r="K23" s="25">
        <v>1</v>
      </c>
      <c r="L23" s="26"/>
      <c r="M23" s="25">
        <v>1</v>
      </c>
      <c r="N23" s="25">
        <v>1</v>
      </c>
      <c r="O23" s="25">
        <v>1</v>
      </c>
      <c r="P23" s="26"/>
      <c r="Q23" s="26"/>
      <c r="R23" s="26"/>
      <c r="S23" s="26"/>
      <c r="T23" s="25">
        <v>1</v>
      </c>
      <c r="U23" s="25">
        <v>1</v>
      </c>
      <c r="V23" s="26"/>
      <c r="W23" s="25">
        <v>1</v>
      </c>
      <c r="X23" s="25">
        <v>1</v>
      </c>
      <c r="Y23" s="25">
        <v>1</v>
      </c>
      <c r="Z23" s="26"/>
      <c r="AA23" s="25">
        <v>1</v>
      </c>
      <c r="AB23" s="25">
        <v>1</v>
      </c>
      <c r="AC23" s="25">
        <v>1</v>
      </c>
      <c r="AD23" s="25">
        <v>1</v>
      </c>
      <c r="AE23" s="25">
        <v>1</v>
      </c>
      <c r="AF23" s="25">
        <v>1</v>
      </c>
      <c r="AG23" s="26"/>
      <c r="AH23" s="25">
        <v>1</v>
      </c>
      <c r="AI23" s="25">
        <v>1</v>
      </c>
      <c r="AJ23" s="25">
        <v>1</v>
      </c>
      <c r="AK23" s="27">
        <v>1</v>
      </c>
      <c r="AL23" s="28"/>
      <c r="AM23" s="36"/>
      <c r="AN23" s="37"/>
      <c r="AO23" s="37"/>
      <c r="AP23" s="22"/>
      <c r="AQ23" s="21"/>
      <c r="AR23" s="21"/>
      <c r="AS23" s="525"/>
      <c r="AT23" s="22"/>
      <c r="AU23" s="22"/>
      <c r="AV23" s="525"/>
    </row>
    <row r="24" spans="1:48">
      <c r="A24" s="526"/>
      <c r="B24" s="546"/>
      <c r="C24" s="549"/>
      <c r="D24" s="552"/>
      <c r="E24" s="555"/>
      <c r="F24" s="558"/>
      <c r="G24" s="29"/>
      <c r="H24" s="30" t="s">
        <v>16</v>
      </c>
      <c r="I24" s="31">
        <f>3090+1670</f>
        <v>4760</v>
      </c>
      <c r="J24" s="31">
        <f>2525+1786+4125</f>
        <v>8436</v>
      </c>
      <c r="K24" s="31">
        <f>400+2100+2278+514</f>
        <v>5292</v>
      </c>
      <c r="L24" s="34"/>
      <c r="M24" s="31">
        <f>3311+3864</f>
        <v>7175</v>
      </c>
      <c r="N24" s="31">
        <f>1635+1119+2771+2009</f>
        <v>7534</v>
      </c>
      <c r="O24" s="31">
        <f>4095+1523</f>
        <v>5618</v>
      </c>
      <c r="P24" s="34"/>
      <c r="Q24" s="34"/>
      <c r="R24" s="34"/>
      <c r="S24" s="34"/>
      <c r="T24" s="31">
        <f>550+4498+500+3570+1212</f>
        <v>10330</v>
      </c>
      <c r="U24" s="29"/>
      <c r="V24" s="34"/>
      <c r="W24" s="31">
        <f>4501+2428+4096</f>
        <v>11025</v>
      </c>
      <c r="X24" s="31">
        <f>1593+4283+222+3715</f>
        <v>9813</v>
      </c>
      <c r="Y24" s="29"/>
      <c r="Z24" s="34"/>
      <c r="AA24" s="31">
        <f>1232+4372+1874+376+3275</f>
        <v>11129</v>
      </c>
      <c r="AB24" s="31">
        <f>445+4507+3529+2635+4155</f>
        <v>15271</v>
      </c>
      <c r="AC24" s="31">
        <f>528+4508+1654+2856+4512+615</f>
        <v>14673</v>
      </c>
      <c r="AD24" s="31">
        <f>3555+1666+2119+3554+2091</f>
        <v>12985</v>
      </c>
      <c r="AE24" s="31">
        <f>795+2287+2417+2937</f>
        <v>8436</v>
      </c>
      <c r="AF24" s="31">
        <f>3918+1144+4520+602</f>
        <v>10184</v>
      </c>
      <c r="AG24" s="34"/>
      <c r="AH24" s="31">
        <f>381+4511+2600+2855+4130+1910+3280</f>
        <v>19667</v>
      </c>
      <c r="AI24" s="31">
        <f>1231+4510+514+3997+4363+4295+2190</f>
        <v>21100</v>
      </c>
      <c r="AJ24" s="31">
        <f>2220+2511</f>
        <v>4731</v>
      </c>
      <c r="AK24" s="32">
        <f>4506+2230+1970+3347</f>
        <v>12053</v>
      </c>
      <c r="AL24" s="40">
        <v>1</v>
      </c>
      <c r="AM24" s="36"/>
      <c r="AN24" s="37"/>
      <c r="AO24" s="37"/>
      <c r="AP24" s="22"/>
      <c r="AQ24" s="21"/>
      <c r="AR24" s="21"/>
      <c r="AS24" s="525"/>
      <c r="AT24" s="22"/>
      <c r="AU24" s="22"/>
      <c r="AV24" s="525"/>
    </row>
    <row r="25" spans="1:48">
      <c r="A25" s="526"/>
      <c r="B25" s="546"/>
      <c r="C25" s="549"/>
      <c r="D25" s="552"/>
      <c r="E25" s="555"/>
      <c r="F25" s="558"/>
      <c r="G25" s="29"/>
      <c r="H25" s="30" t="s">
        <v>17</v>
      </c>
      <c r="I25" s="31">
        <f>I24-I22</f>
        <v>-7960</v>
      </c>
      <c r="J25" s="31">
        <f>I25+(J24-J22)</f>
        <v>-12244</v>
      </c>
      <c r="K25" s="31">
        <f>J25+(K24-K22)</f>
        <v>-19672</v>
      </c>
      <c r="L25" s="34"/>
      <c r="M25" s="31">
        <f>K25+(M24-M22)</f>
        <v>-25217</v>
      </c>
      <c r="N25" s="31">
        <f>M25+(N24-N22)</f>
        <v>-30403</v>
      </c>
      <c r="O25" s="31">
        <f>N25+(O24-O22)</f>
        <v>-37505</v>
      </c>
      <c r="P25" s="34"/>
      <c r="Q25" s="34"/>
      <c r="R25" s="34"/>
      <c r="S25" s="34"/>
      <c r="T25" s="31">
        <f>O25+(T24-T22)</f>
        <v>-39895</v>
      </c>
      <c r="U25" s="31">
        <f>T25+(U24-U22)</f>
        <v>-39895</v>
      </c>
      <c r="V25" s="34"/>
      <c r="W25" s="31">
        <f>U25+(W24-W22)</f>
        <v>-54310</v>
      </c>
      <c r="X25" s="31">
        <f>W25+(X24-X22)</f>
        <v>-57217</v>
      </c>
      <c r="Y25" s="31">
        <f>X25+(Y24-Y22)</f>
        <v>-57217</v>
      </c>
      <c r="Z25" s="34"/>
      <c r="AA25" s="31">
        <f>Y25+(AA24-AA22)</f>
        <v>-71528</v>
      </c>
      <c r="AB25" s="31">
        <f>AA25+(AB24-AB22)</f>
        <v>-68977</v>
      </c>
      <c r="AC25" s="31">
        <f>AB25+(AC24-AC22)</f>
        <v>-67024</v>
      </c>
      <c r="AD25" s="31">
        <f>AC25+(AD24-AD22)</f>
        <v>-66759</v>
      </c>
      <c r="AE25" s="31">
        <f>AD25+(AE24-AE22)</f>
        <v>-71043</v>
      </c>
      <c r="AF25" s="31">
        <f>AE25+(AF24-AF22)</f>
        <v>-73579</v>
      </c>
      <c r="AG25" s="34"/>
      <c r="AH25" s="31">
        <f>AF25+(AH24-AH22)</f>
        <v>-66632</v>
      </c>
      <c r="AI25" s="31">
        <f>AH25+(AI24-AI22)</f>
        <v>-58252</v>
      </c>
      <c r="AJ25" s="31">
        <f>AI25+(AJ24-AJ22)</f>
        <v>-66241</v>
      </c>
      <c r="AK25" s="31">
        <f>AJ25+(AK24-AK22)</f>
        <v>-66908</v>
      </c>
      <c r="AL25" s="40"/>
      <c r="AM25" s="36"/>
      <c r="AN25" s="37"/>
      <c r="AO25" s="37"/>
      <c r="AP25" s="22"/>
      <c r="AQ25" s="21"/>
      <c r="AR25" s="21"/>
      <c r="AS25" s="525"/>
      <c r="AT25" s="22"/>
      <c r="AU25" s="22"/>
      <c r="AV25" s="525"/>
    </row>
    <row r="26" spans="1:48">
      <c r="A26" s="526"/>
      <c r="B26" s="546"/>
      <c r="C26" s="549"/>
      <c r="D26" s="552"/>
      <c r="E26" s="555"/>
      <c r="F26" s="558"/>
      <c r="G26" s="23"/>
      <c r="H26" s="24" t="s">
        <v>29</v>
      </c>
      <c r="I26" s="23"/>
      <c r="J26" s="23"/>
      <c r="K26" s="23"/>
      <c r="L26" s="34"/>
      <c r="M26" s="25">
        <f>$C$3*3</f>
        <v>24000</v>
      </c>
      <c r="N26" s="23"/>
      <c r="O26" s="23"/>
      <c r="P26" s="34"/>
      <c r="Q26" s="34"/>
      <c r="R26" s="34"/>
      <c r="S26" s="34"/>
      <c r="T26" s="25">
        <f>$C$3*3</f>
        <v>24000</v>
      </c>
      <c r="U26" s="23"/>
      <c r="V26" s="34"/>
      <c r="W26" s="23"/>
      <c r="X26" s="25">
        <f>$C$3*3</f>
        <v>24000</v>
      </c>
      <c r="Y26" s="23"/>
      <c r="Z26" s="34"/>
      <c r="AA26" s="23"/>
      <c r="AB26" s="25">
        <f>$C$3*3</f>
        <v>24000</v>
      </c>
      <c r="AC26" s="23"/>
      <c r="AD26" s="23"/>
      <c r="AE26" s="25">
        <f>$C$3*3</f>
        <v>24000</v>
      </c>
      <c r="AF26" s="23"/>
      <c r="AG26" s="34"/>
      <c r="AH26" s="23"/>
      <c r="AI26" s="25">
        <f>$C$3*3</f>
        <v>24000</v>
      </c>
      <c r="AJ26" s="23"/>
      <c r="AK26" s="41"/>
      <c r="AL26" s="28">
        <f>SUM(I26:AK26)</f>
        <v>144000</v>
      </c>
      <c r="AM26" s="36"/>
      <c r="AN26" s="37"/>
      <c r="AO26" s="37"/>
      <c r="AP26" s="22"/>
      <c r="AQ26" s="21"/>
      <c r="AR26" s="21"/>
      <c r="AS26" s="525"/>
      <c r="AT26" s="22"/>
      <c r="AU26" s="22"/>
      <c r="AV26" s="525"/>
    </row>
    <row r="27" spans="1:48">
      <c r="A27" s="526"/>
      <c r="B27" s="546"/>
      <c r="C27" s="549"/>
      <c r="D27" s="552"/>
      <c r="E27" s="555"/>
      <c r="F27" s="558"/>
      <c r="G27" s="23"/>
      <c r="H27" s="24" t="s">
        <v>30</v>
      </c>
      <c r="I27" s="23"/>
      <c r="J27" s="23"/>
      <c r="K27" s="23"/>
      <c r="L27" s="34"/>
      <c r="M27" s="23">
        <v>1</v>
      </c>
      <c r="N27" s="23"/>
      <c r="O27" s="23"/>
      <c r="P27" s="34"/>
      <c r="Q27" s="34"/>
      <c r="R27" s="34"/>
      <c r="S27" s="34"/>
      <c r="T27" s="23">
        <v>1</v>
      </c>
      <c r="U27" s="23"/>
      <c r="V27" s="34"/>
      <c r="W27" s="23"/>
      <c r="X27" s="23">
        <v>1</v>
      </c>
      <c r="Y27" s="23"/>
      <c r="Z27" s="34"/>
      <c r="AA27" s="23"/>
      <c r="AB27" s="23">
        <v>1</v>
      </c>
      <c r="AC27" s="23"/>
      <c r="AD27" s="23"/>
      <c r="AE27" s="23">
        <v>1</v>
      </c>
      <c r="AF27" s="23"/>
      <c r="AG27" s="34"/>
      <c r="AH27" s="23"/>
      <c r="AI27" s="23">
        <v>1</v>
      </c>
      <c r="AJ27" s="23"/>
      <c r="AK27" s="41"/>
      <c r="AL27" s="28"/>
      <c r="AM27" s="36"/>
      <c r="AN27" s="37"/>
      <c r="AO27" s="37"/>
      <c r="AP27" s="22"/>
      <c r="AQ27" s="21"/>
      <c r="AR27" s="21"/>
      <c r="AS27" s="525"/>
      <c r="AT27" s="22"/>
      <c r="AU27" s="22"/>
      <c r="AV27" s="525"/>
    </row>
    <row r="28" spans="1:48">
      <c r="A28" s="526"/>
      <c r="B28" s="546"/>
      <c r="C28" s="549"/>
      <c r="D28" s="552"/>
      <c r="E28" s="555"/>
      <c r="F28" s="558"/>
      <c r="G28" s="29"/>
      <c r="H28" s="30" t="s">
        <v>16</v>
      </c>
      <c r="I28" s="31">
        <v>12750</v>
      </c>
      <c r="J28" s="29"/>
      <c r="K28" s="29"/>
      <c r="L28" s="34"/>
      <c r="M28" s="31"/>
      <c r="N28" s="29"/>
      <c r="O28" s="31">
        <f>13221+3000</f>
        <v>16221</v>
      </c>
      <c r="P28" s="34"/>
      <c r="Q28" s="34"/>
      <c r="R28" s="34"/>
      <c r="S28" s="34"/>
      <c r="T28" s="29"/>
      <c r="U28" s="31">
        <v>10684</v>
      </c>
      <c r="V28" s="34"/>
      <c r="W28" s="29"/>
      <c r="X28" s="29"/>
      <c r="Y28" s="29"/>
      <c r="Z28" s="34"/>
      <c r="AA28" s="31">
        <v>18480</v>
      </c>
      <c r="AB28" s="29"/>
      <c r="AC28" s="31">
        <v>19743</v>
      </c>
      <c r="AD28" s="31">
        <v>11278</v>
      </c>
      <c r="AE28" s="29"/>
      <c r="AF28" s="31">
        <v>9407</v>
      </c>
      <c r="AG28" s="34"/>
      <c r="AH28" s="31">
        <v>6623</v>
      </c>
      <c r="AI28" s="31">
        <v>6466</v>
      </c>
      <c r="AJ28" s="31">
        <v>17296</v>
      </c>
      <c r="AK28" s="32"/>
      <c r="AL28" s="33">
        <f>SUM(I28:AK28)</f>
        <v>128948</v>
      </c>
      <c r="AM28" s="36"/>
      <c r="AN28" s="37"/>
      <c r="AO28" s="37"/>
      <c r="AP28" s="22"/>
      <c r="AQ28" s="21"/>
      <c r="AR28" s="21"/>
      <c r="AS28" s="525"/>
      <c r="AT28" s="22"/>
      <c r="AU28" s="22"/>
      <c r="AV28" s="525"/>
    </row>
    <row r="29" spans="1:48" ht="15.75" thickBot="1">
      <c r="A29" s="42"/>
      <c r="B29" s="547"/>
      <c r="C29" s="550"/>
      <c r="D29" s="553"/>
      <c r="E29" s="556"/>
      <c r="F29" s="559"/>
      <c r="G29" s="29"/>
      <c r="H29" s="30" t="s">
        <v>17</v>
      </c>
      <c r="I29" s="31">
        <f>I28-I26</f>
        <v>12750</v>
      </c>
      <c r="J29" s="31">
        <f>I29+(J28-J26)</f>
        <v>12750</v>
      </c>
      <c r="K29" s="31">
        <f>J29+(K28-K26)</f>
        <v>12750</v>
      </c>
      <c r="L29" s="34"/>
      <c r="M29" s="31">
        <f>K29+(M28-M26)</f>
        <v>-11250</v>
      </c>
      <c r="N29" s="31">
        <f>M29+(N28-N26)</f>
        <v>-11250</v>
      </c>
      <c r="O29" s="31">
        <f>N29+(O28-O26)</f>
        <v>4971</v>
      </c>
      <c r="P29" s="34"/>
      <c r="Q29" s="34"/>
      <c r="R29" s="34"/>
      <c r="S29" s="34"/>
      <c r="T29" s="31">
        <f>O29+(T28-T26)</f>
        <v>-19029</v>
      </c>
      <c r="U29" s="31">
        <f>T29+(U28-U26)</f>
        <v>-8345</v>
      </c>
      <c r="V29" s="34"/>
      <c r="W29" s="31">
        <f>U29+(W28-W26)</f>
        <v>-8345</v>
      </c>
      <c r="X29" s="31">
        <f>W29+(X28-X26)</f>
        <v>-32345</v>
      </c>
      <c r="Y29" s="31">
        <f>X29+(Y28-Y26)</f>
        <v>-32345</v>
      </c>
      <c r="Z29" s="34"/>
      <c r="AA29" s="31">
        <f>Y29+(AA28-AA26)</f>
        <v>-13865</v>
      </c>
      <c r="AB29" s="31">
        <f>AA29+(AB28-AB26)</f>
        <v>-37865</v>
      </c>
      <c r="AC29" s="31">
        <f>AB29+(AC28-AC26)</f>
        <v>-18122</v>
      </c>
      <c r="AD29" s="31">
        <f>AC29+(AD28-AD26)</f>
        <v>-6844</v>
      </c>
      <c r="AE29" s="31">
        <f>AD29+(AE28-AE26)</f>
        <v>-30844</v>
      </c>
      <c r="AF29" s="31">
        <f>AE29+(AF28-AF26)</f>
        <v>-21437</v>
      </c>
      <c r="AG29" s="34"/>
      <c r="AH29" s="31">
        <f>AF29+(AH28-AH26)</f>
        <v>-14814</v>
      </c>
      <c r="AI29" s="31">
        <f>AH29+(AI28-AI26)</f>
        <v>-32348</v>
      </c>
      <c r="AJ29" s="31">
        <f>AI29+(AJ28-AJ26)</f>
        <v>-15052</v>
      </c>
      <c r="AK29" s="31">
        <f>AJ29+(AK28-AK26)</f>
        <v>-15052</v>
      </c>
      <c r="AL29" s="43"/>
      <c r="AM29" s="36"/>
      <c r="AN29" s="37"/>
      <c r="AO29" s="37"/>
      <c r="AP29" s="22"/>
      <c r="AQ29" s="21"/>
      <c r="AR29" s="21"/>
      <c r="AS29" s="21"/>
      <c r="AT29" s="22"/>
      <c r="AU29" s="22"/>
      <c r="AV29" s="21"/>
    </row>
    <row r="30" spans="1:48" ht="15" customHeight="1">
      <c r="A30" s="527" t="s">
        <v>31</v>
      </c>
      <c r="B30" s="530" t="s">
        <v>32</v>
      </c>
      <c r="C30" s="533">
        <v>12000</v>
      </c>
      <c r="D30" s="536">
        <v>1.2749999999999999</v>
      </c>
      <c r="E30" s="539"/>
      <c r="F30" s="542" t="s">
        <v>11</v>
      </c>
      <c r="G30" s="16" t="s">
        <v>33</v>
      </c>
      <c r="H30" s="17" t="s">
        <v>13</v>
      </c>
      <c r="I30" s="18">
        <f>$I$38*2</f>
        <v>30599.999999999996</v>
      </c>
      <c r="J30" s="18">
        <f>$I$38*2</f>
        <v>30599.999999999996</v>
      </c>
      <c r="K30" s="18">
        <f>$I$38*2</f>
        <v>30599.999999999996</v>
      </c>
      <c r="L30" s="19"/>
      <c r="M30" s="18">
        <f>$I$38*2</f>
        <v>30599.999999999996</v>
      </c>
      <c r="N30" s="18">
        <f>$I$38*2</f>
        <v>30599.999999999996</v>
      </c>
      <c r="O30" s="18">
        <f>$I$38*2</f>
        <v>30599.999999999996</v>
      </c>
      <c r="P30" s="19"/>
      <c r="Q30" s="19"/>
      <c r="R30" s="19"/>
      <c r="S30" s="19"/>
      <c r="T30" s="18">
        <f>$I$38*2</f>
        <v>30599.999999999996</v>
      </c>
      <c r="U30" s="18">
        <f>$I$38*2</f>
        <v>30599.999999999996</v>
      </c>
      <c r="V30" s="19"/>
      <c r="W30" s="18">
        <f>$I$38*2</f>
        <v>30599.999999999996</v>
      </c>
      <c r="X30" s="18">
        <f>$I$38*2</f>
        <v>30599.999999999996</v>
      </c>
      <c r="Y30" s="18">
        <f>$I$38*2</f>
        <v>30599.999999999996</v>
      </c>
      <c r="Z30" s="19"/>
      <c r="AA30" s="18">
        <f t="shared" ref="AA30:AF30" si="6">$I$38*2</f>
        <v>30599.999999999996</v>
      </c>
      <c r="AB30" s="18">
        <f t="shared" si="6"/>
        <v>30599.999999999996</v>
      </c>
      <c r="AC30" s="18">
        <f t="shared" si="6"/>
        <v>30599.999999999996</v>
      </c>
      <c r="AD30" s="18">
        <f t="shared" si="6"/>
        <v>30599.999999999996</v>
      </c>
      <c r="AE30" s="18">
        <f t="shared" si="6"/>
        <v>30599.999999999996</v>
      </c>
      <c r="AF30" s="18">
        <f t="shared" si="6"/>
        <v>30599.999999999996</v>
      </c>
      <c r="AG30" s="19"/>
      <c r="AH30" s="18">
        <f>$I$38*2</f>
        <v>30599.999999999996</v>
      </c>
      <c r="AI30" s="18">
        <f>$I$38*2</f>
        <v>30599.999999999996</v>
      </c>
      <c r="AJ30" s="18">
        <f>$I$38*2</f>
        <v>30599.999999999996</v>
      </c>
      <c r="AK30" s="44">
        <f>$I$38*2</f>
        <v>30599.999999999996</v>
      </c>
      <c r="AL30" s="20">
        <f>SUM(I30:AK30)</f>
        <v>642599.99999999988</v>
      </c>
      <c r="AM30" s="21"/>
      <c r="AN30" s="21"/>
      <c r="AO30" s="21"/>
      <c r="AP30" s="21"/>
      <c r="AQ30" s="21"/>
      <c r="AR30" s="21"/>
      <c r="AS30" s="525"/>
      <c r="AT30" s="22"/>
      <c r="AU30" s="22"/>
      <c r="AV30" s="525"/>
    </row>
    <row r="31" spans="1:48">
      <c r="A31" s="528"/>
      <c r="B31" s="531"/>
      <c r="C31" s="534"/>
      <c r="D31" s="537"/>
      <c r="E31" s="540"/>
      <c r="F31" s="543"/>
      <c r="G31" s="23"/>
      <c r="H31" s="24" t="s">
        <v>15</v>
      </c>
      <c r="I31" s="25">
        <v>1</v>
      </c>
      <c r="J31" s="25">
        <v>1</v>
      </c>
      <c r="K31" s="25">
        <v>1</v>
      </c>
      <c r="L31" s="26"/>
      <c r="M31" s="25">
        <v>1</v>
      </c>
      <c r="N31" s="25">
        <v>1</v>
      </c>
      <c r="O31" s="25">
        <v>1</v>
      </c>
      <c r="P31" s="26"/>
      <c r="Q31" s="26"/>
      <c r="R31" s="26"/>
      <c r="S31" s="26"/>
      <c r="T31" s="25">
        <v>1</v>
      </c>
      <c r="U31" s="25">
        <v>1</v>
      </c>
      <c r="V31" s="26"/>
      <c r="W31" s="25">
        <v>1</v>
      </c>
      <c r="X31" s="25">
        <v>1</v>
      </c>
      <c r="Y31" s="25">
        <v>1</v>
      </c>
      <c r="Z31" s="26"/>
      <c r="AA31" s="25">
        <v>1</v>
      </c>
      <c r="AB31" s="25">
        <v>1</v>
      </c>
      <c r="AC31" s="25">
        <v>1</v>
      </c>
      <c r="AD31" s="25">
        <v>1</v>
      </c>
      <c r="AE31" s="25">
        <v>1</v>
      </c>
      <c r="AF31" s="25">
        <v>1</v>
      </c>
      <c r="AG31" s="26"/>
      <c r="AH31" s="25">
        <v>1</v>
      </c>
      <c r="AI31" s="25">
        <v>1</v>
      </c>
      <c r="AJ31" s="25">
        <v>1</v>
      </c>
      <c r="AK31" s="27">
        <v>1</v>
      </c>
      <c r="AL31" s="28"/>
      <c r="AM31" s="21"/>
      <c r="AN31" s="21"/>
      <c r="AO31" s="21"/>
      <c r="AP31" s="21"/>
      <c r="AQ31" s="21"/>
      <c r="AR31" s="21"/>
      <c r="AS31" s="525"/>
      <c r="AT31" s="22"/>
      <c r="AU31" s="22"/>
      <c r="AV31" s="525"/>
    </row>
    <row r="32" spans="1:48">
      <c r="A32" s="528"/>
      <c r="B32" s="531"/>
      <c r="C32" s="534"/>
      <c r="D32" s="537"/>
      <c r="E32" s="540"/>
      <c r="F32" s="543"/>
      <c r="G32" s="29"/>
      <c r="H32" s="30" t="s">
        <v>16</v>
      </c>
      <c r="I32" s="31">
        <f>10722+10053</f>
        <v>20775</v>
      </c>
      <c r="J32" s="31">
        <f>7594+10955</f>
        <v>18549</v>
      </c>
      <c r="K32" s="31">
        <f>6795+5480+2412</f>
        <v>14687</v>
      </c>
      <c r="L32" s="26"/>
      <c r="M32" s="31">
        <f>9845+9744</f>
        <v>19589</v>
      </c>
      <c r="N32" s="31">
        <f>11826+8169</f>
        <v>19995</v>
      </c>
      <c r="O32" s="31">
        <f>11818+8132</f>
        <v>19950</v>
      </c>
      <c r="P32" s="26"/>
      <c r="Q32" s="26"/>
      <c r="R32" s="26"/>
      <c r="S32" s="26"/>
      <c r="T32" s="31">
        <f>10193+11275</f>
        <v>21468</v>
      </c>
      <c r="U32" s="31">
        <f>10824+8177</f>
        <v>19001</v>
      </c>
      <c r="V32" s="26"/>
      <c r="W32" s="31">
        <f>6371+5506</f>
        <v>11877</v>
      </c>
      <c r="X32" s="31">
        <f>7221+9622</f>
        <v>16843</v>
      </c>
      <c r="Y32" s="31">
        <f>13742+9539</f>
        <v>23281</v>
      </c>
      <c r="Z32" s="26"/>
      <c r="AA32" s="31">
        <f>7704+9948</f>
        <v>17652</v>
      </c>
      <c r="AB32" s="31">
        <f>11701+4960</f>
        <v>16661</v>
      </c>
      <c r="AC32" s="31">
        <f>11238+10634</f>
        <v>21872</v>
      </c>
      <c r="AD32" s="31">
        <f>15676+9099+15814</f>
        <v>40589</v>
      </c>
      <c r="AE32" s="31">
        <f>21850+19674+16110</f>
        <v>57634</v>
      </c>
      <c r="AF32" s="31">
        <f>13074+11406</f>
        <v>24480</v>
      </c>
      <c r="AG32" s="26"/>
      <c r="AH32" s="31">
        <f>21022+13997+20775</f>
        <v>55794</v>
      </c>
      <c r="AI32" s="31">
        <f>12140+7496+16674</f>
        <v>36310</v>
      </c>
      <c r="AJ32" s="31">
        <f>11374+6460+10588</f>
        <v>28422</v>
      </c>
      <c r="AK32" s="32">
        <f>14207+7140+15082</f>
        <v>36429</v>
      </c>
      <c r="AL32" s="33">
        <f>SUM(I32:AK32)</f>
        <v>541858</v>
      </c>
      <c r="AM32" s="21"/>
      <c r="AN32" s="21"/>
      <c r="AO32" s="21"/>
      <c r="AP32" s="21"/>
      <c r="AQ32" s="21"/>
      <c r="AR32" s="21"/>
      <c r="AS32" s="525"/>
      <c r="AT32" s="22"/>
      <c r="AU32" s="22"/>
      <c r="AV32" s="525"/>
    </row>
    <row r="33" spans="1:48">
      <c r="A33" s="528"/>
      <c r="B33" s="531"/>
      <c r="C33" s="534"/>
      <c r="D33" s="537"/>
      <c r="E33" s="540"/>
      <c r="F33" s="543"/>
      <c r="G33" s="29"/>
      <c r="H33" s="30" t="s">
        <v>17</v>
      </c>
      <c r="I33" s="31">
        <f>I32-I30</f>
        <v>-9824.9999999999964</v>
      </c>
      <c r="J33" s="31">
        <f>I33+(J32-J30)</f>
        <v>-21875.999999999993</v>
      </c>
      <c r="K33" s="31">
        <f>J33+(K32-K30)</f>
        <v>-37788.999999999985</v>
      </c>
      <c r="L33" s="26"/>
      <c r="M33" s="31">
        <f>K33+(M32-M30)</f>
        <v>-48799.999999999985</v>
      </c>
      <c r="N33" s="31">
        <f>M33+(N32-N30)</f>
        <v>-59404.999999999985</v>
      </c>
      <c r="O33" s="31">
        <f>N33+(O32-O30)</f>
        <v>-70054.999999999985</v>
      </c>
      <c r="P33" s="26"/>
      <c r="Q33" s="26"/>
      <c r="R33" s="26"/>
      <c r="S33" s="26"/>
      <c r="T33" s="31">
        <f>O33+(T32-T30)</f>
        <v>-79186.999999999985</v>
      </c>
      <c r="U33" s="31">
        <f>T33+(U32-U30)</f>
        <v>-90785.999999999985</v>
      </c>
      <c r="V33" s="26"/>
      <c r="W33" s="31">
        <f>U33+(W32-W30)</f>
        <v>-109508.99999999999</v>
      </c>
      <c r="X33" s="31">
        <f>W33+(X32-X30)</f>
        <v>-123265.99999999999</v>
      </c>
      <c r="Y33" s="31">
        <f>X33+(Y32-Y30)</f>
        <v>-130584.99999999999</v>
      </c>
      <c r="Z33" s="26"/>
      <c r="AA33" s="31">
        <f>Y33+(AA32-AA30)</f>
        <v>-143532.99999999997</v>
      </c>
      <c r="AB33" s="31">
        <f>AA33+(AB32-AB30)</f>
        <v>-157471.99999999997</v>
      </c>
      <c r="AC33" s="31">
        <f>AB33+(AC32-AC30)</f>
        <v>-166199.99999999997</v>
      </c>
      <c r="AD33" s="31">
        <f>AC33+(AD32-AD30)</f>
        <v>-156210.99999999997</v>
      </c>
      <c r="AE33" s="31">
        <f>AD33+(AE32-AE30)</f>
        <v>-129176.99999999997</v>
      </c>
      <c r="AF33" s="31">
        <f>AE33+(AF32-AF30)</f>
        <v>-135296.99999999997</v>
      </c>
      <c r="AG33" s="26"/>
      <c r="AH33" s="31">
        <f>AF33+(AH32-AH30)</f>
        <v>-110102.99999999997</v>
      </c>
      <c r="AI33" s="31">
        <f>AH33+(AI32-AI30)</f>
        <v>-104392.99999999997</v>
      </c>
      <c r="AJ33" s="31">
        <f>AI33+(AJ32-AJ30)</f>
        <v>-106570.99999999997</v>
      </c>
      <c r="AK33" s="31">
        <f>AJ33+(AK32-AK30)</f>
        <v>-100741.99999999997</v>
      </c>
      <c r="AL33" s="33"/>
      <c r="AM33" s="21"/>
      <c r="AN33" s="21"/>
      <c r="AO33" s="21"/>
      <c r="AP33" s="21"/>
      <c r="AQ33" s="21"/>
      <c r="AR33" s="21"/>
      <c r="AS33" s="525"/>
      <c r="AT33" s="22"/>
      <c r="AU33" s="22"/>
      <c r="AV33" s="525"/>
    </row>
    <row r="34" spans="1:48">
      <c r="A34" s="528"/>
      <c r="B34" s="531"/>
      <c r="C34" s="534"/>
      <c r="D34" s="537"/>
      <c r="E34" s="540"/>
      <c r="F34" s="543"/>
      <c r="G34" s="23" t="s">
        <v>34</v>
      </c>
      <c r="H34" s="24" t="s">
        <v>35</v>
      </c>
      <c r="I34" s="25">
        <f>$I$45*2</f>
        <v>30599.999999999996</v>
      </c>
      <c r="J34" s="25">
        <f>$I$45*2</f>
        <v>30599.999999999996</v>
      </c>
      <c r="K34" s="25">
        <f>$I$45*2</f>
        <v>30599.999999999996</v>
      </c>
      <c r="L34" s="26"/>
      <c r="M34" s="25">
        <f>$I$45*2</f>
        <v>30599.999999999996</v>
      </c>
      <c r="N34" s="25">
        <f>$I$45*2</f>
        <v>30599.999999999996</v>
      </c>
      <c r="O34" s="25"/>
      <c r="P34" s="26"/>
      <c r="Q34" s="26"/>
      <c r="R34" s="26"/>
      <c r="S34" s="26"/>
      <c r="T34" s="25"/>
      <c r="U34" s="25">
        <f>($I$45*2)*3</f>
        <v>91799.999999999985</v>
      </c>
      <c r="V34" s="26"/>
      <c r="W34" s="25">
        <f>$I$45*2</f>
        <v>30599.999999999996</v>
      </c>
      <c r="X34" s="25">
        <f>$I$45*2</f>
        <v>30599.999999999996</v>
      </c>
      <c r="Y34" s="25">
        <f>$I$45*2</f>
        <v>30599.999999999996</v>
      </c>
      <c r="Z34" s="26"/>
      <c r="AA34" s="25">
        <f t="shared" ref="AA34:AF34" si="7">$I$45*2</f>
        <v>30599.999999999996</v>
      </c>
      <c r="AB34" s="25">
        <f t="shared" si="7"/>
        <v>30599.999999999996</v>
      </c>
      <c r="AC34" s="25">
        <f t="shared" si="7"/>
        <v>30599.999999999996</v>
      </c>
      <c r="AD34" s="25">
        <f t="shared" si="7"/>
        <v>30599.999999999996</v>
      </c>
      <c r="AE34" s="25">
        <f t="shared" si="7"/>
        <v>30599.999999999996</v>
      </c>
      <c r="AF34" s="25">
        <f t="shared" si="7"/>
        <v>30599.999999999996</v>
      </c>
      <c r="AG34" s="26"/>
      <c r="AH34" s="25">
        <f>$I$45*2</f>
        <v>30599.999999999996</v>
      </c>
      <c r="AI34" s="25">
        <f>$I$45*2</f>
        <v>30599.999999999996</v>
      </c>
      <c r="AJ34" s="25">
        <f>$I$45*2</f>
        <v>30599.999999999996</v>
      </c>
      <c r="AK34" s="27">
        <f>$I$45*2</f>
        <v>30599.999999999996</v>
      </c>
      <c r="AL34" s="28">
        <f>SUM(I34:AK34)</f>
        <v>642599.99999999988</v>
      </c>
      <c r="AM34" s="21"/>
      <c r="AN34" s="21"/>
      <c r="AO34" s="21"/>
      <c r="AP34" s="21"/>
      <c r="AQ34" s="21"/>
      <c r="AR34" s="21"/>
      <c r="AS34" s="525"/>
      <c r="AT34" s="22"/>
      <c r="AU34" s="22"/>
      <c r="AV34" s="525"/>
    </row>
    <row r="35" spans="1:48">
      <c r="A35" s="528"/>
      <c r="B35" s="531"/>
      <c r="C35" s="534"/>
      <c r="D35" s="537"/>
      <c r="E35" s="540"/>
      <c r="F35" s="543"/>
      <c r="G35" s="23"/>
      <c r="H35" s="24" t="s">
        <v>15</v>
      </c>
      <c r="I35" s="25">
        <v>4</v>
      </c>
      <c r="J35" s="25">
        <v>4</v>
      </c>
      <c r="K35" s="25">
        <v>4</v>
      </c>
      <c r="L35" s="26"/>
      <c r="M35" s="25">
        <v>4</v>
      </c>
      <c r="N35" s="25">
        <v>4</v>
      </c>
      <c r="O35" s="25"/>
      <c r="P35" s="26"/>
      <c r="Q35" s="26"/>
      <c r="R35" s="26"/>
      <c r="S35" s="26"/>
      <c r="T35" s="25"/>
      <c r="U35" s="25">
        <v>4</v>
      </c>
      <c r="V35" s="26"/>
      <c r="W35" s="25">
        <v>4</v>
      </c>
      <c r="X35" s="25">
        <v>4</v>
      </c>
      <c r="Y35" s="25">
        <v>4</v>
      </c>
      <c r="Z35" s="26"/>
      <c r="AA35" s="25">
        <v>4</v>
      </c>
      <c r="AB35" s="25">
        <v>4</v>
      </c>
      <c r="AC35" s="25">
        <v>4</v>
      </c>
      <c r="AD35" s="25">
        <v>4</v>
      </c>
      <c r="AE35" s="25">
        <v>4</v>
      </c>
      <c r="AF35" s="25">
        <v>4</v>
      </c>
      <c r="AG35" s="26"/>
      <c r="AH35" s="25">
        <v>4</v>
      </c>
      <c r="AI35" s="25">
        <v>4</v>
      </c>
      <c r="AJ35" s="25">
        <v>4</v>
      </c>
      <c r="AK35" s="27">
        <v>4</v>
      </c>
      <c r="AL35" s="28"/>
      <c r="AM35" s="21"/>
      <c r="AN35" s="21"/>
      <c r="AO35" s="21"/>
      <c r="AP35" s="21"/>
      <c r="AQ35" s="21"/>
      <c r="AR35" s="21"/>
      <c r="AS35" s="525"/>
      <c r="AT35" s="22"/>
      <c r="AU35" s="22"/>
      <c r="AV35" s="525"/>
    </row>
    <row r="36" spans="1:48">
      <c r="A36" s="528"/>
      <c r="B36" s="531"/>
      <c r="C36" s="534"/>
      <c r="D36" s="537"/>
      <c r="E36" s="540"/>
      <c r="F36" s="543"/>
      <c r="G36" s="29"/>
      <c r="H36" s="30" t="s">
        <v>16</v>
      </c>
      <c r="I36" s="31">
        <f>5888+6598+6952+6165</f>
        <v>25603</v>
      </c>
      <c r="J36" s="31">
        <v>27203</v>
      </c>
      <c r="K36" s="31">
        <v>21342</v>
      </c>
      <c r="L36" s="26"/>
      <c r="M36" s="31">
        <v>19919</v>
      </c>
      <c r="N36" s="31">
        <f>4161</f>
        <v>4161</v>
      </c>
      <c r="O36" s="31"/>
      <c r="P36" s="26"/>
      <c r="Q36" s="26"/>
      <c r="R36" s="26"/>
      <c r="S36" s="26"/>
      <c r="T36" s="31"/>
      <c r="U36" s="31">
        <v>7779</v>
      </c>
      <c r="V36" s="26"/>
      <c r="W36" s="31">
        <f>6401+6468+6288+6749</f>
        <v>25906</v>
      </c>
      <c r="X36" s="31">
        <v>25964</v>
      </c>
      <c r="Y36" s="31">
        <v>24605</v>
      </c>
      <c r="Z36" s="26"/>
      <c r="AA36" s="31">
        <v>34454</v>
      </c>
      <c r="AB36" s="31">
        <v>25329</v>
      </c>
      <c r="AC36" s="31">
        <v>23189</v>
      </c>
      <c r="AD36" s="31">
        <v>24228</v>
      </c>
      <c r="AE36" s="31">
        <v>24948</v>
      </c>
      <c r="AF36" s="31">
        <v>19342</v>
      </c>
      <c r="AG36" s="26"/>
      <c r="AH36" s="31">
        <v>36850</v>
      </c>
      <c r="AI36" s="31">
        <v>32755</v>
      </c>
      <c r="AJ36" s="31">
        <v>36763</v>
      </c>
      <c r="AK36" s="32">
        <v>36854</v>
      </c>
      <c r="AL36" s="33">
        <f>SUM(I36:AK36)</f>
        <v>477194</v>
      </c>
      <c r="AM36" s="21"/>
      <c r="AN36" s="21"/>
      <c r="AO36" s="21"/>
      <c r="AP36" s="21"/>
      <c r="AQ36" s="21"/>
      <c r="AR36" s="21"/>
      <c r="AS36" s="525"/>
      <c r="AT36" s="22"/>
      <c r="AU36" s="22"/>
      <c r="AV36" s="525"/>
    </row>
    <row r="37" spans="1:48">
      <c r="A37" s="528"/>
      <c r="B37" s="531"/>
      <c r="C37" s="534"/>
      <c r="D37" s="537"/>
      <c r="E37" s="540"/>
      <c r="F37" s="543"/>
      <c r="G37" s="29"/>
      <c r="H37" s="30" t="s">
        <v>17</v>
      </c>
      <c r="I37" s="31">
        <f>I36-I34</f>
        <v>-4996.9999999999964</v>
      </c>
      <c r="J37" s="31">
        <f>I37+(J36-J34)</f>
        <v>-8393.9999999999927</v>
      </c>
      <c r="K37" s="31">
        <f>J37+(K36-K34)</f>
        <v>-17651.999999999989</v>
      </c>
      <c r="L37" s="26"/>
      <c r="M37" s="31">
        <f>K37+(M36-M34)</f>
        <v>-28332.999999999985</v>
      </c>
      <c r="N37" s="31">
        <f>M37+(N36-N34)</f>
        <v>-54771.999999999985</v>
      </c>
      <c r="O37" s="31">
        <f>N37+(O36-O34)</f>
        <v>-54771.999999999985</v>
      </c>
      <c r="P37" s="26"/>
      <c r="Q37" s="26"/>
      <c r="R37" s="26"/>
      <c r="S37" s="26"/>
      <c r="T37" s="31">
        <f>O37+(T36-T34)</f>
        <v>-54771.999999999985</v>
      </c>
      <c r="U37" s="31">
        <f>T37+(U36-U34)</f>
        <v>-138792.99999999997</v>
      </c>
      <c r="V37" s="26"/>
      <c r="W37" s="31">
        <f>U37+(W36-W34)</f>
        <v>-143486.99999999997</v>
      </c>
      <c r="X37" s="31">
        <f>W37+(X36-X34)</f>
        <v>-148122.99999999997</v>
      </c>
      <c r="Y37" s="31">
        <f>X37+(Y36-Y34)</f>
        <v>-154117.99999999997</v>
      </c>
      <c r="Z37" s="26"/>
      <c r="AA37" s="31">
        <f>Y37+(AA36-AA34)</f>
        <v>-150263.99999999997</v>
      </c>
      <c r="AB37" s="31">
        <f>AA37+(AB36-AB34)</f>
        <v>-155534.99999999997</v>
      </c>
      <c r="AC37" s="31">
        <f>AB37+(AC36-AC34)</f>
        <v>-162945.99999999997</v>
      </c>
      <c r="AD37" s="31">
        <f>AC37+(AD36-AD34)</f>
        <v>-169317.99999999997</v>
      </c>
      <c r="AE37" s="31">
        <f>AD37+(AE36-AE34)</f>
        <v>-174969.99999999997</v>
      </c>
      <c r="AF37" s="31">
        <f>AE37+(AF36-AF34)</f>
        <v>-186227.99999999997</v>
      </c>
      <c r="AG37" s="26"/>
      <c r="AH37" s="31">
        <f>AF37+(AH36-AH34)</f>
        <v>-179977.99999999997</v>
      </c>
      <c r="AI37" s="31">
        <f>AH37+(AI36-AI34)</f>
        <v>-177822.99999999997</v>
      </c>
      <c r="AJ37" s="31">
        <f>AI37+(AJ36-AJ34)</f>
        <v>-171659.99999999997</v>
      </c>
      <c r="AK37" s="31">
        <f>AJ37+(AK36-AK34)</f>
        <v>-165405.99999999997</v>
      </c>
      <c r="AL37" s="33"/>
      <c r="AM37" s="21"/>
      <c r="AN37" s="21"/>
      <c r="AO37" s="21"/>
      <c r="AP37" s="21"/>
      <c r="AQ37" s="21"/>
      <c r="AR37" s="21"/>
      <c r="AS37" s="525"/>
      <c r="AT37" s="22"/>
      <c r="AU37" s="22"/>
      <c r="AV37" s="525"/>
    </row>
    <row r="38" spans="1:48">
      <c r="A38" s="528"/>
      <c r="B38" s="531"/>
      <c r="C38" s="534"/>
      <c r="D38" s="537"/>
      <c r="E38" s="540"/>
      <c r="F38" s="543"/>
      <c r="G38" s="23" t="s">
        <v>20</v>
      </c>
      <c r="H38" s="24" t="s">
        <v>21</v>
      </c>
      <c r="I38" s="25">
        <f>$K$56*$D$30/2</f>
        <v>15299.999999999998</v>
      </c>
      <c r="J38" s="25"/>
      <c r="K38" s="25"/>
      <c r="L38" s="26"/>
      <c r="M38" s="25"/>
      <c r="N38" s="25"/>
      <c r="O38" s="25"/>
      <c r="P38" s="26"/>
      <c r="Q38" s="26"/>
      <c r="R38" s="26"/>
      <c r="S38" s="26"/>
      <c r="T38" s="25"/>
      <c r="U38" s="25">
        <f>($K$56*$D$30/2)*7</f>
        <v>107099.99999999999</v>
      </c>
      <c r="V38" s="26"/>
      <c r="W38" s="25"/>
      <c r="X38" s="25"/>
      <c r="Y38" s="25"/>
      <c r="Z38" s="26"/>
      <c r="AA38" s="25">
        <f>($K$56*$D$30/2)*4</f>
        <v>61199.999999999993</v>
      </c>
      <c r="AB38" s="25"/>
      <c r="AC38" s="25"/>
      <c r="AD38" s="25">
        <f>($K$56*$D$30/2)*3</f>
        <v>45899.999999999993</v>
      </c>
      <c r="AE38" s="25">
        <f t="shared" ref="AE38" si="8">$K$56*$D$30/2</f>
        <v>15299.999999999998</v>
      </c>
      <c r="AF38" s="25"/>
      <c r="AG38" s="26"/>
      <c r="AH38" s="25">
        <f>$K$56*$D$30/2</f>
        <v>15299.999999999998</v>
      </c>
      <c r="AI38" s="25">
        <f>$K$56*$D$30/2</f>
        <v>15299.999999999998</v>
      </c>
      <c r="AJ38" s="25"/>
      <c r="AK38" s="27">
        <f>$K$56*$D$30/2</f>
        <v>15299.999999999998</v>
      </c>
      <c r="AL38" s="28">
        <f>SUM(I38:AK38)</f>
        <v>290699.99999999994</v>
      </c>
      <c r="AM38" s="21"/>
      <c r="AN38" s="21"/>
      <c r="AO38" s="21"/>
      <c r="AP38" s="21"/>
      <c r="AQ38" s="21"/>
      <c r="AR38" s="21"/>
      <c r="AS38" s="525"/>
      <c r="AT38" s="22"/>
      <c r="AU38" s="22"/>
      <c r="AV38" s="525"/>
    </row>
    <row r="39" spans="1:48">
      <c r="A39" s="528"/>
      <c r="B39" s="531"/>
      <c r="C39" s="534"/>
      <c r="D39" s="537"/>
      <c r="E39" s="540"/>
      <c r="F39" s="543"/>
      <c r="G39" s="29"/>
      <c r="H39" s="30" t="s">
        <v>16</v>
      </c>
      <c r="I39" s="31">
        <f>16730</f>
        <v>16730</v>
      </c>
      <c r="J39" s="31"/>
      <c r="K39" s="31"/>
      <c r="L39" s="26"/>
      <c r="M39" s="31"/>
      <c r="N39" s="31"/>
      <c r="O39" s="31"/>
      <c r="P39" s="26"/>
      <c r="Q39" s="26"/>
      <c r="R39" s="26"/>
      <c r="S39" s="26"/>
      <c r="T39" s="31"/>
      <c r="U39" s="31">
        <f>11280+23744</f>
        <v>35024</v>
      </c>
      <c r="V39" s="26"/>
      <c r="W39" s="31"/>
      <c r="X39" s="31"/>
      <c r="Y39" s="31"/>
      <c r="Z39" s="26"/>
      <c r="AA39" s="31">
        <v>35393</v>
      </c>
      <c r="AB39" s="31"/>
      <c r="AC39" s="31"/>
      <c r="AD39" s="31">
        <f>4389+9121</f>
        <v>13510</v>
      </c>
      <c r="AE39" s="31">
        <f>32874</f>
        <v>32874</v>
      </c>
      <c r="AF39" s="31"/>
      <c r="AG39" s="26"/>
      <c r="AH39" s="31">
        <f>15398+16080+10920</f>
        <v>42398</v>
      </c>
      <c r="AI39" s="31">
        <f>6765</f>
        <v>6765</v>
      </c>
      <c r="AJ39" s="31"/>
      <c r="AK39" s="32">
        <f>35131</f>
        <v>35131</v>
      </c>
      <c r="AL39" s="33">
        <f>SUM(I39:AK39)</f>
        <v>217825</v>
      </c>
      <c r="AM39" s="21"/>
      <c r="AN39" s="21"/>
      <c r="AO39" s="21"/>
      <c r="AP39" s="21"/>
      <c r="AQ39" s="21"/>
      <c r="AR39" s="21"/>
      <c r="AS39" s="525"/>
      <c r="AT39" s="22"/>
      <c r="AU39" s="22"/>
      <c r="AV39" s="525"/>
    </row>
    <row r="40" spans="1:48">
      <c r="A40" s="528"/>
      <c r="B40" s="531"/>
      <c r="C40" s="534"/>
      <c r="D40" s="537"/>
      <c r="E40" s="540"/>
      <c r="F40" s="543"/>
      <c r="G40" s="29"/>
      <c r="H40" s="30" t="s">
        <v>17</v>
      </c>
      <c r="I40" s="31">
        <f>I39-I38</f>
        <v>1430.0000000000018</v>
      </c>
      <c r="J40" s="31">
        <f>I40+(J39-J38)</f>
        <v>1430.0000000000018</v>
      </c>
      <c r="K40" s="31">
        <f>J40+(K39-K38)</f>
        <v>1430.0000000000018</v>
      </c>
      <c r="L40" s="26"/>
      <c r="M40" s="31">
        <f>K40+(M39-M38)</f>
        <v>1430.0000000000018</v>
      </c>
      <c r="N40" s="31">
        <f>M40+(N39-N38)</f>
        <v>1430.0000000000018</v>
      </c>
      <c r="O40" s="31">
        <f>N40+(O39-O38)</f>
        <v>1430.0000000000018</v>
      </c>
      <c r="P40" s="26"/>
      <c r="Q40" s="26"/>
      <c r="R40" s="26"/>
      <c r="S40" s="26"/>
      <c r="T40" s="31">
        <f>O40+(T39-T38)</f>
        <v>1430.0000000000018</v>
      </c>
      <c r="U40" s="31">
        <f>T40+(U39-U38)</f>
        <v>-70645.999999999985</v>
      </c>
      <c r="V40" s="26"/>
      <c r="W40" s="31">
        <f>U40+(W39-W38)</f>
        <v>-70645.999999999985</v>
      </c>
      <c r="X40" s="31">
        <f>W40+(X39-X38)</f>
        <v>-70645.999999999985</v>
      </c>
      <c r="Y40" s="31">
        <f>X40+(Y39-Y38)</f>
        <v>-70645.999999999985</v>
      </c>
      <c r="Z40" s="26"/>
      <c r="AA40" s="31">
        <f>Y40+(AA39-AA38)</f>
        <v>-96452.999999999971</v>
      </c>
      <c r="AB40" s="31">
        <f>AA40+(AB39-AB38)</f>
        <v>-96452.999999999971</v>
      </c>
      <c r="AC40" s="31">
        <f>AB40+(AC39-AC38)</f>
        <v>-96452.999999999971</v>
      </c>
      <c r="AD40" s="31">
        <f>AC40+(AD39-AD38)</f>
        <v>-128842.99999999997</v>
      </c>
      <c r="AE40" s="31">
        <f>AD40+(AE39-AE38)</f>
        <v>-111268.99999999997</v>
      </c>
      <c r="AF40" s="31">
        <f>AE40+(AF39-AF38)</f>
        <v>-111268.99999999997</v>
      </c>
      <c r="AG40" s="26"/>
      <c r="AH40" s="31">
        <f>AF40+(AH39-AH38)</f>
        <v>-84170.999999999971</v>
      </c>
      <c r="AI40" s="31">
        <f>AH40+(AI39-AI38)</f>
        <v>-92705.999999999971</v>
      </c>
      <c r="AJ40" s="31">
        <f>AI40+(AJ39-AJ38)</f>
        <v>-92705.999999999971</v>
      </c>
      <c r="AK40" s="31">
        <f>AJ40+(AK39-AK38)</f>
        <v>-72874.999999999971</v>
      </c>
      <c r="AL40" s="33"/>
      <c r="AM40" s="21"/>
      <c r="AN40" s="21"/>
      <c r="AO40" s="21"/>
      <c r="AP40" s="21"/>
      <c r="AQ40" s="21"/>
      <c r="AR40" s="21"/>
      <c r="AS40" s="525"/>
      <c r="AT40" s="22"/>
      <c r="AU40" s="22"/>
      <c r="AV40" s="525"/>
    </row>
    <row r="41" spans="1:48">
      <c r="A41" s="528"/>
      <c r="B41" s="531"/>
      <c r="C41" s="534"/>
      <c r="D41" s="537"/>
      <c r="E41" s="540"/>
      <c r="F41" s="543"/>
      <c r="G41" s="23" t="s">
        <v>22</v>
      </c>
      <c r="H41" s="24" t="s">
        <v>23</v>
      </c>
      <c r="I41" s="25">
        <f>$K$56*$D$30/2</f>
        <v>15299.999999999998</v>
      </c>
      <c r="J41" s="25">
        <f>$K$56*$D$30/2</f>
        <v>15299.999999999998</v>
      </c>
      <c r="K41" s="25">
        <f>$K$56*$D$30/2</f>
        <v>15299.999999999998</v>
      </c>
      <c r="L41" s="26"/>
      <c r="M41" s="25">
        <f>$K$56*$D$30/2</f>
        <v>15299.999999999998</v>
      </c>
      <c r="N41" s="25"/>
      <c r="O41" s="25">
        <f>($K$56*$D$30/2)*2</f>
        <v>30599.999999999996</v>
      </c>
      <c r="P41" s="26"/>
      <c r="Q41" s="26"/>
      <c r="R41" s="26"/>
      <c r="S41" s="26"/>
      <c r="T41" s="25"/>
      <c r="U41" s="25">
        <f>($K$56*$D$30/2)*2</f>
        <v>30599.999999999996</v>
      </c>
      <c r="V41" s="26"/>
      <c r="W41" s="25"/>
      <c r="X41" s="25"/>
      <c r="Y41" s="25"/>
      <c r="Z41" s="26"/>
      <c r="AA41" s="25">
        <f>($K$56*$D$30/2)*4</f>
        <v>61199.999999999993</v>
      </c>
      <c r="AB41" s="25"/>
      <c r="AC41" s="25"/>
      <c r="AD41" s="25">
        <f>($K$56*$D$30/2)*3</f>
        <v>45899.999999999993</v>
      </c>
      <c r="AE41" s="25">
        <f t="shared" ref="AE41:AF41" si="9">$K$56*$D$30/2</f>
        <v>15299.999999999998</v>
      </c>
      <c r="AF41" s="25">
        <f t="shared" si="9"/>
        <v>15299.999999999998</v>
      </c>
      <c r="AG41" s="26"/>
      <c r="AH41" s="25">
        <f>$K$56*$D$30/2</f>
        <v>15299.999999999998</v>
      </c>
      <c r="AI41" s="25">
        <f>$K$56*$D$30/2</f>
        <v>15299.999999999998</v>
      </c>
      <c r="AJ41" s="25">
        <f>$K$56*$D$30/2</f>
        <v>15299.999999999998</v>
      </c>
      <c r="AK41" s="27">
        <f>$K$56*$D$30/2</f>
        <v>15299.999999999998</v>
      </c>
      <c r="AL41" s="28">
        <f>SUM(I41:AK41)</f>
        <v>321299.99999999994</v>
      </c>
      <c r="AM41" s="21"/>
      <c r="AN41" s="21"/>
      <c r="AO41" s="21"/>
      <c r="AP41" s="21"/>
      <c r="AQ41" s="21"/>
      <c r="AR41" s="21"/>
      <c r="AS41" s="525"/>
      <c r="AT41" s="22"/>
      <c r="AU41" s="22"/>
      <c r="AV41" s="525"/>
    </row>
    <row r="42" spans="1:48">
      <c r="A42" s="528"/>
      <c r="B42" s="531"/>
      <c r="C42" s="534"/>
      <c r="D42" s="537"/>
      <c r="E42" s="540"/>
      <c r="F42" s="543"/>
      <c r="G42" s="23"/>
      <c r="H42" s="24" t="s">
        <v>24</v>
      </c>
      <c r="I42" s="25">
        <v>1</v>
      </c>
      <c r="J42" s="25">
        <v>1</v>
      </c>
      <c r="K42" s="25">
        <v>1</v>
      </c>
      <c r="L42" s="26"/>
      <c r="M42" s="25">
        <v>1</v>
      </c>
      <c r="N42" s="25"/>
      <c r="O42" s="25">
        <v>1</v>
      </c>
      <c r="P42" s="26"/>
      <c r="Q42" s="26"/>
      <c r="R42" s="26"/>
      <c r="S42" s="26"/>
      <c r="T42" s="25"/>
      <c r="U42" s="25">
        <v>1</v>
      </c>
      <c r="V42" s="26"/>
      <c r="W42" s="25"/>
      <c r="X42" s="25"/>
      <c r="Y42" s="25"/>
      <c r="Z42" s="26"/>
      <c r="AA42" s="25">
        <v>1</v>
      </c>
      <c r="AB42" s="25"/>
      <c r="AC42" s="25"/>
      <c r="AD42" s="25">
        <v>1</v>
      </c>
      <c r="AE42" s="25">
        <v>1</v>
      </c>
      <c r="AF42" s="25">
        <v>1</v>
      </c>
      <c r="AG42" s="26"/>
      <c r="AH42" s="25">
        <v>1</v>
      </c>
      <c r="AI42" s="25">
        <v>1</v>
      </c>
      <c r="AJ42" s="25">
        <v>1</v>
      </c>
      <c r="AK42" s="27">
        <v>1</v>
      </c>
      <c r="AL42" s="28"/>
      <c r="AM42" s="21"/>
      <c r="AN42" s="21"/>
      <c r="AO42" s="21"/>
      <c r="AP42" s="21"/>
      <c r="AQ42" s="21"/>
      <c r="AR42" s="21"/>
      <c r="AS42" s="525"/>
      <c r="AT42" s="22"/>
      <c r="AU42" s="22"/>
      <c r="AV42" s="525"/>
    </row>
    <row r="43" spans="1:48">
      <c r="A43" s="528"/>
      <c r="B43" s="531"/>
      <c r="C43" s="534"/>
      <c r="D43" s="537"/>
      <c r="E43" s="540"/>
      <c r="F43" s="543"/>
      <c r="G43" s="45"/>
      <c r="H43" s="30" t="s">
        <v>16</v>
      </c>
      <c r="I43" s="31">
        <f>15130</f>
        <v>15130</v>
      </c>
      <c r="J43" s="31">
        <f>27685</f>
        <v>27685</v>
      </c>
      <c r="K43" s="31">
        <f>25905</f>
        <v>25905</v>
      </c>
      <c r="L43" s="26"/>
      <c r="M43" s="31">
        <f>25905</f>
        <v>25905</v>
      </c>
      <c r="N43" s="31"/>
      <c r="O43" s="31">
        <f>26779</f>
        <v>26779</v>
      </c>
      <c r="P43" s="26"/>
      <c r="Q43" s="26"/>
      <c r="R43" s="26"/>
      <c r="S43" s="26"/>
      <c r="T43" s="31"/>
      <c r="U43" s="31">
        <f>19530</f>
        <v>19530</v>
      </c>
      <c r="V43" s="26"/>
      <c r="W43" s="31"/>
      <c r="X43" s="31"/>
      <c r="Y43" s="31"/>
      <c r="Z43" s="26"/>
      <c r="AA43" s="31">
        <v>27382</v>
      </c>
      <c r="AB43" s="31"/>
      <c r="AC43" s="31"/>
      <c r="AD43" s="31">
        <f>43334</f>
        <v>43334</v>
      </c>
      <c r="AE43" s="31"/>
      <c r="AF43" s="31"/>
      <c r="AG43" s="26"/>
      <c r="AH43" s="31">
        <f>35605</f>
        <v>35605</v>
      </c>
      <c r="AI43" s="31"/>
      <c r="AJ43" s="31"/>
      <c r="AK43" s="32"/>
      <c r="AL43" s="33">
        <f>SUM(I43:AK43)</f>
        <v>247255</v>
      </c>
      <c r="AM43" s="21"/>
      <c r="AN43" s="21"/>
      <c r="AO43" s="21"/>
      <c r="AP43" s="21"/>
      <c r="AQ43" s="21"/>
      <c r="AR43" s="21"/>
      <c r="AS43" s="525"/>
      <c r="AT43" s="22"/>
      <c r="AU43" s="22"/>
      <c r="AV43" s="525"/>
    </row>
    <row r="44" spans="1:48">
      <c r="A44" s="528"/>
      <c r="B44" s="531"/>
      <c r="C44" s="534"/>
      <c r="D44" s="537"/>
      <c r="E44" s="540"/>
      <c r="F44" s="543"/>
      <c r="G44" s="29"/>
      <c r="H44" s="30" t="s">
        <v>17</v>
      </c>
      <c r="I44" s="31">
        <f>I43-I41</f>
        <v>-169.99999999999818</v>
      </c>
      <c r="J44" s="31">
        <f>I44+(J43-J41)</f>
        <v>12215.000000000004</v>
      </c>
      <c r="K44" s="31">
        <f>J44+(K43-K41)</f>
        <v>22820.000000000007</v>
      </c>
      <c r="L44" s="26"/>
      <c r="M44" s="31">
        <f>K44+(M43-M41)</f>
        <v>33425.000000000007</v>
      </c>
      <c r="N44" s="31">
        <f>M44+(N43-N41)</f>
        <v>33425.000000000007</v>
      </c>
      <c r="O44" s="31">
        <f>N44+(O43-O41)</f>
        <v>29604.000000000011</v>
      </c>
      <c r="P44" s="26"/>
      <c r="Q44" s="26"/>
      <c r="R44" s="26"/>
      <c r="S44" s="26"/>
      <c r="T44" s="31">
        <f>O44+(T43-T41)</f>
        <v>29604.000000000011</v>
      </c>
      <c r="U44" s="31">
        <f>T44+(U43-U41)</f>
        <v>18534.000000000015</v>
      </c>
      <c r="V44" s="26"/>
      <c r="W44" s="31">
        <f>U44+(W43-W41)</f>
        <v>18534.000000000015</v>
      </c>
      <c r="X44" s="31">
        <f>W44+(X43-X41)</f>
        <v>18534.000000000015</v>
      </c>
      <c r="Y44" s="31">
        <f>X44+(Y43-Y41)</f>
        <v>18534.000000000015</v>
      </c>
      <c r="Z44" s="26"/>
      <c r="AA44" s="31">
        <f>Y44+(AA43-AA41)</f>
        <v>-15283.999999999978</v>
      </c>
      <c r="AB44" s="31">
        <f>AA44+(AB43-AB41)</f>
        <v>-15283.999999999978</v>
      </c>
      <c r="AC44" s="31">
        <f>AB44+(AC43-AC41)</f>
        <v>-15283.999999999978</v>
      </c>
      <c r="AD44" s="31">
        <f>AC44+(AD43-AD41)</f>
        <v>-17849.999999999971</v>
      </c>
      <c r="AE44" s="31">
        <f>AD44+(AE43-AE41)</f>
        <v>-33149.999999999971</v>
      </c>
      <c r="AF44" s="31"/>
      <c r="AG44" s="26"/>
      <c r="AH44" s="31"/>
      <c r="AI44" s="31"/>
      <c r="AJ44" s="31"/>
      <c r="AK44" s="32"/>
      <c r="AL44" s="33"/>
      <c r="AM44" s="21"/>
      <c r="AN44" s="21"/>
      <c r="AO44" s="21"/>
      <c r="AP44" s="21"/>
      <c r="AQ44" s="21"/>
      <c r="AR44" s="21"/>
      <c r="AS44" s="525"/>
      <c r="AT44" s="22"/>
      <c r="AU44" s="22"/>
      <c r="AV44" s="525"/>
    </row>
    <row r="45" spans="1:48">
      <c r="A45" s="528"/>
      <c r="B45" s="531"/>
      <c r="C45" s="534"/>
      <c r="D45" s="537"/>
      <c r="E45" s="540"/>
      <c r="F45" s="543"/>
      <c r="G45" s="23" t="s">
        <v>25</v>
      </c>
      <c r="H45" s="24" t="s">
        <v>26</v>
      </c>
      <c r="I45" s="25">
        <f>$K$56*$D$30/2</f>
        <v>15299.999999999998</v>
      </c>
      <c r="J45" s="25">
        <f>$K$56*$D$30/2</f>
        <v>15299.999999999998</v>
      </c>
      <c r="K45" s="25"/>
      <c r="L45" s="26"/>
      <c r="M45" s="25"/>
      <c r="N45" s="25"/>
      <c r="O45" s="25"/>
      <c r="P45" s="26"/>
      <c r="Q45" s="26"/>
      <c r="R45" s="26"/>
      <c r="S45" s="26"/>
      <c r="T45" s="25"/>
      <c r="U45" s="25"/>
      <c r="V45" s="26"/>
      <c r="W45" s="25"/>
      <c r="X45" s="25"/>
      <c r="Y45" s="25"/>
      <c r="Z45" s="26"/>
      <c r="AA45" s="25"/>
      <c r="AB45" s="25">
        <f>($K$56*$D$30/2)*11</f>
        <v>168299.99999999997</v>
      </c>
      <c r="AC45" s="25">
        <f t="shared" ref="AC45" si="10">$K$56*$D$30/2</f>
        <v>15299.999999999998</v>
      </c>
      <c r="AD45" s="25"/>
      <c r="AE45" s="25"/>
      <c r="AF45" s="25"/>
      <c r="AG45" s="26"/>
      <c r="AH45" s="25"/>
      <c r="AI45" s="25">
        <f>($K$56*$D$30/2)*5</f>
        <v>76499.999999999985</v>
      </c>
      <c r="AJ45" s="25"/>
      <c r="AK45" s="27">
        <f>($K$56*$D$30/2)*2</f>
        <v>30599.999999999996</v>
      </c>
      <c r="AL45" s="28">
        <f>SUM(I45:AK45)</f>
        <v>321299.99999999994</v>
      </c>
      <c r="AM45" s="21"/>
      <c r="AN45" s="21"/>
      <c r="AO45" s="21"/>
      <c r="AP45" s="21"/>
      <c r="AQ45" s="21"/>
      <c r="AR45" s="21"/>
      <c r="AS45" s="525"/>
      <c r="AT45" s="22"/>
      <c r="AU45" s="22"/>
      <c r="AV45" s="525"/>
    </row>
    <row r="46" spans="1:48">
      <c r="A46" s="528"/>
      <c r="B46" s="531"/>
      <c r="C46" s="534"/>
      <c r="D46" s="537"/>
      <c r="E46" s="540"/>
      <c r="F46" s="543"/>
      <c r="G46" s="29"/>
      <c r="H46" s="30" t="s">
        <v>16</v>
      </c>
      <c r="I46" s="31">
        <f>41155</f>
        <v>41155</v>
      </c>
      <c r="J46" s="31">
        <f>45917</f>
        <v>45917</v>
      </c>
      <c r="K46" s="31"/>
      <c r="L46" s="26"/>
      <c r="M46" s="31"/>
      <c r="N46" s="31"/>
      <c r="O46" s="31"/>
      <c r="P46" s="26"/>
      <c r="Q46" s="26"/>
      <c r="R46" s="26"/>
      <c r="S46" s="26"/>
      <c r="T46" s="31"/>
      <c r="U46" s="31"/>
      <c r="V46" s="26"/>
      <c r="W46" s="31"/>
      <c r="X46" s="31"/>
      <c r="Y46" s="31"/>
      <c r="Z46" s="26"/>
      <c r="AA46" s="31"/>
      <c r="AB46" s="31">
        <f>53172</f>
        <v>53172</v>
      </c>
      <c r="AC46" s="31">
        <f>33831</f>
        <v>33831</v>
      </c>
      <c r="AD46" s="31"/>
      <c r="AE46" s="31"/>
      <c r="AF46" s="31"/>
      <c r="AG46" s="26"/>
      <c r="AH46" s="31"/>
      <c r="AI46" s="31">
        <f>48459</f>
        <v>48459</v>
      </c>
      <c r="AJ46" s="31"/>
      <c r="AK46" s="32">
        <f>61426+24748</f>
        <v>86174</v>
      </c>
      <c r="AL46" s="33">
        <f>SUM(I46:AK46)</f>
        <v>308708</v>
      </c>
      <c r="AM46" s="21"/>
      <c r="AN46" s="21"/>
      <c r="AO46" s="21"/>
      <c r="AP46" s="21"/>
      <c r="AQ46" s="21"/>
      <c r="AR46" s="21"/>
      <c r="AS46" s="525"/>
      <c r="AT46" s="22"/>
      <c r="AU46" s="22"/>
      <c r="AV46" s="525"/>
    </row>
    <row r="47" spans="1:48">
      <c r="A47" s="528"/>
      <c r="B47" s="531"/>
      <c r="C47" s="534"/>
      <c r="D47" s="537"/>
      <c r="E47" s="540"/>
      <c r="F47" s="543"/>
      <c r="G47" s="29"/>
      <c r="H47" s="30" t="s">
        <v>17</v>
      </c>
      <c r="I47" s="31">
        <f>I46-I45</f>
        <v>25855</v>
      </c>
      <c r="J47" s="31">
        <f>I47+(J46-J45)</f>
        <v>56472</v>
      </c>
      <c r="K47" s="31">
        <f>J47+(K46-K45)</f>
        <v>56472</v>
      </c>
      <c r="L47" s="26"/>
      <c r="M47" s="31">
        <f>K47+(M46-M45)</f>
        <v>56472</v>
      </c>
      <c r="N47" s="31">
        <f>M47+(N46-N45)</f>
        <v>56472</v>
      </c>
      <c r="O47" s="31">
        <f>N47+(O46-O45)</f>
        <v>56472</v>
      </c>
      <c r="P47" s="26"/>
      <c r="Q47" s="26"/>
      <c r="R47" s="26"/>
      <c r="S47" s="26"/>
      <c r="T47" s="31">
        <f>O47+(T46-T45)</f>
        <v>56472</v>
      </c>
      <c r="U47" s="31">
        <f>T47+(U46-U45)</f>
        <v>56472</v>
      </c>
      <c r="V47" s="26"/>
      <c r="W47" s="31">
        <f>U47+(W46-W45)</f>
        <v>56472</v>
      </c>
      <c r="X47" s="31">
        <f>W47+(X46-X45)</f>
        <v>56472</v>
      </c>
      <c r="Y47" s="31">
        <f>X47+(Y46-Y45)</f>
        <v>56472</v>
      </c>
      <c r="Z47" s="26"/>
      <c r="AA47" s="31">
        <f>Y47+(AA46-AA45)</f>
        <v>56472</v>
      </c>
      <c r="AB47" s="31">
        <f>AA47+(AB46-AB45)</f>
        <v>-58655.999999999971</v>
      </c>
      <c r="AC47" s="31">
        <f>AB47+(AC46-AC45)</f>
        <v>-40124.999999999971</v>
      </c>
      <c r="AD47" s="31">
        <f>AC47+(AD46-AD45)</f>
        <v>-40124.999999999971</v>
      </c>
      <c r="AE47" s="31">
        <f>AD47+(AE46-AE45)</f>
        <v>-40124.999999999971</v>
      </c>
      <c r="AF47" s="31">
        <f>AE47+(AF46-AF45)</f>
        <v>-40124.999999999971</v>
      </c>
      <c r="AG47" s="26"/>
      <c r="AH47" s="31">
        <f>AF47+(AH46-AH45)</f>
        <v>-40124.999999999971</v>
      </c>
      <c r="AI47" s="31">
        <f>AH47+(AI46-AI45)</f>
        <v>-68165.999999999956</v>
      </c>
      <c r="AJ47" s="31">
        <f>AI47+(AJ46-AJ45)</f>
        <v>-68165.999999999956</v>
      </c>
      <c r="AK47" s="31">
        <f>AJ47+(AK46-AK45)</f>
        <v>-12591.999999999956</v>
      </c>
      <c r="AL47" s="33"/>
      <c r="AM47" s="21"/>
      <c r="AN47" s="21"/>
      <c r="AO47" s="21"/>
      <c r="AP47" s="21"/>
      <c r="AQ47" s="21"/>
      <c r="AR47" s="21"/>
      <c r="AS47" s="525"/>
      <c r="AT47" s="22"/>
      <c r="AU47" s="22"/>
      <c r="AV47" s="525"/>
    </row>
    <row r="48" spans="1:48">
      <c r="A48" s="528"/>
      <c r="B48" s="531"/>
      <c r="C48" s="534"/>
      <c r="D48" s="537"/>
      <c r="E48" s="540"/>
      <c r="F48" s="543"/>
      <c r="G48" s="23" t="s">
        <v>36</v>
      </c>
      <c r="H48" s="24" t="s">
        <v>37</v>
      </c>
      <c r="I48" s="25"/>
      <c r="J48" s="25"/>
      <c r="K48" s="25"/>
      <c r="L48" s="26"/>
      <c r="M48" s="25"/>
      <c r="N48" s="25">
        <f>($K$56*$D$30/2)*5</f>
        <v>76499.999999999985</v>
      </c>
      <c r="O48" s="25">
        <f>$K$56*$D$30/2</f>
        <v>15299.999999999998</v>
      </c>
      <c r="P48" s="26"/>
      <c r="Q48" s="26"/>
      <c r="R48" s="26"/>
      <c r="S48" s="26"/>
      <c r="T48" s="25"/>
      <c r="U48" s="25"/>
      <c r="V48" s="26"/>
      <c r="W48" s="25">
        <f>($K$56*$D$30/2)*3</f>
        <v>45899.999999999993</v>
      </c>
      <c r="X48" s="25"/>
      <c r="Y48" s="25"/>
      <c r="Z48" s="26"/>
      <c r="AA48" s="25"/>
      <c r="AB48" s="25"/>
      <c r="AC48" s="25">
        <f>($K$56*$D$30/2)*5</f>
        <v>76499.999999999985</v>
      </c>
      <c r="AD48" s="25"/>
      <c r="AE48" s="25"/>
      <c r="AF48" s="25"/>
      <c r="AG48" s="26"/>
      <c r="AH48" s="25">
        <f>($K$56*$D$30/2)*2</f>
        <v>30599.999999999996</v>
      </c>
      <c r="AI48" s="25">
        <f>($K$56*$D$30/2)*3</f>
        <v>45899.999999999993</v>
      </c>
      <c r="AJ48" s="25">
        <f>$K$56*$D$30/2</f>
        <v>15299.999999999998</v>
      </c>
      <c r="AK48" s="27">
        <f>$K$56*$D$30/2</f>
        <v>15299.999999999998</v>
      </c>
      <c r="AL48" s="28">
        <f>SUM(I48:AK48)</f>
        <v>321299.99999999994</v>
      </c>
      <c r="AM48" s="21"/>
      <c r="AN48" s="21"/>
      <c r="AO48" s="21"/>
      <c r="AP48" s="21"/>
      <c r="AQ48" s="21"/>
      <c r="AR48" s="21"/>
      <c r="AS48" s="525"/>
      <c r="AT48" s="22"/>
      <c r="AU48" s="22"/>
      <c r="AV48" s="525"/>
    </row>
    <row r="49" spans="1:48">
      <c r="A49" s="528"/>
      <c r="B49" s="531"/>
      <c r="C49" s="534"/>
      <c r="D49" s="537"/>
      <c r="E49" s="540"/>
      <c r="F49" s="543"/>
      <c r="G49" s="23"/>
      <c r="H49" s="24" t="s">
        <v>24</v>
      </c>
      <c r="I49" s="25"/>
      <c r="J49" s="25"/>
      <c r="K49" s="25"/>
      <c r="L49" s="26"/>
      <c r="M49" s="25"/>
      <c r="N49" s="25">
        <v>1</v>
      </c>
      <c r="O49" s="25">
        <v>1</v>
      </c>
      <c r="P49" s="26"/>
      <c r="Q49" s="26"/>
      <c r="R49" s="26"/>
      <c r="S49" s="26"/>
      <c r="T49" s="25"/>
      <c r="U49" s="25"/>
      <c r="V49" s="26"/>
      <c r="W49" s="25">
        <v>1</v>
      </c>
      <c r="X49" s="25"/>
      <c r="Y49" s="25"/>
      <c r="Z49" s="26"/>
      <c r="AA49" s="25"/>
      <c r="AB49" s="25"/>
      <c r="AC49" s="25">
        <v>1</v>
      </c>
      <c r="AD49" s="25"/>
      <c r="AE49" s="25"/>
      <c r="AF49" s="25"/>
      <c r="AG49" s="26"/>
      <c r="AH49" s="25">
        <v>1</v>
      </c>
      <c r="AI49" s="25">
        <v>1</v>
      </c>
      <c r="AJ49" s="25">
        <v>1</v>
      </c>
      <c r="AK49" s="27">
        <v>1</v>
      </c>
      <c r="AL49" s="28"/>
      <c r="AM49" s="46"/>
      <c r="AN49" s="46"/>
      <c r="AO49" s="46"/>
      <c r="AP49" s="525"/>
      <c r="AQ49" s="21"/>
      <c r="AR49" s="21"/>
      <c r="AS49" s="525"/>
      <c r="AT49" s="22"/>
      <c r="AU49" s="22"/>
      <c r="AV49" s="525"/>
    </row>
    <row r="50" spans="1:48">
      <c r="A50" s="528"/>
      <c r="B50" s="531"/>
      <c r="C50" s="534"/>
      <c r="D50" s="537"/>
      <c r="E50" s="540"/>
      <c r="F50" s="543"/>
      <c r="G50" s="29"/>
      <c r="H50" s="30" t="s">
        <v>16</v>
      </c>
      <c r="I50" s="31"/>
      <c r="J50" s="31"/>
      <c r="K50" s="31"/>
      <c r="L50" s="26"/>
      <c r="M50" s="31"/>
      <c r="N50" s="31">
        <f>23609</f>
        <v>23609</v>
      </c>
      <c r="O50" s="31">
        <f>33783</f>
        <v>33783</v>
      </c>
      <c r="P50" s="26"/>
      <c r="Q50" s="26"/>
      <c r="R50" s="26"/>
      <c r="S50" s="26"/>
      <c r="T50" s="31"/>
      <c r="U50" s="31"/>
      <c r="V50" s="26"/>
      <c r="W50" s="31">
        <f>24221</f>
        <v>24221</v>
      </c>
      <c r="X50" s="31"/>
      <c r="Y50" s="31"/>
      <c r="Z50" s="26"/>
      <c r="AA50" s="31"/>
      <c r="AB50" s="31"/>
      <c r="AC50" s="31">
        <f>33831+14053</f>
        <v>47884</v>
      </c>
      <c r="AD50" s="31"/>
      <c r="AE50" s="31"/>
      <c r="AF50" s="31"/>
      <c r="AG50" s="26"/>
      <c r="AH50" s="31">
        <f>17433</f>
        <v>17433</v>
      </c>
      <c r="AI50" s="31">
        <f>4380+42337</f>
        <v>46717</v>
      </c>
      <c r="AJ50" s="31"/>
      <c r="AK50" s="32"/>
      <c r="AL50" s="33">
        <f>SUM(I50:AK50)</f>
        <v>193647</v>
      </c>
      <c r="AM50" s="46"/>
      <c r="AN50" s="46"/>
      <c r="AO50" s="46"/>
      <c r="AP50" s="525"/>
      <c r="AQ50" s="21"/>
      <c r="AR50" s="21"/>
      <c r="AS50" s="525"/>
      <c r="AT50" s="22"/>
      <c r="AU50" s="22"/>
      <c r="AV50" s="525"/>
    </row>
    <row r="51" spans="1:48">
      <c r="A51" s="528"/>
      <c r="B51" s="531"/>
      <c r="C51" s="534"/>
      <c r="D51" s="537"/>
      <c r="E51" s="540"/>
      <c r="F51" s="543"/>
      <c r="G51" s="29"/>
      <c r="H51" s="30" t="s">
        <v>17</v>
      </c>
      <c r="I51" s="31">
        <f>I50-I48</f>
        <v>0</v>
      </c>
      <c r="J51" s="31">
        <f>I51+(J50-J48)</f>
        <v>0</v>
      </c>
      <c r="K51" s="31">
        <f>J51+(K50-K48)</f>
        <v>0</v>
      </c>
      <c r="L51" s="26"/>
      <c r="M51" s="31">
        <f>K51+(M50-M48)</f>
        <v>0</v>
      </c>
      <c r="N51" s="31">
        <f>M51+(N50-N48)</f>
        <v>-52890.999999999985</v>
      </c>
      <c r="O51" s="31">
        <f>N51+(O50-O48)</f>
        <v>-34407.999999999985</v>
      </c>
      <c r="P51" s="26"/>
      <c r="Q51" s="26"/>
      <c r="R51" s="26"/>
      <c r="S51" s="26"/>
      <c r="T51" s="31">
        <f>O51+(T50-T48)</f>
        <v>-34407.999999999985</v>
      </c>
      <c r="U51" s="31">
        <f>T51+(U50-U48)</f>
        <v>-34407.999999999985</v>
      </c>
      <c r="V51" s="26"/>
      <c r="W51" s="31">
        <f>U51+(W50-W48)</f>
        <v>-56086.999999999978</v>
      </c>
      <c r="X51" s="31">
        <f>W51+(X50-X48)</f>
        <v>-56086.999999999978</v>
      </c>
      <c r="Y51" s="31">
        <f>X51+(Y50-Y48)</f>
        <v>-56086.999999999978</v>
      </c>
      <c r="Z51" s="26"/>
      <c r="AA51" s="31">
        <f>Y51+(AA50-AA48)</f>
        <v>-56086.999999999978</v>
      </c>
      <c r="AB51" s="31">
        <f>AA51+(AB50-AB48)</f>
        <v>-56086.999999999978</v>
      </c>
      <c r="AC51" s="31">
        <f>AB51+(AC50-AC48)</f>
        <v>-84702.999999999971</v>
      </c>
      <c r="AD51" s="31">
        <f>AC51+(AD50-AD48)</f>
        <v>-84702.999999999971</v>
      </c>
      <c r="AE51" s="31">
        <f>AD51+(AE50-AE48)</f>
        <v>-84702.999999999971</v>
      </c>
      <c r="AF51" s="31">
        <f>AE51+(AF50-AF48)</f>
        <v>-84702.999999999971</v>
      </c>
      <c r="AG51" s="26"/>
      <c r="AH51" s="31">
        <f>AF51+(AH50-AH48)</f>
        <v>-97869.999999999971</v>
      </c>
      <c r="AI51" s="31">
        <f>AH51+(AI50-AI48)</f>
        <v>-97052.999999999971</v>
      </c>
      <c r="AJ51" s="31"/>
      <c r="AK51" s="32"/>
      <c r="AL51" s="33"/>
      <c r="AM51" s="46"/>
      <c r="AN51" s="46"/>
      <c r="AO51" s="46"/>
      <c r="AP51" s="525"/>
      <c r="AQ51" s="21"/>
      <c r="AR51" s="21"/>
      <c r="AS51" s="525"/>
      <c r="AT51" s="22"/>
      <c r="AU51" s="22"/>
      <c r="AV51" s="525"/>
    </row>
    <row r="52" spans="1:48">
      <c r="A52" s="528"/>
      <c r="B52" s="531"/>
      <c r="C52" s="534"/>
      <c r="D52" s="537"/>
      <c r="E52" s="540"/>
      <c r="F52" s="543"/>
      <c r="G52" s="23"/>
      <c r="H52" s="24" t="s">
        <v>27</v>
      </c>
      <c r="I52" s="25">
        <f>$K$56*$D$30/2</f>
        <v>15299.999999999998</v>
      </c>
      <c r="J52" s="25">
        <f>$K$56*$D$30/2</f>
        <v>15299.999999999998</v>
      </c>
      <c r="K52" s="25">
        <f>$K$56*$D$30/2</f>
        <v>15299.999999999998</v>
      </c>
      <c r="L52" s="26"/>
      <c r="M52" s="25">
        <f>$K$56*$D$30/2</f>
        <v>15299.999999999998</v>
      </c>
      <c r="N52" s="25">
        <f>$K$56*$D$30/2</f>
        <v>15299.999999999998</v>
      </c>
      <c r="O52" s="25">
        <f>$K$56*$D$30/2</f>
        <v>15299.999999999998</v>
      </c>
      <c r="P52" s="26"/>
      <c r="Q52" s="26"/>
      <c r="R52" s="26"/>
      <c r="S52" s="26"/>
      <c r="T52" s="25">
        <f>$K$56*$D$30/2</f>
        <v>15299.999999999998</v>
      </c>
      <c r="U52" s="25">
        <f>$K$56*$D$30/2</f>
        <v>15299.999999999998</v>
      </c>
      <c r="V52" s="26"/>
      <c r="W52" s="25">
        <f>$K$56*$D$30/2</f>
        <v>15299.999999999998</v>
      </c>
      <c r="X52" s="25">
        <f>$K$56*$D$30/2</f>
        <v>15299.999999999998</v>
      </c>
      <c r="Y52" s="25">
        <f>$K$56*$D$30/2</f>
        <v>15299.999999999998</v>
      </c>
      <c r="Z52" s="26"/>
      <c r="AA52" s="25">
        <f t="shared" ref="AA52:AF52" si="11">$K$56*$D$30/2</f>
        <v>15299.999999999998</v>
      </c>
      <c r="AB52" s="25">
        <f t="shared" si="11"/>
        <v>15299.999999999998</v>
      </c>
      <c r="AC52" s="25">
        <f t="shared" si="11"/>
        <v>15299.999999999998</v>
      </c>
      <c r="AD52" s="25">
        <f t="shared" si="11"/>
        <v>15299.999999999998</v>
      </c>
      <c r="AE52" s="25">
        <f t="shared" si="11"/>
        <v>15299.999999999998</v>
      </c>
      <c r="AF52" s="25">
        <f t="shared" si="11"/>
        <v>15299.999999999998</v>
      </c>
      <c r="AG52" s="26"/>
      <c r="AH52" s="25">
        <f>$K$56*$D$30/2</f>
        <v>15299.999999999998</v>
      </c>
      <c r="AI52" s="25">
        <f>$K$56*$D$30/2</f>
        <v>15299.999999999998</v>
      </c>
      <c r="AJ52" s="25">
        <f>$K$56*$D$30/2</f>
        <v>15299.999999999998</v>
      </c>
      <c r="AK52" s="27">
        <f>$K$56*$D$30/2</f>
        <v>15299.999999999998</v>
      </c>
      <c r="AL52" s="28">
        <f>SUM(I52:AK52)</f>
        <v>321299.99999999994</v>
      </c>
      <c r="AM52" s="46"/>
      <c r="AN52" s="46"/>
      <c r="AO52" s="46"/>
      <c r="AP52" s="525"/>
      <c r="AQ52" s="21"/>
      <c r="AR52" s="21"/>
      <c r="AS52" s="525"/>
      <c r="AT52" s="22"/>
      <c r="AU52" s="22"/>
      <c r="AV52" s="525"/>
    </row>
    <row r="53" spans="1:48">
      <c r="A53" s="528"/>
      <c r="B53" s="531"/>
      <c r="C53" s="534"/>
      <c r="D53" s="537"/>
      <c r="E53" s="540"/>
      <c r="F53" s="543"/>
      <c r="G53" s="23"/>
      <c r="H53" s="24" t="s">
        <v>28</v>
      </c>
      <c r="I53" s="25">
        <v>1</v>
      </c>
      <c r="J53" s="25">
        <v>1</v>
      </c>
      <c r="K53" s="25">
        <v>1</v>
      </c>
      <c r="L53" s="26"/>
      <c r="M53" s="25">
        <v>1</v>
      </c>
      <c r="N53" s="25">
        <v>1</v>
      </c>
      <c r="O53" s="25">
        <v>1</v>
      </c>
      <c r="P53" s="26"/>
      <c r="Q53" s="26"/>
      <c r="R53" s="26"/>
      <c r="S53" s="26"/>
      <c r="T53" s="25">
        <v>1</v>
      </c>
      <c r="U53" s="25">
        <v>1</v>
      </c>
      <c r="V53" s="26"/>
      <c r="W53" s="31">
        <v>1</v>
      </c>
      <c r="X53" s="31">
        <v>1</v>
      </c>
      <c r="Y53" s="31">
        <v>1</v>
      </c>
      <c r="Z53" s="26"/>
      <c r="AA53" s="25">
        <v>1</v>
      </c>
      <c r="AB53" s="25">
        <v>1</v>
      </c>
      <c r="AC53" s="25">
        <v>1</v>
      </c>
      <c r="AD53" s="25">
        <v>1</v>
      </c>
      <c r="AE53" s="25">
        <v>1</v>
      </c>
      <c r="AF53" s="25">
        <v>1</v>
      </c>
      <c r="AG53" s="26"/>
      <c r="AH53" s="25">
        <v>1</v>
      </c>
      <c r="AI53" s="25">
        <v>1</v>
      </c>
      <c r="AJ53" s="25">
        <v>1</v>
      </c>
      <c r="AK53" s="27">
        <v>1</v>
      </c>
      <c r="AL53" s="28"/>
      <c r="AM53" s="46"/>
      <c r="AN53" s="46"/>
      <c r="AO53" s="46"/>
      <c r="AP53" s="525"/>
      <c r="AQ53" s="21"/>
      <c r="AR53" s="21"/>
      <c r="AS53" s="525"/>
      <c r="AT53" s="22"/>
      <c r="AU53" s="22"/>
      <c r="AV53" s="525"/>
    </row>
    <row r="54" spans="1:48">
      <c r="A54" s="528"/>
      <c r="B54" s="531"/>
      <c r="C54" s="534"/>
      <c r="D54" s="537"/>
      <c r="E54" s="540"/>
      <c r="F54" s="543"/>
      <c r="G54" s="29"/>
      <c r="H54" s="30" t="s">
        <v>16</v>
      </c>
      <c r="I54" s="31">
        <f>2180+4000+510+3646</f>
        <v>10336</v>
      </c>
      <c r="J54" s="31">
        <f>864+3537+4510+1309</f>
        <v>10220</v>
      </c>
      <c r="K54" s="31">
        <f>3200+3203+2056</f>
        <v>8459</v>
      </c>
      <c r="L54" s="26"/>
      <c r="M54" s="31">
        <f>2735+3624+4463+1775</f>
        <v>12597</v>
      </c>
      <c r="N54" s="31">
        <f>895+3143+1365+4480</f>
        <v>9883</v>
      </c>
      <c r="O54" s="31">
        <f>750+1746+30+3832</f>
        <v>6358</v>
      </c>
      <c r="P54" s="26"/>
      <c r="Q54" s="26"/>
      <c r="R54" s="26"/>
      <c r="S54" s="26"/>
      <c r="T54" s="31">
        <f>2768+2062+1197+2933</f>
        <v>8960</v>
      </c>
      <c r="U54" s="31">
        <f>2909+1004+3664+1599</f>
        <v>9176</v>
      </c>
      <c r="V54" s="26"/>
      <c r="W54" s="31">
        <f>2503+2004+3107+2009</f>
        <v>9623</v>
      </c>
      <c r="X54" s="31">
        <f>2507+3989+4470+199</f>
        <v>11165</v>
      </c>
      <c r="Y54" s="31">
        <f>4321+1220+2970+2335</f>
        <v>10846</v>
      </c>
      <c r="Z54" s="26"/>
      <c r="AA54" s="31">
        <f>4157+1864+2174+359</f>
        <v>8554</v>
      </c>
      <c r="AB54" s="31">
        <f>4372+2068+2654+4445+2</f>
        <v>13541</v>
      </c>
      <c r="AC54" s="31">
        <f>4521+2125+2432+4049+200</f>
        <v>13327</v>
      </c>
      <c r="AD54" s="31">
        <f>2395+2081+700+3850</f>
        <v>9026</v>
      </c>
      <c r="AE54" s="31">
        <f>399+4520+671+4121</f>
        <v>9711</v>
      </c>
      <c r="AF54" s="31">
        <f>3918+1144+4520+602</f>
        <v>10184</v>
      </c>
      <c r="AG54" s="26"/>
      <c r="AH54" s="31">
        <f>4147+3810+2978+374+3970+1745</f>
        <v>17024</v>
      </c>
      <c r="AI54" s="31">
        <f>2298+4367+3302+4330+250+4525+1312</f>
        <v>20384</v>
      </c>
      <c r="AJ54" s="31">
        <f>3212+2753+1768+4520+3890+2408</f>
        <v>18551</v>
      </c>
      <c r="AK54" s="32">
        <f>2112+4521+3412+4520+100+4125+1840</f>
        <v>20630</v>
      </c>
      <c r="AL54" s="33">
        <f>SUM(I54:AK54)</f>
        <v>248555</v>
      </c>
      <c r="AM54" s="46"/>
      <c r="AN54" s="46"/>
      <c r="AO54" s="46"/>
      <c r="AP54" s="525"/>
      <c r="AQ54" s="21"/>
      <c r="AR54" s="21"/>
      <c r="AS54" s="525"/>
      <c r="AT54" s="22"/>
      <c r="AU54" s="22"/>
      <c r="AV54" s="525"/>
    </row>
    <row r="55" spans="1:48">
      <c r="A55" s="528"/>
      <c r="B55" s="531"/>
      <c r="C55" s="534"/>
      <c r="D55" s="537"/>
      <c r="E55" s="540"/>
      <c r="F55" s="543"/>
      <c r="G55" s="29"/>
      <c r="H55" s="30" t="s">
        <v>17</v>
      </c>
      <c r="I55" s="31">
        <f>I54-I52</f>
        <v>-4963.9999999999982</v>
      </c>
      <c r="J55" s="31">
        <f>I55+(J54-J52)</f>
        <v>-10043.999999999996</v>
      </c>
      <c r="K55" s="31">
        <f>J55+(K54-K52)</f>
        <v>-16884.999999999993</v>
      </c>
      <c r="L55" s="26"/>
      <c r="M55" s="31">
        <f>K55+(M54-M52)</f>
        <v>-19587.999999999993</v>
      </c>
      <c r="N55" s="31">
        <f>M55+(N54-N52)</f>
        <v>-25004.999999999993</v>
      </c>
      <c r="O55" s="31">
        <f>N55+(O54-O52)</f>
        <v>-33946.999999999993</v>
      </c>
      <c r="P55" s="26"/>
      <c r="Q55" s="26"/>
      <c r="R55" s="26"/>
      <c r="S55" s="26"/>
      <c r="T55" s="31">
        <f>O55+(T54-T52)</f>
        <v>-40286.999999999993</v>
      </c>
      <c r="U55" s="31">
        <f>T55+(U54-U52)</f>
        <v>-46410.999999999993</v>
      </c>
      <c r="V55" s="26"/>
      <c r="W55" s="31">
        <f>U55+(W54-W52)</f>
        <v>-52087.999999999993</v>
      </c>
      <c r="X55" s="31">
        <f>W55+(X54-X52)</f>
        <v>-56222.999999999993</v>
      </c>
      <c r="Y55" s="31">
        <f>X55+(Y54-Y52)</f>
        <v>-60676.999999999993</v>
      </c>
      <c r="Z55" s="26"/>
      <c r="AA55" s="31">
        <f>Y55+(AA54-AA52)</f>
        <v>-67422.999999999985</v>
      </c>
      <c r="AB55" s="31">
        <f>AA55+(AB54-AB52)</f>
        <v>-69181.999999999985</v>
      </c>
      <c r="AC55" s="31">
        <f>AB55+(AC54-AC52)</f>
        <v>-71154.999999999985</v>
      </c>
      <c r="AD55" s="31">
        <f>AC55+(AD54-AD52)</f>
        <v>-77428.999999999985</v>
      </c>
      <c r="AE55" s="31">
        <f>AD55+(AE54-AE52)</f>
        <v>-83017.999999999985</v>
      </c>
      <c r="AF55" s="31">
        <f>AE55+(AF54-AF52)</f>
        <v>-88133.999999999985</v>
      </c>
      <c r="AG55" s="26"/>
      <c r="AH55" s="31">
        <f>AF55+(AH54-AH52)</f>
        <v>-86409.999999999985</v>
      </c>
      <c r="AI55" s="31">
        <f>AH55+(AI54-AI52)</f>
        <v>-81325.999999999985</v>
      </c>
      <c r="AJ55" s="31">
        <f>AI55+(AJ54-AJ52)</f>
        <v>-78074.999999999985</v>
      </c>
      <c r="AK55" s="31">
        <f>AJ55+(AK54-AK52)</f>
        <v>-72744.999999999985</v>
      </c>
      <c r="AL55" s="33"/>
      <c r="AM55" s="46"/>
      <c r="AN55" s="46"/>
      <c r="AO55" s="46"/>
      <c r="AP55" s="525"/>
      <c r="AQ55" s="21"/>
      <c r="AR55" s="21"/>
      <c r="AS55" s="525"/>
      <c r="AT55" s="22"/>
      <c r="AU55" s="22"/>
      <c r="AV55" s="525"/>
    </row>
    <row r="56" spans="1:48">
      <c r="A56" s="528"/>
      <c r="B56" s="531"/>
      <c r="C56" s="534"/>
      <c r="D56" s="537"/>
      <c r="E56" s="540"/>
      <c r="F56" s="543"/>
      <c r="G56" s="23"/>
      <c r="H56" s="24" t="s">
        <v>29</v>
      </c>
      <c r="I56" s="25"/>
      <c r="J56" s="25"/>
      <c r="K56" s="25">
        <f>($C$30*2)</f>
        <v>24000</v>
      </c>
      <c r="L56" s="26"/>
      <c r="M56" s="25"/>
      <c r="N56" s="25">
        <f>($C$30*2)</f>
        <v>24000</v>
      </c>
      <c r="O56" s="25"/>
      <c r="P56" s="26"/>
      <c r="Q56" s="26"/>
      <c r="R56" s="26"/>
      <c r="S56" s="26"/>
      <c r="T56" s="25">
        <f>($C$30*2)</f>
        <v>24000</v>
      </c>
      <c r="U56" s="25"/>
      <c r="V56" s="26"/>
      <c r="W56" s="25">
        <f>($C$30*2)</f>
        <v>24000</v>
      </c>
      <c r="X56" s="23"/>
      <c r="Y56" s="25">
        <f>($C$30*2)</f>
        <v>24000</v>
      </c>
      <c r="Z56" s="26"/>
      <c r="AA56" s="25"/>
      <c r="AB56" s="25">
        <f>($C$30*2)</f>
        <v>24000</v>
      </c>
      <c r="AC56" s="25"/>
      <c r="AD56" s="25">
        <f>($C$30*2)</f>
        <v>24000</v>
      </c>
      <c r="AE56" s="23"/>
      <c r="AF56" s="25">
        <f>($C$30*2)</f>
        <v>24000</v>
      </c>
      <c r="AG56" s="26"/>
      <c r="AH56" s="25"/>
      <c r="AI56" s="25">
        <f>($C$30*2)</f>
        <v>24000</v>
      </c>
      <c r="AJ56" s="25"/>
      <c r="AK56" s="27">
        <f>($C$30*2)</f>
        <v>24000</v>
      </c>
      <c r="AL56" s="28">
        <f>SUM(I56:AK56)</f>
        <v>240000</v>
      </c>
      <c r="AM56" s="46"/>
      <c r="AN56" s="46"/>
      <c r="AO56" s="46"/>
      <c r="AP56" s="525"/>
      <c r="AQ56" s="21"/>
      <c r="AR56" s="21"/>
      <c r="AS56" s="525"/>
      <c r="AT56" s="22"/>
      <c r="AU56" s="22"/>
      <c r="AV56" s="525"/>
    </row>
    <row r="57" spans="1:48">
      <c r="A57" s="528"/>
      <c r="B57" s="531"/>
      <c r="C57" s="534"/>
      <c r="D57" s="537"/>
      <c r="E57" s="540"/>
      <c r="F57" s="543"/>
      <c r="G57" s="23"/>
      <c r="H57" s="24" t="s">
        <v>30</v>
      </c>
      <c r="I57" s="25"/>
      <c r="J57" s="25"/>
      <c r="K57" s="47">
        <v>1</v>
      </c>
      <c r="L57" s="26"/>
      <c r="M57" s="25"/>
      <c r="N57" s="47">
        <v>1</v>
      </c>
      <c r="O57" s="25"/>
      <c r="P57" s="26"/>
      <c r="Q57" s="26"/>
      <c r="R57" s="26"/>
      <c r="S57" s="26"/>
      <c r="T57" s="47">
        <v>1</v>
      </c>
      <c r="U57" s="25"/>
      <c r="V57" s="26"/>
      <c r="W57" s="47">
        <v>1</v>
      </c>
      <c r="X57" s="23"/>
      <c r="Y57" s="47">
        <v>1</v>
      </c>
      <c r="Z57" s="26"/>
      <c r="AA57" s="25"/>
      <c r="AB57" s="47">
        <v>1</v>
      </c>
      <c r="AC57" s="25"/>
      <c r="AD57" s="47">
        <v>1</v>
      </c>
      <c r="AE57" s="23"/>
      <c r="AF57" s="47">
        <v>1</v>
      </c>
      <c r="AG57" s="26"/>
      <c r="AH57" s="25"/>
      <c r="AI57" s="47">
        <v>1</v>
      </c>
      <c r="AJ57" s="25"/>
      <c r="AK57" s="48">
        <v>1</v>
      </c>
      <c r="AL57" s="28"/>
      <c r="AM57" s="46"/>
      <c r="AN57" s="46"/>
      <c r="AO57" s="46"/>
      <c r="AP57" s="525"/>
      <c r="AQ57" s="21"/>
      <c r="AR57" s="21"/>
      <c r="AS57" s="525"/>
      <c r="AT57" s="22"/>
      <c r="AU57" s="22"/>
      <c r="AV57" s="525"/>
    </row>
    <row r="58" spans="1:48">
      <c r="A58" s="528"/>
      <c r="B58" s="531"/>
      <c r="C58" s="534"/>
      <c r="D58" s="537"/>
      <c r="E58" s="540"/>
      <c r="F58" s="543"/>
      <c r="G58" s="29"/>
      <c r="H58" s="30" t="s">
        <v>16</v>
      </c>
      <c r="I58" s="31"/>
      <c r="J58" s="31">
        <f>5800+6000+9632+5646</f>
        <v>27078</v>
      </c>
      <c r="K58" s="39"/>
      <c r="L58" s="26"/>
      <c r="M58" s="31"/>
      <c r="N58" s="31">
        <f>15783+4500</f>
        <v>20283</v>
      </c>
      <c r="O58" s="31"/>
      <c r="P58" s="26"/>
      <c r="Q58" s="26"/>
      <c r="R58" s="26"/>
      <c r="S58" s="26"/>
      <c r="T58" s="31">
        <f>7500+5899</f>
        <v>13399</v>
      </c>
      <c r="U58" s="31"/>
      <c r="V58" s="26"/>
      <c r="W58" s="31"/>
      <c r="X58" s="31">
        <v>8054</v>
      </c>
      <c r="Y58" s="31">
        <v>12527</v>
      </c>
      <c r="Z58" s="26"/>
      <c r="AA58" s="31"/>
      <c r="AB58" s="31">
        <v>10618</v>
      </c>
      <c r="AC58" s="31">
        <f>10000+8224</f>
        <v>18224</v>
      </c>
      <c r="AD58" s="31"/>
      <c r="AE58" s="31">
        <v>12550</v>
      </c>
      <c r="AF58" s="31"/>
      <c r="AG58" s="26"/>
      <c r="AH58" s="31">
        <v>15546</v>
      </c>
      <c r="AI58" s="31">
        <v>16413</v>
      </c>
      <c r="AJ58" s="31"/>
      <c r="AK58" s="32">
        <v>23332</v>
      </c>
      <c r="AL58" s="33">
        <f>SUM(I58:AK58)</f>
        <v>178024</v>
      </c>
      <c r="AM58" s="46"/>
      <c r="AN58" s="46"/>
      <c r="AO58" s="46"/>
      <c r="AP58" s="525"/>
      <c r="AQ58" s="21"/>
      <c r="AR58" s="21"/>
      <c r="AS58" s="525"/>
      <c r="AT58" s="22"/>
      <c r="AU58" s="22"/>
      <c r="AV58" s="525"/>
    </row>
    <row r="59" spans="1:48" ht="15.75" thickBot="1">
      <c r="A59" s="529"/>
      <c r="B59" s="532"/>
      <c r="C59" s="535"/>
      <c r="D59" s="538"/>
      <c r="E59" s="541"/>
      <c r="F59" s="544"/>
      <c r="G59" s="49"/>
      <c r="H59" s="50" t="s">
        <v>17</v>
      </c>
      <c r="I59" s="31">
        <f>I58-I56</f>
        <v>0</v>
      </c>
      <c r="J59" s="31">
        <f>I59+(J58-J56)</f>
        <v>27078</v>
      </c>
      <c r="K59" s="31">
        <f>J59+(K58-K56)</f>
        <v>3078</v>
      </c>
      <c r="L59" s="26"/>
      <c r="M59" s="31">
        <f>K59+(M58-M56)</f>
        <v>3078</v>
      </c>
      <c r="N59" s="31">
        <f>M59+(N58-N56)</f>
        <v>-639</v>
      </c>
      <c r="O59" s="31">
        <f>N59+(O58-O56)</f>
        <v>-639</v>
      </c>
      <c r="P59" s="26"/>
      <c r="Q59" s="26"/>
      <c r="R59" s="26"/>
      <c r="S59" s="26"/>
      <c r="T59" s="31">
        <f>O59+(T58-T56)</f>
        <v>-11240</v>
      </c>
      <c r="U59" s="31">
        <f>T59+(U58-U56)</f>
        <v>-11240</v>
      </c>
      <c r="V59" s="26"/>
      <c r="W59" s="31">
        <f>U59+(W58-W56)</f>
        <v>-35240</v>
      </c>
      <c r="X59" s="31">
        <f>W59+(X58-X56)</f>
        <v>-27186</v>
      </c>
      <c r="Y59" s="31">
        <f>X59+(Y58-Y56)</f>
        <v>-38659</v>
      </c>
      <c r="Z59" s="26"/>
      <c r="AA59" s="31">
        <f>Y59+(AA58-AA56)</f>
        <v>-38659</v>
      </c>
      <c r="AB59" s="31">
        <f>AA59+(AB58-AB56)</f>
        <v>-52041</v>
      </c>
      <c r="AC59" s="31">
        <f>AB59+(AC58-AC56)</f>
        <v>-33817</v>
      </c>
      <c r="AD59" s="31">
        <f>AC59+(AD58-AD56)</f>
        <v>-57817</v>
      </c>
      <c r="AE59" s="31">
        <f>AD59+(AE58-AE56)</f>
        <v>-45267</v>
      </c>
      <c r="AF59" s="31">
        <f>AE59+(AF58-AF56)</f>
        <v>-69267</v>
      </c>
      <c r="AG59" s="26"/>
      <c r="AH59" s="31">
        <f>AF59+(AH58-AH56)</f>
        <v>-53721</v>
      </c>
      <c r="AI59" s="31">
        <f>AH59+(AI58-AI56)</f>
        <v>-61308</v>
      </c>
      <c r="AJ59" s="31">
        <f>AI59+(AJ58-AJ56)</f>
        <v>-61308</v>
      </c>
      <c r="AK59" s="31">
        <f>AJ59+(AK58-AK56)</f>
        <v>-61976</v>
      </c>
      <c r="AL59" s="43"/>
      <c r="AM59" s="36"/>
      <c r="AN59" s="37"/>
      <c r="AO59" s="37"/>
      <c r="AP59" s="22"/>
      <c r="AQ59" s="21"/>
      <c r="AR59" s="21"/>
      <c r="AS59" s="21"/>
      <c r="AT59" s="22"/>
      <c r="AU59" s="22"/>
      <c r="AV59" s="21"/>
    </row>
    <row r="60" spans="1:48" ht="15" customHeight="1">
      <c r="A60" s="527" t="s">
        <v>38</v>
      </c>
      <c r="B60" s="530" t="s">
        <v>39</v>
      </c>
      <c r="C60" s="533">
        <v>2500</v>
      </c>
      <c r="D60" s="560">
        <v>1.59</v>
      </c>
      <c r="E60" s="563"/>
      <c r="F60" s="533" t="s">
        <v>40</v>
      </c>
      <c r="G60" s="51" t="s">
        <v>41</v>
      </c>
      <c r="H60" s="17" t="s">
        <v>42</v>
      </c>
      <c r="I60" s="52"/>
      <c r="J60" s="52">
        <f>($O$87*$D$60/5)*2</f>
        <v>7950</v>
      </c>
      <c r="K60" s="52"/>
      <c r="L60" s="53"/>
      <c r="M60" s="52"/>
      <c r="N60" s="52"/>
      <c r="O60" s="52"/>
      <c r="P60" s="19"/>
      <c r="Q60" s="19"/>
      <c r="R60" s="19"/>
      <c r="S60" s="19"/>
      <c r="T60" s="52"/>
      <c r="U60" s="52"/>
      <c r="V60" s="19"/>
      <c r="W60" s="52"/>
      <c r="X60" s="52">
        <f>($O$87*$D$60/5)*8</f>
        <v>31800</v>
      </c>
      <c r="Y60" s="52">
        <f>$O$87*$D$60/5</f>
        <v>3975</v>
      </c>
      <c r="Z60" s="19"/>
      <c r="AA60" s="52">
        <f t="shared" ref="AA60:AF60" si="12">$O$87*$D$60/5</f>
        <v>3975</v>
      </c>
      <c r="AB60" s="52"/>
      <c r="AC60" s="52">
        <f>($O$87*$D$60/5)*2</f>
        <v>7950</v>
      </c>
      <c r="AD60" s="52">
        <f t="shared" si="12"/>
        <v>3975</v>
      </c>
      <c r="AE60" s="52">
        <f t="shared" si="12"/>
        <v>3975</v>
      </c>
      <c r="AF60" s="52">
        <f t="shared" si="12"/>
        <v>3975</v>
      </c>
      <c r="AG60" s="19"/>
      <c r="AH60" s="52">
        <f>$O$87*$D$60/5</f>
        <v>3975</v>
      </c>
      <c r="AI60" s="52">
        <f>$O$87*$D$60/5</f>
        <v>3975</v>
      </c>
      <c r="AJ60" s="52">
        <f>$O$87*$D$60/5</f>
        <v>3975</v>
      </c>
      <c r="AK60" s="54">
        <f>$O$87*$D$60/5</f>
        <v>3975</v>
      </c>
      <c r="AL60" s="20">
        <f>SUM(I60:AK60)</f>
        <v>83475</v>
      </c>
      <c r="AM60" s="46"/>
      <c r="AN60" s="46"/>
      <c r="AO60" s="46"/>
      <c r="AP60" s="525"/>
      <c r="AQ60" s="21"/>
      <c r="AR60" s="21"/>
      <c r="AS60" s="525"/>
      <c r="AT60" s="22"/>
      <c r="AU60" s="525"/>
      <c r="AV60" s="525"/>
    </row>
    <row r="61" spans="1:48">
      <c r="A61" s="528"/>
      <c r="B61" s="531"/>
      <c r="C61" s="534"/>
      <c r="D61" s="561"/>
      <c r="E61" s="564"/>
      <c r="F61" s="534"/>
      <c r="G61" s="29"/>
      <c r="H61" s="24" t="s">
        <v>15</v>
      </c>
      <c r="I61" s="25"/>
      <c r="J61" s="25">
        <v>1</v>
      </c>
      <c r="K61" s="25"/>
      <c r="L61" s="26"/>
      <c r="M61" s="25"/>
      <c r="N61" s="25"/>
      <c r="O61" s="25"/>
      <c r="P61" s="26"/>
      <c r="Q61" s="26"/>
      <c r="R61" s="26"/>
      <c r="S61" s="26"/>
      <c r="T61" s="25"/>
      <c r="U61" s="25"/>
      <c r="V61" s="26"/>
      <c r="W61" s="25"/>
      <c r="X61" s="25">
        <v>1</v>
      </c>
      <c r="Y61" s="25">
        <v>1</v>
      </c>
      <c r="Z61" s="26"/>
      <c r="AA61" s="25">
        <v>1</v>
      </c>
      <c r="AB61" s="25"/>
      <c r="AC61" s="25">
        <v>1</v>
      </c>
      <c r="AD61" s="25">
        <v>1</v>
      </c>
      <c r="AE61" s="25">
        <v>1</v>
      </c>
      <c r="AF61" s="25">
        <v>1</v>
      </c>
      <c r="AG61" s="26"/>
      <c r="AH61" s="25">
        <v>1</v>
      </c>
      <c r="AI61" s="25">
        <v>1</v>
      </c>
      <c r="AJ61" s="25">
        <v>1</v>
      </c>
      <c r="AK61" s="27">
        <v>1</v>
      </c>
      <c r="AL61" s="28"/>
      <c r="AM61" s="46"/>
      <c r="AN61" s="46"/>
      <c r="AO61" s="46"/>
      <c r="AP61" s="525"/>
      <c r="AQ61" s="21"/>
      <c r="AR61" s="21"/>
      <c r="AS61" s="525"/>
      <c r="AT61" s="22"/>
      <c r="AU61" s="525"/>
      <c r="AV61" s="525"/>
    </row>
    <row r="62" spans="1:48">
      <c r="A62" s="528"/>
      <c r="B62" s="531"/>
      <c r="C62" s="534"/>
      <c r="D62" s="561"/>
      <c r="E62" s="564"/>
      <c r="F62" s="534"/>
      <c r="G62" s="29"/>
      <c r="H62" s="30" t="s">
        <v>16</v>
      </c>
      <c r="I62" s="31"/>
      <c r="J62" s="31">
        <v>15075</v>
      </c>
      <c r="K62" s="31"/>
      <c r="L62" s="26"/>
      <c r="M62" s="31"/>
      <c r="N62" s="31"/>
      <c r="O62" s="31"/>
      <c r="P62" s="26"/>
      <c r="Q62" s="26"/>
      <c r="R62" s="26"/>
      <c r="S62" s="26"/>
      <c r="T62" s="31"/>
      <c r="U62" s="31"/>
      <c r="V62" s="26"/>
      <c r="W62" s="31"/>
      <c r="X62" s="31">
        <f>5221+8261</f>
        <v>13482</v>
      </c>
      <c r="Y62" s="31">
        <f>8711+8752</f>
        <v>17463</v>
      </c>
      <c r="Z62" s="26"/>
      <c r="AA62" s="31">
        <f>1942</f>
        <v>1942</v>
      </c>
      <c r="AB62" s="31"/>
      <c r="AC62" s="31"/>
      <c r="AD62" s="31"/>
      <c r="AE62" s="31"/>
      <c r="AF62" s="31"/>
      <c r="AG62" s="26"/>
      <c r="AH62" s="31"/>
      <c r="AI62" s="31"/>
      <c r="AJ62" s="31"/>
      <c r="AK62" s="32"/>
      <c r="AL62" s="33">
        <f>SUM(I62:AK62)</f>
        <v>47962</v>
      </c>
      <c r="AM62" s="46"/>
      <c r="AN62" s="46"/>
      <c r="AO62" s="46"/>
      <c r="AP62" s="525"/>
      <c r="AQ62" s="21"/>
      <c r="AR62" s="21"/>
      <c r="AS62" s="525"/>
      <c r="AT62" s="22"/>
      <c r="AU62" s="525"/>
      <c r="AV62" s="525"/>
    </row>
    <row r="63" spans="1:48">
      <c r="A63" s="528"/>
      <c r="B63" s="531"/>
      <c r="C63" s="534"/>
      <c r="D63" s="561"/>
      <c r="E63" s="564"/>
      <c r="F63" s="534"/>
      <c r="G63" s="29"/>
      <c r="H63" s="30" t="s">
        <v>17</v>
      </c>
      <c r="I63" s="31">
        <f>I62-I60</f>
        <v>0</v>
      </c>
      <c r="J63" s="31">
        <f>I63+(J62-J60)</f>
        <v>7125</v>
      </c>
      <c r="K63" s="31">
        <f>J63+(K62-K60)</f>
        <v>7125</v>
      </c>
      <c r="L63" s="26"/>
      <c r="M63" s="31">
        <f>K63+(M62-M60)</f>
        <v>7125</v>
      </c>
      <c r="N63" s="31">
        <f>M63+(N62-N60)</f>
        <v>7125</v>
      </c>
      <c r="O63" s="31">
        <f>N63+(O62-O60)</f>
        <v>7125</v>
      </c>
      <c r="P63" s="26"/>
      <c r="Q63" s="26"/>
      <c r="R63" s="26"/>
      <c r="S63" s="26"/>
      <c r="T63" s="31">
        <f>O63+(T62-T60)</f>
        <v>7125</v>
      </c>
      <c r="U63" s="31">
        <f>T63+(U62-U60)</f>
        <v>7125</v>
      </c>
      <c r="V63" s="26"/>
      <c r="W63" s="31">
        <f>U63+(W62-W60)</f>
        <v>7125</v>
      </c>
      <c r="X63" s="31">
        <f>W63+(X62-X60)</f>
        <v>-11193</v>
      </c>
      <c r="Y63" s="31">
        <f>X63+(Y62-Y60)</f>
        <v>2295</v>
      </c>
      <c r="Z63" s="26"/>
      <c r="AA63" s="31">
        <f>Y63+(AA62-AA60)</f>
        <v>262</v>
      </c>
      <c r="AB63" s="31">
        <f>AA63+(AB62-AB60)</f>
        <v>262</v>
      </c>
      <c r="AC63" s="31">
        <f>AB63+(AC62-AC60)</f>
        <v>-7688</v>
      </c>
      <c r="AD63" s="31"/>
      <c r="AE63" s="31"/>
      <c r="AF63" s="31"/>
      <c r="AG63" s="26"/>
      <c r="AH63" s="31"/>
      <c r="AI63" s="31"/>
      <c r="AJ63" s="31"/>
      <c r="AK63" s="32"/>
      <c r="AL63" s="33"/>
      <c r="AM63" s="46"/>
      <c r="AN63" s="46"/>
      <c r="AO63" s="46"/>
      <c r="AP63" s="525"/>
      <c r="AQ63" s="21"/>
      <c r="AR63" s="21"/>
      <c r="AS63" s="525"/>
      <c r="AT63" s="22"/>
      <c r="AU63" s="525"/>
      <c r="AV63" s="525"/>
    </row>
    <row r="64" spans="1:48">
      <c r="A64" s="528"/>
      <c r="B64" s="531"/>
      <c r="C64" s="534"/>
      <c r="D64" s="561"/>
      <c r="E64" s="564"/>
      <c r="F64" s="534"/>
      <c r="G64" s="29" t="s">
        <v>34</v>
      </c>
      <c r="H64" s="24" t="s">
        <v>43</v>
      </c>
      <c r="I64" s="25">
        <f>($O$87*$D$60/5)*2</f>
        <v>7950</v>
      </c>
      <c r="J64" s="25">
        <f>($O$87*$D$60/5)*2</f>
        <v>7950</v>
      </c>
      <c r="K64" s="25">
        <f>($O$87*$D$60/5)*2</f>
        <v>7950</v>
      </c>
      <c r="L64" s="26"/>
      <c r="M64" s="25">
        <f>($O$87*$D$60/5)*2</f>
        <v>7950</v>
      </c>
      <c r="N64" s="25">
        <f>($O$87*$D$60/5)*2</f>
        <v>7950</v>
      </c>
      <c r="O64" s="25">
        <f>($O$87*$D$60/5)*2</f>
        <v>7950</v>
      </c>
      <c r="P64" s="26"/>
      <c r="Q64" s="26"/>
      <c r="R64" s="26"/>
      <c r="S64" s="26"/>
      <c r="T64" s="25">
        <f>($O$87*$D$60/5)*2</f>
        <v>7950</v>
      </c>
      <c r="U64" s="25">
        <f>($O$87*$D$60/5)*2</f>
        <v>7950</v>
      </c>
      <c r="V64" s="26"/>
      <c r="W64" s="25">
        <f>($O$87*$D$60/5)*2</f>
        <v>7950</v>
      </c>
      <c r="X64" s="25">
        <f>($O$87*$D$60/5)*2</f>
        <v>7950</v>
      </c>
      <c r="Y64" s="25">
        <f>($O$87*$D$60/5)*2</f>
        <v>7950</v>
      </c>
      <c r="Z64" s="26"/>
      <c r="AA64" s="25">
        <f t="shared" ref="AA64:AI64" si="13">($O$87*$D$60/5)*2</f>
        <v>7950</v>
      </c>
      <c r="AB64" s="25">
        <f t="shared" si="13"/>
        <v>7950</v>
      </c>
      <c r="AC64" s="25">
        <f>(($O$87*$D$60/5)*2)*8</f>
        <v>63600</v>
      </c>
      <c r="AD64" s="25">
        <f t="shared" si="13"/>
        <v>7950</v>
      </c>
      <c r="AE64" s="25">
        <f t="shared" si="13"/>
        <v>7950</v>
      </c>
      <c r="AF64" s="25">
        <f t="shared" si="13"/>
        <v>7950</v>
      </c>
      <c r="AG64" s="26"/>
      <c r="AH64" s="25">
        <f t="shared" si="13"/>
        <v>7950</v>
      </c>
      <c r="AI64" s="25">
        <f t="shared" si="13"/>
        <v>7950</v>
      </c>
      <c r="AJ64" s="25"/>
      <c r="AK64" s="25"/>
      <c r="AL64" s="28">
        <f>SUM(I64:AK64)</f>
        <v>206700</v>
      </c>
      <c r="AM64" s="46"/>
      <c r="AN64" s="46"/>
      <c r="AO64" s="46"/>
      <c r="AP64" s="525"/>
      <c r="AQ64" s="21"/>
      <c r="AR64" s="21"/>
      <c r="AS64" s="525"/>
      <c r="AT64" s="22"/>
      <c r="AU64" s="525"/>
      <c r="AV64" s="525"/>
    </row>
    <row r="65" spans="1:48">
      <c r="A65" s="528"/>
      <c r="B65" s="531"/>
      <c r="C65" s="534"/>
      <c r="D65" s="561"/>
      <c r="E65" s="564"/>
      <c r="F65" s="534"/>
      <c r="G65" s="29"/>
      <c r="H65" s="24" t="s">
        <v>15</v>
      </c>
      <c r="I65" s="25">
        <v>1</v>
      </c>
      <c r="J65" s="25">
        <v>1</v>
      </c>
      <c r="K65" s="25">
        <v>1</v>
      </c>
      <c r="L65" s="26"/>
      <c r="M65" s="25">
        <v>1</v>
      </c>
      <c r="N65" s="25">
        <v>1</v>
      </c>
      <c r="O65" s="25">
        <v>1</v>
      </c>
      <c r="P65" s="26"/>
      <c r="Q65" s="26"/>
      <c r="R65" s="26"/>
      <c r="S65" s="26"/>
      <c r="T65" s="25">
        <v>1</v>
      </c>
      <c r="U65" s="25">
        <v>1</v>
      </c>
      <c r="V65" s="26"/>
      <c r="W65" s="25">
        <v>1</v>
      </c>
      <c r="X65" s="25">
        <v>1</v>
      </c>
      <c r="Y65" s="25">
        <v>1</v>
      </c>
      <c r="Z65" s="26"/>
      <c r="AA65" s="25">
        <v>1</v>
      </c>
      <c r="AB65" s="25">
        <v>1</v>
      </c>
      <c r="AC65" s="25">
        <v>1</v>
      </c>
      <c r="AD65" s="25"/>
      <c r="AE65" s="25"/>
      <c r="AF65" s="25"/>
      <c r="AG65" s="26"/>
      <c r="AH65" s="25"/>
      <c r="AI65" s="25"/>
      <c r="AJ65" s="25"/>
      <c r="AK65" s="27"/>
      <c r="AL65" s="28"/>
      <c r="AM65" s="46"/>
      <c r="AN65" s="46"/>
      <c r="AO65" s="46"/>
      <c r="AP65" s="525"/>
      <c r="AQ65" s="21"/>
      <c r="AR65" s="21"/>
      <c r="AS65" s="525"/>
      <c r="AT65" s="22"/>
      <c r="AU65" s="525"/>
      <c r="AV65" s="525"/>
    </row>
    <row r="66" spans="1:48">
      <c r="A66" s="528"/>
      <c r="B66" s="531"/>
      <c r="C66" s="534"/>
      <c r="D66" s="561"/>
      <c r="E66" s="564"/>
      <c r="F66" s="534"/>
      <c r="G66" s="29"/>
      <c r="H66" s="30" t="s">
        <v>16</v>
      </c>
      <c r="I66" s="31">
        <v>22974</v>
      </c>
      <c r="J66" s="31">
        <v>23635</v>
      </c>
      <c r="K66" s="31">
        <v>16288</v>
      </c>
      <c r="L66" s="26"/>
      <c r="M66" s="31">
        <v>23435</v>
      </c>
      <c r="N66" s="31">
        <v>16631</v>
      </c>
      <c r="O66" s="31">
        <f>2300+6337</f>
        <v>8637</v>
      </c>
      <c r="P66" s="26"/>
      <c r="Q66" s="26"/>
      <c r="R66" s="26"/>
      <c r="S66" s="26"/>
      <c r="T66" s="31">
        <f>3860+6259</f>
        <v>10119</v>
      </c>
      <c r="U66" s="31">
        <v>17041</v>
      </c>
      <c r="V66" s="26"/>
      <c r="W66" s="31">
        <f>6474+6207+6986+6168</f>
        <v>25835</v>
      </c>
      <c r="X66" s="31">
        <v>23255</v>
      </c>
      <c r="Y66" s="31">
        <v>27685</v>
      </c>
      <c r="Z66" s="26"/>
      <c r="AA66" s="31">
        <v>24742</v>
      </c>
      <c r="AB66" s="31">
        <v>20174</v>
      </c>
      <c r="AC66" s="31">
        <f>6539+6311+5344+5543</f>
        <v>23737</v>
      </c>
      <c r="AD66" s="31">
        <v>24978</v>
      </c>
      <c r="AE66" s="31">
        <v>22623</v>
      </c>
      <c r="AF66" s="31">
        <v>21505</v>
      </c>
      <c r="AG66" s="26"/>
      <c r="AH66" s="31">
        <v>29368</v>
      </c>
      <c r="AI66" s="31">
        <v>15043</v>
      </c>
      <c r="AJ66" s="31"/>
      <c r="AK66" s="32"/>
      <c r="AL66" s="33">
        <f>SUM(I66:AK66)</f>
        <v>397705</v>
      </c>
      <c r="AM66" s="46"/>
      <c r="AN66" s="46"/>
      <c r="AO66" s="46"/>
      <c r="AP66" s="525"/>
      <c r="AQ66" s="21"/>
      <c r="AR66" s="21"/>
      <c r="AS66" s="525"/>
      <c r="AT66" s="22"/>
      <c r="AU66" s="525"/>
      <c r="AV66" s="525"/>
    </row>
    <row r="67" spans="1:48">
      <c r="A67" s="528"/>
      <c r="B67" s="531"/>
      <c r="C67" s="534"/>
      <c r="D67" s="561"/>
      <c r="E67" s="564"/>
      <c r="F67" s="534"/>
      <c r="G67" s="29"/>
      <c r="H67" s="30" t="s">
        <v>17</v>
      </c>
      <c r="I67" s="31">
        <f>I66-I64</f>
        <v>15024</v>
      </c>
      <c r="J67" s="31">
        <f>I67+(J66-J64)</f>
        <v>30709</v>
      </c>
      <c r="K67" s="31">
        <f>J67+(K66-K64)</f>
        <v>39047</v>
      </c>
      <c r="L67" s="26"/>
      <c r="M67" s="31">
        <f>K67+(M66-M64)</f>
        <v>54532</v>
      </c>
      <c r="N67" s="31">
        <f>M67+(N66-N64)</f>
        <v>63213</v>
      </c>
      <c r="O67" s="31">
        <f>N67+(O66-O64)</f>
        <v>63900</v>
      </c>
      <c r="P67" s="26"/>
      <c r="Q67" s="26"/>
      <c r="R67" s="26"/>
      <c r="S67" s="26"/>
      <c r="T67" s="31">
        <f>O67+(T66-T64)</f>
        <v>66069</v>
      </c>
      <c r="U67" s="31">
        <f>T67+(U66-U64)</f>
        <v>75160</v>
      </c>
      <c r="V67" s="26"/>
      <c r="W67" s="31">
        <f>U67+(W66-W64)</f>
        <v>93045</v>
      </c>
      <c r="X67" s="31">
        <f>W67+(X66-X64)</f>
        <v>108350</v>
      </c>
      <c r="Y67" s="31">
        <f>X67+(Y66-Y64)</f>
        <v>128085</v>
      </c>
      <c r="Z67" s="26"/>
      <c r="AA67" s="31">
        <f>Y67+(AA66-AA64)</f>
        <v>144877</v>
      </c>
      <c r="AB67" s="31">
        <f>AA67+(AB66-AB64)</f>
        <v>157101</v>
      </c>
      <c r="AC67" s="31">
        <f>AB67+(AC66-AC64)</f>
        <v>117238</v>
      </c>
      <c r="AD67" s="31">
        <f>AC67+(AD66-AD64)</f>
        <v>134266</v>
      </c>
      <c r="AE67" s="31">
        <f>AD67+(AE66-AE64)</f>
        <v>148939</v>
      </c>
      <c r="AF67" s="31">
        <f>AE67+(AF66-AF64)</f>
        <v>162494</v>
      </c>
      <c r="AG67" s="26"/>
      <c r="AH67" s="31">
        <f>AF67+(AH66-AH64)</f>
        <v>183912</v>
      </c>
      <c r="AI67" s="31">
        <f>AH67+(AI66-AI64)</f>
        <v>191005</v>
      </c>
      <c r="AJ67" s="31"/>
      <c r="AK67" s="32"/>
      <c r="AL67" s="33"/>
      <c r="AM67" s="46"/>
      <c r="AN67" s="46"/>
      <c r="AO67" s="46"/>
      <c r="AP67" s="525"/>
      <c r="AQ67" s="21"/>
      <c r="AR67" s="21"/>
      <c r="AS67" s="525"/>
      <c r="AT67" s="22"/>
      <c r="AU67" s="525"/>
      <c r="AV67" s="525"/>
    </row>
    <row r="68" spans="1:48">
      <c r="A68" s="528"/>
      <c r="B68" s="531"/>
      <c r="C68" s="534"/>
      <c r="D68" s="561"/>
      <c r="E68" s="564"/>
      <c r="F68" s="534"/>
      <c r="G68" s="29" t="s">
        <v>20</v>
      </c>
      <c r="H68" s="24" t="s">
        <v>21</v>
      </c>
      <c r="I68" s="55"/>
      <c r="J68" s="55"/>
      <c r="K68" s="55"/>
      <c r="L68" s="56"/>
      <c r="M68" s="55">
        <f>($O$87*$D$60/5)*4</f>
        <v>15900</v>
      </c>
      <c r="N68" s="55"/>
      <c r="O68" s="55"/>
      <c r="P68" s="26"/>
      <c r="Q68" s="26"/>
      <c r="R68" s="26"/>
      <c r="S68" s="26"/>
      <c r="T68" s="55"/>
      <c r="U68" s="55"/>
      <c r="V68" s="26"/>
      <c r="W68" s="55">
        <f>($O$87*$D$60/5)*5</f>
        <v>19875</v>
      </c>
      <c r="X68" s="55"/>
      <c r="Y68" s="55"/>
      <c r="Z68" s="26"/>
      <c r="AA68" s="55"/>
      <c r="AB68" s="55"/>
      <c r="AC68" s="55"/>
      <c r="AD68" s="55"/>
      <c r="AE68" s="55">
        <f>($O$87*$D$60/5)*7</f>
        <v>27825</v>
      </c>
      <c r="AF68" s="55">
        <f t="shared" ref="AF68" si="14">$O$87*$D$60/5</f>
        <v>3975</v>
      </c>
      <c r="AG68" s="26"/>
      <c r="AH68" s="55">
        <f>$O$87*$D$60/5</f>
        <v>3975</v>
      </c>
      <c r="AI68" s="55">
        <f>$O$87*$D$60/5</f>
        <v>3975</v>
      </c>
      <c r="AJ68" s="55">
        <f>$O$87*$D$60/5</f>
        <v>3975</v>
      </c>
      <c r="AK68" s="57">
        <f>$O$87*$D$60/5</f>
        <v>3975</v>
      </c>
      <c r="AL68" s="28">
        <f>SUM(I68:AK68)</f>
        <v>83475</v>
      </c>
      <c r="AM68" s="46"/>
      <c r="AN68" s="46"/>
      <c r="AO68" s="46"/>
      <c r="AP68" s="525"/>
      <c r="AQ68" s="21"/>
      <c r="AR68" s="21"/>
      <c r="AS68" s="525"/>
      <c r="AT68" s="22"/>
      <c r="AU68" s="525"/>
      <c r="AV68" s="525"/>
    </row>
    <row r="69" spans="1:48">
      <c r="A69" s="528"/>
      <c r="B69" s="531"/>
      <c r="C69" s="534"/>
      <c r="D69" s="561"/>
      <c r="E69" s="564"/>
      <c r="F69" s="534"/>
      <c r="G69" s="29"/>
      <c r="H69" s="24" t="s">
        <v>24</v>
      </c>
      <c r="I69" s="25"/>
      <c r="J69" s="25"/>
      <c r="K69" s="25"/>
      <c r="L69" s="26"/>
      <c r="M69" s="25">
        <v>1</v>
      </c>
      <c r="N69" s="25"/>
      <c r="O69" s="25"/>
      <c r="P69" s="26"/>
      <c r="Q69" s="26"/>
      <c r="R69" s="26"/>
      <c r="S69" s="26"/>
      <c r="T69" s="25"/>
      <c r="U69" s="25"/>
      <c r="V69" s="26"/>
      <c r="W69" s="25">
        <v>1</v>
      </c>
      <c r="X69" s="25"/>
      <c r="Y69" s="25"/>
      <c r="Z69" s="26"/>
      <c r="AA69" s="25"/>
      <c r="AB69" s="25"/>
      <c r="AC69" s="25"/>
      <c r="AD69" s="25"/>
      <c r="AE69" s="25">
        <v>1</v>
      </c>
      <c r="AF69" s="25">
        <v>1</v>
      </c>
      <c r="AG69" s="26"/>
      <c r="AH69" s="25">
        <v>1</v>
      </c>
      <c r="AI69" s="25">
        <v>1</v>
      </c>
      <c r="AJ69" s="25">
        <v>1</v>
      </c>
      <c r="AK69" s="27">
        <v>1</v>
      </c>
      <c r="AL69" s="28"/>
      <c r="AM69" s="46"/>
      <c r="AN69" s="46"/>
      <c r="AO69" s="46"/>
      <c r="AP69" s="525"/>
      <c r="AQ69" s="21"/>
      <c r="AR69" s="21"/>
      <c r="AS69" s="525"/>
      <c r="AT69" s="22"/>
      <c r="AU69" s="525"/>
      <c r="AV69" s="525"/>
    </row>
    <row r="70" spans="1:48" ht="15" customHeight="1">
      <c r="A70" s="528"/>
      <c r="B70" s="531"/>
      <c r="C70" s="534"/>
      <c r="D70" s="561"/>
      <c r="E70" s="564"/>
      <c r="F70" s="534"/>
      <c r="G70" s="29"/>
      <c r="H70" s="30" t="s">
        <v>16</v>
      </c>
      <c r="I70" s="31"/>
      <c r="J70" s="31"/>
      <c r="K70" s="31"/>
      <c r="L70" s="26"/>
      <c r="M70" s="31">
        <f>26696</f>
        <v>26696</v>
      </c>
      <c r="N70" s="31"/>
      <c r="O70" s="31"/>
      <c r="P70" s="26"/>
      <c r="Q70" s="26"/>
      <c r="R70" s="26"/>
      <c r="S70" s="26"/>
      <c r="T70" s="31"/>
      <c r="U70" s="31"/>
      <c r="V70" s="26"/>
      <c r="W70" s="31">
        <f>30971</f>
        <v>30971</v>
      </c>
      <c r="X70" s="31"/>
      <c r="Y70" s="31"/>
      <c r="Z70" s="26"/>
      <c r="AA70" s="31"/>
      <c r="AB70" s="31"/>
      <c r="AC70" s="31"/>
      <c r="AD70" s="31"/>
      <c r="AE70" s="31">
        <f>26814</f>
        <v>26814</v>
      </c>
      <c r="AF70" s="31"/>
      <c r="AG70" s="26"/>
      <c r="AH70" s="31">
        <f>26814+20779</f>
        <v>47593</v>
      </c>
      <c r="AI70" s="31"/>
      <c r="AJ70" s="31"/>
      <c r="AK70" s="32"/>
      <c r="AL70" s="33">
        <f>SUM(I70:AK70)</f>
        <v>132074</v>
      </c>
      <c r="AM70" s="46"/>
      <c r="AN70" s="46"/>
      <c r="AO70" s="46"/>
      <c r="AP70" s="525"/>
      <c r="AQ70" s="21"/>
      <c r="AR70" s="21"/>
      <c r="AS70" s="525"/>
      <c r="AT70" s="22"/>
      <c r="AU70" s="525"/>
      <c r="AV70" s="525"/>
    </row>
    <row r="71" spans="1:48" ht="15" customHeight="1">
      <c r="A71" s="528"/>
      <c r="B71" s="531"/>
      <c r="C71" s="534"/>
      <c r="D71" s="561"/>
      <c r="E71" s="564"/>
      <c r="F71" s="534"/>
      <c r="G71" s="29"/>
      <c r="H71" s="30" t="s">
        <v>17</v>
      </c>
      <c r="I71" s="31">
        <f>I70-I68</f>
        <v>0</v>
      </c>
      <c r="J71" s="31">
        <f>I71+(J70-J68)</f>
        <v>0</v>
      </c>
      <c r="K71" s="31">
        <f>J71+(K70-K68)</f>
        <v>0</v>
      </c>
      <c r="L71" s="26"/>
      <c r="M71" s="31">
        <f>K71+(M70-M68)</f>
        <v>10796</v>
      </c>
      <c r="N71" s="31">
        <f>M71+(N70-N68)</f>
        <v>10796</v>
      </c>
      <c r="O71" s="31">
        <f>N71+(O70-O68)</f>
        <v>10796</v>
      </c>
      <c r="P71" s="26"/>
      <c r="Q71" s="26"/>
      <c r="R71" s="26"/>
      <c r="S71" s="26"/>
      <c r="T71" s="31">
        <f>O71+(T70-T68)</f>
        <v>10796</v>
      </c>
      <c r="U71" s="31">
        <f>T71+(U70-U68)</f>
        <v>10796</v>
      </c>
      <c r="V71" s="26"/>
      <c r="W71" s="31">
        <f>U71+(W70-W68)</f>
        <v>21892</v>
      </c>
      <c r="X71" s="31">
        <f>W71+(X70-X68)</f>
        <v>21892</v>
      </c>
      <c r="Y71" s="31">
        <f>X71+(Y70-Y68)</f>
        <v>21892</v>
      </c>
      <c r="Z71" s="26"/>
      <c r="AA71" s="31">
        <f>Y71+(AA70-AA68)</f>
        <v>21892</v>
      </c>
      <c r="AB71" s="31">
        <f>AA71+(AB70-AB68)</f>
        <v>21892</v>
      </c>
      <c r="AC71" s="31">
        <f>AB71+(AC70-AC68)</f>
        <v>21892</v>
      </c>
      <c r="AD71" s="31">
        <f>AC71+(AD70-AD68)</f>
        <v>21892</v>
      </c>
      <c r="AE71" s="31">
        <f>AD71+(AE70-AE68)</f>
        <v>20881</v>
      </c>
      <c r="AF71" s="31"/>
      <c r="AG71" s="26"/>
      <c r="AH71" s="31"/>
      <c r="AI71" s="31"/>
      <c r="AJ71" s="31"/>
      <c r="AK71" s="32"/>
      <c r="AL71" s="33"/>
      <c r="AM71" s="46"/>
      <c r="AN71" s="46"/>
      <c r="AO71" s="46"/>
      <c r="AP71" s="525"/>
      <c r="AQ71" s="21"/>
      <c r="AR71" s="21"/>
      <c r="AS71" s="525"/>
      <c r="AT71" s="22"/>
      <c r="AU71" s="525"/>
      <c r="AV71" s="525"/>
    </row>
    <row r="72" spans="1:48">
      <c r="A72" s="528"/>
      <c r="B72" s="531"/>
      <c r="C72" s="534"/>
      <c r="D72" s="561"/>
      <c r="E72" s="564"/>
      <c r="F72" s="534"/>
      <c r="G72" s="29" t="s">
        <v>25</v>
      </c>
      <c r="H72" s="24" t="s">
        <v>26</v>
      </c>
      <c r="I72" s="55"/>
      <c r="J72" s="55"/>
      <c r="K72" s="55"/>
      <c r="L72" s="56"/>
      <c r="M72" s="55">
        <f>($O$87*$D$60/5)*4</f>
        <v>15900</v>
      </c>
      <c r="N72" s="55"/>
      <c r="O72" s="55"/>
      <c r="P72" s="26"/>
      <c r="Q72" s="26"/>
      <c r="R72" s="26"/>
      <c r="S72" s="26"/>
      <c r="T72" s="55"/>
      <c r="U72" s="55"/>
      <c r="V72" s="26"/>
      <c r="W72" s="55"/>
      <c r="X72" s="55"/>
      <c r="Y72" s="55"/>
      <c r="Z72" s="26"/>
      <c r="AA72" s="55"/>
      <c r="AB72" s="55"/>
      <c r="AC72" s="55"/>
      <c r="AD72" s="55"/>
      <c r="AE72" s="55">
        <f>($O$87*$D$60/5)*12</f>
        <v>47700</v>
      </c>
      <c r="AF72" s="55">
        <f t="shared" ref="AF72" si="15">$O$87*$D$60/5</f>
        <v>3975</v>
      </c>
      <c r="AG72" s="26"/>
      <c r="AH72" s="55">
        <f>$O$87*$D$60/5</f>
        <v>3975</v>
      </c>
      <c r="AI72" s="55"/>
      <c r="AJ72" s="55">
        <f>($O$87*$D$60/5)*2</f>
        <v>7950</v>
      </c>
      <c r="AK72" s="57">
        <f>$O$87*$D$60/5</f>
        <v>3975</v>
      </c>
      <c r="AL72" s="28">
        <f>SUM(I72:AK72)</f>
        <v>83475</v>
      </c>
      <c r="AM72" s="46"/>
      <c r="AN72" s="46"/>
      <c r="AO72" s="46"/>
      <c r="AP72" s="525"/>
      <c r="AQ72" s="21"/>
      <c r="AR72" s="21"/>
      <c r="AS72" s="525"/>
      <c r="AT72" s="22"/>
      <c r="AU72" s="525"/>
      <c r="AV72" s="525"/>
    </row>
    <row r="73" spans="1:48">
      <c r="A73" s="528"/>
      <c r="B73" s="531"/>
      <c r="C73" s="534"/>
      <c r="D73" s="561"/>
      <c r="E73" s="564"/>
      <c r="F73" s="534"/>
      <c r="G73" s="29"/>
      <c r="H73" s="30" t="s">
        <v>16</v>
      </c>
      <c r="I73" s="58"/>
      <c r="J73" s="58"/>
      <c r="K73" s="58"/>
      <c r="L73" s="56"/>
      <c r="M73" s="58">
        <f>30107</f>
        <v>30107</v>
      </c>
      <c r="N73" s="58"/>
      <c r="O73" s="58"/>
      <c r="P73" s="26"/>
      <c r="Q73" s="26"/>
      <c r="R73" s="26"/>
      <c r="S73" s="26"/>
      <c r="T73" s="58"/>
      <c r="U73" s="58"/>
      <c r="V73" s="26"/>
      <c r="W73" s="58"/>
      <c r="X73" s="58"/>
      <c r="Y73" s="58"/>
      <c r="Z73" s="26"/>
      <c r="AA73" s="58"/>
      <c r="AB73" s="58"/>
      <c r="AC73" s="58"/>
      <c r="AD73" s="58"/>
      <c r="AE73" s="58">
        <f>31420</f>
        <v>31420</v>
      </c>
      <c r="AF73" s="58"/>
      <c r="AG73" s="26"/>
      <c r="AH73" s="58">
        <f>31496</f>
        <v>31496</v>
      </c>
      <c r="AI73" s="58"/>
      <c r="AJ73" s="58">
        <f>64701</f>
        <v>64701</v>
      </c>
      <c r="AK73" s="59"/>
      <c r="AL73" s="33">
        <f>SUM(I73:AK73)</f>
        <v>157724</v>
      </c>
      <c r="AM73" s="46"/>
      <c r="AN73" s="46"/>
      <c r="AO73" s="46"/>
      <c r="AP73" s="525"/>
      <c r="AQ73" s="21"/>
      <c r="AR73" s="21"/>
      <c r="AS73" s="525"/>
      <c r="AT73" s="22"/>
      <c r="AU73" s="525"/>
      <c r="AV73" s="525"/>
    </row>
    <row r="74" spans="1:48">
      <c r="A74" s="528"/>
      <c r="B74" s="531"/>
      <c r="C74" s="534"/>
      <c r="D74" s="561"/>
      <c r="E74" s="564"/>
      <c r="F74" s="534"/>
      <c r="G74" s="29"/>
      <c r="H74" s="30" t="s">
        <v>17</v>
      </c>
      <c r="I74" s="31">
        <f>I73-I72</f>
        <v>0</v>
      </c>
      <c r="J74" s="31">
        <f>I74+(J73-J72)</f>
        <v>0</v>
      </c>
      <c r="K74" s="31">
        <f>J74+(K73-K72)</f>
        <v>0</v>
      </c>
      <c r="L74" s="26"/>
      <c r="M74" s="31">
        <f>K74+(M73-M72)</f>
        <v>14207</v>
      </c>
      <c r="N74" s="31">
        <f>M74+(N73-N72)</f>
        <v>14207</v>
      </c>
      <c r="O74" s="31">
        <f>N74+(O73-O72)</f>
        <v>14207</v>
      </c>
      <c r="P74" s="26"/>
      <c r="Q74" s="26"/>
      <c r="R74" s="26"/>
      <c r="S74" s="26"/>
      <c r="T74" s="31">
        <f>O74+(T73-T72)</f>
        <v>14207</v>
      </c>
      <c r="U74" s="31">
        <f>T74+(U73-U72)</f>
        <v>14207</v>
      </c>
      <c r="V74" s="26"/>
      <c r="W74" s="31">
        <f>U74+(W73-W72)</f>
        <v>14207</v>
      </c>
      <c r="X74" s="31">
        <f>W74+(X73-X72)</f>
        <v>14207</v>
      </c>
      <c r="Y74" s="31">
        <f>X74+(Y73-Y72)</f>
        <v>14207</v>
      </c>
      <c r="Z74" s="26"/>
      <c r="AA74" s="31">
        <f>Y74+(AA73-AA72)</f>
        <v>14207</v>
      </c>
      <c r="AB74" s="31">
        <f>AA74+(AB73-AB72)</f>
        <v>14207</v>
      </c>
      <c r="AC74" s="31">
        <f>AB74+(AC73-AC72)</f>
        <v>14207</v>
      </c>
      <c r="AD74" s="31">
        <f>AC74+(AD73-AD72)</f>
        <v>14207</v>
      </c>
      <c r="AE74" s="31">
        <f>AD74+(AE73-AE72)</f>
        <v>-2073</v>
      </c>
      <c r="AF74" s="31">
        <f>AE74+(AF73-AF72)</f>
        <v>-6048</v>
      </c>
      <c r="AG74" s="26"/>
      <c r="AH74" s="31">
        <f>AF74+(AH73-AH72)</f>
        <v>21473</v>
      </c>
      <c r="AI74" s="31">
        <f>AH74+(AI73-AI72)</f>
        <v>21473</v>
      </c>
      <c r="AJ74" s="31">
        <f>AI74+(AJ73-AJ72)</f>
        <v>78224</v>
      </c>
      <c r="AK74" s="59"/>
      <c r="AL74" s="33"/>
      <c r="AM74" s="46"/>
      <c r="AN74" s="46"/>
      <c r="AO74" s="46"/>
      <c r="AP74" s="525"/>
      <c r="AQ74" s="21"/>
      <c r="AR74" s="21"/>
      <c r="AS74" s="525"/>
      <c r="AT74" s="22"/>
      <c r="AU74" s="525"/>
      <c r="AV74" s="525"/>
    </row>
    <row r="75" spans="1:48">
      <c r="A75" s="528"/>
      <c r="B75" s="531"/>
      <c r="C75" s="534"/>
      <c r="D75" s="561"/>
      <c r="E75" s="564"/>
      <c r="F75" s="534"/>
      <c r="G75" s="29" t="s">
        <v>44</v>
      </c>
      <c r="H75" s="24" t="s">
        <v>45</v>
      </c>
      <c r="I75" s="55"/>
      <c r="J75" s="55"/>
      <c r="K75" s="55"/>
      <c r="L75" s="56"/>
      <c r="M75" s="55">
        <f>($O$87*$D$60/5)*4</f>
        <v>15900</v>
      </c>
      <c r="N75" s="55"/>
      <c r="O75" s="55"/>
      <c r="P75" s="26"/>
      <c r="Q75" s="26"/>
      <c r="R75" s="26"/>
      <c r="S75" s="26"/>
      <c r="T75" s="55"/>
      <c r="U75" s="55"/>
      <c r="V75" s="26"/>
      <c r="W75" s="55"/>
      <c r="X75" s="55">
        <f>($O$87*$D$60/5)*6</f>
        <v>23850</v>
      </c>
      <c r="Y75" s="55"/>
      <c r="Z75" s="26"/>
      <c r="AA75" s="55"/>
      <c r="AB75" s="55"/>
      <c r="AC75" s="55">
        <f>($O$87*$D$60/5)*4</f>
        <v>15900</v>
      </c>
      <c r="AD75" s="55">
        <f t="shared" ref="AD75:AF75" si="16">$O$87*$D$60/5</f>
        <v>3975</v>
      </c>
      <c r="AE75" s="55">
        <f t="shared" si="16"/>
        <v>3975</v>
      </c>
      <c r="AF75" s="55">
        <f t="shared" si="16"/>
        <v>3975</v>
      </c>
      <c r="AG75" s="26"/>
      <c r="AH75" s="55">
        <f>$O$87*$D$60/5</f>
        <v>3975</v>
      </c>
      <c r="AI75" s="55">
        <f>$O$87*$D$60/5</f>
        <v>3975</v>
      </c>
      <c r="AJ75" s="55">
        <f>$O$87*$D$60/5</f>
        <v>3975</v>
      </c>
      <c r="AK75" s="57">
        <f>$O$87*$D$60/5</f>
        <v>3975</v>
      </c>
      <c r="AL75" s="28">
        <f>SUM(I75:AK75)</f>
        <v>83475</v>
      </c>
      <c r="AM75" s="46"/>
      <c r="AN75" s="46"/>
      <c r="AO75" s="46"/>
      <c r="AP75" s="525"/>
      <c r="AQ75" s="21"/>
      <c r="AR75" s="21"/>
      <c r="AS75" s="525"/>
      <c r="AT75" s="22"/>
      <c r="AU75" s="525"/>
      <c r="AV75" s="525"/>
    </row>
    <row r="76" spans="1:48">
      <c r="A76" s="528"/>
      <c r="B76" s="531"/>
      <c r="C76" s="534"/>
      <c r="D76" s="561"/>
      <c r="E76" s="564"/>
      <c r="F76" s="534"/>
      <c r="G76" s="29"/>
      <c r="H76" s="24" t="s">
        <v>24</v>
      </c>
      <c r="I76" s="25"/>
      <c r="J76" s="25"/>
      <c r="K76" s="25"/>
      <c r="L76" s="26"/>
      <c r="M76" s="25">
        <v>1</v>
      </c>
      <c r="N76" s="25"/>
      <c r="O76" s="25"/>
      <c r="P76" s="26"/>
      <c r="Q76" s="26"/>
      <c r="R76" s="26"/>
      <c r="S76" s="26"/>
      <c r="T76" s="25"/>
      <c r="U76" s="25"/>
      <c r="V76" s="26"/>
      <c r="W76" s="25"/>
      <c r="X76" s="25">
        <v>1</v>
      </c>
      <c r="Y76" s="25"/>
      <c r="Z76" s="26"/>
      <c r="AA76" s="25"/>
      <c r="AB76" s="25"/>
      <c r="AC76" s="25">
        <v>1</v>
      </c>
      <c r="AD76" s="25">
        <v>1</v>
      </c>
      <c r="AE76" s="25">
        <v>1</v>
      </c>
      <c r="AF76" s="25">
        <v>1</v>
      </c>
      <c r="AG76" s="26"/>
      <c r="AH76" s="25">
        <v>1</v>
      </c>
      <c r="AI76" s="25">
        <v>1</v>
      </c>
      <c r="AJ76" s="25">
        <v>1</v>
      </c>
      <c r="AK76" s="27">
        <v>1</v>
      </c>
      <c r="AL76" s="28"/>
      <c r="AM76" s="46"/>
      <c r="AN76" s="46"/>
      <c r="AO76" s="46"/>
      <c r="AP76" s="525"/>
      <c r="AQ76" s="21"/>
      <c r="AR76" s="21"/>
      <c r="AS76" s="525"/>
      <c r="AT76" s="22"/>
      <c r="AU76" s="525"/>
      <c r="AV76" s="525"/>
    </row>
    <row r="77" spans="1:48">
      <c r="A77" s="528"/>
      <c r="B77" s="531"/>
      <c r="C77" s="534"/>
      <c r="D77" s="561"/>
      <c r="E77" s="564"/>
      <c r="F77" s="534"/>
      <c r="G77" s="29"/>
      <c r="H77" s="30" t="s">
        <v>16</v>
      </c>
      <c r="I77" s="31"/>
      <c r="J77" s="31"/>
      <c r="K77" s="31"/>
      <c r="L77" s="26"/>
      <c r="M77" s="31">
        <f>23066</f>
        <v>23066</v>
      </c>
      <c r="N77" s="31"/>
      <c r="O77" s="31"/>
      <c r="P77" s="26"/>
      <c r="Q77" s="26"/>
      <c r="R77" s="26"/>
      <c r="S77" s="26"/>
      <c r="T77" s="31"/>
      <c r="U77" s="31"/>
      <c r="V77" s="26"/>
      <c r="W77" s="31"/>
      <c r="X77" s="31">
        <f>37832</f>
        <v>37832</v>
      </c>
      <c r="Y77" s="31"/>
      <c r="Z77" s="26"/>
      <c r="AA77" s="31"/>
      <c r="AB77" s="31"/>
      <c r="AC77" s="31"/>
      <c r="AD77" s="31"/>
      <c r="AE77" s="31"/>
      <c r="AF77" s="31">
        <f>35233</f>
        <v>35233</v>
      </c>
      <c r="AG77" s="26"/>
      <c r="AH77" s="31">
        <f>30193+11499</f>
        <v>41692</v>
      </c>
      <c r="AI77" s="31"/>
      <c r="AJ77" s="31"/>
      <c r="AK77" s="32"/>
      <c r="AL77" s="33">
        <f>SUM(I77:AK77)</f>
        <v>137823</v>
      </c>
      <c r="AM77" s="46"/>
      <c r="AN77" s="46"/>
      <c r="AO77" s="46"/>
      <c r="AP77" s="525"/>
      <c r="AQ77" s="21"/>
      <c r="AR77" s="21"/>
      <c r="AS77" s="525"/>
      <c r="AT77" s="22"/>
      <c r="AU77" s="525"/>
      <c r="AV77" s="525"/>
    </row>
    <row r="78" spans="1:48">
      <c r="A78" s="528"/>
      <c r="B78" s="531"/>
      <c r="C78" s="534"/>
      <c r="D78" s="561"/>
      <c r="E78" s="564"/>
      <c r="F78" s="534"/>
      <c r="G78" s="29"/>
      <c r="H78" s="30" t="s">
        <v>17</v>
      </c>
      <c r="I78" s="31">
        <f>I77-I75</f>
        <v>0</v>
      </c>
      <c r="J78" s="31">
        <f>I78+(J77-J75)</f>
        <v>0</v>
      </c>
      <c r="K78" s="31">
        <f>J78+(K77-K75)</f>
        <v>0</v>
      </c>
      <c r="L78" s="26"/>
      <c r="M78" s="31">
        <f>K78+(M77-M75)</f>
        <v>7166</v>
      </c>
      <c r="N78" s="31">
        <f>M78+(N77-N75)</f>
        <v>7166</v>
      </c>
      <c r="O78" s="31">
        <f>N78+(O77-O75)</f>
        <v>7166</v>
      </c>
      <c r="P78" s="26"/>
      <c r="Q78" s="26"/>
      <c r="R78" s="26"/>
      <c r="S78" s="26"/>
      <c r="T78" s="31">
        <f>O78+(T77-T75)</f>
        <v>7166</v>
      </c>
      <c r="U78" s="31">
        <f>T78+(U77-U75)</f>
        <v>7166</v>
      </c>
      <c r="V78" s="26"/>
      <c r="W78" s="31">
        <f>U78+(W77-W75)</f>
        <v>7166</v>
      </c>
      <c r="X78" s="31">
        <f>W78+(X77-X75)</f>
        <v>21148</v>
      </c>
      <c r="Y78" s="31">
        <f>X78+(Y77-Y75)</f>
        <v>21148</v>
      </c>
      <c r="Z78" s="26"/>
      <c r="AA78" s="31">
        <f>Y78+(AA77-AA75)</f>
        <v>21148</v>
      </c>
      <c r="AB78" s="31">
        <f>AA78+(AB77-AB75)</f>
        <v>21148</v>
      </c>
      <c r="AC78" s="31">
        <f>AB78+(AC77-AC75)</f>
        <v>5248</v>
      </c>
      <c r="AD78" s="31">
        <f>AC78+(AD77-AD75)</f>
        <v>1273</v>
      </c>
      <c r="AE78" s="31">
        <f>AD78+(AE77-AE75)</f>
        <v>-2702</v>
      </c>
      <c r="AF78" s="31">
        <f>AE78+(AF77-AF75)</f>
        <v>28556</v>
      </c>
      <c r="AG78" s="26"/>
      <c r="AH78" s="31">
        <f>AF78+(AH77-AH75)</f>
        <v>66273</v>
      </c>
      <c r="AI78" s="31"/>
      <c r="AJ78" s="31"/>
      <c r="AK78" s="32"/>
      <c r="AL78" s="33"/>
      <c r="AM78" s="46"/>
      <c r="AN78" s="46"/>
      <c r="AO78" s="46"/>
      <c r="AP78" s="525"/>
      <c r="AQ78" s="21"/>
      <c r="AR78" s="21"/>
      <c r="AS78" s="525"/>
      <c r="AT78" s="22"/>
      <c r="AU78" s="525"/>
      <c r="AV78" s="525"/>
    </row>
    <row r="79" spans="1:48">
      <c r="A79" s="528"/>
      <c r="B79" s="531"/>
      <c r="C79" s="534"/>
      <c r="D79" s="561"/>
      <c r="E79" s="564"/>
      <c r="F79" s="534"/>
      <c r="G79" s="29"/>
      <c r="H79" s="24" t="s">
        <v>27</v>
      </c>
      <c r="I79" s="25">
        <f>$O$87*$D$60/5</f>
        <v>3975</v>
      </c>
      <c r="J79" s="25"/>
      <c r="K79" s="25"/>
      <c r="L79" s="26"/>
      <c r="M79" s="25"/>
      <c r="N79" s="25"/>
      <c r="O79" s="25"/>
      <c r="P79" s="26"/>
      <c r="Q79" s="26"/>
      <c r="R79" s="26"/>
      <c r="S79" s="26"/>
      <c r="T79" s="25">
        <f>($O$87*$D$60/5)*6</f>
        <v>23850</v>
      </c>
      <c r="U79" s="25">
        <f>$O$87*$D$60/5</f>
        <v>3975</v>
      </c>
      <c r="V79" s="26"/>
      <c r="W79" s="25">
        <f>$O$87*$D$60/5</f>
        <v>3975</v>
      </c>
      <c r="X79" s="25">
        <f>$O$87*$D$60/5</f>
        <v>3975</v>
      </c>
      <c r="Y79" s="25">
        <f>$O$87*$D$60/5</f>
        <v>3975</v>
      </c>
      <c r="Z79" s="26"/>
      <c r="AA79" s="25"/>
      <c r="AB79" s="25">
        <f>($O$87*$D$60/5)*2</f>
        <v>7950</v>
      </c>
      <c r="AC79" s="25">
        <f t="shared" ref="AC79:AF79" si="17">$O$87*$D$60/5</f>
        <v>3975</v>
      </c>
      <c r="AD79" s="25">
        <f t="shared" si="17"/>
        <v>3975</v>
      </c>
      <c r="AE79" s="25">
        <f t="shared" si="17"/>
        <v>3975</v>
      </c>
      <c r="AF79" s="25">
        <f t="shared" si="17"/>
        <v>3975</v>
      </c>
      <c r="AG79" s="26"/>
      <c r="AH79" s="25">
        <f>$O$87*$D$60/5</f>
        <v>3975</v>
      </c>
      <c r="AI79" s="25">
        <f>$O$87*$D$60/5</f>
        <v>3975</v>
      </c>
      <c r="AJ79" s="25">
        <f>$O$87*$D$60/5</f>
        <v>3975</v>
      </c>
      <c r="AK79" s="27">
        <f>$O$87*$D$60/5</f>
        <v>3975</v>
      </c>
      <c r="AL79" s="28">
        <f>SUM(I79:AK79)</f>
        <v>83475</v>
      </c>
      <c r="AM79" s="46"/>
      <c r="AN79" s="46"/>
      <c r="AO79" s="46"/>
      <c r="AP79" s="525"/>
      <c r="AQ79" s="21"/>
      <c r="AR79" s="21"/>
      <c r="AS79" s="525"/>
      <c r="AT79" s="22"/>
      <c r="AU79" s="525"/>
      <c r="AV79" s="525"/>
    </row>
    <row r="80" spans="1:48">
      <c r="A80" s="528"/>
      <c r="B80" s="531"/>
      <c r="C80" s="534"/>
      <c r="D80" s="561"/>
      <c r="E80" s="564"/>
      <c r="F80" s="534"/>
      <c r="G80" s="29"/>
      <c r="H80" s="24" t="s">
        <v>28</v>
      </c>
      <c r="I80" s="25">
        <v>1</v>
      </c>
      <c r="J80" s="25"/>
      <c r="K80" s="25"/>
      <c r="L80" s="26"/>
      <c r="M80" s="25"/>
      <c r="N80" s="25"/>
      <c r="O80" s="25"/>
      <c r="P80" s="26"/>
      <c r="Q80" s="26"/>
      <c r="R80" s="26"/>
      <c r="S80" s="26"/>
      <c r="T80" s="25">
        <v>1</v>
      </c>
      <c r="U80" s="25">
        <v>1</v>
      </c>
      <c r="V80" s="26"/>
      <c r="W80" s="25">
        <v>1</v>
      </c>
      <c r="X80" s="25">
        <v>1</v>
      </c>
      <c r="Y80" s="25">
        <v>1</v>
      </c>
      <c r="Z80" s="26"/>
      <c r="AA80" s="25"/>
      <c r="AB80" s="25">
        <v>1</v>
      </c>
      <c r="AC80" s="25">
        <v>1</v>
      </c>
      <c r="AD80" s="25">
        <v>1</v>
      </c>
      <c r="AE80" s="25">
        <v>1</v>
      </c>
      <c r="AF80" s="25">
        <v>1</v>
      </c>
      <c r="AG80" s="26"/>
      <c r="AH80" s="25">
        <v>1</v>
      </c>
      <c r="AI80" s="25">
        <v>1</v>
      </c>
      <c r="AJ80" s="25">
        <v>1</v>
      </c>
      <c r="AK80" s="27">
        <v>1</v>
      </c>
      <c r="AL80" s="28"/>
      <c r="AM80" s="46"/>
      <c r="AN80" s="46"/>
      <c r="AO80" s="46"/>
      <c r="AP80" s="525"/>
      <c r="AQ80" s="21"/>
      <c r="AR80" s="21"/>
      <c r="AS80" s="525"/>
      <c r="AT80" s="22"/>
      <c r="AU80" s="525"/>
      <c r="AV80" s="525"/>
    </row>
    <row r="81" spans="1:48">
      <c r="A81" s="528"/>
      <c r="B81" s="531"/>
      <c r="C81" s="534"/>
      <c r="D81" s="561"/>
      <c r="E81" s="564"/>
      <c r="F81" s="534"/>
      <c r="G81" s="39"/>
      <c r="H81" s="30" t="s">
        <v>16</v>
      </c>
      <c r="I81" s="31">
        <f>1200+3500+1308+2969</f>
        <v>8977</v>
      </c>
      <c r="J81" s="31"/>
      <c r="K81" s="31"/>
      <c r="L81" s="26"/>
      <c r="M81" s="31"/>
      <c r="N81" s="31"/>
      <c r="O81" s="31"/>
      <c r="P81" s="26"/>
      <c r="Q81" s="26"/>
      <c r="R81" s="26"/>
      <c r="S81" s="26"/>
      <c r="T81" s="31">
        <f>4661+1127</f>
        <v>5788</v>
      </c>
      <c r="U81" s="31">
        <f>28+4169</f>
        <v>4197</v>
      </c>
      <c r="V81" s="26"/>
      <c r="W81" s="31">
        <f>500+4656+77+4659+615</f>
        <v>10507</v>
      </c>
      <c r="X81" s="31">
        <f>4043</f>
        <v>4043</v>
      </c>
      <c r="Y81" s="31">
        <f>795+4510+4116</f>
        <v>9421</v>
      </c>
      <c r="Z81" s="26"/>
      <c r="AA81" s="31"/>
      <c r="AB81" s="31">
        <f>1741</f>
        <v>1741</v>
      </c>
      <c r="AC81" s="31">
        <f>1863+4355+3274+2761</f>
        <v>12253</v>
      </c>
      <c r="AD81" s="31">
        <f>655+4612+1290+3200+4214</f>
        <v>13971</v>
      </c>
      <c r="AE81" s="31">
        <f>4504+519+288+3672</f>
        <v>8983</v>
      </c>
      <c r="AF81" s="31">
        <f>4066+3841</f>
        <v>7907</v>
      </c>
      <c r="AG81" s="26"/>
      <c r="AH81" s="31">
        <f>764+4461+50+432+3739+214+4522+2222</f>
        <v>16404</v>
      </c>
      <c r="AI81" s="31">
        <f>2757+3904+4500+2650+1850+2168</f>
        <v>17829</v>
      </c>
      <c r="AJ81" s="31">
        <f>1256+1122+3380+3695+812+4500+700</f>
        <v>15465</v>
      </c>
      <c r="AK81" s="32">
        <f>3798+832</f>
        <v>4630</v>
      </c>
      <c r="AL81" s="33">
        <f>SUM(I81:AK81)</f>
        <v>142116</v>
      </c>
      <c r="AM81" s="46"/>
      <c r="AN81" s="46"/>
      <c r="AO81" s="46"/>
      <c r="AP81" s="525"/>
      <c r="AQ81" s="21"/>
      <c r="AR81" s="21"/>
      <c r="AS81" s="525"/>
      <c r="AT81" s="22"/>
      <c r="AU81" s="525"/>
      <c r="AV81" s="525"/>
    </row>
    <row r="82" spans="1:48">
      <c r="A82" s="528"/>
      <c r="B82" s="531"/>
      <c r="C82" s="534"/>
      <c r="D82" s="561"/>
      <c r="E82" s="564"/>
      <c r="F82" s="534"/>
      <c r="G82" s="29"/>
      <c r="H82" s="30" t="s">
        <v>17</v>
      </c>
      <c r="I82" s="31">
        <f>I81-I79</f>
        <v>5002</v>
      </c>
      <c r="J82" s="31">
        <f>I82+(J81-J79)</f>
        <v>5002</v>
      </c>
      <c r="K82" s="31">
        <f>J82+(K81-K79)</f>
        <v>5002</v>
      </c>
      <c r="L82" s="26"/>
      <c r="M82" s="31">
        <f>K82+(M81-M79)</f>
        <v>5002</v>
      </c>
      <c r="N82" s="31">
        <f>M82+(N81-N79)</f>
        <v>5002</v>
      </c>
      <c r="O82" s="31">
        <f>N82+(O81-O79)</f>
        <v>5002</v>
      </c>
      <c r="P82" s="26"/>
      <c r="Q82" s="26"/>
      <c r="R82" s="26"/>
      <c r="S82" s="26"/>
      <c r="T82" s="31">
        <f>O82+(T81-T79)</f>
        <v>-13060</v>
      </c>
      <c r="U82" s="31">
        <f>T82+(U81-U79)</f>
        <v>-12838</v>
      </c>
      <c r="V82" s="26"/>
      <c r="W82" s="31">
        <f>U82+(W81-W79)</f>
        <v>-6306</v>
      </c>
      <c r="X82" s="31">
        <f>W82+(X81-X79)</f>
        <v>-6238</v>
      </c>
      <c r="Y82" s="31">
        <f>X82+(Y81-Y79)</f>
        <v>-792</v>
      </c>
      <c r="Z82" s="26"/>
      <c r="AA82" s="31">
        <f>Y82+(AA81-AA79)</f>
        <v>-792</v>
      </c>
      <c r="AB82" s="31">
        <f>AA82+(AB81-AB79)</f>
        <v>-7001</v>
      </c>
      <c r="AC82" s="31">
        <f>AB82+(AC81-AC79)</f>
        <v>1277</v>
      </c>
      <c r="AD82" s="31">
        <f>AC82+(AD81-AD79)</f>
        <v>11273</v>
      </c>
      <c r="AE82" s="31">
        <f>AD82+(AE81-AE79)</f>
        <v>16281</v>
      </c>
      <c r="AF82" s="31">
        <f>AE82+(AF81-AF79)</f>
        <v>20213</v>
      </c>
      <c r="AG82" s="26"/>
      <c r="AH82" s="31">
        <f>AF82+(AH81-AH79)</f>
        <v>32642</v>
      </c>
      <c r="AI82" s="31">
        <f>AH82+(AI81-AI79)</f>
        <v>46496</v>
      </c>
      <c r="AJ82" s="31">
        <f>AI82+(AJ81-AJ79)</f>
        <v>57986</v>
      </c>
      <c r="AK82" s="32"/>
      <c r="AL82" s="33"/>
      <c r="AM82" s="46"/>
      <c r="AN82" s="46"/>
      <c r="AO82" s="46"/>
      <c r="AP82" s="21"/>
      <c r="AQ82" s="21"/>
      <c r="AR82" s="21"/>
      <c r="AS82" s="21"/>
      <c r="AT82" s="22"/>
      <c r="AU82" s="21"/>
      <c r="AV82" s="21"/>
    </row>
    <row r="83" spans="1:48">
      <c r="A83" s="528"/>
      <c r="B83" s="531"/>
      <c r="C83" s="534"/>
      <c r="D83" s="561"/>
      <c r="E83" s="564"/>
      <c r="F83" s="534"/>
      <c r="G83" s="39"/>
      <c r="H83" s="24" t="s">
        <v>46</v>
      </c>
      <c r="I83" s="25">
        <f>$O$87*$D$60/5</f>
        <v>3975</v>
      </c>
      <c r="J83" s="25">
        <f>$O$87*$D$60/5</f>
        <v>3975</v>
      </c>
      <c r="K83" s="25">
        <f>$O$87*$D$60/5</f>
        <v>3975</v>
      </c>
      <c r="L83" s="26"/>
      <c r="M83" s="25"/>
      <c r="N83" s="25"/>
      <c r="O83" s="25"/>
      <c r="P83" s="26"/>
      <c r="Q83" s="26"/>
      <c r="R83" s="26"/>
      <c r="S83" s="26"/>
      <c r="T83" s="25"/>
      <c r="U83" s="25">
        <f>($O$87*$D$60/5)*5</f>
        <v>19875</v>
      </c>
      <c r="V83" s="26"/>
      <c r="W83" s="25">
        <f>$O$87*$D$60/5</f>
        <v>3975</v>
      </c>
      <c r="X83" s="25">
        <f>$O$87*$D$60/5</f>
        <v>3975</v>
      </c>
      <c r="Y83" s="25">
        <f>$O$87*$D$60/5</f>
        <v>3975</v>
      </c>
      <c r="Z83" s="26"/>
      <c r="AA83" s="25">
        <f t="shared" ref="AA83:AF83" si="18">$O$87*$D$60/5</f>
        <v>3975</v>
      </c>
      <c r="AB83" s="25"/>
      <c r="AC83" s="25">
        <f>($O$87*$D$60/5)*2</f>
        <v>7950</v>
      </c>
      <c r="AD83" s="25">
        <f t="shared" si="18"/>
        <v>3975</v>
      </c>
      <c r="AE83" s="25">
        <f t="shared" si="18"/>
        <v>3975</v>
      </c>
      <c r="AF83" s="25">
        <f t="shared" si="18"/>
        <v>3975</v>
      </c>
      <c r="AG83" s="26"/>
      <c r="AH83" s="25">
        <f>$O$87*$D$60/5</f>
        <v>3975</v>
      </c>
      <c r="AI83" s="25">
        <f>$O$87*$D$60/5</f>
        <v>3975</v>
      </c>
      <c r="AJ83" s="25">
        <f>$O$87*$D$60/5</f>
        <v>3975</v>
      </c>
      <c r="AK83" s="27">
        <f>$O$87*$D$60/5</f>
        <v>3975</v>
      </c>
      <c r="AL83" s="28">
        <f>SUM(I83:AK83)</f>
        <v>83475</v>
      </c>
      <c r="AM83" s="46"/>
      <c r="AN83" s="46"/>
      <c r="AO83" s="46"/>
      <c r="AP83" s="21"/>
      <c r="AQ83" s="21"/>
      <c r="AR83" s="21"/>
      <c r="AS83" s="21"/>
      <c r="AT83" s="22"/>
      <c r="AU83" s="21"/>
      <c r="AV83" s="21"/>
    </row>
    <row r="84" spans="1:48">
      <c r="A84" s="528"/>
      <c r="B84" s="531"/>
      <c r="C84" s="534"/>
      <c r="D84" s="561"/>
      <c r="E84" s="564"/>
      <c r="F84" s="534"/>
      <c r="G84" s="39"/>
      <c r="H84" s="24" t="s">
        <v>47</v>
      </c>
      <c r="I84" s="25">
        <v>2</v>
      </c>
      <c r="J84" s="25">
        <v>2</v>
      </c>
      <c r="K84" s="25">
        <v>2</v>
      </c>
      <c r="L84" s="26"/>
      <c r="M84" s="25"/>
      <c r="N84" s="25"/>
      <c r="O84" s="25"/>
      <c r="P84" s="26"/>
      <c r="Q84" s="26"/>
      <c r="R84" s="26"/>
      <c r="S84" s="26"/>
      <c r="T84" s="25"/>
      <c r="U84" s="25">
        <v>2</v>
      </c>
      <c r="V84" s="26"/>
      <c r="W84" s="25">
        <v>2</v>
      </c>
      <c r="X84" s="25">
        <v>2</v>
      </c>
      <c r="Y84" s="25">
        <v>2</v>
      </c>
      <c r="Z84" s="26"/>
      <c r="AA84" s="25">
        <v>2</v>
      </c>
      <c r="AB84" s="25"/>
      <c r="AC84" s="25">
        <v>2</v>
      </c>
      <c r="AD84" s="25">
        <v>2</v>
      </c>
      <c r="AE84" s="25">
        <v>2</v>
      </c>
      <c r="AF84" s="25">
        <v>2</v>
      </c>
      <c r="AG84" s="26"/>
      <c r="AH84" s="25">
        <v>2</v>
      </c>
      <c r="AI84" s="25">
        <v>2</v>
      </c>
      <c r="AJ84" s="25">
        <v>2</v>
      </c>
      <c r="AK84" s="27">
        <v>2</v>
      </c>
      <c r="AL84" s="28"/>
      <c r="AM84" s="46"/>
      <c r="AN84" s="46"/>
      <c r="AO84" s="46"/>
      <c r="AP84" s="21"/>
      <c r="AQ84" s="21"/>
      <c r="AR84" s="21"/>
      <c r="AS84" s="21"/>
      <c r="AT84" s="22"/>
      <c r="AU84" s="21"/>
      <c r="AV84" s="21"/>
    </row>
    <row r="85" spans="1:48">
      <c r="A85" s="528"/>
      <c r="B85" s="531"/>
      <c r="C85" s="534"/>
      <c r="D85" s="561"/>
      <c r="E85" s="564"/>
      <c r="F85" s="534"/>
      <c r="G85" s="39"/>
      <c r="H85" s="30" t="s">
        <v>16</v>
      </c>
      <c r="I85" s="31">
        <v>6751</v>
      </c>
      <c r="J85" s="31">
        <v>7303</v>
      </c>
      <c r="K85" s="31">
        <v>1900</v>
      </c>
      <c r="L85" s="26"/>
      <c r="M85" s="31"/>
      <c r="N85" s="31"/>
      <c r="O85" s="31"/>
      <c r="P85" s="26"/>
      <c r="Q85" s="26"/>
      <c r="R85" s="26"/>
      <c r="S85" s="26"/>
      <c r="T85" s="31"/>
      <c r="U85" s="31">
        <v>4144</v>
      </c>
      <c r="V85" s="26"/>
      <c r="W85" s="31">
        <v>1292</v>
      </c>
      <c r="X85" s="31">
        <f>1500+1533+1600+1500+950+1400</f>
        <v>8483</v>
      </c>
      <c r="Y85" s="31">
        <v>8043</v>
      </c>
      <c r="Z85" s="26"/>
      <c r="AA85" s="31">
        <v>1175</v>
      </c>
      <c r="AB85" s="31"/>
      <c r="AC85" s="31">
        <v>5998</v>
      </c>
      <c r="AD85" s="31">
        <v>8021</v>
      </c>
      <c r="AE85" s="31">
        <v>8102</v>
      </c>
      <c r="AF85" s="31">
        <v>6149</v>
      </c>
      <c r="AG85" s="26"/>
      <c r="AH85" s="31">
        <v>8019</v>
      </c>
      <c r="AI85" s="31">
        <v>5040</v>
      </c>
      <c r="AJ85" s="31">
        <v>8219</v>
      </c>
      <c r="AK85" s="32">
        <v>9924</v>
      </c>
      <c r="AL85" s="33">
        <f>SUM(I85:AK85)</f>
        <v>98563</v>
      </c>
      <c r="AM85" s="46"/>
      <c r="AN85" s="46"/>
      <c r="AO85" s="46"/>
      <c r="AP85" s="21"/>
      <c r="AQ85" s="21"/>
      <c r="AR85" s="21"/>
      <c r="AS85" s="21"/>
      <c r="AT85" s="22"/>
      <c r="AU85" s="21"/>
      <c r="AV85" s="21"/>
    </row>
    <row r="86" spans="1:48">
      <c r="A86" s="528"/>
      <c r="B86" s="531"/>
      <c r="C86" s="534"/>
      <c r="D86" s="561"/>
      <c r="E86" s="564"/>
      <c r="F86" s="534"/>
      <c r="G86" s="29"/>
      <c r="H86" s="30" t="s">
        <v>17</v>
      </c>
      <c r="I86" s="31">
        <f>I85-I83</f>
        <v>2776</v>
      </c>
      <c r="J86" s="31">
        <f>I86+(J85-J83)</f>
        <v>6104</v>
      </c>
      <c r="K86" s="31">
        <f>J86+(K85-K83)</f>
        <v>4029</v>
      </c>
      <c r="L86" s="26"/>
      <c r="M86" s="31">
        <f>K86+(M85-M83)</f>
        <v>4029</v>
      </c>
      <c r="N86" s="31">
        <f>M86+(N85-N83)</f>
        <v>4029</v>
      </c>
      <c r="O86" s="31">
        <f>N86+(O85-O83)</f>
        <v>4029</v>
      </c>
      <c r="P86" s="26"/>
      <c r="Q86" s="26"/>
      <c r="R86" s="26"/>
      <c r="S86" s="26"/>
      <c r="T86" s="31">
        <f>O86+(T85-T83)</f>
        <v>4029</v>
      </c>
      <c r="U86" s="31">
        <f>T86+(U85-U83)</f>
        <v>-11702</v>
      </c>
      <c r="V86" s="26"/>
      <c r="W86" s="31">
        <f>U86+(W85-W83)</f>
        <v>-14385</v>
      </c>
      <c r="X86" s="31">
        <f>W86+(X85-X83)</f>
        <v>-9877</v>
      </c>
      <c r="Y86" s="31">
        <f>X86+(Y85-Y83)</f>
        <v>-5809</v>
      </c>
      <c r="Z86" s="26"/>
      <c r="AA86" s="31">
        <f>Y86+(AA85-AA83)</f>
        <v>-8609</v>
      </c>
      <c r="AB86" s="31">
        <f>AA86+(AB85-AB83)</f>
        <v>-8609</v>
      </c>
      <c r="AC86" s="31">
        <f>AB86+(AC85-AC83)</f>
        <v>-10561</v>
      </c>
      <c r="AD86" s="31">
        <f>AC86+(AD85-AD83)</f>
        <v>-6515</v>
      </c>
      <c r="AE86" s="31">
        <f>AD86+(AE85-AE83)</f>
        <v>-2388</v>
      </c>
      <c r="AF86" s="31">
        <f>AE86+(AF85-AF83)</f>
        <v>-214</v>
      </c>
      <c r="AG86" s="26"/>
      <c r="AH86" s="31">
        <f>AF86+(AH85-AH83)</f>
        <v>3830</v>
      </c>
      <c r="AI86" s="31">
        <f>AH86+(AI85-AI83)</f>
        <v>4895</v>
      </c>
      <c r="AJ86" s="31">
        <f>AI86+(AJ85-AJ83)</f>
        <v>9139</v>
      </c>
      <c r="AK86" s="31">
        <f>AJ86+(AK85-AK83)</f>
        <v>15088</v>
      </c>
      <c r="AL86" s="33"/>
      <c r="AM86" s="46"/>
      <c r="AN86" s="46"/>
      <c r="AO86" s="46"/>
      <c r="AP86" s="21"/>
      <c r="AQ86" s="21"/>
      <c r="AR86" s="21"/>
      <c r="AS86" s="21"/>
      <c r="AT86" s="22"/>
      <c r="AU86" s="21"/>
      <c r="AV86" s="21"/>
    </row>
    <row r="87" spans="1:48">
      <c r="A87" s="528"/>
      <c r="B87" s="531"/>
      <c r="C87" s="534"/>
      <c r="D87" s="561"/>
      <c r="E87" s="564"/>
      <c r="F87" s="534"/>
      <c r="G87" s="29"/>
      <c r="H87" s="24" t="s">
        <v>29</v>
      </c>
      <c r="I87" s="25"/>
      <c r="J87" s="25"/>
      <c r="K87" s="25"/>
      <c r="L87" s="26"/>
      <c r="M87" s="25"/>
      <c r="N87" s="25"/>
      <c r="O87" s="25">
        <f>($C$60*5)</f>
        <v>12500</v>
      </c>
      <c r="P87" s="26"/>
      <c r="Q87" s="26"/>
      <c r="R87" s="26"/>
      <c r="S87" s="26"/>
      <c r="T87" s="25"/>
      <c r="U87" s="25"/>
      <c r="V87" s="26"/>
      <c r="W87" s="25"/>
      <c r="X87" s="25"/>
      <c r="Y87" s="25">
        <f>($C$60*5)</f>
        <v>12500</v>
      </c>
      <c r="Z87" s="26"/>
      <c r="AA87" s="25"/>
      <c r="AB87" s="25"/>
      <c r="AC87" s="25"/>
      <c r="AD87" s="25"/>
      <c r="AE87" s="25">
        <f>($C$60*5)</f>
        <v>12500</v>
      </c>
      <c r="AF87" s="25"/>
      <c r="AG87" s="26"/>
      <c r="AH87" s="25"/>
      <c r="AI87" s="25"/>
      <c r="AJ87" s="25"/>
      <c r="AK87" s="25">
        <f>($C$60*5)</f>
        <v>12500</v>
      </c>
      <c r="AL87" s="28">
        <f>SUM(I87:AK87)</f>
        <v>50000</v>
      </c>
      <c r="AM87" s="46"/>
      <c r="AN87" s="46"/>
      <c r="AO87" s="46"/>
      <c r="AP87" s="21"/>
      <c r="AQ87" s="21"/>
      <c r="AR87" s="21"/>
      <c r="AS87" s="21"/>
      <c r="AT87" s="22"/>
      <c r="AU87" s="21"/>
      <c r="AV87" s="21"/>
    </row>
    <row r="88" spans="1:48">
      <c r="A88" s="528"/>
      <c r="B88" s="531"/>
      <c r="C88" s="534"/>
      <c r="D88" s="561"/>
      <c r="E88" s="564"/>
      <c r="F88" s="534"/>
      <c r="G88" s="29"/>
      <c r="H88" s="24" t="s">
        <v>48</v>
      </c>
      <c r="I88" s="25"/>
      <c r="J88" s="25"/>
      <c r="K88" s="25"/>
      <c r="L88" s="26"/>
      <c r="M88" s="25"/>
      <c r="N88" s="25"/>
      <c r="O88" s="25">
        <v>1</v>
      </c>
      <c r="P88" s="26"/>
      <c r="Q88" s="26"/>
      <c r="R88" s="26"/>
      <c r="S88" s="26"/>
      <c r="T88" s="25"/>
      <c r="U88" s="25"/>
      <c r="V88" s="26"/>
      <c r="W88" s="25"/>
      <c r="X88" s="25"/>
      <c r="Y88" s="25">
        <v>1</v>
      </c>
      <c r="Z88" s="26"/>
      <c r="AA88" s="25"/>
      <c r="AB88" s="25"/>
      <c r="AC88" s="25"/>
      <c r="AD88" s="25"/>
      <c r="AE88" s="25">
        <v>1</v>
      </c>
      <c r="AF88" s="25"/>
      <c r="AG88" s="26"/>
      <c r="AH88" s="25"/>
      <c r="AI88" s="25"/>
      <c r="AJ88" s="25"/>
      <c r="AK88" s="27">
        <v>1</v>
      </c>
      <c r="AL88" s="28"/>
      <c r="AM88" s="46"/>
      <c r="AN88" s="46"/>
      <c r="AO88" s="46"/>
      <c r="AP88" s="21"/>
      <c r="AQ88" s="21"/>
      <c r="AR88" s="21"/>
      <c r="AS88" s="21"/>
      <c r="AT88" s="22"/>
      <c r="AU88" s="21"/>
      <c r="AV88" s="21"/>
    </row>
    <row r="89" spans="1:48">
      <c r="A89" s="528"/>
      <c r="B89" s="531"/>
      <c r="C89" s="534"/>
      <c r="D89" s="561"/>
      <c r="E89" s="564"/>
      <c r="F89" s="534"/>
      <c r="G89" s="29"/>
      <c r="H89" s="30" t="s">
        <v>16</v>
      </c>
      <c r="I89" s="31"/>
      <c r="J89" s="31"/>
      <c r="K89" s="31">
        <f>9000+6150</f>
        <v>15150</v>
      </c>
      <c r="L89" s="26"/>
      <c r="M89" s="31"/>
      <c r="N89" s="31">
        <v>6042</v>
      </c>
      <c r="O89" s="31">
        <v>7762</v>
      </c>
      <c r="P89" s="26"/>
      <c r="Q89" s="26"/>
      <c r="R89" s="26"/>
      <c r="S89" s="26"/>
      <c r="T89" s="31"/>
      <c r="U89" s="31"/>
      <c r="V89" s="26"/>
      <c r="W89" s="31"/>
      <c r="X89" s="31"/>
      <c r="Y89" s="31">
        <v>5909</v>
      </c>
      <c r="Z89" s="26"/>
      <c r="AA89" s="31">
        <v>8437</v>
      </c>
      <c r="AB89" s="31"/>
      <c r="AC89" s="31"/>
      <c r="AD89" s="31"/>
      <c r="AE89" s="31"/>
      <c r="AF89" s="31"/>
      <c r="AG89" s="26"/>
      <c r="AH89" s="31"/>
      <c r="AI89" s="31"/>
      <c r="AJ89" s="31">
        <v>16880</v>
      </c>
      <c r="AK89" s="32"/>
      <c r="AL89" s="33">
        <f>SUM(I89:AK89)</f>
        <v>60180</v>
      </c>
      <c r="AM89" s="46"/>
      <c r="AN89" s="46"/>
      <c r="AO89" s="46"/>
      <c r="AP89" s="21"/>
      <c r="AQ89" s="21"/>
      <c r="AR89" s="21"/>
      <c r="AS89" s="21"/>
      <c r="AT89" s="22"/>
      <c r="AU89" s="21"/>
      <c r="AV89" s="21"/>
    </row>
    <row r="90" spans="1:48" ht="15.75" thickBot="1">
      <c r="A90" s="529"/>
      <c r="B90" s="532"/>
      <c r="C90" s="535"/>
      <c r="D90" s="562"/>
      <c r="E90" s="565"/>
      <c r="F90" s="535"/>
      <c r="G90" s="29"/>
      <c r="H90" s="30" t="s">
        <v>17</v>
      </c>
      <c r="I90" s="31">
        <f>I89-I87</f>
        <v>0</v>
      </c>
      <c r="J90" s="31">
        <f>I90+(J89-J87)</f>
        <v>0</v>
      </c>
      <c r="K90" s="31">
        <f>J90+(K89-K87)</f>
        <v>15150</v>
      </c>
      <c r="L90" s="26"/>
      <c r="M90" s="31">
        <f>K90+(M89-M87)</f>
        <v>15150</v>
      </c>
      <c r="N90" s="31">
        <f>M90+(N89-N87)</f>
        <v>21192</v>
      </c>
      <c r="O90" s="31">
        <f>N90+(O89-O87)</f>
        <v>16454</v>
      </c>
      <c r="P90" s="26"/>
      <c r="Q90" s="26"/>
      <c r="R90" s="26"/>
      <c r="S90" s="26"/>
      <c r="T90" s="31">
        <f>O90+(T89-T87)</f>
        <v>16454</v>
      </c>
      <c r="U90" s="31">
        <f>T90+(U89-U87)</f>
        <v>16454</v>
      </c>
      <c r="V90" s="26"/>
      <c r="W90" s="31">
        <f>U90+(W89-W87)</f>
        <v>16454</v>
      </c>
      <c r="X90" s="31">
        <f>W90+(X89-X87)</f>
        <v>16454</v>
      </c>
      <c r="Y90" s="31">
        <f>X90+(Y89-Y87)</f>
        <v>9863</v>
      </c>
      <c r="Z90" s="26"/>
      <c r="AA90" s="31">
        <f>Y90+(AA89-AA87)</f>
        <v>18300</v>
      </c>
      <c r="AB90" s="31">
        <f>AA90+(AB89-AB87)</f>
        <v>18300</v>
      </c>
      <c r="AC90" s="31">
        <f>AB90+(AC89-AC87)</f>
        <v>18300</v>
      </c>
      <c r="AD90" s="31">
        <f>AC90+(AD89-AD87)</f>
        <v>18300</v>
      </c>
      <c r="AE90" s="31">
        <f>AD90+(AE89-AE87)</f>
        <v>5800</v>
      </c>
      <c r="AF90" s="31">
        <f>AE90+(AF89-AF87)</f>
        <v>5800</v>
      </c>
      <c r="AG90" s="26"/>
      <c r="AH90" s="31">
        <f>AF90+(AH89-AH87)</f>
        <v>5800</v>
      </c>
      <c r="AI90" s="31">
        <f>AH90+(AI89-AI87)</f>
        <v>5800</v>
      </c>
      <c r="AJ90" s="31">
        <f>AI90+(AJ89-AJ87)</f>
        <v>22680</v>
      </c>
      <c r="AK90" s="31">
        <f>AJ90+(AK89-AK87)</f>
        <v>10180</v>
      </c>
      <c r="AL90" s="43"/>
      <c r="AM90" s="46"/>
      <c r="AN90" s="46"/>
      <c r="AO90" s="46"/>
      <c r="AP90" s="21"/>
      <c r="AQ90" s="21"/>
      <c r="AR90" s="21"/>
      <c r="AS90" s="21"/>
      <c r="AT90" s="22"/>
      <c r="AU90" s="21"/>
      <c r="AV90" s="21"/>
    </row>
    <row r="91" spans="1:48" ht="15" customHeight="1">
      <c r="A91" s="566" t="s">
        <v>49</v>
      </c>
      <c r="B91" s="568" t="s">
        <v>50</v>
      </c>
      <c r="C91" s="570">
        <v>2000</v>
      </c>
      <c r="D91" s="572">
        <v>1.56</v>
      </c>
      <c r="E91" s="563"/>
      <c r="F91" s="533" t="s">
        <v>51</v>
      </c>
      <c r="G91" s="51" t="s">
        <v>52</v>
      </c>
      <c r="H91" s="17" t="s">
        <v>19</v>
      </c>
      <c r="I91" s="18"/>
      <c r="J91" s="18"/>
      <c r="K91" s="18"/>
      <c r="L91" s="19"/>
      <c r="M91" s="18"/>
      <c r="N91" s="18"/>
      <c r="O91" s="18"/>
      <c r="P91" s="19"/>
      <c r="Q91" s="19"/>
      <c r="R91" s="19"/>
      <c r="S91" s="19"/>
      <c r="T91" s="18"/>
      <c r="U91" s="18"/>
      <c r="V91" s="19"/>
      <c r="W91" s="18">
        <f>(($O$103*$D$91)+($O$107*$D$101))*2</f>
        <v>42100</v>
      </c>
      <c r="X91" s="18"/>
      <c r="Y91" s="18">
        <f>($O$103*$D$91)+($O$107*$D$101)</f>
        <v>21050</v>
      </c>
      <c r="Z91" s="19"/>
      <c r="AA91" s="18"/>
      <c r="AB91" s="18"/>
      <c r="AC91" s="18"/>
      <c r="AD91" s="18">
        <f>($O$103*$D$91)+($O$107*$D$101)</f>
        <v>21050</v>
      </c>
      <c r="AE91" s="18"/>
      <c r="AF91" s="18"/>
      <c r="AG91" s="19"/>
      <c r="AH91" s="18"/>
      <c r="AI91" s="18"/>
      <c r="AJ91" s="18"/>
      <c r="AK91" s="44">
        <f>($O$103*$D$91)+($O$107*$D$101)</f>
        <v>21050</v>
      </c>
      <c r="AL91" s="20">
        <f>SUM(I91:AK91)</f>
        <v>105250</v>
      </c>
      <c r="AM91" s="21"/>
      <c r="AN91" s="21"/>
      <c r="AO91" s="21"/>
      <c r="AP91" s="21"/>
      <c r="AQ91" s="21"/>
      <c r="AR91" s="21"/>
      <c r="AS91" s="21"/>
      <c r="AT91" s="21"/>
      <c r="AU91" s="21"/>
      <c r="AV91" s="525"/>
    </row>
    <row r="92" spans="1:48">
      <c r="A92" s="567"/>
      <c r="B92" s="569"/>
      <c r="C92" s="571"/>
      <c r="D92" s="573"/>
      <c r="E92" s="564"/>
      <c r="F92" s="534"/>
      <c r="G92" s="29"/>
      <c r="H92" s="24" t="s">
        <v>15</v>
      </c>
      <c r="I92" s="25"/>
      <c r="J92" s="25"/>
      <c r="K92" s="25"/>
      <c r="L92" s="26"/>
      <c r="M92" s="25"/>
      <c r="N92" s="25"/>
      <c r="O92" s="25"/>
      <c r="P92" s="26"/>
      <c r="Q92" s="26"/>
      <c r="R92" s="26"/>
      <c r="S92" s="26"/>
      <c r="T92" s="25"/>
      <c r="U92" s="25"/>
      <c r="V92" s="26"/>
      <c r="W92" s="25">
        <v>1</v>
      </c>
      <c r="X92" s="25"/>
      <c r="Y92" s="25">
        <v>1</v>
      </c>
      <c r="Z92" s="26"/>
      <c r="AA92" s="25"/>
      <c r="AB92" s="25"/>
      <c r="AC92" s="25"/>
      <c r="AD92" s="25">
        <v>1</v>
      </c>
      <c r="AE92" s="25"/>
      <c r="AF92" s="25"/>
      <c r="AG92" s="26"/>
      <c r="AH92" s="25"/>
      <c r="AI92" s="25"/>
      <c r="AJ92" s="25"/>
      <c r="AK92" s="27">
        <v>1</v>
      </c>
      <c r="AL92" s="28"/>
      <c r="AM92" s="21"/>
      <c r="AN92" s="21"/>
      <c r="AO92" s="21"/>
      <c r="AP92" s="21"/>
      <c r="AQ92" s="21"/>
      <c r="AR92" s="21"/>
      <c r="AS92" s="21"/>
      <c r="AT92" s="21"/>
      <c r="AU92" s="21"/>
      <c r="AV92" s="525"/>
    </row>
    <row r="93" spans="1:48">
      <c r="A93" s="567"/>
      <c r="B93" s="569"/>
      <c r="C93" s="571"/>
      <c r="D93" s="573"/>
      <c r="E93" s="564"/>
      <c r="F93" s="534"/>
      <c r="G93" s="29"/>
      <c r="H93" s="30" t="s">
        <v>16</v>
      </c>
      <c r="I93" s="31"/>
      <c r="J93" s="31"/>
      <c r="K93" s="31"/>
      <c r="L93" s="26"/>
      <c r="M93" s="31"/>
      <c r="N93" s="31"/>
      <c r="O93" s="31"/>
      <c r="P93" s="26"/>
      <c r="Q93" s="26"/>
      <c r="R93" s="26"/>
      <c r="S93" s="26"/>
      <c r="T93" s="31"/>
      <c r="U93" s="31"/>
      <c r="V93" s="26"/>
      <c r="W93" s="31">
        <f>7339</f>
        <v>7339</v>
      </c>
      <c r="X93" s="31">
        <f>10087+8385</f>
        <v>18472</v>
      </c>
      <c r="Y93" s="31">
        <f>5914</f>
        <v>5914</v>
      </c>
      <c r="Z93" s="26"/>
      <c r="AA93" s="31">
        <f>6270</f>
        <v>6270</v>
      </c>
      <c r="AB93" s="31">
        <f>8459+7525</f>
        <v>15984</v>
      </c>
      <c r="AC93" s="31">
        <f>13863+6006</f>
        <v>19869</v>
      </c>
      <c r="AD93" s="31">
        <f>7609+6908</f>
        <v>14517</v>
      </c>
      <c r="AE93" s="31"/>
      <c r="AF93" s="31"/>
      <c r="AG93" s="26"/>
      <c r="AH93" s="31"/>
      <c r="AI93" s="31"/>
      <c r="AJ93" s="31"/>
      <c r="AK93" s="32"/>
      <c r="AL93" s="33">
        <f>SUM(I93:AK93)</f>
        <v>88365</v>
      </c>
      <c r="AM93" s="21"/>
      <c r="AN93" s="21"/>
      <c r="AO93" s="21"/>
      <c r="AP93" s="21"/>
      <c r="AQ93" s="21"/>
      <c r="AR93" s="21"/>
      <c r="AS93" s="21"/>
      <c r="AT93" s="21"/>
      <c r="AU93" s="21"/>
      <c r="AV93" s="525"/>
    </row>
    <row r="94" spans="1:48">
      <c r="A94" s="567"/>
      <c r="B94" s="569"/>
      <c r="C94" s="571"/>
      <c r="D94" s="573"/>
      <c r="E94" s="564"/>
      <c r="F94" s="534"/>
      <c r="G94" s="29"/>
      <c r="H94" s="30" t="s">
        <v>17</v>
      </c>
      <c r="I94" s="31">
        <f>I93-I91</f>
        <v>0</v>
      </c>
      <c r="J94" s="31">
        <f>I94+(J93-J91)</f>
        <v>0</v>
      </c>
      <c r="K94" s="31">
        <f>J94+(K93-K91)</f>
        <v>0</v>
      </c>
      <c r="L94" s="26"/>
      <c r="M94" s="31">
        <f>K94+(M93-M91)</f>
        <v>0</v>
      </c>
      <c r="N94" s="31">
        <f>M94+(N93-N91)</f>
        <v>0</v>
      </c>
      <c r="O94" s="31">
        <f>N94+(O93-O91)</f>
        <v>0</v>
      </c>
      <c r="P94" s="26"/>
      <c r="Q94" s="26"/>
      <c r="R94" s="26"/>
      <c r="S94" s="26"/>
      <c r="T94" s="31">
        <f>O94+(T93-T91)</f>
        <v>0</v>
      </c>
      <c r="U94" s="31">
        <f>T94+(U93-U91)</f>
        <v>0</v>
      </c>
      <c r="V94" s="26"/>
      <c r="W94" s="31">
        <f>U94+(W93-W91)</f>
        <v>-34761</v>
      </c>
      <c r="X94" s="31">
        <f>W94+(X93-X91)</f>
        <v>-16289</v>
      </c>
      <c r="Y94" s="31">
        <f>X94+(Y93-Y91)</f>
        <v>-31425</v>
      </c>
      <c r="Z94" s="26"/>
      <c r="AA94" s="31">
        <f>Y94+(AA93-AA91)</f>
        <v>-25155</v>
      </c>
      <c r="AB94" s="31">
        <f>AA94+(AB93-AB91)</f>
        <v>-9171</v>
      </c>
      <c r="AC94" s="31">
        <f>AB94+(AC93-AC91)</f>
        <v>10698</v>
      </c>
      <c r="AD94" s="31">
        <f>AC94+(AD93-AD91)</f>
        <v>4165</v>
      </c>
      <c r="AE94" s="31">
        <f>AD94+(AE93-AE91)</f>
        <v>4165</v>
      </c>
      <c r="AF94" s="31"/>
      <c r="AG94" s="26"/>
      <c r="AH94" s="31"/>
      <c r="AI94" s="31"/>
      <c r="AJ94" s="31"/>
      <c r="AK94" s="32"/>
      <c r="AL94" s="33"/>
      <c r="AM94" s="21"/>
      <c r="AN94" s="21"/>
      <c r="AO94" s="21"/>
      <c r="AP94" s="21"/>
      <c r="AQ94" s="21"/>
      <c r="AR94" s="21"/>
      <c r="AS94" s="21"/>
      <c r="AT94" s="21"/>
      <c r="AU94" s="21"/>
      <c r="AV94" s="525"/>
    </row>
    <row r="95" spans="1:48">
      <c r="A95" s="567"/>
      <c r="B95" s="569"/>
      <c r="C95" s="571"/>
      <c r="D95" s="573"/>
      <c r="E95" s="564"/>
      <c r="F95" s="534"/>
      <c r="G95" s="29" t="s">
        <v>25</v>
      </c>
      <c r="H95" s="24" t="s">
        <v>26</v>
      </c>
      <c r="I95" s="25"/>
      <c r="J95" s="25"/>
      <c r="K95" s="25"/>
      <c r="L95" s="26"/>
      <c r="M95" s="25">
        <f>($O$103*$D$91)+($O$107*$D$101)</f>
        <v>21050</v>
      </c>
      <c r="N95" s="25"/>
      <c r="O95" s="25"/>
      <c r="P95" s="26"/>
      <c r="Q95" s="26"/>
      <c r="R95" s="26"/>
      <c r="S95" s="26"/>
      <c r="T95" s="25"/>
      <c r="U95" s="25">
        <f>($O$103*$D$91)+($O$107*$D$101)</f>
        <v>21050</v>
      </c>
      <c r="V95" s="26"/>
      <c r="W95" s="25"/>
      <c r="X95" s="25"/>
      <c r="Y95" s="25"/>
      <c r="Z95" s="26"/>
      <c r="AA95" s="25">
        <f>($O$103*$D$91)+($O$107*$D$101)</f>
        <v>21050</v>
      </c>
      <c r="AB95" s="25"/>
      <c r="AC95" s="25"/>
      <c r="AD95" s="25"/>
      <c r="AE95" s="25"/>
      <c r="AF95" s="25">
        <f>($O$103*$D$91)+($O$107*$D$101)</f>
        <v>21050</v>
      </c>
      <c r="AG95" s="26"/>
      <c r="AH95" s="25"/>
      <c r="AI95" s="25"/>
      <c r="AJ95" s="25"/>
      <c r="AK95" s="27"/>
      <c r="AL95" s="28">
        <f>SUM(I95:AK95)</f>
        <v>84200</v>
      </c>
      <c r="AM95" s="21"/>
      <c r="AN95" s="21"/>
      <c r="AO95" s="21"/>
      <c r="AP95" s="21"/>
      <c r="AQ95" s="21"/>
      <c r="AR95" s="21"/>
      <c r="AS95" s="21"/>
      <c r="AT95" s="21"/>
      <c r="AU95" s="21"/>
      <c r="AV95" s="525"/>
    </row>
    <row r="96" spans="1:48">
      <c r="A96" s="567"/>
      <c r="B96" s="569"/>
      <c r="C96" s="571"/>
      <c r="D96" s="573"/>
      <c r="E96" s="564"/>
      <c r="F96" s="534"/>
      <c r="G96" s="29"/>
      <c r="H96" s="24" t="s">
        <v>24</v>
      </c>
      <c r="I96" s="25"/>
      <c r="J96" s="25"/>
      <c r="K96" s="25"/>
      <c r="L96" s="26"/>
      <c r="M96" s="25">
        <v>1</v>
      </c>
      <c r="N96" s="25"/>
      <c r="O96" s="25"/>
      <c r="P96" s="26"/>
      <c r="Q96" s="26"/>
      <c r="R96" s="26"/>
      <c r="S96" s="26"/>
      <c r="T96" s="25"/>
      <c r="U96" s="25">
        <v>1</v>
      </c>
      <c r="V96" s="26"/>
      <c r="W96" s="25"/>
      <c r="X96" s="25"/>
      <c r="Y96" s="25"/>
      <c r="Z96" s="26"/>
      <c r="AA96" s="25">
        <v>1</v>
      </c>
      <c r="AB96" s="25"/>
      <c r="AC96" s="25"/>
      <c r="AD96" s="25"/>
      <c r="AE96" s="25"/>
      <c r="AF96" s="25">
        <v>1</v>
      </c>
      <c r="AG96" s="26"/>
      <c r="AH96" s="25"/>
      <c r="AI96" s="25"/>
      <c r="AJ96" s="25"/>
      <c r="AK96" s="27"/>
      <c r="AL96" s="28"/>
      <c r="AM96" s="21"/>
      <c r="AN96" s="21"/>
      <c r="AO96" s="21"/>
      <c r="AP96" s="21"/>
      <c r="AQ96" s="21"/>
      <c r="AR96" s="21"/>
      <c r="AS96" s="21"/>
      <c r="AT96" s="21"/>
      <c r="AU96" s="21"/>
      <c r="AV96" s="525"/>
    </row>
    <row r="97" spans="1:48" ht="15" customHeight="1">
      <c r="A97" s="567"/>
      <c r="B97" s="569"/>
      <c r="C97" s="571"/>
      <c r="D97" s="573"/>
      <c r="E97" s="564"/>
      <c r="F97" s="534"/>
      <c r="G97" s="29"/>
      <c r="H97" s="30" t="s">
        <v>16</v>
      </c>
      <c r="I97" s="31"/>
      <c r="J97" s="31"/>
      <c r="K97" s="31"/>
      <c r="L97" s="26"/>
      <c r="M97" s="31">
        <f>10627+31192</f>
        <v>41819</v>
      </c>
      <c r="N97" s="31"/>
      <c r="O97" s="58">
        <f>6469</f>
        <v>6469</v>
      </c>
      <c r="P97" s="26"/>
      <c r="Q97" s="26"/>
      <c r="R97" s="26"/>
      <c r="S97" s="26"/>
      <c r="T97" s="31"/>
      <c r="U97" s="31">
        <f>10200</f>
        <v>10200</v>
      </c>
      <c r="V97" s="26"/>
      <c r="W97" s="31">
        <v>5468</v>
      </c>
      <c r="X97" s="31"/>
      <c r="Y97" s="31"/>
      <c r="Z97" s="26"/>
      <c r="AA97" s="31"/>
      <c r="AB97" s="31"/>
      <c r="AC97" s="31">
        <f>29675</f>
        <v>29675</v>
      </c>
      <c r="AD97" s="31"/>
      <c r="AE97" s="31"/>
      <c r="AF97" s="31"/>
      <c r="AG97" s="26"/>
      <c r="AH97" s="31"/>
      <c r="AI97" s="31"/>
      <c r="AJ97" s="31"/>
      <c r="AK97" s="32"/>
      <c r="AL97" s="33">
        <f>SUM(I97:AK97)</f>
        <v>93631</v>
      </c>
      <c r="AM97" s="21"/>
      <c r="AN97" s="21"/>
      <c r="AO97" s="21"/>
      <c r="AP97" s="21"/>
      <c r="AQ97" s="21"/>
      <c r="AR97" s="21"/>
      <c r="AS97" s="21"/>
      <c r="AT97" s="21"/>
      <c r="AU97" s="21"/>
      <c r="AV97" s="525"/>
    </row>
    <row r="98" spans="1:48">
      <c r="A98" s="567"/>
      <c r="B98" s="569"/>
      <c r="C98" s="571"/>
      <c r="D98" s="573"/>
      <c r="E98" s="564"/>
      <c r="F98" s="534"/>
      <c r="G98" s="29"/>
      <c r="H98" s="30" t="s">
        <v>17</v>
      </c>
      <c r="I98" s="31">
        <f>I97-I95</f>
        <v>0</v>
      </c>
      <c r="J98" s="31">
        <f>I98+(J97-J95)</f>
        <v>0</v>
      </c>
      <c r="K98" s="31">
        <f>J98+(K97-K95)</f>
        <v>0</v>
      </c>
      <c r="L98" s="26"/>
      <c r="M98" s="31">
        <f>K98+(M97-M95)</f>
        <v>20769</v>
      </c>
      <c r="N98" s="31">
        <f>M98+(N97-N95)</f>
        <v>20769</v>
      </c>
      <c r="O98" s="31">
        <f>N98+(O97-O95)</f>
        <v>27238</v>
      </c>
      <c r="P98" s="26"/>
      <c r="Q98" s="26"/>
      <c r="R98" s="26"/>
      <c r="S98" s="26"/>
      <c r="T98" s="31">
        <f>O98+(T97-T95)</f>
        <v>27238</v>
      </c>
      <c r="U98" s="31">
        <f>T98+(U97-U95)</f>
        <v>16388</v>
      </c>
      <c r="V98" s="26"/>
      <c r="W98" s="31">
        <f>U98+(W97-W95)</f>
        <v>21856</v>
      </c>
      <c r="X98" s="31">
        <f>W98+(X97-X95)</f>
        <v>21856</v>
      </c>
      <c r="Y98" s="31">
        <f>X98+(Y97-Y95)</f>
        <v>21856</v>
      </c>
      <c r="Z98" s="26"/>
      <c r="AA98" s="31">
        <f>Y98+(AA97-AA95)</f>
        <v>806</v>
      </c>
      <c r="AB98" s="31">
        <f>AA98+(AB97-AB95)</f>
        <v>806</v>
      </c>
      <c r="AC98" s="31">
        <f>AB98+(AC97-AC95)</f>
        <v>30481</v>
      </c>
      <c r="AD98" s="31">
        <f>AC98+(AD97-AD95)</f>
        <v>30481</v>
      </c>
      <c r="AE98" s="31"/>
      <c r="AF98" s="31"/>
      <c r="AG98" s="26"/>
      <c r="AH98" s="31"/>
      <c r="AI98" s="31"/>
      <c r="AJ98" s="31"/>
      <c r="AK98" s="32"/>
      <c r="AL98" s="33"/>
      <c r="AM98" s="21"/>
      <c r="AN98" s="21"/>
      <c r="AO98" s="21"/>
      <c r="AP98" s="21"/>
      <c r="AQ98" s="21"/>
      <c r="AR98" s="21"/>
      <c r="AS98" s="21"/>
      <c r="AT98" s="21"/>
      <c r="AU98" s="21"/>
      <c r="AV98" s="525"/>
    </row>
    <row r="99" spans="1:48">
      <c r="A99" s="567"/>
      <c r="B99" s="569"/>
      <c r="C99" s="571"/>
      <c r="D99" s="573"/>
      <c r="E99" s="564"/>
      <c r="F99" s="534"/>
      <c r="G99" s="29"/>
      <c r="H99" s="24" t="s">
        <v>46</v>
      </c>
      <c r="I99" s="25"/>
      <c r="J99" s="25"/>
      <c r="K99" s="55"/>
      <c r="L99" s="26"/>
      <c r="M99" s="55">
        <f>($O$103*$D$91/3)+($O$107*$D$101/3)</f>
        <v>7016.666666666667</v>
      </c>
      <c r="N99" s="55">
        <f>($O$103*$D$91/3)+($O$107*$D$101/3)</f>
        <v>7016.666666666667</v>
      </c>
      <c r="O99" s="55">
        <f>($O$103*$D$91/3)+($O$107*$D$101/3)</f>
        <v>7016.666666666667</v>
      </c>
      <c r="P99" s="26"/>
      <c r="Q99" s="26"/>
      <c r="R99" s="26"/>
      <c r="S99" s="26"/>
      <c r="T99" s="25"/>
      <c r="U99" s="55">
        <f>($O$103*$D$91/3)+($O$107*$D$101/3)</f>
        <v>7016.666666666667</v>
      </c>
      <c r="V99" s="26"/>
      <c r="W99" s="55">
        <f>($O$103*$D$91/3)+($O$107*$D$101/3)</f>
        <v>7016.666666666667</v>
      </c>
      <c r="X99" s="55">
        <f>($O$103*$D$91/3)+($O$107*$D$101/3)</f>
        <v>7016.666666666667</v>
      </c>
      <c r="Y99" s="25"/>
      <c r="Z99" s="26"/>
      <c r="AA99" s="55">
        <f>($O$103*$D$91/3)+($O$107*$D$101/3)</f>
        <v>7016.666666666667</v>
      </c>
      <c r="AB99" s="55"/>
      <c r="AC99" s="55">
        <f>(($O$103*$D$91/3)+($O$107*$D$101/3))*3</f>
        <v>21050</v>
      </c>
      <c r="AD99" s="55"/>
      <c r="AE99" s="55">
        <f>(($O$103*$D$91/3)+($O$107*$D$101/3))*2</f>
        <v>14033.333333333334</v>
      </c>
      <c r="AF99" s="25"/>
      <c r="AG99" s="26"/>
      <c r="AH99" s="55"/>
      <c r="AI99" s="55"/>
      <c r="AJ99" s="55"/>
      <c r="AK99" s="27"/>
      <c r="AL99" s="28">
        <f>SUM(I99:AK99)</f>
        <v>84199.999999999985</v>
      </c>
      <c r="AM99" s="21"/>
      <c r="AN99" s="21"/>
      <c r="AO99" s="21"/>
      <c r="AP99" s="21"/>
      <c r="AQ99" s="21"/>
      <c r="AR99" s="21"/>
      <c r="AS99" s="21"/>
      <c r="AT99" s="21"/>
      <c r="AU99" s="21"/>
      <c r="AV99" s="525"/>
    </row>
    <row r="100" spans="1:48">
      <c r="A100" s="567"/>
      <c r="B100" s="569"/>
      <c r="C100" s="571"/>
      <c r="D100" s="573"/>
      <c r="E100" s="564"/>
      <c r="F100" s="570"/>
      <c r="G100" s="29"/>
      <c r="H100" s="24" t="s">
        <v>47</v>
      </c>
      <c r="I100" s="25"/>
      <c r="J100" s="25"/>
      <c r="K100" s="25"/>
      <c r="L100" s="26"/>
      <c r="M100" s="25">
        <v>1</v>
      </c>
      <c r="N100" s="25">
        <v>1</v>
      </c>
      <c r="O100" s="25">
        <v>1</v>
      </c>
      <c r="P100" s="26"/>
      <c r="Q100" s="26"/>
      <c r="R100" s="26"/>
      <c r="S100" s="26"/>
      <c r="T100" s="25"/>
      <c r="U100" s="25">
        <v>1</v>
      </c>
      <c r="V100" s="26"/>
      <c r="W100" s="25">
        <v>1</v>
      </c>
      <c r="X100" s="25">
        <v>1</v>
      </c>
      <c r="Y100" s="25"/>
      <c r="Z100" s="26"/>
      <c r="AA100" s="25">
        <v>1</v>
      </c>
      <c r="AB100" s="25"/>
      <c r="AC100" s="25">
        <v>1</v>
      </c>
      <c r="AD100" s="25"/>
      <c r="AE100" s="25">
        <v>1</v>
      </c>
      <c r="AF100" s="25"/>
      <c r="AG100" s="26"/>
      <c r="AH100" s="25"/>
      <c r="AI100" s="25"/>
      <c r="AJ100" s="25"/>
      <c r="AK100" s="27"/>
      <c r="AL100" s="28"/>
      <c r="AM100" s="21"/>
      <c r="AN100" s="21"/>
      <c r="AO100" s="21"/>
      <c r="AP100" s="21"/>
      <c r="AQ100" s="21"/>
      <c r="AR100" s="21"/>
      <c r="AS100" s="21"/>
      <c r="AT100" s="21"/>
      <c r="AU100" s="21"/>
      <c r="AV100" s="525"/>
    </row>
    <row r="101" spans="1:48" ht="15" customHeight="1">
      <c r="A101" s="574" t="s">
        <v>53</v>
      </c>
      <c r="B101" s="575" t="s">
        <v>54</v>
      </c>
      <c r="C101" s="578">
        <v>1000</v>
      </c>
      <c r="D101" s="579">
        <v>1.0900000000000001</v>
      </c>
      <c r="E101" s="564"/>
      <c r="F101" s="578" t="s">
        <v>55</v>
      </c>
      <c r="G101" s="29"/>
      <c r="H101" s="30" t="s">
        <v>16</v>
      </c>
      <c r="I101" s="31"/>
      <c r="J101" s="31"/>
      <c r="K101" s="39"/>
      <c r="L101" s="34"/>
      <c r="M101" s="60">
        <f>9003*2</f>
        <v>18006</v>
      </c>
      <c r="N101" s="60">
        <f>9824*2</f>
        <v>19648</v>
      </c>
      <c r="O101" s="31">
        <f>1054+700+1832+600+1423</f>
        <v>5609</v>
      </c>
      <c r="P101" s="26"/>
      <c r="Q101" s="26"/>
      <c r="R101" s="26"/>
      <c r="S101" s="26"/>
      <c r="T101" s="31">
        <f>1000+750</f>
        <v>1750</v>
      </c>
      <c r="U101" s="60">
        <f>5350+5351</f>
        <v>10701</v>
      </c>
      <c r="V101" s="26"/>
      <c r="W101" s="60">
        <f>2046*2</f>
        <v>4092</v>
      </c>
      <c r="X101" s="60">
        <f>900+1099+1750+2260+1347</f>
        <v>7356</v>
      </c>
      <c r="Y101" s="31"/>
      <c r="Z101" s="26"/>
      <c r="AA101" s="31">
        <v>1100</v>
      </c>
      <c r="AB101" s="39"/>
      <c r="AC101" s="60">
        <v>10572</v>
      </c>
      <c r="AD101" s="60">
        <v>13019</v>
      </c>
      <c r="AE101" s="31">
        <v>4140</v>
      </c>
      <c r="AF101" s="31"/>
      <c r="AG101" s="26"/>
      <c r="AH101" s="39"/>
      <c r="AI101" s="39"/>
      <c r="AJ101" s="39"/>
      <c r="AK101" s="32"/>
      <c r="AL101" s="33">
        <f>SUM(I101:AK101)</f>
        <v>95993</v>
      </c>
      <c r="AM101" s="21"/>
      <c r="AN101" s="21"/>
      <c r="AO101" s="21"/>
      <c r="AP101" s="21"/>
      <c r="AQ101" s="21"/>
      <c r="AR101" s="21"/>
      <c r="AS101" s="21"/>
      <c r="AT101" s="21"/>
      <c r="AU101" s="21"/>
      <c r="AV101" s="525"/>
    </row>
    <row r="102" spans="1:48">
      <c r="A102" s="528"/>
      <c r="B102" s="576"/>
      <c r="C102" s="534"/>
      <c r="D102" s="580"/>
      <c r="E102" s="564"/>
      <c r="F102" s="534"/>
      <c r="G102" s="29"/>
      <c r="H102" s="30" t="s">
        <v>17</v>
      </c>
      <c r="I102" s="58">
        <f>I101-I99</f>
        <v>0</v>
      </c>
      <c r="J102" s="58">
        <f>I102+(J101-J99)</f>
        <v>0</v>
      </c>
      <c r="K102" s="58">
        <f>J102+(K101-K99)</f>
        <v>0</v>
      </c>
      <c r="L102" s="56"/>
      <c r="M102" s="58">
        <f>K102+(M101-M99)</f>
        <v>10989.333333333332</v>
      </c>
      <c r="N102" s="58">
        <f>M102+(N101-N99)</f>
        <v>23620.666666666664</v>
      </c>
      <c r="O102" s="58">
        <f>N102+(O101-O99)</f>
        <v>22212.999999999996</v>
      </c>
      <c r="P102" s="56"/>
      <c r="Q102" s="56"/>
      <c r="R102" s="56"/>
      <c r="S102" s="56"/>
      <c r="T102" s="58">
        <f>O102+(T101-T99)</f>
        <v>23962.999999999996</v>
      </c>
      <c r="U102" s="58">
        <f>T102+(U101-U99)</f>
        <v>27647.333333333328</v>
      </c>
      <c r="V102" s="56"/>
      <c r="W102" s="58">
        <f>U102+(W101-W99)</f>
        <v>24722.666666666661</v>
      </c>
      <c r="X102" s="58">
        <f>W102+(X101-X99)</f>
        <v>25061.999999999993</v>
      </c>
      <c r="Y102" s="58">
        <f>X102+(Y101-Y99)</f>
        <v>25061.999999999993</v>
      </c>
      <c r="Z102" s="56"/>
      <c r="AA102" s="58">
        <f>Y102+(AA101-AA99)</f>
        <v>19145.333333333325</v>
      </c>
      <c r="AB102" s="58">
        <f>AA102+(AB101-AB99)</f>
        <v>19145.333333333325</v>
      </c>
      <c r="AC102" s="58">
        <f>AB102+(AC101-AC99)</f>
        <v>8667.3333333333248</v>
      </c>
      <c r="AD102" s="58">
        <f>AC102+(AD101-AD99)</f>
        <v>21686.333333333325</v>
      </c>
      <c r="AE102" s="58">
        <f>AD102+(AE101-AE99)</f>
        <v>11792.999999999991</v>
      </c>
      <c r="AF102" s="31"/>
      <c r="AG102" s="26"/>
      <c r="AH102" s="39"/>
      <c r="AI102" s="39"/>
      <c r="AJ102" s="39"/>
      <c r="AK102" s="32"/>
      <c r="AL102" s="33"/>
      <c r="AM102" s="21"/>
      <c r="AN102" s="21"/>
      <c r="AO102" s="21"/>
      <c r="AP102" s="21"/>
      <c r="AQ102" s="21"/>
      <c r="AR102" s="21"/>
      <c r="AS102" s="21"/>
      <c r="AT102" s="21"/>
      <c r="AU102" s="21"/>
      <c r="AV102" s="525"/>
    </row>
    <row r="103" spans="1:48">
      <c r="A103" s="528"/>
      <c r="B103" s="576"/>
      <c r="C103" s="534"/>
      <c r="D103" s="580"/>
      <c r="E103" s="564"/>
      <c r="F103" s="534"/>
      <c r="G103" s="29" t="s">
        <v>49</v>
      </c>
      <c r="H103" s="24" t="s">
        <v>29</v>
      </c>
      <c r="I103" s="25"/>
      <c r="J103" s="25"/>
      <c r="K103" s="25"/>
      <c r="L103" s="26"/>
      <c r="M103" s="25"/>
      <c r="N103" s="25"/>
      <c r="O103" s="25">
        <f>($C$91*5)</f>
        <v>10000</v>
      </c>
      <c r="P103" s="26"/>
      <c r="Q103" s="26"/>
      <c r="R103" s="26"/>
      <c r="S103" s="26"/>
      <c r="T103" s="25"/>
      <c r="U103" s="25"/>
      <c r="V103" s="26"/>
      <c r="W103" s="25"/>
      <c r="X103" s="25"/>
      <c r="Y103" s="25">
        <f>($C$91*5)</f>
        <v>10000</v>
      </c>
      <c r="Z103" s="26"/>
      <c r="AA103" s="25"/>
      <c r="AB103" s="25"/>
      <c r="AC103" s="25"/>
      <c r="AD103" s="25"/>
      <c r="AE103" s="25">
        <f>($C$91*5)</f>
        <v>10000</v>
      </c>
      <c r="AF103" s="25"/>
      <c r="AG103" s="26"/>
      <c r="AH103" s="25"/>
      <c r="AI103" s="25"/>
      <c r="AJ103" s="25"/>
      <c r="AK103" s="27">
        <f>($C$91*5)</f>
        <v>10000</v>
      </c>
      <c r="AL103" s="28">
        <f>SUM(I103:AK103)</f>
        <v>40000</v>
      </c>
      <c r="AM103" s="21"/>
      <c r="AN103" s="21"/>
      <c r="AO103" s="21"/>
      <c r="AP103" s="21"/>
      <c r="AQ103" s="21"/>
      <c r="AR103" s="21"/>
      <c r="AS103" s="21"/>
      <c r="AT103" s="21"/>
      <c r="AU103" s="21"/>
      <c r="AV103" s="525"/>
    </row>
    <row r="104" spans="1:48">
      <c r="A104" s="528"/>
      <c r="B104" s="576"/>
      <c r="C104" s="534"/>
      <c r="D104" s="580"/>
      <c r="E104" s="564"/>
      <c r="F104" s="534"/>
      <c r="G104" s="29"/>
      <c r="H104" s="24" t="s">
        <v>48</v>
      </c>
      <c r="I104" s="25"/>
      <c r="J104" s="25"/>
      <c r="K104" s="25"/>
      <c r="L104" s="26"/>
      <c r="M104" s="25"/>
      <c r="N104" s="25"/>
      <c r="O104" s="25">
        <v>1</v>
      </c>
      <c r="P104" s="26"/>
      <c r="Q104" s="26"/>
      <c r="R104" s="26"/>
      <c r="S104" s="26"/>
      <c r="T104" s="25"/>
      <c r="U104" s="25"/>
      <c r="V104" s="26"/>
      <c r="W104" s="25"/>
      <c r="X104" s="25"/>
      <c r="Y104" s="25">
        <v>1</v>
      </c>
      <c r="Z104" s="26"/>
      <c r="AA104" s="25"/>
      <c r="AB104" s="25"/>
      <c r="AC104" s="25"/>
      <c r="AD104" s="25"/>
      <c r="AE104" s="25">
        <v>1</v>
      </c>
      <c r="AF104" s="25"/>
      <c r="AG104" s="26"/>
      <c r="AH104" s="25"/>
      <c r="AI104" s="25"/>
      <c r="AJ104" s="25"/>
      <c r="AK104" s="27">
        <v>1</v>
      </c>
      <c r="AL104" s="28"/>
      <c r="AM104" s="21"/>
      <c r="AN104" s="21"/>
      <c r="AO104" s="21"/>
      <c r="AP104" s="21"/>
      <c r="AQ104" s="21"/>
      <c r="AR104" s="21"/>
      <c r="AS104" s="21"/>
      <c r="AT104" s="21"/>
      <c r="AU104" s="21"/>
      <c r="AV104" s="525"/>
    </row>
    <row r="105" spans="1:48">
      <c r="A105" s="528"/>
      <c r="B105" s="576"/>
      <c r="C105" s="534"/>
      <c r="D105" s="580"/>
      <c r="E105" s="564"/>
      <c r="F105" s="534"/>
      <c r="G105" s="29"/>
      <c r="H105" s="30" t="s">
        <v>16</v>
      </c>
      <c r="I105" s="31"/>
      <c r="J105" s="31"/>
      <c r="K105" s="31"/>
      <c r="L105" s="26"/>
      <c r="M105" s="31"/>
      <c r="N105" s="31"/>
      <c r="O105" s="31"/>
      <c r="P105" s="26"/>
      <c r="Q105" s="26"/>
      <c r="R105" s="26"/>
      <c r="S105" s="26"/>
      <c r="T105" s="31"/>
      <c r="U105" s="31"/>
      <c r="V105" s="26"/>
      <c r="W105" s="31">
        <v>6611</v>
      </c>
      <c r="X105" s="31"/>
      <c r="Y105" s="31"/>
      <c r="Z105" s="26"/>
      <c r="AA105" s="31"/>
      <c r="AB105" s="31"/>
      <c r="AC105" s="31"/>
      <c r="AD105" s="31"/>
      <c r="AE105" s="31"/>
      <c r="AF105" s="31"/>
      <c r="AG105" s="26"/>
      <c r="AH105" s="31"/>
      <c r="AI105" s="31">
        <v>10272</v>
      </c>
      <c r="AJ105" s="31"/>
      <c r="AK105" s="32"/>
      <c r="AL105" s="33">
        <f>SUM(I105:AK105)</f>
        <v>16883</v>
      </c>
      <c r="AM105" s="21"/>
      <c r="AN105" s="21"/>
      <c r="AO105" s="21"/>
      <c r="AP105" s="21"/>
      <c r="AQ105" s="21"/>
      <c r="AR105" s="21"/>
      <c r="AS105" s="21"/>
      <c r="AT105" s="21"/>
      <c r="AU105" s="21"/>
      <c r="AV105" s="525"/>
    </row>
    <row r="106" spans="1:48">
      <c r="A106" s="528"/>
      <c r="B106" s="576"/>
      <c r="C106" s="534"/>
      <c r="D106" s="580"/>
      <c r="E106" s="564"/>
      <c r="F106" s="534"/>
      <c r="G106" s="29"/>
      <c r="H106" s="30" t="s">
        <v>17</v>
      </c>
      <c r="I106" s="58">
        <f>I105-I103</f>
        <v>0</v>
      </c>
      <c r="J106" s="58">
        <f>I106+(J105-J103)</f>
        <v>0</v>
      </c>
      <c r="K106" s="58">
        <f>J106+(K105-K103)</f>
        <v>0</v>
      </c>
      <c r="L106" s="56"/>
      <c r="M106" s="58">
        <f>K106+(M105-M103)</f>
        <v>0</v>
      </c>
      <c r="N106" s="58">
        <f>M106+(N105-N103)</f>
        <v>0</v>
      </c>
      <c r="O106" s="58">
        <f>N106+(O105-O103)</f>
        <v>-10000</v>
      </c>
      <c r="P106" s="56"/>
      <c r="Q106" s="56"/>
      <c r="R106" s="56"/>
      <c r="S106" s="56"/>
      <c r="T106" s="58">
        <f>O106+(T105-T103)</f>
        <v>-10000</v>
      </c>
      <c r="U106" s="58">
        <f>T106+(U105-U103)</f>
        <v>-10000</v>
      </c>
      <c r="V106" s="56"/>
      <c r="W106" s="58">
        <f>U106+(W105-W103)</f>
        <v>-3389</v>
      </c>
      <c r="X106" s="58">
        <f>W106+(X105-X103)</f>
        <v>-3389</v>
      </c>
      <c r="Y106" s="58">
        <f>X106+(Y105-Y103)</f>
        <v>-13389</v>
      </c>
      <c r="Z106" s="56"/>
      <c r="AA106" s="58">
        <f>Y106+(AA105-AA103)</f>
        <v>-13389</v>
      </c>
      <c r="AB106" s="58">
        <f>AA106+(AB105-AB103)</f>
        <v>-13389</v>
      </c>
      <c r="AC106" s="58">
        <f>AB106+(AC105-AC103)</f>
        <v>-13389</v>
      </c>
      <c r="AD106" s="31"/>
      <c r="AE106" s="31"/>
      <c r="AF106" s="31"/>
      <c r="AG106" s="26"/>
      <c r="AH106" s="31"/>
      <c r="AI106" s="31"/>
      <c r="AJ106" s="31"/>
      <c r="AK106" s="32"/>
      <c r="AL106" s="33"/>
      <c r="AM106" s="21"/>
      <c r="AN106" s="21"/>
      <c r="AO106" s="21"/>
      <c r="AP106" s="21"/>
      <c r="AQ106" s="21"/>
      <c r="AR106" s="21"/>
      <c r="AS106" s="21"/>
      <c r="AT106" s="21"/>
      <c r="AU106" s="21"/>
      <c r="AV106" s="525"/>
    </row>
    <row r="107" spans="1:48">
      <c r="A107" s="528"/>
      <c r="B107" s="576"/>
      <c r="C107" s="534"/>
      <c r="D107" s="580"/>
      <c r="E107" s="564"/>
      <c r="F107" s="534"/>
      <c r="G107" s="29" t="s">
        <v>53</v>
      </c>
      <c r="H107" s="24" t="s">
        <v>29</v>
      </c>
      <c r="I107" s="25"/>
      <c r="J107" s="25"/>
      <c r="K107" s="25"/>
      <c r="L107" s="26"/>
      <c r="M107" s="25"/>
      <c r="N107" s="25"/>
      <c r="O107" s="25">
        <f>($C$101*5)</f>
        <v>5000</v>
      </c>
      <c r="P107" s="26"/>
      <c r="Q107" s="26"/>
      <c r="R107" s="26"/>
      <c r="S107" s="26"/>
      <c r="T107" s="25"/>
      <c r="U107" s="25"/>
      <c r="V107" s="26"/>
      <c r="W107" s="25"/>
      <c r="X107" s="25"/>
      <c r="Y107" s="25">
        <f>($C$101*5)</f>
        <v>5000</v>
      </c>
      <c r="Z107" s="26"/>
      <c r="AA107" s="25"/>
      <c r="AB107" s="25"/>
      <c r="AC107" s="25">
        <f>($C$101*5)</f>
        <v>5000</v>
      </c>
      <c r="AD107" s="25"/>
      <c r="AE107" s="25"/>
      <c r="AF107" s="25"/>
      <c r="AG107" s="26"/>
      <c r="AH107" s="25"/>
      <c r="AI107" s="25"/>
      <c r="AJ107" s="25"/>
      <c r="AK107" s="27">
        <f>($C$101*5)</f>
        <v>5000</v>
      </c>
      <c r="AL107" s="28">
        <f>SUM(I107:AK107)</f>
        <v>20000</v>
      </c>
      <c r="AM107" s="21"/>
      <c r="AN107" s="21"/>
      <c r="AO107" s="21"/>
      <c r="AP107" s="21"/>
      <c r="AQ107" s="21"/>
      <c r="AR107" s="21"/>
      <c r="AS107" s="21"/>
      <c r="AT107" s="21"/>
      <c r="AU107" s="21"/>
      <c r="AV107" s="525"/>
    </row>
    <row r="108" spans="1:48">
      <c r="A108" s="528"/>
      <c r="B108" s="576"/>
      <c r="C108" s="534"/>
      <c r="D108" s="580"/>
      <c r="E108" s="564"/>
      <c r="F108" s="534"/>
      <c r="G108" s="29"/>
      <c r="H108" s="24" t="s">
        <v>48</v>
      </c>
      <c r="I108" s="25"/>
      <c r="J108" s="25"/>
      <c r="K108" s="25"/>
      <c r="L108" s="26"/>
      <c r="M108" s="25"/>
      <c r="N108" s="25"/>
      <c r="O108" s="25">
        <v>1</v>
      </c>
      <c r="P108" s="26"/>
      <c r="Q108" s="26"/>
      <c r="R108" s="26"/>
      <c r="S108" s="26"/>
      <c r="T108" s="25"/>
      <c r="U108" s="25"/>
      <c r="V108" s="26"/>
      <c r="W108" s="25"/>
      <c r="X108" s="25"/>
      <c r="Y108" s="25">
        <v>1</v>
      </c>
      <c r="Z108" s="26"/>
      <c r="AA108" s="25"/>
      <c r="AB108" s="25"/>
      <c r="AC108" s="25">
        <v>1</v>
      </c>
      <c r="AD108" s="25"/>
      <c r="AE108" s="25"/>
      <c r="AF108" s="25"/>
      <c r="AG108" s="26"/>
      <c r="AH108" s="25"/>
      <c r="AI108" s="25"/>
      <c r="AJ108" s="25"/>
      <c r="AK108" s="27">
        <v>1</v>
      </c>
      <c r="AL108" s="28"/>
      <c r="AM108" s="21"/>
      <c r="AN108" s="21"/>
      <c r="AO108" s="21"/>
      <c r="AP108" s="21"/>
      <c r="AQ108" s="21"/>
      <c r="AR108" s="21"/>
      <c r="AS108" s="21"/>
      <c r="AT108" s="21"/>
      <c r="AU108" s="21"/>
      <c r="AV108" s="525"/>
    </row>
    <row r="109" spans="1:48">
      <c r="A109" s="528"/>
      <c r="B109" s="576"/>
      <c r="C109" s="534"/>
      <c r="D109" s="580"/>
      <c r="E109" s="564"/>
      <c r="F109" s="534"/>
      <c r="G109" s="29"/>
      <c r="H109" s="30" t="s">
        <v>16</v>
      </c>
      <c r="I109" s="31"/>
      <c r="J109" s="31"/>
      <c r="K109" s="31"/>
      <c r="L109" s="26"/>
      <c r="M109" s="31"/>
      <c r="N109" s="31"/>
      <c r="O109" s="31"/>
      <c r="P109" s="26"/>
      <c r="Q109" s="26"/>
      <c r="R109" s="26"/>
      <c r="S109" s="26"/>
      <c r="T109" s="31"/>
      <c r="U109" s="31"/>
      <c r="V109" s="26"/>
      <c r="W109" s="31">
        <f>2592+10000+1500+8500</f>
        <v>22592</v>
      </c>
      <c r="X109" s="31"/>
      <c r="Y109" s="31"/>
      <c r="Z109" s="26"/>
      <c r="AA109" s="31"/>
      <c r="AB109" s="31"/>
      <c r="AC109" s="31"/>
      <c r="AD109" s="31"/>
      <c r="AE109" s="31"/>
      <c r="AF109" s="31"/>
      <c r="AG109" s="26"/>
      <c r="AH109" s="31"/>
      <c r="AI109" s="31"/>
      <c r="AJ109" s="31"/>
      <c r="AK109" s="32"/>
      <c r="AL109" s="33">
        <f>SUM(I109:AK109)</f>
        <v>22592</v>
      </c>
      <c r="AM109" s="21"/>
      <c r="AN109" s="21"/>
      <c r="AO109" s="21"/>
      <c r="AP109" s="21"/>
      <c r="AQ109" s="21"/>
      <c r="AR109" s="21"/>
      <c r="AS109" s="21"/>
      <c r="AT109" s="21"/>
      <c r="AU109" s="21"/>
      <c r="AV109" s="525"/>
    </row>
    <row r="110" spans="1:48" ht="15.75" thickBot="1">
      <c r="A110" s="529"/>
      <c r="B110" s="577"/>
      <c r="C110" s="535"/>
      <c r="D110" s="581"/>
      <c r="E110" s="565"/>
      <c r="F110" s="535"/>
      <c r="G110" s="49"/>
      <c r="H110" s="50" t="s">
        <v>17</v>
      </c>
      <c r="I110" s="58">
        <f>I109-I107</f>
        <v>0</v>
      </c>
      <c r="J110" s="58">
        <f>I110+(J109-J107)</f>
        <v>0</v>
      </c>
      <c r="K110" s="58">
        <f>J110+(K109-K107)</f>
        <v>0</v>
      </c>
      <c r="L110" s="56"/>
      <c r="M110" s="58">
        <f>K110+(M109-M107)</f>
        <v>0</v>
      </c>
      <c r="N110" s="58">
        <f>M110+(N109-N107)</f>
        <v>0</v>
      </c>
      <c r="O110" s="58">
        <f>N110+(O109-O107)</f>
        <v>-5000</v>
      </c>
      <c r="P110" s="56"/>
      <c r="Q110" s="56"/>
      <c r="R110" s="56"/>
      <c r="S110" s="56"/>
      <c r="T110" s="58">
        <f>O110+(T109-T107)</f>
        <v>-5000</v>
      </c>
      <c r="U110" s="58">
        <f>T110+(U109-U107)</f>
        <v>-5000</v>
      </c>
      <c r="V110" s="56"/>
      <c r="W110" s="58">
        <f>U110+(W109-W107)</f>
        <v>17592</v>
      </c>
      <c r="X110" s="58">
        <f>W110+(X109-X107)</f>
        <v>17592</v>
      </c>
      <c r="Y110" s="58">
        <f>X110+(Y109-Y107)</f>
        <v>12592</v>
      </c>
      <c r="Z110" s="56"/>
      <c r="AA110" s="58">
        <f>Y110+(AA109-AA107)</f>
        <v>12592</v>
      </c>
      <c r="AB110" s="58">
        <f>AA110+(AB109-AB107)</f>
        <v>12592</v>
      </c>
      <c r="AC110" s="58">
        <f>AB110+(AC109-AC107)</f>
        <v>7592</v>
      </c>
      <c r="AD110" s="61"/>
      <c r="AE110" s="61"/>
      <c r="AF110" s="61"/>
      <c r="AG110" s="62"/>
      <c r="AH110" s="61"/>
      <c r="AI110" s="61"/>
      <c r="AJ110" s="61"/>
      <c r="AK110" s="63"/>
      <c r="AL110" s="43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</row>
    <row r="111" spans="1:48" ht="15" customHeight="1">
      <c r="A111" s="527" t="s">
        <v>56</v>
      </c>
      <c r="B111" s="530" t="s">
        <v>57</v>
      </c>
      <c r="C111" s="533">
        <v>10000</v>
      </c>
      <c r="D111" s="582">
        <v>1.56</v>
      </c>
      <c r="E111" s="563"/>
      <c r="F111" s="533" t="s">
        <v>58</v>
      </c>
      <c r="G111" s="51" t="s">
        <v>59</v>
      </c>
      <c r="H111" s="17" t="s">
        <v>19</v>
      </c>
      <c r="I111" s="18"/>
      <c r="J111" s="18"/>
      <c r="K111" s="18"/>
      <c r="L111" s="19"/>
      <c r="M111" s="18"/>
      <c r="N111" s="18">
        <f>$AF$123*$D$111/4</f>
        <v>15600</v>
      </c>
      <c r="O111" s="18">
        <f>$AF$123*$D$111/4</f>
        <v>15600</v>
      </c>
      <c r="P111" s="19"/>
      <c r="Q111" s="19"/>
      <c r="R111" s="19"/>
      <c r="S111" s="19"/>
      <c r="T111" s="18"/>
      <c r="U111" s="18">
        <f>($AF$123*$D$111/4)*2</f>
        <v>31200</v>
      </c>
      <c r="V111" s="19"/>
      <c r="W111" s="18">
        <f>$AF$123*$D$111/4</f>
        <v>15600</v>
      </c>
      <c r="X111" s="18">
        <f>$AF$123*$D$111/4</f>
        <v>15600</v>
      </c>
      <c r="Y111" s="18">
        <f>$AF$123*$D$111/4</f>
        <v>15600</v>
      </c>
      <c r="Z111" s="19"/>
      <c r="AA111" s="18">
        <f>$AF$123*$D$111/4</f>
        <v>15600</v>
      </c>
      <c r="AB111" s="18">
        <f>$AF$123*$D$111/4</f>
        <v>15600</v>
      </c>
      <c r="AC111" s="18">
        <f>$AF$123*$D$111/4</f>
        <v>15600</v>
      </c>
      <c r="AD111" s="18">
        <f>$AF$123*$D$111/4</f>
        <v>15600</v>
      </c>
      <c r="AE111" s="18">
        <f>$AF$123*$D$111/4</f>
        <v>15600</v>
      </c>
      <c r="AF111" s="18"/>
      <c r="AG111" s="19"/>
      <c r="AH111" s="18"/>
      <c r="AI111" s="18"/>
      <c r="AJ111" s="18"/>
      <c r="AK111" s="44"/>
      <c r="AL111" s="20">
        <f>SUM(I111:AK111)</f>
        <v>187200</v>
      </c>
      <c r="AM111" s="21"/>
      <c r="AN111" s="21"/>
      <c r="AO111" s="21"/>
      <c r="AP111" s="21"/>
      <c r="AQ111" s="21"/>
      <c r="AR111" s="21"/>
      <c r="AS111" s="21"/>
      <c r="AT111" s="21"/>
      <c r="AU111" s="525"/>
      <c r="AV111" s="525"/>
    </row>
    <row r="112" spans="1:48">
      <c r="A112" s="528"/>
      <c r="B112" s="531"/>
      <c r="C112" s="534"/>
      <c r="D112" s="580"/>
      <c r="E112" s="564"/>
      <c r="F112" s="534"/>
      <c r="G112" s="49"/>
      <c r="H112" s="24" t="s">
        <v>15</v>
      </c>
      <c r="I112" s="47"/>
      <c r="J112" s="47"/>
      <c r="K112" s="47"/>
      <c r="L112" s="64"/>
      <c r="M112" s="47"/>
      <c r="N112" s="47">
        <v>1</v>
      </c>
      <c r="O112" s="47">
        <v>1</v>
      </c>
      <c r="P112" s="64"/>
      <c r="Q112" s="64"/>
      <c r="R112" s="64"/>
      <c r="S112" s="64"/>
      <c r="T112" s="47"/>
      <c r="U112" s="47">
        <v>1</v>
      </c>
      <c r="V112" s="64"/>
      <c r="W112" s="47">
        <v>1</v>
      </c>
      <c r="X112" s="47">
        <v>1</v>
      </c>
      <c r="Y112" s="47">
        <v>1</v>
      </c>
      <c r="Z112" s="64"/>
      <c r="AA112" s="47">
        <v>1</v>
      </c>
      <c r="AB112" s="47">
        <v>1</v>
      </c>
      <c r="AC112" s="47">
        <v>1</v>
      </c>
      <c r="AD112" s="47">
        <v>1</v>
      </c>
      <c r="AE112" s="47">
        <v>1</v>
      </c>
      <c r="AF112" s="47"/>
      <c r="AG112" s="64"/>
      <c r="AH112" s="47"/>
      <c r="AI112" s="47"/>
      <c r="AJ112" s="47"/>
      <c r="AK112" s="48"/>
      <c r="AL112" s="28"/>
      <c r="AM112" s="21"/>
      <c r="AN112" s="21"/>
      <c r="AO112" s="21"/>
      <c r="AP112" s="21"/>
      <c r="AQ112" s="21"/>
      <c r="AR112" s="21"/>
      <c r="AS112" s="21"/>
      <c r="AT112" s="21"/>
      <c r="AU112" s="525"/>
      <c r="AV112" s="525"/>
    </row>
    <row r="113" spans="1:48">
      <c r="A113" s="528"/>
      <c r="B113" s="531"/>
      <c r="C113" s="534"/>
      <c r="D113" s="580"/>
      <c r="E113" s="564"/>
      <c r="F113" s="534"/>
      <c r="G113" s="49"/>
      <c r="H113" s="30" t="s">
        <v>16</v>
      </c>
      <c r="I113" s="65"/>
      <c r="J113" s="65"/>
      <c r="K113" s="65">
        <f>6180+7261+4802</f>
        <v>18243</v>
      </c>
      <c r="L113" s="64"/>
      <c r="M113" s="65">
        <f>11343+13926</f>
        <v>25269</v>
      </c>
      <c r="N113" s="65">
        <f>11617+11162</f>
        <v>22779</v>
      </c>
      <c r="O113" s="65">
        <f>8064</f>
        <v>8064</v>
      </c>
      <c r="P113" s="64"/>
      <c r="Q113" s="64"/>
      <c r="R113" s="64"/>
      <c r="S113" s="64"/>
      <c r="T113" s="65"/>
      <c r="U113" s="65">
        <f>3446+7656</f>
        <v>11102</v>
      </c>
      <c r="V113" s="64"/>
      <c r="W113" s="65">
        <f>8744+7799</f>
        <v>16543</v>
      </c>
      <c r="X113" s="65">
        <f>9941+7537</f>
        <v>17478</v>
      </c>
      <c r="Y113" s="65">
        <f>7929+7116</f>
        <v>15045</v>
      </c>
      <c r="Z113" s="64"/>
      <c r="AA113" s="65">
        <f>7252+5946</f>
        <v>13198</v>
      </c>
      <c r="AB113" s="65">
        <f>6291+6935</f>
        <v>13226</v>
      </c>
      <c r="AC113" s="65">
        <f>6888+6714</f>
        <v>13602</v>
      </c>
      <c r="AD113" s="65">
        <f>8000+7105</f>
        <v>15105</v>
      </c>
      <c r="AE113" s="65">
        <f>7519</f>
        <v>7519</v>
      </c>
      <c r="AF113" s="65"/>
      <c r="AG113" s="64"/>
      <c r="AH113" s="65"/>
      <c r="AI113" s="65"/>
      <c r="AJ113" s="65"/>
      <c r="AK113" s="66"/>
      <c r="AL113" s="33">
        <f>SUM(I113:AK113)</f>
        <v>197173</v>
      </c>
      <c r="AM113" s="21"/>
      <c r="AN113" s="21"/>
      <c r="AO113" s="21"/>
      <c r="AP113" s="21"/>
      <c r="AQ113" s="21"/>
      <c r="AR113" s="21"/>
      <c r="AS113" s="21"/>
      <c r="AT113" s="21"/>
      <c r="AU113" s="525"/>
      <c r="AV113" s="525"/>
    </row>
    <row r="114" spans="1:48">
      <c r="A114" s="528"/>
      <c r="B114" s="531"/>
      <c r="C114" s="534"/>
      <c r="D114" s="580"/>
      <c r="E114" s="564"/>
      <c r="F114" s="534"/>
      <c r="G114" s="29"/>
      <c r="H114" s="30" t="s">
        <v>17</v>
      </c>
      <c r="I114" s="58">
        <f>I113-I111</f>
        <v>0</v>
      </c>
      <c r="J114" s="58">
        <f>I114+(J113-J111)</f>
        <v>0</v>
      </c>
      <c r="K114" s="58">
        <f>J114+(K113-K111)</f>
        <v>18243</v>
      </c>
      <c r="L114" s="56"/>
      <c r="M114" s="58">
        <f>K114+(M113-M111)</f>
        <v>43512</v>
      </c>
      <c r="N114" s="58">
        <f>M114+(N113-N111)</f>
        <v>50691</v>
      </c>
      <c r="O114" s="58">
        <f>N114+(O113-O111)</f>
        <v>43155</v>
      </c>
      <c r="P114" s="56"/>
      <c r="Q114" s="56"/>
      <c r="R114" s="56"/>
      <c r="S114" s="56"/>
      <c r="T114" s="58">
        <f>O114+(T113-T111)</f>
        <v>43155</v>
      </c>
      <c r="U114" s="58">
        <f>T114+(U113-U111)</f>
        <v>23057</v>
      </c>
      <c r="V114" s="56"/>
      <c r="W114" s="58">
        <f>U114+(W113-W111)</f>
        <v>24000</v>
      </c>
      <c r="X114" s="58">
        <f>W114+(X113-X111)</f>
        <v>25878</v>
      </c>
      <c r="Y114" s="58">
        <f>X114+(Y113-Y111)</f>
        <v>25323</v>
      </c>
      <c r="Z114" s="56"/>
      <c r="AA114" s="58">
        <f>Y114+(AA113-AA111)</f>
        <v>22921</v>
      </c>
      <c r="AB114" s="58">
        <f>AA114+(AB113-AB111)</f>
        <v>20547</v>
      </c>
      <c r="AC114" s="58">
        <f>AB114+(AC113-AC111)</f>
        <v>18549</v>
      </c>
      <c r="AD114" s="58">
        <f>AC114+(AD113-AD111)</f>
        <v>18054</v>
      </c>
      <c r="AE114" s="58">
        <f>AD114+(AE113-AE111)</f>
        <v>9973</v>
      </c>
      <c r="AF114" s="58">
        <f>AE114+(AF113-AF111)</f>
        <v>9973</v>
      </c>
      <c r="AG114" s="64"/>
      <c r="AH114" s="65"/>
      <c r="AI114" s="65"/>
      <c r="AJ114" s="65"/>
      <c r="AK114" s="66"/>
      <c r="AL114" s="33"/>
      <c r="AM114" s="21"/>
      <c r="AN114" s="21"/>
      <c r="AO114" s="21"/>
      <c r="AP114" s="21"/>
      <c r="AQ114" s="21"/>
      <c r="AR114" s="21"/>
      <c r="AS114" s="21"/>
      <c r="AT114" s="21"/>
      <c r="AU114" s="525"/>
      <c r="AV114" s="525"/>
    </row>
    <row r="115" spans="1:48">
      <c r="A115" s="528"/>
      <c r="B115" s="531"/>
      <c r="C115" s="534"/>
      <c r="D115" s="580"/>
      <c r="E115" s="564"/>
      <c r="F115" s="534"/>
      <c r="G115" s="49" t="s">
        <v>25</v>
      </c>
      <c r="H115" s="24" t="s">
        <v>26</v>
      </c>
      <c r="I115" s="47"/>
      <c r="J115" s="47"/>
      <c r="K115" s="47"/>
      <c r="L115" s="64"/>
      <c r="M115" s="47"/>
      <c r="N115" s="47"/>
      <c r="O115" s="47"/>
      <c r="P115" s="64"/>
      <c r="Q115" s="64"/>
      <c r="R115" s="64"/>
      <c r="S115" s="64"/>
      <c r="T115" s="47">
        <f>($AF$123*$D$111/4)*4</f>
        <v>62400</v>
      </c>
      <c r="U115" s="47"/>
      <c r="V115" s="64"/>
      <c r="W115" s="47"/>
      <c r="X115" s="47"/>
      <c r="Y115" s="47"/>
      <c r="Z115" s="64"/>
      <c r="AA115" s="47"/>
      <c r="AB115" s="47"/>
      <c r="AC115" s="47"/>
      <c r="AD115" s="47"/>
      <c r="AE115" s="47"/>
      <c r="AF115" s="47"/>
      <c r="AG115" s="64"/>
      <c r="AH115" s="47"/>
      <c r="AI115" s="47"/>
      <c r="AJ115" s="47"/>
      <c r="AK115" s="48">
        <f>($AF$123*$D$111/4)*5</f>
        <v>78000</v>
      </c>
      <c r="AL115" s="28">
        <f>SUM(I115:AK115)</f>
        <v>140400</v>
      </c>
      <c r="AM115" s="21"/>
      <c r="AN115" s="21"/>
      <c r="AO115" s="21"/>
      <c r="AP115" s="21"/>
      <c r="AQ115" s="21"/>
      <c r="AR115" s="21"/>
      <c r="AS115" s="21"/>
      <c r="AT115" s="21"/>
      <c r="AU115" s="525"/>
      <c r="AV115" s="525"/>
    </row>
    <row r="116" spans="1:48">
      <c r="A116" s="528"/>
      <c r="B116" s="531"/>
      <c r="C116" s="534"/>
      <c r="D116" s="580"/>
      <c r="E116" s="564"/>
      <c r="F116" s="534"/>
      <c r="G116" s="49"/>
      <c r="H116" s="24" t="s">
        <v>24</v>
      </c>
      <c r="I116" s="47"/>
      <c r="J116" s="47"/>
      <c r="K116" s="47"/>
      <c r="L116" s="64"/>
      <c r="M116" s="47"/>
      <c r="N116" s="47"/>
      <c r="O116" s="47"/>
      <c r="P116" s="64"/>
      <c r="Q116" s="64"/>
      <c r="R116" s="64"/>
      <c r="S116" s="64"/>
      <c r="T116" s="47">
        <v>1</v>
      </c>
      <c r="U116" s="47"/>
      <c r="V116" s="64"/>
      <c r="W116" s="47"/>
      <c r="X116" s="47"/>
      <c r="Y116" s="47"/>
      <c r="Z116" s="64"/>
      <c r="AA116" s="47"/>
      <c r="AB116" s="47"/>
      <c r="AC116" s="47"/>
      <c r="AD116" s="47"/>
      <c r="AE116" s="47"/>
      <c r="AF116" s="47"/>
      <c r="AG116" s="64"/>
      <c r="AH116" s="47"/>
      <c r="AI116" s="47"/>
      <c r="AJ116" s="47"/>
      <c r="AK116" s="48">
        <v>1</v>
      </c>
      <c r="AL116" s="28"/>
      <c r="AM116" s="21"/>
      <c r="AN116" s="21"/>
      <c r="AO116" s="21"/>
      <c r="AP116" s="21"/>
      <c r="AQ116" s="21"/>
      <c r="AR116" s="21"/>
      <c r="AS116" s="21"/>
      <c r="AT116" s="21"/>
      <c r="AU116" s="525"/>
      <c r="AV116" s="525"/>
    </row>
    <row r="117" spans="1:48">
      <c r="A117" s="528"/>
      <c r="B117" s="531"/>
      <c r="C117" s="534"/>
      <c r="D117" s="580"/>
      <c r="E117" s="564"/>
      <c r="F117" s="534"/>
      <c r="G117" s="49"/>
      <c r="H117" s="30" t="s">
        <v>16</v>
      </c>
      <c r="I117" s="65"/>
      <c r="J117" s="65"/>
      <c r="K117" s="65"/>
      <c r="L117" s="64"/>
      <c r="M117" s="65"/>
      <c r="N117" s="65"/>
      <c r="O117" s="65"/>
      <c r="P117" s="64"/>
      <c r="Q117" s="64"/>
      <c r="R117" s="64"/>
      <c r="S117" s="64"/>
      <c r="T117" s="65">
        <f>50222+21889</f>
        <v>72111</v>
      </c>
      <c r="U117" s="65"/>
      <c r="V117" s="64"/>
      <c r="W117" s="65"/>
      <c r="X117" s="65"/>
      <c r="Y117" s="65"/>
      <c r="Z117" s="64"/>
      <c r="AA117" s="65"/>
      <c r="AB117" s="65"/>
      <c r="AC117" s="65"/>
      <c r="AD117" s="65"/>
      <c r="AE117" s="65"/>
      <c r="AF117" s="65"/>
      <c r="AG117" s="64"/>
      <c r="AH117" s="65"/>
      <c r="AI117" s="65"/>
      <c r="AJ117" s="65"/>
      <c r="AK117" s="66">
        <f>19017+51537</f>
        <v>70554</v>
      </c>
      <c r="AL117" s="33">
        <f>SUM(I117:AK117)</f>
        <v>142665</v>
      </c>
      <c r="AM117" s="21"/>
      <c r="AN117" s="21"/>
      <c r="AO117" s="21"/>
      <c r="AP117" s="21"/>
      <c r="AQ117" s="21"/>
      <c r="AR117" s="21"/>
      <c r="AS117" s="21"/>
      <c r="AT117" s="21"/>
      <c r="AU117" s="525"/>
      <c r="AV117" s="525"/>
    </row>
    <row r="118" spans="1:48">
      <c r="A118" s="528"/>
      <c r="B118" s="531"/>
      <c r="C118" s="534"/>
      <c r="D118" s="580"/>
      <c r="E118" s="564"/>
      <c r="F118" s="534"/>
      <c r="G118" s="29"/>
      <c r="H118" s="30" t="s">
        <v>17</v>
      </c>
      <c r="I118" s="58">
        <f>I117-I115</f>
        <v>0</v>
      </c>
      <c r="J118" s="58">
        <f>I118+(J117-J115)</f>
        <v>0</v>
      </c>
      <c r="K118" s="58">
        <f>J118+(K117-K115)</f>
        <v>0</v>
      </c>
      <c r="L118" s="56"/>
      <c r="M118" s="58">
        <f>K118+(M117-M115)</f>
        <v>0</v>
      </c>
      <c r="N118" s="58">
        <f>M118+(N117-N115)</f>
        <v>0</v>
      </c>
      <c r="O118" s="58">
        <f>N118+(O117-O115)</f>
        <v>0</v>
      </c>
      <c r="P118" s="56"/>
      <c r="Q118" s="56"/>
      <c r="R118" s="56"/>
      <c r="S118" s="56"/>
      <c r="T118" s="58">
        <f>O118+(T117-T115)</f>
        <v>9711</v>
      </c>
      <c r="U118" s="58">
        <f>T118+(U117-U115)</f>
        <v>9711</v>
      </c>
      <c r="V118" s="56"/>
      <c r="W118" s="58">
        <f>U118+(W117-W115)</f>
        <v>9711</v>
      </c>
      <c r="X118" s="58">
        <f>W118+(X117-X115)</f>
        <v>9711</v>
      </c>
      <c r="Y118" s="58">
        <f>X118+(Y117-Y115)</f>
        <v>9711</v>
      </c>
      <c r="Z118" s="56"/>
      <c r="AA118" s="58">
        <f>Y118+(AA117-AA115)</f>
        <v>9711</v>
      </c>
      <c r="AB118" s="58">
        <f>AA118+(AB117-AB115)</f>
        <v>9711</v>
      </c>
      <c r="AC118" s="58">
        <f>AB118+(AC117-AC115)</f>
        <v>9711</v>
      </c>
      <c r="AD118" s="58">
        <f t="shared" ref="AD118:AF118" si="19">AC118+(AD117-AD115)</f>
        <v>9711</v>
      </c>
      <c r="AE118" s="58">
        <f t="shared" si="19"/>
        <v>9711</v>
      </c>
      <c r="AF118" s="58">
        <f t="shared" si="19"/>
        <v>9711</v>
      </c>
      <c r="AG118" s="64"/>
      <c r="AH118" s="58">
        <f>AF118+(AH117-AH115)</f>
        <v>9711</v>
      </c>
      <c r="AI118" s="58">
        <f t="shared" ref="AI118:AK118" si="20">AH118+(AI117-AI115)</f>
        <v>9711</v>
      </c>
      <c r="AJ118" s="58">
        <f t="shared" si="20"/>
        <v>9711</v>
      </c>
      <c r="AK118" s="58">
        <f t="shared" si="20"/>
        <v>2265</v>
      </c>
      <c r="AL118" s="33"/>
      <c r="AM118" s="21"/>
      <c r="AN118" s="21"/>
      <c r="AO118" s="21"/>
      <c r="AP118" s="21"/>
      <c r="AQ118" s="21"/>
      <c r="AR118" s="21"/>
      <c r="AS118" s="21"/>
      <c r="AT118" s="21"/>
      <c r="AU118" s="525"/>
      <c r="AV118" s="525"/>
    </row>
    <row r="119" spans="1:48">
      <c r="A119" s="528"/>
      <c r="B119" s="531"/>
      <c r="C119" s="534"/>
      <c r="D119" s="580"/>
      <c r="E119" s="564"/>
      <c r="F119" s="534"/>
      <c r="G119" s="49"/>
      <c r="H119" s="24" t="s">
        <v>46</v>
      </c>
      <c r="I119" s="47"/>
      <c r="J119" s="47"/>
      <c r="K119" s="47"/>
      <c r="L119" s="64"/>
      <c r="M119" s="47"/>
      <c r="N119" s="47"/>
      <c r="O119" s="47"/>
      <c r="P119" s="64"/>
      <c r="Q119" s="64"/>
      <c r="R119" s="64"/>
      <c r="S119" s="64"/>
      <c r="T119" s="47">
        <f>($AF$123*$D$111/4)/3</f>
        <v>5200</v>
      </c>
      <c r="U119" s="47">
        <f>($AF$123*$D$111/4)/3</f>
        <v>5200</v>
      </c>
      <c r="V119" s="64"/>
      <c r="W119" s="47">
        <f>($AF$123*$D$111/4)/3</f>
        <v>5200</v>
      </c>
      <c r="X119" s="47">
        <f>($AF$123*$D$111/4)/3</f>
        <v>5200</v>
      </c>
      <c r="Y119" s="47">
        <f>($AF$123*$D$111/4)/3</f>
        <v>5200</v>
      </c>
      <c r="Z119" s="64"/>
      <c r="AA119" s="47">
        <f t="shared" ref="AA119:AF119" si="21">($AF$123*$D$111/4)/3</f>
        <v>5200</v>
      </c>
      <c r="AB119" s="47">
        <f t="shared" si="21"/>
        <v>5200</v>
      </c>
      <c r="AC119" s="47">
        <f t="shared" si="21"/>
        <v>5200</v>
      </c>
      <c r="AD119" s="47">
        <f t="shared" si="21"/>
        <v>5200</v>
      </c>
      <c r="AE119" s="47">
        <f t="shared" si="21"/>
        <v>5200</v>
      </c>
      <c r="AF119" s="47">
        <f t="shared" si="21"/>
        <v>5200</v>
      </c>
      <c r="AG119" s="64"/>
      <c r="AH119" s="47">
        <f>($AF$123*$D$111/4)/3</f>
        <v>5200</v>
      </c>
      <c r="AI119" s="47">
        <f>($AF$123*$D$111/4)/3</f>
        <v>5200</v>
      </c>
      <c r="AJ119" s="47">
        <f>($AF$123*$D$111/4)/3</f>
        <v>5200</v>
      </c>
      <c r="AK119" s="47">
        <f>($AF$123*$D$111/4)/3</f>
        <v>5200</v>
      </c>
      <c r="AL119" s="28">
        <f>SUM(I119:AK119)</f>
        <v>78000</v>
      </c>
      <c r="AM119" s="21"/>
      <c r="AN119" s="21"/>
      <c r="AO119" s="21"/>
      <c r="AP119" s="21"/>
      <c r="AQ119" s="21"/>
      <c r="AR119" s="21"/>
      <c r="AS119" s="21"/>
      <c r="AT119" s="21"/>
      <c r="AU119" s="525"/>
      <c r="AV119" s="525"/>
    </row>
    <row r="120" spans="1:48">
      <c r="A120" s="528"/>
      <c r="B120" s="531"/>
      <c r="C120" s="534"/>
      <c r="D120" s="580"/>
      <c r="E120" s="564"/>
      <c r="F120" s="534"/>
      <c r="G120" s="49"/>
      <c r="H120" s="24" t="s">
        <v>47</v>
      </c>
      <c r="I120" s="47"/>
      <c r="J120" s="47"/>
      <c r="K120" s="47"/>
      <c r="L120" s="64"/>
      <c r="M120" s="47"/>
      <c r="N120" s="47"/>
      <c r="O120" s="47"/>
      <c r="P120" s="64"/>
      <c r="Q120" s="64"/>
      <c r="R120" s="64"/>
      <c r="S120" s="64"/>
      <c r="T120" s="47">
        <v>1</v>
      </c>
      <c r="U120" s="47">
        <v>1</v>
      </c>
      <c r="V120" s="64"/>
      <c r="W120" s="47">
        <v>1</v>
      </c>
      <c r="X120" s="47">
        <v>1</v>
      </c>
      <c r="Y120" s="47">
        <v>1</v>
      </c>
      <c r="Z120" s="64"/>
      <c r="AA120" s="47">
        <v>1</v>
      </c>
      <c r="AB120" s="47">
        <v>1</v>
      </c>
      <c r="AC120" s="47">
        <v>1</v>
      </c>
      <c r="AD120" s="47">
        <v>1</v>
      </c>
      <c r="AE120" s="47">
        <v>1</v>
      </c>
      <c r="AF120" s="47">
        <v>1</v>
      </c>
      <c r="AG120" s="64"/>
      <c r="AH120" s="47">
        <v>1</v>
      </c>
      <c r="AI120" s="47">
        <v>1</v>
      </c>
      <c r="AJ120" s="47">
        <v>1</v>
      </c>
      <c r="AK120" s="47">
        <v>1</v>
      </c>
      <c r="AL120" s="28"/>
      <c r="AM120" s="21"/>
      <c r="AN120" s="21"/>
      <c r="AO120" s="21"/>
      <c r="AP120" s="21"/>
      <c r="AQ120" s="21"/>
      <c r="AR120" s="21"/>
      <c r="AS120" s="21"/>
      <c r="AT120" s="21"/>
      <c r="AU120" s="525"/>
      <c r="AV120" s="525"/>
    </row>
    <row r="121" spans="1:48">
      <c r="A121" s="528"/>
      <c r="B121" s="531"/>
      <c r="C121" s="534"/>
      <c r="D121" s="580"/>
      <c r="E121" s="564"/>
      <c r="F121" s="534"/>
      <c r="G121" s="49"/>
      <c r="H121" s="30" t="s">
        <v>16</v>
      </c>
      <c r="I121" s="65"/>
      <c r="J121" s="65"/>
      <c r="K121" s="65"/>
      <c r="L121" s="64"/>
      <c r="M121" s="65"/>
      <c r="N121" s="65"/>
      <c r="O121" s="65"/>
      <c r="P121" s="64"/>
      <c r="Q121" s="64"/>
      <c r="R121" s="64"/>
      <c r="S121" s="64"/>
      <c r="T121" s="65">
        <f>200</f>
        <v>200</v>
      </c>
      <c r="U121" s="65">
        <f>1057+1389+1938</f>
        <v>4384</v>
      </c>
      <c r="V121" s="64"/>
      <c r="W121" s="65">
        <f>1884+1800</f>
        <v>3684</v>
      </c>
      <c r="X121" s="65">
        <f>1900+1918</f>
        <v>3818</v>
      </c>
      <c r="Y121" s="65"/>
      <c r="Z121" s="64"/>
      <c r="AA121" s="65">
        <f>1500+983+1600</f>
        <v>4083</v>
      </c>
      <c r="AB121" s="65">
        <f>1500+1400+1200</f>
        <v>4100</v>
      </c>
      <c r="AC121" s="65">
        <f>2481+1700+1718</f>
        <v>5899</v>
      </c>
      <c r="AD121" s="65">
        <f>1800+1931+1250</f>
        <v>4981</v>
      </c>
      <c r="AE121" s="65">
        <f>1350+1341</f>
        <v>2691</v>
      </c>
      <c r="AF121" s="65">
        <f>1150+1056+1200</f>
        <v>3406</v>
      </c>
      <c r="AG121" s="64"/>
      <c r="AH121" s="65">
        <f>1205+2044+1900</f>
        <v>5149</v>
      </c>
      <c r="AI121" s="65">
        <f>1800+1186+1600</f>
        <v>4586</v>
      </c>
      <c r="AJ121" s="65">
        <v>7780</v>
      </c>
      <c r="AK121" s="66">
        <v>11632</v>
      </c>
      <c r="AL121" s="33">
        <f>SUM(I121:AK121)</f>
        <v>66393</v>
      </c>
      <c r="AM121" s="21"/>
      <c r="AN121" s="21"/>
      <c r="AO121" s="21"/>
      <c r="AP121" s="21"/>
      <c r="AQ121" s="21"/>
      <c r="AR121" s="21"/>
      <c r="AS121" s="21"/>
      <c r="AT121" s="21"/>
      <c r="AU121" s="525"/>
      <c r="AV121" s="525"/>
    </row>
    <row r="122" spans="1:48">
      <c r="A122" s="528"/>
      <c r="B122" s="531"/>
      <c r="C122" s="534"/>
      <c r="D122" s="580"/>
      <c r="E122" s="564"/>
      <c r="F122" s="534"/>
      <c r="G122" s="29"/>
      <c r="H122" s="30" t="s">
        <v>17</v>
      </c>
      <c r="I122" s="58">
        <f>I121-I119</f>
        <v>0</v>
      </c>
      <c r="J122" s="58">
        <f>I122+(J121-J119)</f>
        <v>0</v>
      </c>
      <c r="K122" s="58">
        <f>J122+(K121-K119)</f>
        <v>0</v>
      </c>
      <c r="L122" s="56"/>
      <c r="M122" s="58">
        <f>K122+(M121-M119)</f>
        <v>0</v>
      </c>
      <c r="N122" s="58">
        <f>M122+(N121-N119)</f>
        <v>0</v>
      </c>
      <c r="O122" s="58">
        <f>N122+(O121-O119)</f>
        <v>0</v>
      </c>
      <c r="P122" s="56"/>
      <c r="Q122" s="56"/>
      <c r="R122" s="56"/>
      <c r="S122" s="56"/>
      <c r="T122" s="58">
        <f>O122+(T121-T119)</f>
        <v>-5000</v>
      </c>
      <c r="U122" s="58">
        <f>T122+(U121-U119)</f>
        <v>-5816</v>
      </c>
      <c r="V122" s="56"/>
      <c r="W122" s="58">
        <f>U122+(W121-W119)</f>
        <v>-7332</v>
      </c>
      <c r="X122" s="58">
        <f>W122+(X121-X119)</f>
        <v>-8714</v>
      </c>
      <c r="Y122" s="58">
        <f>X122+(Y121-Y119)</f>
        <v>-13914</v>
      </c>
      <c r="Z122" s="56"/>
      <c r="AA122" s="58">
        <f>Y122+(AA121-AA119)</f>
        <v>-15031</v>
      </c>
      <c r="AB122" s="58">
        <f>AA122+(AB121-AB119)</f>
        <v>-16131</v>
      </c>
      <c r="AC122" s="58">
        <f>AB122+(AC121-AC119)</f>
        <v>-15432</v>
      </c>
      <c r="AD122" s="58">
        <f>AC122+(AD121-AD119)</f>
        <v>-15651</v>
      </c>
      <c r="AE122" s="58">
        <f>AD122+(AE121-AE119)</f>
        <v>-18160</v>
      </c>
      <c r="AF122" s="58">
        <f>AE122+(AF121-AF119)</f>
        <v>-19954</v>
      </c>
      <c r="AG122" s="64"/>
      <c r="AH122" s="58">
        <f>AF122+(AH121-AH119)</f>
        <v>-20005</v>
      </c>
      <c r="AI122" s="58">
        <f>AH122+(AI121-AI119)</f>
        <v>-20619</v>
      </c>
      <c r="AJ122" s="58">
        <f>AI122+(AJ121-AJ119)</f>
        <v>-18039</v>
      </c>
      <c r="AK122" s="58">
        <f>AJ122+(AK121-AK119)</f>
        <v>-11607</v>
      </c>
      <c r="AL122" s="33"/>
      <c r="AM122" s="21"/>
      <c r="AN122" s="21"/>
      <c r="AO122" s="21"/>
      <c r="AP122" s="21"/>
      <c r="AQ122" s="21"/>
      <c r="AR122" s="21"/>
      <c r="AS122" s="21"/>
      <c r="AT122" s="21"/>
      <c r="AU122" s="525"/>
      <c r="AV122" s="525"/>
    </row>
    <row r="123" spans="1:48">
      <c r="A123" s="528"/>
      <c r="B123" s="531"/>
      <c r="C123" s="534"/>
      <c r="D123" s="580"/>
      <c r="E123" s="564"/>
      <c r="F123" s="534"/>
      <c r="G123" s="49"/>
      <c r="H123" s="24" t="s">
        <v>29</v>
      </c>
      <c r="I123" s="47"/>
      <c r="J123" s="47"/>
      <c r="K123" s="47"/>
      <c r="L123" s="64"/>
      <c r="M123" s="47"/>
      <c r="N123" s="23"/>
      <c r="O123" s="47"/>
      <c r="P123" s="64"/>
      <c r="Q123" s="64"/>
      <c r="R123" s="64"/>
      <c r="S123" s="64"/>
      <c r="T123" s="47"/>
      <c r="U123" s="47"/>
      <c r="V123" s="64"/>
      <c r="W123" s="47"/>
      <c r="X123" s="47"/>
      <c r="Y123" s="47"/>
      <c r="Z123" s="64"/>
      <c r="AA123" s="47"/>
      <c r="AB123" s="23"/>
      <c r="AC123" s="47"/>
      <c r="AD123" s="47"/>
      <c r="AE123" s="47"/>
      <c r="AF123" s="47">
        <f>($C$111*4)</f>
        <v>40000</v>
      </c>
      <c r="AG123" s="64"/>
      <c r="AH123" s="47"/>
      <c r="AI123" s="47"/>
      <c r="AJ123" s="23"/>
      <c r="AK123" s="41"/>
      <c r="AL123" s="28">
        <f>SUM(I123:AK123)</f>
        <v>40000</v>
      </c>
      <c r="AM123" s="21"/>
      <c r="AN123" s="21"/>
      <c r="AO123" s="21"/>
      <c r="AP123" s="21"/>
      <c r="AQ123" s="21"/>
      <c r="AR123" s="21"/>
      <c r="AS123" s="21"/>
      <c r="AT123" s="21"/>
      <c r="AU123" s="525"/>
      <c r="AV123" s="525"/>
    </row>
    <row r="124" spans="1:48">
      <c r="A124" s="528"/>
      <c r="B124" s="531"/>
      <c r="C124" s="534"/>
      <c r="D124" s="580"/>
      <c r="E124" s="564"/>
      <c r="F124" s="534"/>
      <c r="G124" s="49"/>
      <c r="H124" s="24" t="s">
        <v>48</v>
      </c>
      <c r="I124" s="47"/>
      <c r="J124" s="47"/>
      <c r="K124" s="47"/>
      <c r="L124" s="64"/>
      <c r="M124" s="47"/>
      <c r="N124" s="23"/>
      <c r="O124" s="47"/>
      <c r="P124" s="64"/>
      <c r="Q124" s="64"/>
      <c r="R124" s="64"/>
      <c r="S124" s="64"/>
      <c r="T124" s="47"/>
      <c r="U124" s="47"/>
      <c r="V124" s="64"/>
      <c r="W124" s="47"/>
      <c r="X124" s="47"/>
      <c r="Y124" s="47"/>
      <c r="Z124" s="64"/>
      <c r="AA124" s="47"/>
      <c r="AB124" s="23"/>
      <c r="AC124" s="47"/>
      <c r="AD124" s="47"/>
      <c r="AE124" s="47"/>
      <c r="AF124" s="47">
        <v>1</v>
      </c>
      <c r="AG124" s="64"/>
      <c r="AH124" s="47"/>
      <c r="AI124" s="47"/>
      <c r="AJ124" s="23"/>
      <c r="AK124" s="41"/>
      <c r="AL124" s="28"/>
      <c r="AM124" s="21"/>
      <c r="AN124" s="21"/>
      <c r="AO124" s="21"/>
      <c r="AP124" s="21"/>
      <c r="AQ124" s="21"/>
      <c r="AR124" s="21"/>
      <c r="AS124" s="21"/>
      <c r="AT124" s="21"/>
      <c r="AU124" s="525"/>
      <c r="AV124" s="525"/>
    </row>
    <row r="125" spans="1:48">
      <c r="A125" s="528"/>
      <c r="B125" s="531"/>
      <c r="C125" s="534"/>
      <c r="D125" s="580"/>
      <c r="E125" s="564"/>
      <c r="F125" s="534"/>
      <c r="G125" s="29"/>
      <c r="H125" s="30" t="s">
        <v>16</v>
      </c>
      <c r="I125" s="31"/>
      <c r="J125" s="31"/>
      <c r="K125" s="31"/>
      <c r="L125" s="26"/>
      <c r="M125" s="31"/>
      <c r="N125" s="31"/>
      <c r="O125" s="31"/>
      <c r="P125" s="26"/>
      <c r="Q125" s="26"/>
      <c r="R125" s="26"/>
      <c r="S125" s="26"/>
      <c r="T125" s="31"/>
      <c r="U125" s="31"/>
      <c r="V125" s="26"/>
      <c r="W125" s="31"/>
      <c r="X125" s="31"/>
      <c r="Y125" s="31"/>
      <c r="Z125" s="26"/>
      <c r="AA125" s="31"/>
      <c r="AB125" s="31"/>
      <c r="AC125" s="31"/>
      <c r="AD125" s="31"/>
      <c r="AE125" s="31"/>
      <c r="AF125" s="31">
        <v>13269</v>
      </c>
      <c r="AG125" s="26"/>
      <c r="AH125" s="31"/>
      <c r="AI125" s="31"/>
      <c r="AJ125" s="31"/>
      <c r="AK125" s="32"/>
      <c r="AL125" s="33">
        <f>SUM(I125:AK125)</f>
        <v>13269</v>
      </c>
      <c r="AM125" s="21"/>
      <c r="AN125" s="21"/>
      <c r="AO125" s="21"/>
      <c r="AP125" s="21"/>
      <c r="AQ125" s="21"/>
      <c r="AR125" s="21"/>
      <c r="AS125" s="21"/>
      <c r="AT125" s="21"/>
      <c r="AU125" s="525"/>
      <c r="AV125" s="525"/>
    </row>
    <row r="126" spans="1:48" ht="15.75" thickBot="1">
      <c r="A126" s="529"/>
      <c r="B126" s="532"/>
      <c r="C126" s="535"/>
      <c r="D126" s="581"/>
      <c r="E126" s="565"/>
      <c r="F126" s="535"/>
      <c r="G126" s="67"/>
      <c r="H126" s="68" t="s">
        <v>17</v>
      </c>
      <c r="I126" s="69">
        <f>I125-I123</f>
        <v>0</v>
      </c>
      <c r="J126" s="69">
        <f>I126+(J125-J123)</f>
        <v>0</v>
      </c>
      <c r="K126" s="69">
        <f>J126+(K125-K123)</f>
        <v>0</v>
      </c>
      <c r="L126" s="70"/>
      <c r="M126" s="69">
        <f>K126+(M125-M123)</f>
        <v>0</v>
      </c>
      <c r="N126" s="69">
        <f>M126+(N125-N123)</f>
        <v>0</v>
      </c>
      <c r="O126" s="69">
        <f>N126+(O125-O123)</f>
        <v>0</v>
      </c>
      <c r="P126" s="70"/>
      <c r="Q126" s="70"/>
      <c r="R126" s="70"/>
      <c r="S126" s="70"/>
      <c r="T126" s="69">
        <f>O126+(T125-T123)</f>
        <v>0</v>
      </c>
      <c r="U126" s="69">
        <f>T126+(U125-U123)</f>
        <v>0</v>
      </c>
      <c r="V126" s="70"/>
      <c r="W126" s="69">
        <f>U126+(W125-W123)</f>
        <v>0</v>
      </c>
      <c r="X126" s="69">
        <f>W126+(X125-X123)</f>
        <v>0</v>
      </c>
      <c r="Y126" s="69">
        <f>X126+(Y125-Y123)</f>
        <v>0</v>
      </c>
      <c r="Z126" s="70"/>
      <c r="AA126" s="69">
        <f>Y126+(AA125-AA123)</f>
        <v>0</v>
      </c>
      <c r="AB126" s="69">
        <f>AA126+(AB125-AB123)</f>
        <v>0</v>
      </c>
      <c r="AC126" s="69">
        <f>AB126+(AC125-AC123)</f>
        <v>0</v>
      </c>
      <c r="AD126" s="69">
        <f t="shared" ref="AD126:AE126" si="22">AC126+(AD125-AD123)</f>
        <v>0</v>
      </c>
      <c r="AE126" s="69">
        <f t="shared" si="22"/>
        <v>0</v>
      </c>
      <c r="AF126" s="58">
        <f>AE126+(AF125-AF123)</f>
        <v>-26731</v>
      </c>
      <c r="AG126" s="71"/>
      <c r="AH126" s="72"/>
      <c r="AI126" s="72"/>
      <c r="AJ126" s="72"/>
      <c r="AK126" s="73"/>
      <c r="AL126" s="43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</row>
    <row r="127" spans="1:48" ht="15" customHeight="1">
      <c r="A127" s="527" t="s">
        <v>60</v>
      </c>
      <c r="B127" s="530" t="s">
        <v>61</v>
      </c>
      <c r="C127" s="533">
        <v>1500</v>
      </c>
      <c r="D127" s="560">
        <v>1.5249999999999999</v>
      </c>
      <c r="E127" s="563"/>
      <c r="F127" s="533" t="s">
        <v>62</v>
      </c>
      <c r="G127" s="49" t="s">
        <v>63</v>
      </c>
      <c r="H127" s="74" t="s">
        <v>19</v>
      </c>
      <c r="I127" s="47"/>
      <c r="J127" s="47"/>
      <c r="K127" s="47"/>
      <c r="L127" s="64"/>
      <c r="M127" s="47"/>
      <c r="N127" s="47"/>
      <c r="O127" s="47"/>
      <c r="P127" s="64"/>
      <c r="Q127" s="64"/>
      <c r="R127" s="64"/>
      <c r="S127" s="64"/>
      <c r="T127" s="47"/>
      <c r="U127" s="47"/>
      <c r="V127" s="64"/>
      <c r="W127" s="47"/>
      <c r="X127" s="47"/>
      <c r="Y127" s="47"/>
      <c r="Z127" s="64"/>
      <c r="AA127" s="47"/>
      <c r="AB127" s="47"/>
      <c r="AC127" s="47"/>
      <c r="AD127" s="47"/>
      <c r="AE127" s="47"/>
      <c r="AF127" s="47"/>
      <c r="AG127" s="64"/>
      <c r="AH127" s="47"/>
      <c r="AI127" s="47">
        <f>$AK$139*$D$127</f>
        <v>9150</v>
      </c>
      <c r="AJ127" s="47"/>
      <c r="AK127" s="48"/>
      <c r="AL127" s="20">
        <f>SUM(I127:AK127)</f>
        <v>9150</v>
      </c>
      <c r="AM127" s="21"/>
      <c r="AN127" s="21"/>
      <c r="AO127" s="21"/>
      <c r="AP127" s="21"/>
      <c r="AQ127" s="21"/>
      <c r="AR127" s="21"/>
      <c r="AS127" s="21"/>
      <c r="AT127" s="21"/>
      <c r="AU127" s="525"/>
      <c r="AV127" s="525"/>
    </row>
    <row r="128" spans="1:48">
      <c r="A128" s="528"/>
      <c r="B128" s="531"/>
      <c r="C128" s="534"/>
      <c r="D128" s="561"/>
      <c r="E128" s="564"/>
      <c r="F128" s="534"/>
      <c r="G128" s="49"/>
      <c r="H128" s="24" t="s">
        <v>15</v>
      </c>
      <c r="I128" s="47"/>
      <c r="J128" s="47"/>
      <c r="K128" s="47"/>
      <c r="L128" s="64"/>
      <c r="M128" s="47"/>
      <c r="N128" s="47"/>
      <c r="O128" s="47"/>
      <c r="P128" s="64"/>
      <c r="Q128" s="64"/>
      <c r="R128" s="64"/>
      <c r="S128" s="64"/>
      <c r="T128" s="47"/>
      <c r="U128" s="47"/>
      <c r="V128" s="64"/>
      <c r="W128" s="47"/>
      <c r="X128" s="47"/>
      <c r="Y128" s="47"/>
      <c r="Z128" s="64"/>
      <c r="AA128" s="47"/>
      <c r="AB128" s="47"/>
      <c r="AC128" s="47"/>
      <c r="AD128" s="47"/>
      <c r="AE128" s="47"/>
      <c r="AF128" s="47"/>
      <c r="AG128" s="64"/>
      <c r="AH128" s="47"/>
      <c r="AI128" s="47">
        <v>1</v>
      </c>
      <c r="AJ128" s="47"/>
      <c r="AK128" s="48"/>
      <c r="AL128" s="28"/>
      <c r="AM128" s="21"/>
      <c r="AN128" s="21"/>
      <c r="AO128" s="21"/>
      <c r="AP128" s="21"/>
      <c r="AQ128" s="21"/>
      <c r="AR128" s="21"/>
      <c r="AS128" s="21"/>
      <c r="AT128" s="21"/>
      <c r="AU128" s="525"/>
      <c r="AV128" s="525"/>
    </row>
    <row r="129" spans="1:48">
      <c r="A129" s="528"/>
      <c r="B129" s="531"/>
      <c r="C129" s="534"/>
      <c r="D129" s="561"/>
      <c r="E129" s="564"/>
      <c r="F129" s="534"/>
      <c r="G129" s="49"/>
      <c r="H129" s="30" t="s">
        <v>16</v>
      </c>
      <c r="I129" s="65"/>
      <c r="J129" s="65"/>
      <c r="K129" s="65"/>
      <c r="L129" s="64"/>
      <c r="M129" s="65"/>
      <c r="N129" s="65"/>
      <c r="O129" s="65"/>
      <c r="P129" s="64"/>
      <c r="Q129" s="64"/>
      <c r="R129" s="64"/>
      <c r="S129" s="64"/>
      <c r="T129" s="65"/>
      <c r="U129" s="65"/>
      <c r="V129" s="64"/>
      <c r="W129" s="65"/>
      <c r="X129" s="65"/>
      <c r="Y129" s="65"/>
      <c r="Z129" s="64"/>
      <c r="AA129" s="65"/>
      <c r="AB129" s="65"/>
      <c r="AC129" s="65"/>
      <c r="AD129" s="65"/>
      <c r="AE129" s="65"/>
      <c r="AF129" s="65"/>
      <c r="AG129" s="64"/>
      <c r="AH129" s="65"/>
      <c r="AI129" s="65"/>
      <c r="AJ129" s="65"/>
      <c r="AK129" s="66"/>
      <c r="AL129" s="33">
        <f>SUM(I129:AK129)</f>
        <v>0</v>
      </c>
      <c r="AM129" s="21"/>
      <c r="AN129" s="21"/>
      <c r="AO129" s="21"/>
      <c r="AP129" s="21"/>
      <c r="AQ129" s="21"/>
      <c r="AR129" s="21"/>
      <c r="AS129" s="21"/>
      <c r="AT129" s="21"/>
      <c r="AU129" s="525"/>
      <c r="AV129" s="525"/>
    </row>
    <row r="130" spans="1:48">
      <c r="A130" s="528"/>
      <c r="B130" s="531"/>
      <c r="C130" s="534"/>
      <c r="D130" s="561"/>
      <c r="E130" s="564"/>
      <c r="F130" s="534"/>
      <c r="G130" s="29"/>
      <c r="H130" s="30" t="s">
        <v>17</v>
      </c>
      <c r="I130" s="65"/>
      <c r="J130" s="65"/>
      <c r="K130" s="65"/>
      <c r="L130" s="64"/>
      <c r="M130" s="65"/>
      <c r="N130" s="65"/>
      <c r="O130" s="65"/>
      <c r="P130" s="64"/>
      <c r="Q130" s="64"/>
      <c r="R130" s="64"/>
      <c r="S130" s="64"/>
      <c r="T130" s="65"/>
      <c r="U130" s="65"/>
      <c r="V130" s="64"/>
      <c r="W130" s="65"/>
      <c r="X130" s="65"/>
      <c r="Y130" s="65"/>
      <c r="Z130" s="64"/>
      <c r="AA130" s="65"/>
      <c r="AB130" s="65"/>
      <c r="AC130" s="65"/>
      <c r="AD130" s="65"/>
      <c r="AE130" s="65"/>
      <c r="AF130" s="65"/>
      <c r="AG130" s="64"/>
      <c r="AH130" s="65"/>
      <c r="AI130" s="65"/>
      <c r="AJ130" s="65"/>
      <c r="AK130" s="66"/>
      <c r="AL130" s="33"/>
      <c r="AM130" s="21"/>
      <c r="AN130" s="21"/>
      <c r="AO130" s="21"/>
      <c r="AP130" s="21"/>
      <c r="AQ130" s="21"/>
      <c r="AR130" s="21"/>
      <c r="AS130" s="21"/>
      <c r="AT130" s="21"/>
      <c r="AU130" s="525"/>
      <c r="AV130" s="525"/>
    </row>
    <row r="131" spans="1:48">
      <c r="A131" s="528"/>
      <c r="B131" s="531"/>
      <c r="C131" s="534"/>
      <c r="D131" s="561"/>
      <c r="E131" s="564"/>
      <c r="F131" s="534"/>
      <c r="G131" s="29" t="s">
        <v>25</v>
      </c>
      <c r="H131" s="24" t="s">
        <v>26</v>
      </c>
      <c r="I131" s="47"/>
      <c r="J131" s="47"/>
      <c r="K131" s="47"/>
      <c r="L131" s="64"/>
      <c r="M131" s="47"/>
      <c r="N131" s="47"/>
      <c r="O131" s="47"/>
      <c r="P131" s="64"/>
      <c r="Q131" s="64"/>
      <c r="R131" s="64"/>
      <c r="S131" s="64"/>
      <c r="T131" s="47"/>
      <c r="U131" s="47"/>
      <c r="V131" s="64"/>
      <c r="W131" s="47"/>
      <c r="X131" s="47"/>
      <c r="Y131" s="47"/>
      <c r="Z131" s="64"/>
      <c r="AA131" s="47"/>
      <c r="AB131" s="47"/>
      <c r="AC131" s="47"/>
      <c r="AD131" s="47"/>
      <c r="AE131" s="47"/>
      <c r="AF131" s="47"/>
      <c r="AG131" s="64"/>
      <c r="AH131" s="47"/>
      <c r="AI131" s="47">
        <f>$AK$139*$D$127</f>
        <v>9150</v>
      </c>
      <c r="AJ131" s="47"/>
      <c r="AK131" s="48"/>
      <c r="AL131" s="28">
        <f>SUM(I131:AK131)</f>
        <v>9150</v>
      </c>
      <c r="AM131" s="21"/>
      <c r="AN131" s="21"/>
      <c r="AO131" s="21"/>
      <c r="AP131" s="21"/>
      <c r="AQ131" s="21"/>
      <c r="AR131" s="21"/>
      <c r="AS131" s="21"/>
      <c r="AT131" s="21"/>
      <c r="AU131" s="525"/>
      <c r="AV131" s="525"/>
    </row>
    <row r="132" spans="1:48">
      <c r="A132" s="528"/>
      <c r="B132" s="531"/>
      <c r="C132" s="534"/>
      <c r="D132" s="561"/>
      <c r="E132" s="564"/>
      <c r="F132" s="534"/>
      <c r="G132" s="49"/>
      <c r="H132" s="24" t="s">
        <v>24</v>
      </c>
      <c r="I132" s="47"/>
      <c r="J132" s="47"/>
      <c r="K132" s="47"/>
      <c r="L132" s="64"/>
      <c r="M132" s="47"/>
      <c r="N132" s="47"/>
      <c r="O132" s="47"/>
      <c r="P132" s="64"/>
      <c r="Q132" s="64"/>
      <c r="R132" s="64"/>
      <c r="S132" s="64"/>
      <c r="T132" s="47"/>
      <c r="U132" s="47"/>
      <c r="V132" s="64"/>
      <c r="W132" s="47"/>
      <c r="X132" s="47"/>
      <c r="Y132" s="47"/>
      <c r="Z132" s="64"/>
      <c r="AA132" s="47"/>
      <c r="AB132" s="47"/>
      <c r="AC132" s="47"/>
      <c r="AD132" s="47"/>
      <c r="AE132" s="47"/>
      <c r="AF132" s="47"/>
      <c r="AG132" s="64"/>
      <c r="AH132" s="47"/>
      <c r="AI132" s="47">
        <v>1</v>
      </c>
      <c r="AJ132" s="47"/>
      <c r="AK132" s="48"/>
      <c r="AL132" s="28"/>
      <c r="AM132" s="21"/>
      <c r="AN132" s="21"/>
      <c r="AO132" s="21"/>
      <c r="AP132" s="21"/>
      <c r="AQ132" s="21"/>
      <c r="AR132" s="21"/>
      <c r="AS132" s="21"/>
      <c r="AT132" s="21"/>
      <c r="AU132" s="525"/>
      <c r="AV132" s="525"/>
    </row>
    <row r="133" spans="1:48">
      <c r="A133" s="528"/>
      <c r="B133" s="531"/>
      <c r="C133" s="534"/>
      <c r="D133" s="561"/>
      <c r="E133" s="564"/>
      <c r="F133" s="534"/>
      <c r="G133" s="49"/>
      <c r="H133" s="30" t="s">
        <v>16</v>
      </c>
      <c r="I133" s="65"/>
      <c r="J133" s="65"/>
      <c r="K133" s="65"/>
      <c r="L133" s="64"/>
      <c r="M133" s="65"/>
      <c r="N133" s="65"/>
      <c r="O133" s="65"/>
      <c r="P133" s="64"/>
      <c r="Q133" s="64"/>
      <c r="R133" s="64"/>
      <c r="S133" s="64"/>
      <c r="T133" s="65"/>
      <c r="U133" s="65"/>
      <c r="V133" s="64"/>
      <c r="W133" s="65"/>
      <c r="X133" s="65"/>
      <c r="Y133" s="65"/>
      <c r="Z133" s="64"/>
      <c r="AA133" s="65"/>
      <c r="AB133" s="65"/>
      <c r="AC133" s="65"/>
      <c r="AD133" s="65"/>
      <c r="AE133" s="65"/>
      <c r="AF133" s="65"/>
      <c r="AG133" s="64"/>
      <c r="AH133" s="65"/>
      <c r="AI133" s="65"/>
      <c r="AJ133" s="65"/>
      <c r="AK133" s="66"/>
      <c r="AL133" s="33">
        <f>SUM(I133:AK133)</f>
        <v>0</v>
      </c>
      <c r="AM133" s="21"/>
      <c r="AN133" s="21"/>
      <c r="AO133" s="21"/>
      <c r="AP133" s="21"/>
      <c r="AQ133" s="21"/>
      <c r="AR133" s="21"/>
      <c r="AS133" s="21"/>
      <c r="AT133" s="21"/>
      <c r="AU133" s="525"/>
      <c r="AV133" s="525"/>
    </row>
    <row r="134" spans="1:48">
      <c r="A134" s="528"/>
      <c r="B134" s="531"/>
      <c r="C134" s="534"/>
      <c r="D134" s="561"/>
      <c r="E134" s="564"/>
      <c r="F134" s="534"/>
      <c r="G134" s="29"/>
      <c r="H134" s="30" t="s">
        <v>17</v>
      </c>
      <c r="I134" s="65"/>
      <c r="J134" s="65"/>
      <c r="K134" s="65"/>
      <c r="L134" s="64"/>
      <c r="M134" s="65"/>
      <c r="N134" s="65"/>
      <c r="O134" s="65"/>
      <c r="P134" s="64"/>
      <c r="Q134" s="64"/>
      <c r="R134" s="64"/>
      <c r="S134" s="64"/>
      <c r="T134" s="65"/>
      <c r="U134" s="65"/>
      <c r="V134" s="64"/>
      <c r="W134" s="65"/>
      <c r="X134" s="65"/>
      <c r="Y134" s="65"/>
      <c r="Z134" s="64"/>
      <c r="AA134" s="65"/>
      <c r="AB134" s="65"/>
      <c r="AC134" s="65"/>
      <c r="AD134" s="65"/>
      <c r="AE134" s="65"/>
      <c r="AF134" s="65"/>
      <c r="AG134" s="64"/>
      <c r="AH134" s="65"/>
      <c r="AI134" s="65"/>
      <c r="AJ134" s="65"/>
      <c r="AK134" s="66"/>
      <c r="AL134" s="33"/>
      <c r="AM134" s="21"/>
      <c r="AN134" s="21"/>
      <c r="AO134" s="21"/>
      <c r="AP134" s="21"/>
      <c r="AQ134" s="21"/>
      <c r="AR134" s="21"/>
      <c r="AS134" s="21"/>
      <c r="AT134" s="21"/>
      <c r="AU134" s="525"/>
      <c r="AV134" s="525"/>
    </row>
    <row r="135" spans="1:48">
      <c r="A135" s="528"/>
      <c r="B135" s="531"/>
      <c r="C135" s="534"/>
      <c r="D135" s="561"/>
      <c r="E135" s="564"/>
      <c r="F135" s="534"/>
      <c r="G135" s="49"/>
      <c r="H135" s="24" t="s">
        <v>46</v>
      </c>
      <c r="I135" s="47"/>
      <c r="J135" s="47"/>
      <c r="K135" s="47"/>
      <c r="L135" s="64"/>
      <c r="M135" s="47"/>
      <c r="N135" s="47"/>
      <c r="O135" s="47"/>
      <c r="P135" s="64"/>
      <c r="Q135" s="64"/>
      <c r="R135" s="64"/>
      <c r="S135" s="64"/>
      <c r="T135" s="47"/>
      <c r="U135" s="47"/>
      <c r="V135" s="64"/>
      <c r="W135" s="47"/>
      <c r="X135" s="47"/>
      <c r="Y135" s="47"/>
      <c r="Z135" s="64"/>
      <c r="AA135" s="47"/>
      <c r="AB135" s="47"/>
      <c r="AC135" s="47"/>
      <c r="AD135" s="47"/>
      <c r="AE135" s="47"/>
      <c r="AF135" s="47"/>
      <c r="AG135" s="64"/>
      <c r="AH135" s="47">
        <f>$AK$139*$D$127/3</f>
        <v>3050</v>
      </c>
      <c r="AI135" s="47">
        <f>$AK$139*$D$127/3</f>
        <v>3050</v>
      </c>
      <c r="AJ135" s="47">
        <f>$AK$139*$D$127/3</f>
        <v>3050</v>
      </c>
      <c r="AK135" s="48">
        <f>$AK$139*$D$127/3</f>
        <v>3050</v>
      </c>
      <c r="AL135" s="28">
        <f>SUM(I135:AK135)</f>
        <v>12200</v>
      </c>
      <c r="AM135" s="21"/>
      <c r="AN135" s="21"/>
      <c r="AO135" s="21"/>
      <c r="AP135" s="21"/>
      <c r="AQ135" s="21"/>
      <c r="AR135" s="21"/>
      <c r="AS135" s="21"/>
      <c r="AT135" s="21"/>
      <c r="AU135" s="525"/>
      <c r="AV135" s="525"/>
    </row>
    <row r="136" spans="1:48">
      <c r="A136" s="528"/>
      <c r="B136" s="531"/>
      <c r="C136" s="534"/>
      <c r="D136" s="561"/>
      <c r="E136" s="564"/>
      <c r="F136" s="534"/>
      <c r="G136" s="49"/>
      <c r="H136" s="24" t="s">
        <v>47</v>
      </c>
      <c r="I136" s="47"/>
      <c r="J136" s="47"/>
      <c r="K136" s="47"/>
      <c r="L136" s="64"/>
      <c r="M136" s="47"/>
      <c r="N136" s="47"/>
      <c r="O136" s="47"/>
      <c r="P136" s="64"/>
      <c r="Q136" s="64"/>
      <c r="R136" s="64"/>
      <c r="S136" s="64"/>
      <c r="T136" s="47"/>
      <c r="U136" s="47"/>
      <c r="V136" s="64"/>
      <c r="W136" s="47"/>
      <c r="X136" s="47"/>
      <c r="Y136" s="47"/>
      <c r="Z136" s="64"/>
      <c r="AA136" s="47"/>
      <c r="AB136" s="47"/>
      <c r="AC136" s="47"/>
      <c r="AD136" s="47"/>
      <c r="AE136" s="47"/>
      <c r="AF136" s="47"/>
      <c r="AG136" s="64"/>
      <c r="AH136" s="47">
        <v>1</v>
      </c>
      <c r="AI136" s="47">
        <v>1</v>
      </c>
      <c r="AJ136" s="47">
        <v>1</v>
      </c>
      <c r="AK136" s="48">
        <v>1</v>
      </c>
      <c r="AL136" s="28"/>
      <c r="AM136" s="21"/>
      <c r="AN136" s="21"/>
      <c r="AO136" s="21"/>
      <c r="AP136" s="21"/>
      <c r="AQ136" s="21"/>
      <c r="AR136" s="21"/>
      <c r="AS136" s="21"/>
      <c r="AT136" s="21"/>
      <c r="AU136" s="525"/>
      <c r="AV136" s="525"/>
    </row>
    <row r="137" spans="1:48">
      <c r="A137" s="528"/>
      <c r="B137" s="531"/>
      <c r="C137" s="534"/>
      <c r="D137" s="561"/>
      <c r="E137" s="564"/>
      <c r="F137" s="534"/>
      <c r="G137" s="49"/>
      <c r="H137" s="30" t="s">
        <v>16</v>
      </c>
      <c r="I137" s="65"/>
      <c r="J137" s="65"/>
      <c r="K137" s="65"/>
      <c r="L137" s="64"/>
      <c r="M137" s="65"/>
      <c r="N137" s="65"/>
      <c r="O137" s="65"/>
      <c r="P137" s="64"/>
      <c r="Q137" s="64"/>
      <c r="R137" s="64"/>
      <c r="S137" s="64"/>
      <c r="T137" s="65"/>
      <c r="U137" s="65"/>
      <c r="V137" s="64"/>
      <c r="W137" s="65"/>
      <c r="X137" s="65">
        <f>1537</f>
        <v>1537</v>
      </c>
      <c r="Y137" s="65">
        <f>1904+1000+1800</f>
        <v>4704</v>
      </c>
      <c r="Z137" s="64"/>
      <c r="AA137" s="65">
        <f>1800+1200+1300</f>
        <v>4300</v>
      </c>
      <c r="AB137" s="65">
        <f>1755+1600+1500</f>
        <v>4855</v>
      </c>
      <c r="AC137" s="65"/>
      <c r="AD137" s="65"/>
      <c r="AE137" s="65"/>
      <c r="AF137" s="65"/>
      <c r="AG137" s="64"/>
      <c r="AH137" s="65"/>
      <c r="AI137" s="65"/>
      <c r="AJ137" s="65"/>
      <c r="AK137" s="66"/>
      <c r="AL137" s="33">
        <f>SUM(I137:AK137)</f>
        <v>15396</v>
      </c>
      <c r="AM137" s="21"/>
      <c r="AN137" s="21"/>
      <c r="AO137" s="21"/>
      <c r="AP137" s="21"/>
      <c r="AQ137" s="21"/>
      <c r="AR137" s="21"/>
      <c r="AS137" s="21"/>
      <c r="AT137" s="21"/>
      <c r="AU137" s="525"/>
      <c r="AV137" s="525"/>
    </row>
    <row r="138" spans="1:48">
      <c r="A138" s="528"/>
      <c r="B138" s="531"/>
      <c r="C138" s="534"/>
      <c r="D138" s="561"/>
      <c r="E138" s="564"/>
      <c r="F138" s="534"/>
      <c r="G138" s="29"/>
      <c r="H138" s="30" t="s">
        <v>17</v>
      </c>
      <c r="I138" s="65"/>
      <c r="J138" s="65"/>
      <c r="K138" s="65"/>
      <c r="L138" s="64"/>
      <c r="M138" s="75"/>
      <c r="N138" s="65"/>
      <c r="O138" s="65"/>
      <c r="P138" s="64"/>
      <c r="Q138" s="64"/>
      <c r="R138" s="64"/>
      <c r="S138" s="64"/>
      <c r="T138" s="65"/>
      <c r="U138" s="65"/>
      <c r="V138" s="64"/>
      <c r="W138" s="65"/>
      <c r="X138" s="65"/>
      <c r="Y138" s="65"/>
      <c r="Z138" s="64"/>
      <c r="AA138" s="65"/>
      <c r="AB138" s="65"/>
      <c r="AC138" s="65"/>
      <c r="AD138" s="65"/>
      <c r="AE138" s="65"/>
      <c r="AF138" s="65"/>
      <c r="AG138" s="64"/>
      <c r="AH138" s="65"/>
      <c r="AI138" s="65"/>
      <c r="AJ138" s="65"/>
      <c r="AK138" s="66"/>
      <c r="AL138" s="33"/>
      <c r="AM138" s="21"/>
      <c r="AN138" s="21"/>
      <c r="AO138" s="21"/>
      <c r="AP138" s="21"/>
      <c r="AQ138" s="21"/>
      <c r="AR138" s="21"/>
      <c r="AS138" s="21"/>
      <c r="AT138" s="21"/>
      <c r="AU138" s="525"/>
      <c r="AV138" s="525"/>
    </row>
    <row r="139" spans="1:48">
      <c r="A139" s="528"/>
      <c r="B139" s="531"/>
      <c r="C139" s="534"/>
      <c r="D139" s="561"/>
      <c r="E139" s="564"/>
      <c r="F139" s="534"/>
      <c r="G139" s="49"/>
      <c r="H139" s="24" t="s">
        <v>29</v>
      </c>
      <c r="I139" s="47"/>
      <c r="J139" s="47"/>
      <c r="K139" s="47"/>
      <c r="L139" s="64"/>
      <c r="M139" s="23"/>
      <c r="N139" s="47"/>
      <c r="O139" s="47"/>
      <c r="P139" s="64"/>
      <c r="Q139" s="64"/>
      <c r="R139" s="64"/>
      <c r="S139" s="64"/>
      <c r="T139" s="47"/>
      <c r="U139" s="47"/>
      <c r="V139" s="64"/>
      <c r="W139" s="47"/>
      <c r="X139" s="47"/>
      <c r="Y139" s="47"/>
      <c r="Z139" s="64"/>
      <c r="AA139" s="47"/>
      <c r="AB139" s="47"/>
      <c r="AC139" s="47"/>
      <c r="AD139" s="47"/>
      <c r="AE139" s="47"/>
      <c r="AF139" s="47"/>
      <c r="AG139" s="64"/>
      <c r="AH139" s="47"/>
      <c r="AI139" s="47"/>
      <c r="AJ139" s="47"/>
      <c r="AK139" s="48">
        <f>($C$127*4)</f>
        <v>6000</v>
      </c>
      <c r="AL139" s="28">
        <f>SUM(I139:AK139)</f>
        <v>6000</v>
      </c>
      <c r="AM139" s="21"/>
      <c r="AN139" s="21"/>
      <c r="AO139" s="21"/>
      <c r="AP139" s="21"/>
      <c r="AQ139" s="21"/>
      <c r="AR139" s="21"/>
      <c r="AS139" s="21"/>
      <c r="AT139" s="21"/>
      <c r="AU139" s="525"/>
      <c r="AV139" s="525"/>
    </row>
    <row r="140" spans="1:48">
      <c r="A140" s="528"/>
      <c r="B140" s="531"/>
      <c r="C140" s="534"/>
      <c r="D140" s="561"/>
      <c r="E140" s="564"/>
      <c r="F140" s="534"/>
      <c r="G140" s="29"/>
      <c r="H140" s="24" t="s">
        <v>48</v>
      </c>
      <c r="I140" s="25"/>
      <c r="J140" s="25"/>
      <c r="K140" s="25"/>
      <c r="L140" s="26"/>
      <c r="M140" s="23"/>
      <c r="N140" s="25"/>
      <c r="O140" s="25"/>
      <c r="P140" s="26"/>
      <c r="Q140" s="26"/>
      <c r="R140" s="26"/>
      <c r="S140" s="26"/>
      <c r="T140" s="47"/>
      <c r="U140" s="25"/>
      <c r="V140" s="26"/>
      <c r="W140" s="25"/>
      <c r="X140" s="47"/>
      <c r="Y140" s="25"/>
      <c r="Z140" s="26"/>
      <c r="AA140" s="25"/>
      <c r="AB140" s="47"/>
      <c r="AC140" s="25"/>
      <c r="AD140" s="25"/>
      <c r="AE140" s="47"/>
      <c r="AF140" s="25"/>
      <c r="AG140" s="26"/>
      <c r="AH140" s="25"/>
      <c r="AI140" s="25"/>
      <c r="AJ140" s="25"/>
      <c r="AK140" s="27">
        <v>1</v>
      </c>
      <c r="AL140" s="28"/>
      <c r="AM140" s="46"/>
      <c r="AN140" s="46"/>
      <c r="AO140" s="46"/>
      <c r="AP140" s="21"/>
      <c r="AQ140" s="21"/>
      <c r="AR140" s="21"/>
      <c r="AS140" s="21"/>
      <c r="AT140" s="21"/>
      <c r="AU140" s="525"/>
      <c r="AV140" s="525"/>
    </row>
    <row r="141" spans="1:48">
      <c r="A141" s="528"/>
      <c r="B141" s="531"/>
      <c r="C141" s="534"/>
      <c r="D141" s="561"/>
      <c r="E141" s="564"/>
      <c r="F141" s="534"/>
      <c r="G141" s="29"/>
      <c r="H141" s="30" t="s">
        <v>16</v>
      </c>
      <c r="I141" s="31"/>
      <c r="J141" s="31"/>
      <c r="K141" s="31"/>
      <c r="L141" s="26"/>
      <c r="M141" s="31"/>
      <c r="N141" s="31"/>
      <c r="O141" s="31"/>
      <c r="P141" s="26"/>
      <c r="Q141" s="26"/>
      <c r="R141" s="26"/>
      <c r="S141" s="26"/>
      <c r="T141" s="31"/>
      <c r="U141" s="31"/>
      <c r="V141" s="26"/>
      <c r="W141" s="31"/>
      <c r="X141" s="31"/>
      <c r="Y141" s="31"/>
      <c r="Z141" s="26"/>
      <c r="AA141" s="31"/>
      <c r="AB141" s="31"/>
      <c r="AC141" s="31"/>
      <c r="AD141" s="31">
        <v>18959</v>
      </c>
      <c r="AE141" s="31"/>
      <c r="AF141" s="31"/>
      <c r="AG141" s="26"/>
      <c r="AH141" s="31"/>
      <c r="AI141" s="31"/>
      <c r="AJ141" s="31"/>
      <c r="AK141" s="32"/>
      <c r="AL141" s="33">
        <f>SUM(I141:AK141)</f>
        <v>18959</v>
      </c>
      <c r="AM141" s="46"/>
      <c r="AN141" s="46"/>
      <c r="AO141" s="46"/>
      <c r="AP141" s="21"/>
      <c r="AQ141" s="21"/>
      <c r="AR141" s="21"/>
      <c r="AS141" s="21"/>
      <c r="AT141" s="21"/>
      <c r="AU141" s="525"/>
      <c r="AV141" s="525"/>
    </row>
    <row r="142" spans="1:48" ht="15.75" thickBot="1">
      <c r="A142" s="529"/>
      <c r="B142" s="532"/>
      <c r="C142" s="535"/>
      <c r="D142" s="562"/>
      <c r="E142" s="565"/>
      <c r="F142" s="535"/>
      <c r="G142" s="67"/>
      <c r="H142" s="68" t="s">
        <v>17</v>
      </c>
      <c r="I142" s="61"/>
      <c r="J142" s="61"/>
      <c r="K142" s="61"/>
      <c r="L142" s="62"/>
      <c r="M142" s="61"/>
      <c r="N142" s="61"/>
      <c r="O142" s="61"/>
      <c r="P142" s="62"/>
      <c r="Q142" s="62"/>
      <c r="R142" s="62"/>
      <c r="S142" s="62"/>
      <c r="T142" s="61"/>
      <c r="U142" s="61"/>
      <c r="V142" s="62"/>
      <c r="W142" s="61"/>
      <c r="X142" s="61"/>
      <c r="Y142" s="61"/>
      <c r="Z142" s="62"/>
      <c r="AA142" s="61"/>
      <c r="AB142" s="61"/>
      <c r="AC142" s="61"/>
      <c r="AD142" s="61"/>
      <c r="AE142" s="61"/>
      <c r="AF142" s="61"/>
      <c r="AG142" s="62"/>
      <c r="AH142" s="61"/>
      <c r="AI142" s="61"/>
      <c r="AJ142" s="61"/>
      <c r="AK142" s="63"/>
      <c r="AL142" s="43"/>
      <c r="AM142" s="46"/>
      <c r="AN142" s="46"/>
      <c r="AO142" s="46"/>
      <c r="AP142" s="21"/>
      <c r="AQ142" s="21"/>
      <c r="AR142" s="21"/>
      <c r="AS142" s="21"/>
      <c r="AT142" s="21"/>
      <c r="AU142" s="21"/>
      <c r="AV142" s="21"/>
    </row>
    <row r="143" spans="1:48" ht="15" customHeight="1">
      <c r="A143" s="583" t="s">
        <v>64</v>
      </c>
      <c r="B143" s="530"/>
      <c r="C143" s="586"/>
      <c r="D143" s="586"/>
      <c r="E143" s="586"/>
      <c r="F143" s="586"/>
      <c r="G143" s="51" t="s">
        <v>65</v>
      </c>
      <c r="H143" s="17" t="s">
        <v>13</v>
      </c>
      <c r="I143" s="18">
        <f>($N$192*2)/4</f>
        <v>6700</v>
      </c>
      <c r="J143" s="18"/>
      <c r="K143" s="18"/>
      <c r="L143" s="19"/>
      <c r="M143" s="18"/>
      <c r="N143" s="18"/>
      <c r="O143" s="18"/>
      <c r="P143" s="19"/>
      <c r="Q143" s="19"/>
      <c r="R143" s="19"/>
      <c r="S143" s="19"/>
      <c r="T143" s="18"/>
      <c r="U143" s="18"/>
      <c r="V143" s="19"/>
      <c r="W143" s="18"/>
      <c r="X143" s="18"/>
      <c r="Y143" s="18"/>
      <c r="Z143" s="19"/>
      <c r="AA143" s="18">
        <f>(($N$192*2)/4)*11</f>
        <v>73700</v>
      </c>
      <c r="AB143" s="18">
        <f t="shared" ref="AB143:AF143" si="23">($N$192*2)/4</f>
        <v>6700</v>
      </c>
      <c r="AC143" s="18">
        <f t="shared" si="23"/>
        <v>6700</v>
      </c>
      <c r="AD143" s="18">
        <f t="shared" si="23"/>
        <v>6700</v>
      </c>
      <c r="AE143" s="18">
        <f t="shared" si="23"/>
        <v>6700</v>
      </c>
      <c r="AF143" s="18">
        <f t="shared" si="23"/>
        <v>6700</v>
      </c>
      <c r="AG143" s="19"/>
      <c r="AH143" s="18">
        <f>($N$192*2)/4</f>
        <v>6700</v>
      </c>
      <c r="AI143" s="18">
        <f>($N$192*2)/4</f>
        <v>6700</v>
      </c>
      <c r="AJ143" s="18">
        <f>($N$192*2)/4</f>
        <v>6700</v>
      </c>
      <c r="AK143" s="44">
        <f>($N$192*2)/4</f>
        <v>6700</v>
      </c>
      <c r="AL143" s="20">
        <f>SUM(I143:AK143)</f>
        <v>140700</v>
      </c>
      <c r="AM143" s="21"/>
      <c r="AN143" s="21"/>
      <c r="AO143" s="21"/>
      <c r="AP143" s="21"/>
      <c r="AQ143" s="21"/>
      <c r="AR143" s="21"/>
      <c r="AS143" s="525"/>
      <c r="AT143" s="525"/>
      <c r="AU143" s="22"/>
      <c r="AV143" s="525"/>
    </row>
    <row r="144" spans="1:48">
      <c r="A144" s="584"/>
      <c r="B144" s="531"/>
      <c r="C144" s="587"/>
      <c r="D144" s="587"/>
      <c r="E144" s="587"/>
      <c r="F144" s="587"/>
      <c r="G144" s="29"/>
      <c r="H144" s="24" t="s">
        <v>15</v>
      </c>
      <c r="I144" s="25">
        <v>1</v>
      </c>
      <c r="J144" s="25"/>
      <c r="K144" s="25"/>
      <c r="L144" s="26"/>
      <c r="M144" s="25"/>
      <c r="N144" s="25"/>
      <c r="O144" s="25"/>
      <c r="P144" s="26"/>
      <c r="Q144" s="26"/>
      <c r="R144" s="26"/>
      <c r="S144" s="26"/>
      <c r="T144" s="25"/>
      <c r="U144" s="25"/>
      <c r="V144" s="26"/>
      <c r="W144" s="25"/>
      <c r="X144" s="25"/>
      <c r="Y144" s="25"/>
      <c r="Z144" s="26"/>
      <c r="AA144" s="25">
        <v>1</v>
      </c>
      <c r="AB144" s="25">
        <v>1</v>
      </c>
      <c r="AC144" s="25">
        <v>1</v>
      </c>
      <c r="AD144" s="25">
        <v>1</v>
      </c>
      <c r="AE144" s="25">
        <v>1</v>
      </c>
      <c r="AF144" s="25">
        <v>1</v>
      </c>
      <c r="AG144" s="26"/>
      <c r="AH144" s="25">
        <v>1</v>
      </c>
      <c r="AI144" s="25">
        <v>1</v>
      </c>
      <c r="AJ144" s="25">
        <v>1</v>
      </c>
      <c r="AK144" s="27">
        <v>1</v>
      </c>
      <c r="AL144" s="28"/>
      <c r="AM144" s="21"/>
      <c r="AN144" s="21"/>
      <c r="AO144" s="21"/>
      <c r="AP144" s="21"/>
      <c r="AQ144" s="21"/>
      <c r="AR144" s="21"/>
      <c r="AS144" s="525"/>
      <c r="AT144" s="525"/>
      <c r="AU144" s="22"/>
      <c r="AV144" s="525"/>
    </row>
    <row r="145" spans="1:48">
      <c r="A145" s="584"/>
      <c r="B145" s="531"/>
      <c r="C145" s="587"/>
      <c r="D145" s="587"/>
      <c r="E145" s="587"/>
      <c r="F145" s="587"/>
      <c r="G145" s="29"/>
      <c r="H145" s="30" t="s">
        <v>16</v>
      </c>
      <c r="I145" s="31">
        <f>10352+2364</f>
        <v>12716</v>
      </c>
      <c r="J145" s="31"/>
      <c r="K145" s="31"/>
      <c r="L145" s="26"/>
      <c r="M145" s="31"/>
      <c r="N145" s="31"/>
      <c r="O145" s="31"/>
      <c r="P145" s="26"/>
      <c r="Q145" s="26"/>
      <c r="R145" s="26"/>
      <c r="S145" s="26"/>
      <c r="T145" s="31"/>
      <c r="U145" s="31"/>
      <c r="V145" s="26"/>
      <c r="W145" s="31"/>
      <c r="X145" s="31"/>
      <c r="Y145" s="31"/>
      <c r="Z145" s="26"/>
      <c r="AA145" s="31">
        <f>9428</f>
        <v>9428</v>
      </c>
      <c r="AB145" s="31">
        <f>15179+11370</f>
        <v>26549</v>
      </c>
      <c r="AC145" s="31">
        <f>15343+12098</f>
        <v>27441</v>
      </c>
      <c r="AD145" s="31">
        <f>10442</f>
        <v>10442</v>
      </c>
      <c r="AE145" s="31"/>
      <c r="AF145" s="31"/>
      <c r="AG145" s="26"/>
      <c r="AH145" s="31"/>
      <c r="AI145" s="31"/>
      <c r="AJ145" s="31"/>
      <c r="AK145" s="32"/>
      <c r="AL145" s="33">
        <f>SUM(I145:AK145)</f>
        <v>86576</v>
      </c>
      <c r="AM145" s="21"/>
      <c r="AN145" s="21"/>
      <c r="AO145" s="21"/>
      <c r="AP145" s="21"/>
      <c r="AQ145" s="21"/>
      <c r="AR145" s="21"/>
      <c r="AS145" s="525"/>
      <c r="AT145" s="525"/>
      <c r="AU145" s="22"/>
      <c r="AV145" s="525"/>
    </row>
    <row r="146" spans="1:48">
      <c r="A146" s="584"/>
      <c r="B146" s="531"/>
      <c r="C146" s="587"/>
      <c r="D146" s="587"/>
      <c r="E146" s="587"/>
      <c r="F146" s="587"/>
      <c r="G146" s="29"/>
      <c r="H146" s="30" t="s">
        <v>17</v>
      </c>
      <c r="I146" s="31">
        <f>I145-I143</f>
        <v>6016</v>
      </c>
      <c r="J146" s="31">
        <f>I146+(J145-J143)</f>
        <v>6016</v>
      </c>
      <c r="K146" s="31">
        <f>J146+(K145-K143)</f>
        <v>6016</v>
      </c>
      <c r="L146" s="26"/>
      <c r="M146" s="31">
        <f>K146+(M145-M143)</f>
        <v>6016</v>
      </c>
      <c r="N146" s="31">
        <f>M146+(N145-N143)</f>
        <v>6016</v>
      </c>
      <c r="O146" s="31">
        <f>N146+(O145-O143)</f>
        <v>6016</v>
      </c>
      <c r="P146" s="26"/>
      <c r="Q146" s="26"/>
      <c r="R146" s="26"/>
      <c r="S146" s="26"/>
      <c r="T146" s="31">
        <f>O146+(T145-T143)</f>
        <v>6016</v>
      </c>
      <c r="U146" s="31">
        <f>T146+(U145-U143)</f>
        <v>6016</v>
      </c>
      <c r="V146" s="26"/>
      <c r="W146" s="31">
        <f>U146+(W145-W143)</f>
        <v>6016</v>
      </c>
      <c r="X146" s="31">
        <f>W146+(X145-X143)</f>
        <v>6016</v>
      </c>
      <c r="Y146" s="31">
        <f>X146+(Y145-Y143)</f>
        <v>6016</v>
      </c>
      <c r="Z146" s="26"/>
      <c r="AA146" s="31">
        <f>Y146+(AA145-AA143)</f>
        <v>-58256</v>
      </c>
      <c r="AB146" s="31">
        <f>AA146+(AB145-AB143)</f>
        <v>-38407</v>
      </c>
      <c r="AC146" s="31">
        <f>AB146+(AC145-AC143)</f>
        <v>-17666</v>
      </c>
      <c r="AD146" s="31">
        <f>AC146+(AD145-AD143)</f>
        <v>-13924</v>
      </c>
      <c r="AE146" s="31">
        <f>AD146+(AE145-AE143)</f>
        <v>-20624</v>
      </c>
      <c r="AF146" s="31"/>
      <c r="AG146" s="26"/>
      <c r="AH146" s="31"/>
      <c r="AI146" s="31"/>
      <c r="AJ146" s="31"/>
      <c r="AK146" s="32"/>
      <c r="AL146" s="33"/>
      <c r="AM146" s="21"/>
      <c r="AN146" s="21"/>
      <c r="AO146" s="21"/>
      <c r="AP146" s="21"/>
      <c r="AQ146" s="21"/>
      <c r="AR146" s="21"/>
      <c r="AS146" s="525"/>
      <c r="AT146" s="525"/>
      <c r="AU146" s="22"/>
      <c r="AV146" s="525"/>
    </row>
    <row r="147" spans="1:48">
      <c r="A147" s="584"/>
      <c r="B147" s="531"/>
      <c r="C147" s="587"/>
      <c r="D147" s="587"/>
      <c r="E147" s="587"/>
      <c r="F147" s="587"/>
      <c r="G147" s="29" t="s">
        <v>66</v>
      </c>
      <c r="H147" s="24" t="s">
        <v>67</v>
      </c>
      <c r="I147" s="25">
        <f>(($N$192)/4)*2</f>
        <v>6700</v>
      </c>
      <c r="J147" s="25">
        <f t="shared" ref="J147:K147" si="24">(($N$192)/4)*2</f>
        <v>6700</v>
      </c>
      <c r="K147" s="25">
        <f t="shared" si="24"/>
        <v>6700</v>
      </c>
      <c r="L147" s="26"/>
      <c r="M147" s="25">
        <f t="shared" ref="M147:O147" si="25">(($N$192)/4)*2</f>
        <v>6700</v>
      </c>
      <c r="N147" s="25">
        <f t="shared" si="25"/>
        <v>6700</v>
      </c>
      <c r="O147" s="25">
        <f t="shared" si="25"/>
        <v>6700</v>
      </c>
      <c r="P147" s="26"/>
      <c r="Q147" s="26"/>
      <c r="R147" s="26"/>
      <c r="S147" s="26"/>
      <c r="T147" s="25">
        <f t="shared" ref="T147:U147" si="26">(($N$192)/4)*2</f>
        <v>6700</v>
      </c>
      <c r="U147" s="25">
        <f t="shared" si="26"/>
        <v>6700</v>
      </c>
      <c r="V147" s="26"/>
      <c r="W147" s="25">
        <f t="shared" ref="W147:Y147" si="27">(($N$192)/4)*2</f>
        <v>6700</v>
      </c>
      <c r="X147" s="25">
        <f t="shared" si="27"/>
        <v>6700</v>
      </c>
      <c r="Y147" s="25">
        <f t="shared" si="27"/>
        <v>6700</v>
      </c>
      <c r="Z147" s="26"/>
      <c r="AA147" s="25">
        <f t="shared" ref="AA147:AB147" si="28">(($N$192)/4)*2</f>
        <v>6700</v>
      </c>
      <c r="AB147" s="25">
        <f t="shared" si="28"/>
        <v>6700</v>
      </c>
      <c r="AC147" s="25">
        <f>((($N$192)/4)*2)*6</f>
        <v>40200</v>
      </c>
      <c r="AD147" s="25"/>
      <c r="AE147" s="25">
        <f t="shared" ref="AE147:AF147" si="29">(($N$192)/4)*2</f>
        <v>6700</v>
      </c>
      <c r="AF147" s="27">
        <f t="shared" si="29"/>
        <v>6700</v>
      </c>
      <c r="AG147" s="26"/>
      <c r="AH147" s="25"/>
      <c r="AI147" s="25"/>
      <c r="AJ147" s="25"/>
      <c r="AK147" s="27"/>
      <c r="AL147" s="28">
        <f>SUM(I147:AK147)</f>
        <v>140700</v>
      </c>
      <c r="AM147" s="21"/>
      <c r="AN147" s="21"/>
      <c r="AO147" s="21"/>
      <c r="AP147" s="21"/>
      <c r="AQ147" s="21"/>
      <c r="AR147" s="21"/>
      <c r="AS147" s="525"/>
      <c r="AT147" s="525"/>
      <c r="AU147" s="22"/>
      <c r="AV147" s="525"/>
    </row>
    <row r="148" spans="1:48">
      <c r="A148" s="584"/>
      <c r="B148" s="531"/>
      <c r="C148" s="587"/>
      <c r="D148" s="587"/>
      <c r="E148" s="587"/>
      <c r="F148" s="587"/>
      <c r="G148" s="29"/>
      <c r="H148" s="24" t="s">
        <v>15</v>
      </c>
      <c r="I148" s="25">
        <v>1</v>
      </c>
      <c r="J148" s="25">
        <v>1</v>
      </c>
      <c r="K148" s="25">
        <v>1</v>
      </c>
      <c r="L148" s="26"/>
      <c r="M148" s="25">
        <v>1</v>
      </c>
      <c r="N148" s="25">
        <v>1</v>
      </c>
      <c r="O148" s="25">
        <v>1</v>
      </c>
      <c r="P148" s="26"/>
      <c r="Q148" s="26"/>
      <c r="R148" s="26"/>
      <c r="S148" s="26"/>
      <c r="T148" s="25">
        <v>1</v>
      </c>
      <c r="U148" s="25">
        <v>1</v>
      </c>
      <c r="V148" s="26"/>
      <c r="W148" s="25">
        <v>1</v>
      </c>
      <c r="X148" s="25">
        <v>1</v>
      </c>
      <c r="Y148" s="25">
        <v>1</v>
      </c>
      <c r="Z148" s="26"/>
      <c r="AA148" s="25">
        <v>1</v>
      </c>
      <c r="AB148" s="25">
        <v>1</v>
      </c>
      <c r="AC148" s="25">
        <v>1</v>
      </c>
      <c r="AD148" s="25"/>
      <c r="AE148" s="25">
        <v>1</v>
      </c>
      <c r="AF148" s="27">
        <v>1</v>
      </c>
      <c r="AG148" s="26"/>
      <c r="AH148" s="25"/>
      <c r="AI148" s="25"/>
      <c r="AJ148" s="25"/>
      <c r="AK148" s="27"/>
      <c r="AL148" s="28"/>
      <c r="AM148" s="21"/>
      <c r="AN148" s="21"/>
      <c r="AO148" s="21"/>
      <c r="AP148" s="21"/>
      <c r="AQ148" s="21"/>
      <c r="AR148" s="21"/>
      <c r="AS148" s="525"/>
      <c r="AT148" s="525"/>
      <c r="AU148" s="22"/>
      <c r="AV148" s="525"/>
    </row>
    <row r="149" spans="1:48">
      <c r="A149" s="584"/>
      <c r="B149" s="531"/>
      <c r="C149" s="587"/>
      <c r="D149" s="587"/>
      <c r="E149" s="587"/>
      <c r="F149" s="587"/>
      <c r="G149" s="29"/>
      <c r="H149" s="30" t="s">
        <v>16</v>
      </c>
      <c r="I149" s="31">
        <f>(9225+12431)/2</f>
        <v>10828</v>
      </c>
      <c r="J149" s="58">
        <f>(12156+9983)/2</f>
        <v>11069.5</v>
      </c>
      <c r="K149" s="31">
        <f>(4740+7096)/2</f>
        <v>5918</v>
      </c>
      <c r="L149" s="26"/>
      <c r="M149" s="58">
        <f>(12976+12485)/2</f>
        <v>12730.5</v>
      </c>
      <c r="N149" s="58">
        <f>(8246+11087)/2</f>
        <v>9666.5</v>
      </c>
      <c r="O149" s="31">
        <f>(11720+6616)/2</f>
        <v>9168</v>
      </c>
      <c r="P149" s="26"/>
      <c r="Q149" s="26"/>
      <c r="R149" s="26"/>
      <c r="S149" s="26"/>
      <c r="T149" s="31">
        <f>(11079+12219)/2</f>
        <v>11649</v>
      </c>
      <c r="U149" s="58">
        <f>(14978+14315)/2</f>
        <v>14646.5</v>
      </c>
      <c r="V149" s="26"/>
      <c r="W149" s="31">
        <f>6602+9064</f>
        <v>15666</v>
      </c>
      <c r="X149" s="31">
        <f>12850+4845</f>
        <v>17695</v>
      </c>
      <c r="Y149" s="31"/>
      <c r="Z149" s="26"/>
      <c r="AA149" s="31"/>
      <c r="AB149" s="31"/>
      <c r="AC149" s="31"/>
      <c r="AD149" s="31"/>
      <c r="AE149" s="31"/>
      <c r="AF149" s="31"/>
      <c r="AG149" s="26"/>
      <c r="AH149" s="31"/>
      <c r="AI149" s="31"/>
      <c r="AJ149" s="31"/>
      <c r="AK149" s="32"/>
      <c r="AL149" s="33">
        <f>SUM(I149:AK149)</f>
        <v>119037</v>
      </c>
      <c r="AM149" s="21"/>
      <c r="AN149" s="21"/>
      <c r="AO149" s="21"/>
      <c r="AP149" s="21"/>
      <c r="AQ149" s="21"/>
      <c r="AR149" s="21"/>
      <c r="AS149" s="525"/>
      <c r="AT149" s="525"/>
      <c r="AU149" s="22"/>
      <c r="AV149" s="525"/>
    </row>
    <row r="150" spans="1:48">
      <c r="A150" s="584"/>
      <c r="B150" s="531"/>
      <c r="C150" s="587"/>
      <c r="D150" s="587"/>
      <c r="E150" s="587"/>
      <c r="F150" s="587"/>
      <c r="G150" s="29"/>
      <c r="H150" s="30" t="s">
        <v>17</v>
      </c>
      <c r="I150" s="31">
        <f>I149-I147</f>
        <v>4128</v>
      </c>
      <c r="J150" s="31">
        <f>I150+(J149-J147)</f>
        <v>8497.5</v>
      </c>
      <c r="K150" s="31">
        <f>J150+(K149-K147)</f>
        <v>7715.5</v>
      </c>
      <c r="L150" s="26"/>
      <c r="M150" s="31">
        <f>K150+(M149-M147)</f>
        <v>13746</v>
      </c>
      <c r="N150" s="31">
        <f>M150+(N149-N147)</f>
        <v>16712.5</v>
      </c>
      <c r="O150" s="31">
        <f>N150+(O149-O147)</f>
        <v>19180.5</v>
      </c>
      <c r="P150" s="26"/>
      <c r="Q150" s="26"/>
      <c r="R150" s="26"/>
      <c r="S150" s="26"/>
      <c r="T150" s="31">
        <f>O150+(T149-T147)</f>
        <v>24129.5</v>
      </c>
      <c r="U150" s="31">
        <f>T150+(U149-U147)</f>
        <v>32076</v>
      </c>
      <c r="V150" s="26"/>
      <c r="W150" s="31">
        <f>U150+(W149-W147)</f>
        <v>41042</v>
      </c>
      <c r="X150" s="31">
        <f>W150+(X149-X147)</f>
        <v>52037</v>
      </c>
      <c r="Y150" s="31">
        <f>X150+(Y149-Y147)</f>
        <v>45337</v>
      </c>
      <c r="Z150" s="26"/>
      <c r="AA150" s="31">
        <f>Y150+(AA149-AA147)</f>
        <v>38637</v>
      </c>
      <c r="AB150" s="31">
        <f>AA150+(AB149-AB147)</f>
        <v>31937</v>
      </c>
      <c r="AC150" s="31">
        <f>AB150+(AC149-AC147)</f>
        <v>-8263</v>
      </c>
      <c r="AD150" s="31"/>
      <c r="AE150" s="31"/>
      <c r="AF150" s="31"/>
      <c r="AG150" s="26"/>
      <c r="AH150" s="31"/>
      <c r="AI150" s="31"/>
      <c r="AJ150" s="31"/>
      <c r="AK150" s="32"/>
      <c r="AL150" s="33"/>
      <c r="AM150" s="21"/>
      <c r="AN150" s="21"/>
      <c r="AO150" s="21"/>
      <c r="AP150" s="21"/>
      <c r="AQ150" s="21"/>
      <c r="AR150" s="21"/>
      <c r="AS150" s="525"/>
      <c r="AT150" s="525"/>
      <c r="AU150" s="22"/>
      <c r="AV150" s="525"/>
    </row>
    <row r="151" spans="1:48">
      <c r="A151" s="584"/>
      <c r="B151" s="531"/>
      <c r="C151" s="587"/>
      <c r="D151" s="587"/>
      <c r="E151" s="587"/>
      <c r="F151" s="587"/>
      <c r="G151" s="29" t="s">
        <v>68</v>
      </c>
      <c r="H151" s="24" t="s">
        <v>69</v>
      </c>
      <c r="I151" s="25">
        <f>(($N$192*2)/4)+$N$196</f>
        <v>20100</v>
      </c>
      <c r="J151" s="25">
        <f t="shared" ref="J151:K151" si="30">(($N$192*2)/4)+$N$196</f>
        <v>20100</v>
      </c>
      <c r="K151" s="25">
        <f t="shared" si="30"/>
        <v>20100</v>
      </c>
      <c r="L151" s="26"/>
      <c r="M151" s="25"/>
      <c r="N151" s="25"/>
      <c r="O151" s="25"/>
      <c r="P151" s="26"/>
      <c r="Q151" s="26"/>
      <c r="R151" s="26"/>
      <c r="S151" s="26"/>
      <c r="T151" s="25"/>
      <c r="U151" s="25">
        <f>((($N$192*2)/4)+$N$196)*5</f>
        <v>100500</v>
      </c>
      <c r="V151" s="26"/>
      <c r="W151" s="25">
        <f t="shared" ref="W151:Y151" si="31">(($N$192*2)/4)+$N$196</f>
        <v>20100</v>
      </c>
      <c r="X151" s="25">
        <f t="shared" si="31"/>
        <v>20100</v>
      </c>
      <c r="Y151" s="25">
        <f t="shared" si="31"/>
        <v>20100</v>
      </c>
      <c r="Z151" s="26"/>
      <c r="AA151" s="25">
        <f t="shared" ref="AA151:AF151" si="32">(($N$192*2)/4)+$N$196</f>
        <v>20100</v>
      </c>
      <c r="AB151" s="25">
        <f t="shared" si="32"/>
        <v>20100</v>
      </c>
      <c r="AC151" s="25">
        <f t="shared" si="32"/>
        <v>20100</v>
      </c>
      <c r="AD151" s="25">
        <f t="shared" si="32"/>
        <v>20100</v>
      </c>
      <c r="AE151" s="25">
        <f t="shared" si="32"/>
        <v>20100</v>
      </c>
      <c r="AF151" s="25">
        <f t="shared" si="32"/>
        <v>20100</v>
      </c>
      <c r="AG151" s="26"/>
      <c r="AH151" s="25">
        <f t="shared" ref="AH151:AI151" si="33">(($N$192*2)/4)+$N$196</f>
        <v>20100</v>
      </c>
      <c r="AI151" s="25">
        <f t="shared" si="33"/>
        <v>20100</v>
      </c>
      <c r="AJ151" s="25"/>
      <c r="AK151" s="27"/>
      <c r="AL151" s="28">
        <f>SUM(I151:AK151)</f>
        <v>381900</v>
      </c>
      <c r="AM151" s="21"/>
      <c r="AN151" s="21"/>
      <c r="AO151" s="21"/>
      <c r="AP151" s="21"/>
      <c r="AQ151" s="21"/>
      <c r="AR151" s="21"/>
      <c r="AS151" s="525"/>
      <c r="AT151" s="525"/>
      <c r="AU151" s="22"/>
      <c r="AV151" s="525"/>
    </row>
    <row r="152" spans="1:48">
      <c r="A152" s="584"/>
      <c r="B152" s="531"/>
      <c r="C152" s="587"/>
      <c r="D152" s="587"/>
      <c r="E152" s="587"/>
      <c r="F152" s="587"/>
      <c r="G152" s="29"/>
      <c r="H152" s="24" t="s">
        <v>15</v>
      </c>
      <c r="I152" s="25">
        <v>2</v>
      </c>
      <c r="J152" s="25">
        <v>2</v>
      </c>
      <c r="K152" s="25">
        <v>2</v>
      </c>
      <c r="L152" s="26"/>
      <c r="M152" s="25"/>
      <c r="N152" s="25"/>
      <c r="O152" s="25"/>
      <c r="P152" s="26"/>
      <c r="Q152" s="26"/>
      <c r="R152" s="26"/>
      <c r="S152" s="26"/>
      <c r="T152" s="25"/>
      <c r="U152" s="25">
        <v>2</v>
      </c>
      <c r="V152" s="26"/>
      <c r="W152" s="25">
        <v>2</v>
      </c>
      <c r="X152" s="25">
        <v>2</v>
      </c>
      <c r="Y152" s="25">
        <v>2</v>
      </c>
      <c r="Z152" s="26"/>
      <c r="AA152" s="25">
        <v>2</v>
      </c>
      <c r="AB152" s="25">
        <v>2</v>
      </c>
      <c r="AC152" s="25">
        <v>2</v>
      </c>
      <c r="AD152" s="25">
        <v>2</v>
      </c>
      <c r="AE152" s="25">
        <v>2</v>
      </c>
      <c r="AF152" s="25">
        <v>2</v>
      </c>
      <c r="AG152" s="26"/>
      <c r="AH152" s="25">
        <v>2</v>
      </c>
      <c r="AI152" s="25">
        <v>2</v>
      </c>
      <c r="AJ152" s="25"/>
      <c r="AK152" s="27"/>
      <c r="AL152" s="28"/>
      <c r="AM152" s="21"/>
      <c r="AN152" s="21"/>
      <c r="AO152" s="21"/>
      <c r="AP152" s="21"/>
      <c r="AQ152" s="21"/>
      <c r="AR152" s="21"/>
      <c r="AS152" s="525"/>
      <c r="AT152" s="525"/>
      <c r="AU152" s="22"/>
      <c r="AV152" s="525"/>
    </row>
    <row r="153" spans="1:48">
      <c r="A153" s="584"/>
      <c r="B153" s="531"/>
      <c r="C153" s="587"/>
      <c r="D153" s="587"/>
      <c r="E153" s="587"/>
      <c r="F153" s="587"/>
      <c r="G153" s="29"/>
      <c r="H153" s="30" t="s">
        <v>16</v>
      </c>
      <c r="I153" s="31">
        <f>6051+6461+7420+7792</f>
        <v>27724</v>
      </c>
      <c r="J153" s="31">
        <v>27450</v>
      </c>
      <c r="K153" s="31">
        <v>4759</v>
      </c>
      <c r="L153" s="26"/>
      <c r="M153" s="31"/>
      <c r="N153" s="31"/>
      <c r="O153" s="31"/>
      <c r="P153" s="26"/>
      <c r="Q153" s="26"/>
      <c r="R153" s="26"/>
      <c r="S153" s="26"/>
      <c r="T153" s="31"/>
      <c r="U153" s="31">
        <v>20024</v>
      </c>
      <c r="V153" s="26"/>
      <c r="W153" s="31">
        <v>30667</v>
      </c>
      <c r="X153" s="31">
        <v>30532</v>
      </c>
      <c r="Y153" s="31">
        <v>31182</v>
      </c>
      <c r="Z153" s="26"/>
      <c r="AA153" s="31">
        <v>36683</v>
      </c>
      <c r="AB153" s="31">
        <v>29030</v>
      </c>
      <c r="AC153" s="31">
        <v>49409</v>
      </c>
      <c r="AD153" s="31">
        <v>27034</v>
      </c>
      <c r="AE153" s="31">
        <v>26288</v>
      </c>
      <c r="AF153" s="31">
        <v>15835</v>
      </c>
      <c r="AG153" s="26"/>
      <c r="AH153" s="31">
        <v>34324</v>
      </c>
      <c r="AI153" s="31">
        <f>6253</f>
        <v>6253</v>
      </c>
      <c r="AJ153" s="31"/>
      <c r="AK153" s="32"/>
      <c r="AL153" s="33">
        <f>SUM(I153:AK153)</f>
        <v>397194</v>
      </c>
      <c r="AM153" s="21"/>
      <c r="AN153" s="21"/>
      <c r="AO153" s="21"/>
      <c r="AP153" s="21"/>
      <c r="AQ153" s="21"/>
      <c r="AR153" s="21"/>
      <c r="AS153" s="525"/>
      <c r="AT153" s="525"/>
      <c r="AU153" s="22"/>
      <c r="AV153" s="525"/>
    </row>
    <row r="154" spans="1:48">
      <c r="A154" s="584"/>
      <c r="B154" s="531"/>
      <c r="C154" s="587"/>
      <c r="D154" s="587"/>
      <c r="E154" s="587"/>
      <c r="F154" s="587"/>
      <c r="G154" s="29"/>
      <c r="H154" s="30" t="s">
        <v>17</v>
      </c>
      <c r="I154" s="31">
        <f>I153-I151</f>
        <v>7624</v>
      </c>
      <c r="J154" s="31">
        <f>I154+(J153-J151)</f>
        <v>14974</v>
      </c>
      <c r="K154" s="31">
        <f>J154+(K153-K151)</f>
        <v>-367</v>
      </c>
      <c r="L154" s="26"/>
      <c r="M154" s="31">
        <f>K154+(M153-M151)</f>
        <v>-367</v>
      </c>
      <c r="N154" s="31">
        <f>M154+(N153-N151)</f>
        <v>-367</v>
      </c>
      <c r="O154" s="31">
        <f>N154+(O153-O151)</f>
        <v>-367</v>
      </c>
      <c r="P154" s="26"/>
      <c r="Q154" s="26"/>
      <c r="R154" s="26"/>
      <c r="S154" s="26"/>
      <c r="T154" s="31">
        <f>O154+(T153-T151)</f>
        <v>-367</v>
      </c>
      <c r="U154" s="31">
        <f>T154+(U153-U151)</f>
        <v>-80843</v>
      </c>
      <c r="V154" s="26"/>
      <c r="W154" s="31">
        <f>U154+(W153-W151)</f>
        <v>-70276</v>
      </c>
      <c r="X154" s="31">
        <f>W154+(X153-X151)</f>
        <v>-59844</v>
      </c>
      <c r="Y154" s="31">
        <f>X154+(Y153-Y151)</f>
        <v>-48762</v>
      </c>
      <c r="Z154" s="26"/>
      <c r="AA154" s="31">
        <f>Y154+(AA153-AA151)</f>
        <v>-32179</v>
      </c>
      <c r="AB154" s="31">
        <f>AA154+(AB153-AB151)</f>
        <v>-23249</v>
      </c>
      <c r="AC154" s="31">
        <f>AB154+(AC153-AC151)</f>
        <v>6060</v>
      </c>
      <c r="AD154" s="31">
        <f>AC154+(AD153-AD151)</f>
        <v>12994</v>
      </c>
      <c r="AE154" s="31">
        <f>AD154+(AE153-AE151)</f>
        <v>19182</v>
      </c>
      <c r="AF154" s="31">
        <f>AE154+(AF153-AF151)</f>
        <v>14917</v>
      </c>
      <c r="AG154" s="26"/>
      <c r="AH154" s="31">
        <f>AF154+(AH153-AH151)</f>
        <v>29141</v>
      </c>
      <c r="AI154" s="31">
        <f>AH154+(AI153-AI151)</f>
        <v>15294</v>
      </c>
      <c r="AJ154" s="31"/>
      <c r="AK154" s="32"/>
      <c r="AL154" s="33"/>
      <c r="AM154" s="21"/>
      <c r="AN154" s="21"/>
      <c r="AO154" s="21"/>
      <c r="AP154" s="21"/>
      <c r="AQ154" s="21"/>
      <c r="AR154" s="21"/>
      <c r="AS154" s="525"/>
      <c r="AT154" s="525"/>
      <c r="AU154" s="22"/>
      <c r="AV154" s="525"/>
    </row>
    <row r="155" spans="1:48">
      <c r="A155" s="584"/>
      <c r="B155" s="531"/>
      <c r="C155" s="587"/>
      <c r="D155" s="587"/>
      <c r="E155" s="587"/>
      <c r="F155" s="587"/>
      <c r="G155" s="23" t="s">
        <v>20</v>
      </c>
      <c r="H155" s="24" t="s">
        <v>70</v>
      </c>
      <c r="I155" s="25"/>
      <c r="J155" s="25"/>
      <c r="K155" s="25"/>
      <c r="L155" s="26"/>
      <c r="M155" s="25"/>
      <c r="N155" s="25"/>
      <c r="O155" s="25"/>
      <c r="P155" s="26"/>
      <c r="Q155" s="26"/>
      <c r="R155" s="26"/>
      <c r="S155" s="26"/>
      <c r="T155" s="25">
        <f>$N$192*2</f>
        <v>26800</v>
      </c>
      <c r="U155" s="25"/>
      <c r="V155" s="26"/>
      <c r="W155" s="25"/>
      <c r="X155" s="25">
        <f>$N$192</f>
        <v>13400</v>
      </c>
      <c r="Y155" s="25"/>
      <c r="Z155" s="26"/>
      <c r="AA155" s="25"/>
      <c r="AB155" s="25"/>
      <c r="AC155" s="25"/>
      <c r="AD155" s="25">
        <f>$N$192</f>
        <v>13400</v>
      </c>
      <c r="AE155" s="25"/>
      <c r="AF155" s="25"/>
      <c r="AG155" s="26"/>
      <c r="AH155" s="25">
        <f>$N$192</f>
        <v>13400</v>
      </c>
      <c r="AI155" s="25"/>
      <c r="AJ155" s="25"/>
      <c r="AK155" s="27"/>
      <c r="AL155" s="28">
        <f>SUM(I155:AK155)</f>
        <v>67000</v>
      </c>
      <c r="AM155" s="21"/>
      <c r="AN155" s="21"/>
      <c r="AO155" s="21"/>
      <c r="AP155" s="21"/>
      <c r="AQ155" s="21"/>
      <c r="AR155" s="21"/>
      <c r="AS155" s="525"/>
      <c r="AT155" s="525"/>
      <c r="AU155" s="22"/>
      <c r="AV155" s="525"/>
    </row>
    <row r="156" spans="1:48">
      <c r="A156" s="584"/>
      <c r="B156" s="531"/>
      <c r="C156" s="587"/>
      <c r="D156" s="587"/>
      <c r="E156" s="587"/>
      <c r="F156" s="587"/>
      <c r="G156" s="29"/>
      <c r="H156" s="30" t="s">
        <v>16</v>
      </c>
      <c r="I156" s="31"/>
      <c r="J156" s="31"/>
      <c r="K156" s="31"/>
      <c r="L156" s="26"/>
      <c r="M156" s="31"/>
      <c r="N156" s="31"/>
      <c r="O156" s="31"/>
      <c r="P156" s="26"/>
      <c r="Q156" s="26"/>
      <c r="R156" s="26"/>
      <c r="S156" s="26"/>
      <c r="T156" s="31">
        <f>29800</f>
        <v>29800</v>
      </c>
      <c r="U156" s="31"/>
      <c r="V156" s="26"/>
      <c r="W156" s="31"/>
      <c r="X156" s="31"/>
      <c r="Y156" s="31"/>
      <c r="Z156" s="26"/>
      <c r="AA156" s="31"/>
      <c r="AB156" s="31"/>
      <c r="AC156" s="31"/>
      <c r="AD156" s="31">
        <f>33423</f>
        <v>33423</v>
      </c>
      <c r="AE156" s="31"/>
      <c r="AF156" s="31"/>
      <c r="AG156" s="26"/>
      <c r="AH156" s="31"/>
      <c r="AI156" s="31"/>
      <c r="AJ156" s="31"/>
      <c r="AK156" s="32"/>
      <c r="AL156" s="33">
        <f>SUM(I156:AK156)</f>
        <v>63223</v>
      </c>
      <c r="AM156" s="21"/>
      <c r="AN156" s="21"/>
      <c r="AO156" s="21"/>
      <c r="AP156" s="21"/>
      <c r="AQ156" s="21"/>
      <c r="AR156" s="21"/>
      <c r="AS156" s="525"/>
      <c r="AT156" s="525"/>
      <c r="AU156" s="22"/>
      <c r="AV156" s="525"/>
    </row>
    <row r="157" spans="1:48">
      <c r="A157" s="584"/>
      <c r="B157" s="531"/>
      <c r="C157" s="587"/>
      <c r="D157" s="587"/>
      <c r="E157" s="587"/>
      <c r="F157" s="587"/>
      <c r="G157" s="29"/>
      <c r="H157" s="30" t="s">
        <v>17</v>
      </c>
      <c r="I157" s="31">
        <f>I156-I155</f>
        <v>0</v>
      </c>
      <c r="J157" s="31">
        <f>I157+(J156-J155)</f>
        <v>0</v>
      </c>
      <c r="K157" s="31">
        <f>J157+(K156-K155)</f>
        <v>0</v>
      </c>
      <c r="L157" s="26"/>
      <c r="M157" s="31">
        <f>K157+(M156-M155)</f>
        <v>0</v>
      </c>
      <c r="N157" s="31">
        <f>M157+(N156-N155)</f>
        <v>0</v>
      </c>
      <c r="O157" s="31">
        <f>N157+(O156-O155)</f>
        <v>0</v>
      </c>
      <c r="P157" s="26"/>
      <c r="Q157" s="26"/>
      <c r="R157" s="26"/>
      <c r="S157" s="26"/>
      <c r="T157" s="31">
        <f>O157+(T156-T155)</f>
        <v>3000</v>
      </c>
      <c r="U157" s="31">
        <f>T157+(U156-U155)</f>
        <v>3000</v>
      </c>
      <c r="V157" s="26"/>
      <c r="W157" s="31">
        <f>U157+(W156-W155)</f>
        <v>3000</v>
      </c>
      <c r="X157" s="31">
        <f>W157+(X156-X155)</f>
        <v>-10400</v>
      </c>
      <c r="Y157" s="31">
        <f>X157+(Y156-Y155)</f>
        <v>-10400</v>
      </c>
      <c r="Z157" s="26"/>
      <c r="AA157" s="31">
        <f>Y157+(AA156-AA155)</f>
        <v>-10400</v>
      </c>
      <c r="AB157" s="31">
        <f>AA157+(AB156-AB155)</f>
        <v>-10400</v>
      </c>
      <c r="AC157" s="31">
        <f>AB157+(AC156-AC155)</f>
        <v>-10400</v>
      </c>
      <c r="AD157" s="31">
        <f>AC157+(AD156-AD155)</f>
        <v>9623</v>
      </c>
      <c r="AE157" s="31">
        <f>AD157+(AE156-AE155)</f>
        <v>9623</v>
      </c>
      <c r="AF157" s="31"/>
      <c r="AG157" s="26"/>
      <c r="AH157" s="31"/>
      <c r="AI157" s="31"/>
      <c r="AJ157" s="31"/>
      <c r="AK157" s="32"/>
      <c r="AL157" s="33"/>
      <c r="AM157" s="21"/>
      <c r="AN157" s="21"/>
      <c r="AO157" s="21"/>
      <c r="AP157" s="21"/>
      <c r="AQ157" s="21"/>
      <c r="AR157" s="21"/>
      <c r="AS157" s="525"/>
      <c r="AT157" s="525"/>
      <c r="AU157" s="22"/>
      <c r="AV157" s="525"/>
    </row>
    <row r="158" spans="1:48">
      <c r="A158" s="584"/>
      <c r="B158" s="531"/>
      <c r="C158" s="587"/>
      <c r="D158" s="587"/>
      <c r="E158" s="587"/>
      <c r="F158" s="587"/>
      <c r="G158" s="23" t="s">
        <v>22</v>
      </c>
      <c r="H158" s="24" t="s">
        <v>71</v>
      </c>
      <c r="I158" s="25"/>
      <c r="J158" s="25"/>
      <c r="K158" s="25"/>
      <c r="L158" s="26"/>
      <c r="M158" s="25"/>
      <c r="N158" s="25"/>
      <c r="O158" s="25">
        <f>$N$192*2</f>
        <v>26800</v>
      </c>
      <c r="P158" s="26"/>
      <c r="Q158" s="26"/>
      <c r="R158" s="26"/>
      <c r="S158" s="26"/>
      <c r="T158" s="25"/>
      <c r="U158" s="25"/>
      <c r="V158" s="26"/>
      <c r="W158" s="25"/>
      <c r="X158" s="25">
        <f>$N$192</f>
        <v>13400</v>
      </c>
      <c r="Y158" s="25">
        <f>$N$192*2</f>
        <v>26800</v>
      </c>
      <c r="Z158" s="26"/>
      <c r="AA158" s="25"/>
      <c r="AB158" s="25"/>
      <c r="AC158" s="25"/>
      <c r="AD158" s="25"/>
      <c r="AE158" s="25"/>
      <c r="AF158" s="25"/>
      <c r="AG158" s="26"/>
      <c r="AH158" s="25"/>
      <c r="AI158" s="25"/>
      <c r="AJ158" s="25"/>
      <c r="AK158" s="27"/>
      <c r="AL158" s="28">
        <f>SUM(I158:AK158)</f>
        <v>67000</v>
      </c>
      <c r="AM158" s="21"/>
      <c r="AN158" s="21"/>
      <c r="AO158" s="21"/>
      <c r="AP158" s="21"/>
      <c r="AQ158" s="21"/>
      <c r="AR158" s="21"/>
      <c r="AS158" s="525"/>
      <c r="AT158" s="525"/>
      <c r="AU158" s="22"/>
      <c r="AV158" s="525"/>
    </row>
    <row r="159" spans="1:48">
      <c r="A159" s="584"/>
      <c r="B159" s="531"/>
      <c r="C159" s="587"/>
      <c r="D159" s="587"/>
      <c r="E159" s="587"/>
      <c r="F159" s="587"/>
      <c r="G159" s="23"/>
      <c r="H159" s="24" t="s">
        <v>24</v>
      </c>
      <c r="I159" s="25"/>
      <c r="J159" s="25"/>
      <c r="K159" s="25"/>
      <c r="L159" s="26"/>
      <c r="M159" s="25"/>
      <c r="N159" s="25"/>
      <c r="O159" s="25">
        <v>1</v>
      </c>
      <c r="P159" s="26"/>
      <c r="Q159" s="26"/>
      <c r="R159" s="26"/>
      <c r="S159" s="26"/>
      <c r="T159" s="25"/>
      <c r="U159" s="25"/>
      <c r="V159" s="26"/>
      <c r="W159" s="25"/>
      <c r="X159" s="25">
        <v>1</v>
      </c>
      <c r="Y159" s="25">
        <v>1</v>
      </c>
      <c r="Z159" s="26"/>
      <c r="AA159" s="25"/>
      <c r="AB159" s="25"/>
      <c r="AC159" s="25"/>
      <c r="AD159" s="25"/>
      <c r="AE159" s="25"/>
      <c r="AF159" s="25"/>
      <c r="AG159" s="26"/>
      <c r="AH159" s="25"/>
      <c r="AI159" s="25"/>
      <c r="AJ159" s="25"/>
      <c r="AK159" s="27"/>
      <c r="AL159" s="28"/>
      <c r="AM159" s="21"/>
      <c r="AN159" s="21"/>
      <c r="AO159" s="21"/>
      <c r="AP159" s="21"/>
      <c r="AQ159" s="21"/>
      <c r="AR159" s="21"/>
      <c r="AS159" s="525"/>
      <c r="AT159" s="525"/>
      <c r="AU159" s="22"/>
      <c r="AV159" s="525"/>
    </row>
    <row r="160" spans="1:48">
      <c r="A160" s="584"/>
      <c r="B160" s="531"/>
      <c r="C160" s="587"/>
      <c r="D160" s="587"/>
      <c r="E160" s="587"/>
      <c r="F160" s="587"/>
      <c r="G160" s="29"/>
      <c r="H160" s="30" t="s">
        <v>16</v>
      </c>
      <c r="I160" s="31"/>
      <c r="J160" s="31"/>
      <c r="K160" s="31"/>
      <c r="L160" s="26"/>
      <c r="M160" s="31"/>
      <c r="N160" s="31"/>
      <c r="O160" s="31">
        <f>11488</f>
        <v>11488</v>
      </c>
      <c r="P160" s="26"/>
      <c r="Q160" s="26"/>
      <c r="R160" s="26"/>
      <c r="S160" s="26"/>
      <c r="T160" s="31"/>
      <c r="U160" s="31"/>
      <c r="V160" s="26"/>
      <c r="W160" s="31"/>
      <c r="X160" s="31">
        <f>39075</f>
        <v>39075</v>
      </c>
      <c r="Y160" s="31">
        <f>28617</f>
        <v>28617</v>
      </c>
      <c r="Z160" s="26"/>
      <c r="AA160" s="31"/>
      <c r="AB160" s="31"/>
      <c r="AC160" s="31"/>
      <c r="AD160" s="31"/>
      <c r="AE160" s="31"/>
      <c r="AF160" s="31"/>
      <c r="AG160" s="26"/>
      <c r="AH160" s="31"/>
      <c r="AI160" s="31"/>
      <c r="AJ160" s="31"/>
      <c r="AK160" s="32"/>
      <c r="AL160" s="33">
        <f>SUM(I160:AK160)</f>
        <v>79180</v>
      </c>
      <c r="AM160" s="21"/>
      <c r="AN160" s="21"/>
      <c r="AO160" s="21"/>
      <c r="AP160" s="21"/>
      <c r="AQ160" s="21"/>
      <c r="AR160" s="21"/>
      <c r="AS160" s="525"/>
      <c r="AT160" s="525"/>
      <c r="AU160" s="22"/>
      <c r="AV160" s="525"/>
    </row>
    <row r="161" spans="1:48">
      <c r="A161" s="584"/>
      <c r="B161" s="531"/>
      <c r="C161" s="587"/>
      <c r="D161" s="587"/>
      <c r="E161" s="587"/>
      <c r="F161" s="587"/>
      <c r="G161" s="29"/>
      <c r="H161" s="30" t="s">
        <v>17</v>
      </c>
      <c r="I161" s="31">
        <f>I160-I158</f>
        <v>0</v>
      </c>
      <c r="J161" s="31">
        <f>I161+(J160-J158)</f>
        <v>0</v>
      </c>
      <c r="K161" s="31">
        <f>J161+(K160-K158)</f>
        <v>0</v>
      </c>
      <c r="L161" s="26"/>
      <c r="M161" s="31">
        <f>K161+(M160-M158)</f>
        <v>0</v>
      </c>
      <c r="N161" s="31">
        <f>M161+(N160-N158)</f>
        <v>0</v>
      </c>
      <c r="O161" s="31">
        <f>N161+(O160-O158)</f>
        <v>-15312</v>
      </c>
      <c r="P161" s="26"/>
      <c r="Q161" s="26"/>
      <c r="R161" s="26"/>
      <c r="S161" s="26"/>
      <c r="T161" s="31">
        <f>O161+(T160-T158)</f>
        <v>-15312</v>
      </c>
      <c r="U161" s="31">
        <f>T161+(U160-U158)</f>
        <v>-15312</v>
      </c>
      <c r="V161" s="26"/>
      <c r="W161" s="31">
        <f>U161+(W160-W158)</f>
        <v>-15312</v>
      </c>
      <c r="X161" s="31">
        <f>W161+(X160-X158)</f>
        <v>10363</v>
      </c>
      <c r="Y161" s="31">
        <f>X161+(Y160-Y158)</f>
        <v>12180</v>
      </c>
      <c r="Z161" s="26"/>
      <c r="AA161" s="31">
        <f>Y161+(AA160-AA158)</f>
        <v>12180</v>
      </c>
      <c r="AB161" s="31">
        <f>AA161+(AB160-AB158)</f>
        <v>12180</v>
      </c>
      <c r="AC161" s="31"/>
      <c r="AD161" s="31"/>
      <c r="AE161" s="31"/>
      <c r="AF161" s="31"/>
      <c r="AG161" s="26"/>
      <c r="AH161" s="31"/>
      <c r="AI161" s="31"/>
      <c r="AJ161" s="31"/>
      <c r="AK161" s="32"/>
      <c r="AL161" s="33"/>
      <c r="AM161" s="21"/>
      <c r="AN161" s="21"/>
      <c r="AO161" s="21"/>
      <c r="AP161" s="21"/>
      <c r="AQ161" s="21"/>
      <c r="AR161" s="21"/>
      <c r="AS161" s="525"/>
      <c r="AT161" s="525"/>
      <c r="AU161" s="22"/>
      <c r="AV161" s="525"/>
    </row>
    <row r="162" spans="1:48">
      <c r="A162" s="584"/>
      <c r="B162" s="531"/>
      <c r="C162" s="587"/>
      <c r="D162" s="587"/>
      <c r="E162" s="587"/>
      <c r="F162" s="587"/>
      <c r="G162" s="23" t="s">
        <v>20</v>
      </c>
      <c r="H162" s="24" t="s">
        <v>72</v>
      </c>
      <c r="I162" s="25"/>
      <c r="J162" s="25"/>
      <c r="K162" s="25">
        <f>$N$196</f>
        <v>13400</v>
      </c>
      <c r="L162" s="26"/>
      <c r="M162" s="25"/>
      <c r="N162" s="25"/>
      <c r="O162" s="25"/>
      <c r="P162" s="26"/>
      <c r="Q162" s="26"/>
      <c r="R162" s="26"/>
      <c r="S162" s="26"/>
      <c r="T162" s="25"/>
      <c r="U162" s="25"/>
      <c r="V162" s="26"/>
      <c r="W162" s="25"/>
      <c r="X162" s="25"/>
      <c r="Y162" s="25"/>
      <c r="Z162" s="26"/>
      <c r="AA162" s="25">
        <f>$N$196*2</f>
        <v>26800</v>
      </c>
      <c r="AB162" s="25"/>
      <c r="AC162" s="25">
        <f>$N$196</f>
        <v>13400</v>
      </c>
      <c r="AD162" s="25"/>
      <c r="AE162" s="25"/>
      <c r="AF162" s="25"/>
      <c r="AG162" s="26"/>
      <c r="AH162" s="25">
        <f>$N$196</f>
        <v>13400</v>
      </c>
      <c r="AI162" s="25"/>
      <c r="AJ162" s="25"/>
      <c r="AK162" s="27"/>
      <c r="AL162" s="28">
        <f>SUM(I162:AK162)</f>
        <v>67000</v>
      </c>
      <c r="AM162" s="21"/>
      <c r="AN162" s="21"/>
      <c r="AO162" s="21"/>
      <c r="AP162" s="21"/>
      <c r="AQ162" s="21"/>
      <c r="AR162" s="21"/>
      <c r="AS162" s="525"/>
      <c r="AT162" s="525"/>
      <c r="AU162" s="22"/>
      <c r="AV162" s="525"/>
    </row>
    <row r="163" spans="1:48">
      <c r="A163" s="584"/>
      <c r="B163" s="531"/>
      <c r="C163" s="587"/>
      <c r="D163" s="587"/>
      <c r="E163" s="587"/>
      <c r="F163" s="587"/>
      <c r="G163" s="29"/>
      <c r="H163" s="30" t="s">
        <v>16</v>
      </c>
      <c r="I163" s="31"/>
      <c r="J163" s="31"/>
      <c r="K163" s="31">
        <f>28598+10459</f>
        <v>39057</v>
      </c>
      <c r="L163" s="26"/>
      <c r="M163" s="31"/>
      <c r="N163" s="31"/>
      <c r="O163" s="31"/>
      <c r="P163" s="26"/>
      <c r="Q163" s="26"/>
      <c r="R163" s="26"/>
      <c r="S163" s="26"/>
      <c r="T163" s="31"/>
      <c r="U163" s="31"/>
      <c r="V163" s="26"/>
      <c r="W163" s="31"/>
      <c r="X163" s="31"/>
      <c r="Y163" s="31"/>
      <c r="Z163" s="26"/>
      <c r="AA163" s="31">
        <v>15663</v>
      </c>
      <c r="AB163" s="31"/>
      <c r="AC163" s="31"/>
      <c r="AD163" s="31"/>
      <c r="AE163" s="31"/>
      <c r="AF163" s="31"/>
      <c r="AG163" s="26"/>
      <c r="AH163" s="31"/>
      <c r="AI163" s="31"/>
      <c r="AJ163" s="31"/>
      <c r="AK163" s="32"/>
      <c r="AL163" s="33">
        <f>SUM(I163:AK163)</f>
        <v>54720</v>
      </c>
      <c r="AM163" s="21"/>
      <c r="AN163" s="21"/>
      <c r="AO163" s="21"/>
      <c r="AP163" s="21"/>
      <c r="AQ163" s="21"/>
      <c r="AR163" s="21"/>
      <c r="AS163" s="525"/>
      <c r="AT163" s="525"/>
      <c r="AU163" s="22"/>
      <c r="AV163" s="525"/>
    </row>
    <row r="164" spans="1:48">
      <c r="A164" s="584"/>
      <c r="B164" s="531"/>
      <c r="C164" s="587"/>
      <c r="D164" s="587"/>
      <c r="E164" s="587"/>
      <c r="F164" s="587"/>
      <c r="G164" s="29"/>
      <c r="H164" s="30" t="s">
        <v>17</v>
      </c>
      <c r="I164" s="31">
        <f>I163-I162</f>
        <v>0</v>
      </c>
      <c r="J164" s="31">
        <f>I164+(J163-J162)</f>
        <v>0</v>
      </c>
      <c r="K164" s="31">
        <f>J164+(K163-K162)</f>
        <v>25657</v>
      </c>
      <c r="L164" s="26"/>
      <c r="M164" s="31">
        <f>K164+(M163-M162)</f>
        <v>25657</v>
      </c>
      <c r="N164" s="31">
        <f>M164+(N163-N162)</f>
        <v>25657</v>
      </c>
      <c r="O164" s="31">
        <f>N164+(O163-O162)</f>
        <v>25657</v>
      </c>
      <c r="P164" s="26"/>
      <c r="Q164" s="26"/>
      <c r="R164" s="26"/>
      <c r="S164" s="26"/>
      <c r="T164" s="31">
        <f>O164+(T163-T162)</f>
        <v>25657</v>
      </c>
      <c r="U164" s="31">
        <f>T164+(U163-U162)</f>
        <v>25657</v>
      </c>
      <c r="V164" s="26"/>
      <c r="W164" s="31">
        <f>U164+(W163-W162)</f>
        <v>25657</v>
      </c>
      <c r="X164" s="31">
        <f>W164+(X163-X162)</f>
        <v>25657</v>
      </c>
      <c r="Y164" s="31">
        <f>X164+(Y163-Y162)</f>
        <v>25657</v>
      </c>
      <c r="Z164" s="26"/>
      <c r="AA164" s="31">
        <f>Y164+(AA163-AA162)</f>
        <v>14520</v>
      </c>
      <c r="AB164" s="31">
        <f>AA164+(AB163-AB162)</f>
        <v>14520</v>
      </c>
      <c r="AC164" s="31">
        <f>AB164+(AC163-AC162)</f>
        <v>1120</v>
      </c>
      <c r="AD164" s="31"/>
      <c r="AE164" s="31"/>
      <c r="AF164" s="31"/>
      <c r="AG164" s="26"/>
      <c r="AH164" s="31"/>
      <c r="AI164" s="31"/>
      <c r="AJ164" s="31"/>
      <c r="AK164" s="32"/>
      <c r="AL164" s="33"/>
      <c r="AM164" s="21"/>
      <c r="AN164" s="21"/>
      <c r="AO164" s="21"/>
      <c r="AP164" s="21"/>
      <c r="AQ164" s="21"/>
      <c r="AR164" s="21"/>
      <c r="AS164" s="525"/>
      <c r="AT164" s="525"/>
      <c r="AU164" s="22"/>
      <c r="AV164" s="525"/>
    </row>
    <row r="165" spans="1:48">
      <c r="A165" s="584"/>
      <c r="B165" s="531"/>
      <c r="C165" s="587"/>
      <c r="D165" s="587"/>
      <c r="E165" s="587"/>
      <c r="F165" s="587"/>
      <c r="G165" s="23" t="s">
        <v>22</v>
      </c>
      <c r="H165" s="24" t="s">
        <v>73</v>
      </c>
      <c r="I165" s="25"/>
      <c r="J165" s="25"/>
      <c r="K165" s="25">
        <f>$N$196*2</f>
        <v>26800</v>
      </c>
      <c r="L165" s="26"/>
      <c r="M165" s="25"/>
      <c r="N165" s="25"/>
      <c r="O165" s="25"/>
      <c r="P165" s="26"/>
      <c r="Q165" s="26"/>
      <c r="R165" s="26"/>
      <c r="S165" s="26"/>
      <c r="T165" s="25"/>
      <c r="U165" s="25"/>
      <c r="V165" s="26"/>
      <c r="W165" s="25"/>
      <c r="X165" s="25"/>
      <c r="Y165" s="25"/>
      <c r="Z165" s="26"/>
      <c r="AA165" s="25"/>
      <c r="AB165" s="25"/>
      <c r="AC165" s="25">
        <f>$N$196*2</f>
        <v>26800</v>
      </c>
      <c r="AD165" s="25"/>
      <c r="AE165" s="25"/>
      <c r="AF165" s="25"/>
      <c r="AG165" s="26"/>
      <c r="AH165" s="25">
        <f>$N$196</f>
        <v>13400</v>
      </c>
      <c r="AI165" s="25"/>
      <c r="AJ165" s="25"/>
      <c r="AK165" s="27"/>
      <c r="AL165" s="28">
        <f>SUM(I165:AK165)</f>
        <v>67000</v>
      </c>
      <c r="AM165" s="21"/>
      <c r="AN165" s="21"/>
      <c r="AO165" s="21"/>
      <c r="AP165" s="21"/>
      <c r="AQ165" s="21"/>
      <c r="AR165" s="21"/>
      <c r="AS165" s="525"/>
      <c r="AT165" s="525"/>
      <c r="AU165" s="22"/>
      <c r="AV165" s="525"/>
    </row>
    <row r="166" spans="1:48">
      <c r="A166" s="584"/>
      <c r="B166" s="531"/>
      <c r="C166" s="587"/>
      <c r="D166" s="587"/>
      <c r="E166" s="587"/>
      <c r="F166" s="587"/>
      <c r="G166" s="23"/>
      <c r="H166" s="24" t="s">
        <v>24</v>
      </c>
      <c r="I166" s="25"/>
      <c r="J166" s="25"/>
      <c r="K166" s="25">
        <v>1</v>
      </c>
      <c r="L166" s="26"/>
      <c r="M166" s="25"/>
      <c r="N166" s="25"/>
      <c r="O166" s="25"/>
      <c r="P166" s="26"/>
      <c r="Q166" s="26"/>
      <c r="R166" s="26"/>
      <c r="S166" s="26"/>
      <c r="T166" s="25"/>
      <c r="U166" s="25"/>
      <c r="V166" s="26"/>
      <c r="W166" s="25"/>
      <c r="X166" s="25"/>
      <c r="Y166" s="25"/>
      <c r="Z166" s="26"/>
      <c r="AA166" s="25"/>
      <c r="AB166" s="25"/>
      <c r="AC166" s="25">
        <v>1</v>
      </c>
      <c r="AD166" s="25"/>
      <c r="AE166" s="25"/>
      <c r="AF166" s="25"/>
      <c r="AG166" s="26"/>
      <c r="AH166" s="25">
        <v>1</v>
      </c>
      <c r="AI166" s="25"/>
      <c r="AJ166" s="25"/>
      <c r="AK166" s="27"/>
      <c r="AL166" s="28"/>
      <c r="AM166" s="21"/>
      <c r="AN166" s="21"/>
      <c r="AO166" s="21"/>
      <c r="AP166" s="21"/>
      <c r="AQ166" s="21"/>
      <c r="AR166" s="21"/>
      <c r="AS166" s="525"/>
      <c r="AT166" s="525"/>
      <c r="AU166" s="22"/>
      <c r="AV166" s="525"/>
    </row>
    <row r="167" spans="1:48">
      <c r="A167" s="584"/>
      <c r="B167" s="531"/>
      <c r="C167" s="587"/>
      <c r="D167" s="587"/>
      <c r="E167" s="587"/>
      <c r="F167" s="587"/>
      <c r="G167" s="29"/>
      <c r="H167" s="30" t="s">
        <v>16</v>
      </c>
      <c r="I167" s="31"/>
      <c r="J167" s="31"/>
      <c r="K167" s="31">
        <f>36068</f>
        <v>36068</v>
      </c>
      <c r="L167" s="26"/>
      <c r="M167" s="31"/>
      <c r="N167" s="31"/>
      <c r="O167" s="31"/>
      <c r="P167" s="26"/>
      <c r="Q167" s="26"/>
      <c r="R167" s="26"/>
      <c r="S167" s="26"/>
      <c r="T167" s="31"/>
      <c r="U167" s="31"/>
      <c r="V167" s="26"/>
      <c r="W167" s="31"/>
      <c r="X167" s="31"/>
      <c r="Y167" s="31"/>
      <c r="Z167" s="26"/>
      <c r="AA167" s="31"/>
      <c r="AB167" s="31"/>
      <c r="AC167" s="31"/>
      <c r="AD167" s="31"/>
      <c r="AE167" s="31"/>
      <c r="AF167" s="31"/>
      <c r="AG167" s="26"/>
      <c r="AH167" s="31"/>
      <c r="AI167" s="31"/>
      <c r="AJ167" s="31"/>
      <c r="AK167" s="32"/>
      <c r="AL167" s="33">
        <f>SUM(I167:AK167)</f>
        <v>36068</v>
      </c>
      <c r="AM167" s="21"/>
      <c r="AN167" s="21"/>
      <c r="AO167" s="21"/>
      <c r="AP167" s="21"/>
      <c r="AQ167" s="21"/>
      <c r="AR167" s="21"/>
      <c r="AS167" s="525"/>
      <c r="AT167" s="525"/>
      <c r="AU167" s="22"/>
      <c r="AV167" s="525"/>
    </row>
    <row r="168" spans="1:48">
      <c r="A168" s="584"/>
      <c r="B168" s="531"/>
      <c r="C168" s="587"/>
      <c r="D168" s="587"/>
      <c r="E168" s="587"/>
      <c r="F168" s="587"/>
      <c r="G168" s="29"/>
      <c r="H168" s="30" t="s">
        <v>17</v>
      </c>
      <c r="I168" s="31">
        <f>I167-I165</f>
        <v>0</v>
      </c>
      <c r="J168" s="31">
        <f>I168+(J167-J165)</f>
        <v>0</v>
      </c>
      <c r="K168" s="31">
        <f>J168+(K167-K165)</f>
        <v>9268</v>
      </c>
      <c r="L168" s="26"/>
      <c r="M168" s="31">
        <f>K168+(M167-M165)</f>
        <v>9268</v>
      </c>
      <c r="N168" s="31">
        <f>M168+(N167-N165)</f>
        <v>9268</v>
      </c>
      <c r="O168" s="31">
        <f>N168+(O167-O165)</f>
        <v>9268</v>
      </c>
      <c r="P168" s="26"/>
      <c r="Q168" s="26"/>
      <c r="R168" s="26"/>
      <c r="S168" s="26"/>
      <c r="T168" s="31">
        <f>O168+(T167-T165)</f>
        <v>9268</v>
      </c>
      <c r="U168" s="31">
        <f>T168+(U167-U165)</f>
        <v>9268</v>
      </c>
      <c r="V168" s="26"/>
      <c r="W168" s="31">
        <f>U168+(W167-W165)</f>
        <v>9268</v>
      </c>
      <c r="X168" s="31">
        <f>W168+(X167-X165)</f>
        <v>9268</v>
      </c>
      <c r="Y168" s="31">
        <f>X168+(Y167-Y165)</f>
        <v>9268</v>
      </c>
      <c r="Z168" s="26"/>
      <c r="AA168" s="31">
        <f>Y168+(AA167-AA165)</f>
        <v>9268</v>
      </c>
      <c r="AB168" s="31">
        <f>AA168+(AB167-AB165)</f>
        <v>9268</v>
      </c>
      <c r="AC168" s="31">
        <f>AB168+(AC167-AC165)</f>
        <v>-17532</v>
      </c>
      <c r="AD168" s="31"/>
      <c r="AE168" s="31"/>
      <c r="AF168" s="31"/>
      <c r="AG168" s="26"/>
      <c r="AH168" s="31"/>
      <c r="AI168" s="31"/>
      <c r="AJ168" s="31"/>
      <c r="AK168" s="32"/>
      <c r="AL168" s="33"/>
      <c r="AM168" s="21"/>
      <c r="AN168" s="21"/>
      <c r="AO168" s="21"/>
      <c r="AP168" s="21"/>
      <c r="AQ168" s="21"/>
      <c r="AR168" s="21"/>
      <c r="AS168" s="525"/>
      <c r="AT168" s="525"/>
      <c r="AU168" s="22"/>
      <c r="AV168" s="525"/>
    </row>
    <row r="169" spans="1:48">
      <c r="A169" s="584"/>
      <c r="B169" s="531"/>
      <c r="C169" s="587"/>
      <c r="D169" s="587"/>
      <c r="E169" s="587"/>
      <c r="F169" s="587"/>
      <c r="G169" s="23" t="s">
        <v>25</v>
      </c>
      <c r="H169" s="24" t="s">
        <v>26</v>
      </c>
      <c r="I169" s="25"/>
      <c r="J169" s="25">
        <f>$N$192+$N$196</f>
        <v>26800</v>
      </c>
      <c r="K169" s="25"/>
      <c r="L169" s="26"/>
      <c r="M169" s="25"/>
      <c r="N169" s="25"/>
      <c r="O169" s="25">
        <f>$N$192+$N$196</f>
        <v>26800</v>
      </c>
      <c r="P169" s="26"/>
      <c r="Q169" s="26"/>
      <c r="R169" s="26"/>
      <c r="S169" s="26"/>
      <c r="T169" s="25"/>
      <c r="U169" s="25"/>
      <c r="V169" s="26"/>
      <c r="W169" s="25">
        <f>$N$192+$N$196</f>
        <v>26800</v>
      </c>
      <c r="X169" s="25"/>
      <c r="Y169" s="25"/>
      <c r="Z169" s="26"/>
      <c r="AA169" s="25"/>
      <c r="AB169" s="25">
        <f>($N$192+$N$196)*2</f>
        <v>53600</v>
      </c>
      <c r="AC169" s="25"/>
      <c r="AD169" s="25"/>
      <c r="AE169" s="25"/>
      <c r="AF169" s="25"/>
      <c r="AG169" s="26"/>
      <c r="AH169" s="25"/>
      <c r="AI169" s="25"/>
      <c r="AJ169" s="25"/>
      <c r="AK169" s="27"/>
      <c r="AL169" s="28">
        <f>SUM(I169:AK169)</f>
        <v>134000</v>
      </c>
      <c r="AM169" s="21"/>
      <c r="AN169" s="21"/>
      <c r="AO169" s="21"/>
      <c r="AP169" s="21"/>
      <c r="AQ169" s="21"/>
      <c r="AR169" s="21"/>
      <c r="AS169" s="525"/>
      <c r="AT169" s="525"/>
      <c r="AU169" s="22"/>
      <c r="AV169" s="525"/>
    </row>
    <row r="170" spans="1:48">
      <c r="A170" s="584"/>
      <c r="B170" s="531"/>
      <c r="C170" s="587"/>
      <c r="D170" s="587"/>
      <c r="E170" s="587"/>
      <c r="F170" s="587"/>
      <c r="G170" s="29"/>
      <c r="H170" s="30" t="s">
        <v>16</v>
      </c>
      <c r="I170" s="31">
        <f>27437</f>
        <v>27437</v>
      </c>
      <c r="J170" s="31">
        <f>6256+34495</f>
        <v>40751</v>
      </c>
      <c r="K170" s="31"/>
      <c r="L170" s="26"/>
      <c r="M170" s="31"/>
      <c r="N170" s="31"/>
      <c r="O170" s="31">
        <f>39424</f>
        <v>39424</v>
      </c>
      <c r="P170" s="26"/>
      <c r="Q170" s="26"/>
      <c r="R170" s="26"/>
      <c r="S170" s="26"/>
      <c r="T170" s="31"/>
      <c r="U170" s="31"/>
      <c r="V170" s="26"/>
      <c r="W170" s="31">
        <f>17984</f>
        <v>17984</v>
      </c>
      <c r="X170" s="31"/>
      <c r="Y170" s="31"/>
      <c r="Z170" s="26"/>
      <c r="AA170" s="31"/>
      <c r="AB170" s="31">
        <f>15900</f>
        <v>15900</v>
      </c>
      <c r="AC170" s="31"/>
      <c r="AD170" s="31"/>
      <c r="AE170" s="31"/>
      <c r="AF170" s="31"/>
      <c r="AG170" s="26"/>
      <c r="AH170" s="31"/>
      <c r="AI170" s="31"/>
      <c r="AJ170" s="31"/>
      <c r="AK170" s="32"/>
      <c r="AL170" s="33">
        <f>SUM(I170:AK170)</f>
        <v>141496</v>
      </c>
      <c r="AM170" s="21"/>
      <c r="AN170" s="21"/>
      <c r="AO170" s="21"/>
      <c r="AP170" s="21"/>
      <c r="AQ170" s="21"/>
      <c r="AR170" s="21"/>
      <c r="AS170" s="525"/>
      <c r="AT170" s="525"/>
      <c r="AU170" s="22"/>
      <c r="AV170" s="525"/>
    </row>
    <row r="171" spans="1:48">
      <c r="A171" s="584"/>
      <c r="B171" s="531"/>
      <c r="C171" s="587"/>
      <c r="D171" s="587"/>
      <c r="E171" s="587"/>
      <c r="F171" s="587"/>
      <c r="G171" s="29"/>
      <c r="H171" s="30" t="s">
        <v>17</v>
      </c>
      <c r="I171" s="31">
        <f>I170-I169</f>
        <v>27437</v>
      </c>
      <c r="J171" s="31">
        <f>I171+(J170-J169)</f>
        <v>41388</v>
      </c>
      <c r="K171" s="31">
        <f>J171+(K170-K169)</f>
        <v>41388</v>
      </c>
      <c r="L171" s="26"/>
      <c r="M171" s="31">
        <f>K171+(M170-M169)</f>
        <v>41388</v>
      </c>
      <c r="N171" s="31">
        <f>M171+(N170-N169)</f>
        <v>41388</v>
      </c>
      <c r="O171" s="31">
        <f>N171+(O170-O169)</f>
        <v>54012</v>
      </c>
      <c r="P171" s="26"/>
      <c r="Q171" s="26"/>
      <c r="R171" s="26"/>
      <c r="S171" s="26"/>
      <c r="T171" s="31">
        <f>O171+(T170-T169)</f>
        <v>54012</v>
      </c>
      <c r="U171" s="31">
        <f>T171+(U170-U169)</f>
        <v>54012</v>
      </c>
      <c r="V171" s="26"/>
      <c r="W171" s="31">
        <f>U171+(W170-W169)</f>
        <v>45196</v>
      </c>
      <c r="X171" s="31">
        <f>W171+(X170-X169)</f>
        <v>45196</v>
      </c>
      <c r="Y171" s="31">
        <f>X171+(Y170-Y169)</f>
        <v>45196</v>
      </c>
      <c r="Z171" s="26"/>
      <c r="AA171" s="31">
        <f>Y171+(AA170-AA169)</f>
        <v>45196</v>
      </c>
      <c r="AB171" s="31">
        <f>AA171+(AB170-AB169)</f>
        <v>7496</v>
      </c>
      <c r="AC171" s="31"/>
      <c r="AD171" s="31"/>
      <c r="AE171" s="31"/>
      <c r="AF171" s="31"/>
      <c r="AG171" s="26"/>
      <c r="AH171" s="31"/>
      <c r="AI171" s="31"/>
      <c r="AJ171" s="31"/>
      <c r="AK171" s="32"/>
      <c r="AL171" s="33"/>
      <c r="AM171" s="21"/>
      <c r="AN171" s="21"/>
      <c r="AO171" s="21"/>
      <c r="AP171" s="21"/>
      <c r="AQ171" s="21"/>
      <c r="AR171" s="21"/>
      <c r="AS171" s="525"/>
      <c r="AT171" s="525"/>
      <c r="AU171" s="22"/>
      <c r="AV171" s="525"/>
    </row>
    <row r="172" spans="1:48">
      <c r="A172" s="584"/>
      <c r="B172" s="531"/>
      <c r="C172" s="587"/>
      <c r="D172" s="587"/>
      <c r="E172" s="587"/>
      <c r="F172" s="587"/>
      <c r="G172" s="23" t="s">
        <v>74</v>
      </c>
      <c r="H172" s="24" t="s">
        <v>75</v>
      </c>
      <c r="I172" s="25"/>
      <c r="J172" s="25">
        <f>$N$192+$N$196</f>
        <v>26800</v>
      </c>
      <c r="K172" s="25"/>
      <c r="L172" s="26"/>
      <c r="M172" s="25"/>
      <c r="N172" s="25"/>
      <c r="O172" s="25">
        <f>$N$192+$N$196</f>
        <v>26800</v>
      </c>
      <c r="P172" s="26"/>
      <c r="Q172" s="26"/>
      <c r="R172" s="26"/>
      <c r="S172" s="26"/>
      <c r="T172" s="25"/>
      <c r="U172" s="25"/>
      <c r="V172" s="26"/>
      <c r="W172" s="25"/>
      <c r="X172" s="25">
        <f>$N$192+$N$196</f>
        <v>26800</v>
      </c>
      <c r="Y172" s="25"/>
      <c r="Z172" s="26"/>
      <c r="AA172" s="25"/>
      <c r="AB172" s="25"/>
      <c r="AC172" s="25">
        <f>($N$192+$N$196)*2</f>
        <v>53600</v>
      </c>
      <c r="AD172" s="25"/>
      <c r="AE172" s="25"/>
      <c r="AF172" s="25"/>
      <c r="AG172" s="26"/>
      <c r="AH172" s="25"/>
      <c r="AI172" s="25"/>
      <c r="AJ172" s="25"/>
      <c r="AK172" s="27"/>
      <c r="AL172" s="28">
        <f>SUM(I172:AK172)</f>
        <v>134000</v>
      </c>
      <c r="AM172" s="21"/>
      <c r="AN172" s="21"/>
      <c r="AO172" s="21"/>
      <c r="AP172" s="21"/>
      <c r="AQ172" s="21"/>
      <c r="AR172" s="21"/>
      <c r="AS172" s="525"/>
      <c r="AT172" s="525"/>
      <c r="AU172" s="22"/>
      <c r="AV172" s="525"/>
    </row>
    <row r="173" spans="1:48">
      <c r="A173" s="584"/>
      <c r="B173" s="531"/>
      <c r="C173" s="587"/>
      <c r="D173" s="587"/>
      <c r="E173" s="587"/>
      <c r="F173" s="587"/>
      <c r="G173" s="23"/>
      <c r="H173" s="24" t="s">
        <v>24</v>
      </c>
      <c r="I173" s="25"/>
      <c r="J173" s="25">
        <v>1</v>
      </c>
      <c r="K173" s="25"/>
      <c r="L173" s="26"/>
      <c r="M173" s="25"/>
      <c r="N173" s="25"/>
      <c r="O173" s="25">
        <v>1</v>
      </c>
      <c r="P173" s="26"/>
      <c r="Q173" s="26"/>
      <c r="R173" s="26"/>
      <c r="S173" s="26"/>
      <c r="T173" s="25"/>
      <c r="U173" s="25"/>
      <c r="V173" s="26"/>
      <c r="W173" s="25"/>
      <c r="X173" s="25">
        <v>1</v>
      </c>
      <c r="Y173" s="25"/>
      <c r="Z173" s="26"/>
      <c r="AA173" s="25"/>
      <c r="AB173" s="25"/>
      <c r="AC173" s="25">
        <v>1</v>
      </c>
      <c r="AD173" s="25"/>
      <c r="AE173" s="25"/>
      <c r="AF173" s="25"/>
      <c r="AG173" s="26"/>
      <c r="AH173" s="25"/>
      <c r="AI173" s="25"/>
      <c r="AJ173" s="25"/>
      <c r="AK173" s="27"/>
      <c r="AL173" s="28"/>
      <c r="AM173" s="21"/>
      <c r="AN173" s="21"/>
      <c r="AO173" s="21"/>
      <c r="AP173" s="21"/>
      <c r="AQ173" s="21"/>
      <c r="AR173" s="21"/>
      <c r="AS173" s="525"/>
      <c r="AT173" s="525"/>
      <c r="AU173" s="22"/>
      <c r="AV173" s="525"/>
    </row>
    <row r="174" spans="1:48">
      <c r="A174" s="584"/>
      <c r="B174" s="531"/>
      <c r="C174" s="587"/>
      <c r="D174" s="587"/>
      <c r="E174" s="587"/>
      <c r="F174" s="587"/>
      <c r="G174" s="29"/>
      <c r="H174" s="30" t="s">
        <v>16</v>
      </c>
      <c r="I174" s="31">
        <f>32608</f>
        <v>32608</v>
      </c>
      <c r="J174" s="31">
        <f>30210</f>
        <v>30210</v>
      </c>
      <c r="K174" s="31"/>
      <c r="L174" s="26"/>
      <c r="M174" s="31"/>
      <c r="N174" s="31"/>
      <c r="O174" s="31">
        <f>18894</f>
        <v>18894</v>
      </c>
      <c r="P174" s="26"/>
      <c r="Q174" s="26"/>
      <c r="R174" s="26"/>
      <c r="S174" s="26"/>
      <c r="T174" s="31"/>
      <c r="U174" s="31"/>
      <c r="V174" s="26"/>
      <c r="W174" s="31"/>
      <c r="X174" s="31">
        <f>52569+3607</f>
        <v>56176</v>
      </c>
      <c r="Y174" s="31"/>
      <c r="Z174" s="26"/>
      <c r="AA174" s="31"/>
      <c r="AB174" s="31"/>
      <c r="AC174" s="31"/>
      <c r="AD174" s="31"/>
      <c r="AE174" s="31"/>
      <c r="AF174" s="31"/>
      <c r="AG174" s="26"/>
      <c r="AH174" s="31"/>
      <c r="AI174" s="31"/>
      <c r="AJ174" s="31"/>
      <c r="AK174" s="32">
        <f>15417</f>
        <v>15417</v>
      </c>
      <c r="AL174" s="33">
        <f>SUM(I174:AK174)</f>
        <v>153305</v>
      </c>
      <c r="AM174" s="21"/>
      <c r="AN174" s="21"/>
      <c r="AO174" s="21"/>
      <c r="AP174" s="21"/>
      <c r="AQ174" s="21"/>
      <c r="AR174" s="21"/>
      <c r="AS174" s="525"/>
      <c r="AT174" s="525"/>
      <c r="AU174" s="22"/>
      <c r="AV174" s="525"/>
    </row>
    <row r="175" spans="1:48">
      <c r="A175" s="584"/>
      <c r="B175" s="531"/>
      <c r="C175" s="587"/>
      <c r="D175" s="587"/>
      <c r="E175" s="587"/>
      <c r="F175" s="587"/>
      <c r="G175" s="29"/>
      <c r="H175" s="30" t="s">
        <v>17</v>
      </c>
      <c r="I175" s="31">
        <f>I174-I172</f>
        <v>32608</v>
      </c>
      <c r="J175" s="31">
        <f>I175+(J174-J172)</f>
        <v>36018</v>
      </c>
      <c r="K175" s="31">
        <f>J175+(K174-K172)</f>
        <v>36018</v>
      </c>
      <c r="L175" s="26"/>
      <c r="M175" s="31">
        <f>K175+(M174-M172)</f>
        <v>36018</v>
      </c>
      <c r="N175" s="31">
        <f>M175+(N174-N172)</f>
        <v>36018</v>
      </c>
      <c r="O175" s="31">
        <f>N175+(O174-O172)</f>
        <v>28112</v>
      </c>
      <c r="P175" s="26"/>
      <c r="Q175" s="26"/>
      <c r="R175" s="26"/>
      <c r="S175" s="26"/>
      <c r="T175" s="31">
        <f>O175+(T174-T172)</f>
        <v>28112</v>
      </c>
      <c r="U175" s="31">
        <f>T175+(U174-U172)</f>
        <v>28112</v>
      </c>
      <c r="V175" s="26"/>
      <c r="W175" s="31">
        <f>U175+(W174-W172)</f>
        <v>28112</v>
      </c>
      <c r="X175" s="31">
        <f>W175+(X174-X172)</f>
        <v>57488</v>
      </c>
      <c r="Y175" s="31">
        <f>X175+(Y174-Y172)</f>
        <v>57488</v>
      </c>
      <c r="Z175" s="26"/>
      <c r="AA175" s="31">
        <f>Y175+(AA174-AA172)</f>
        <v>57488</v>
      </c>
      <c r="AB175" s="31">
        <f>AA175+(AB174-AB172)</f>
        <v>57488</v>
      </c>
      <c r="AC175" s="31">
        <f>AB175+(AC174-AC172)</f>
        <v>3888</v>
      </c>
      <c r="AD175" s="31"/>
      <c r="AE175" s="31"/>
      <c r="AF175" s="31"/>
      <c r="AG175" s="26"/>
      <c r="AH175" s="31"/>
      <c r="AI175" s="31"/>
      <c r="AJ175" s="31"/>
      <c r="AK175" s="32"/>
      <c r="AL175" s="33"/>
      <c r="AM175" s="21"/>
      <c r="AN175" s="21"/>
      <c r="AO175" s="21"/>
      <c r="AP175" s="21"/>
      <c r="AQ175" s="21"/>
      <c r="AR175" s="21"/>
      <c r="AS175" s="525"/>
      <c r="AT175" s="525"/>
      <c r="AU175" s="22"/>
      <c r="AV175" s="525"/>
    </row>
    <row r="176" spans="1:48">
      <c r="A176" s="584"/>
      <c r="B176" s="531"/>
      <c r="C176" s="587"/>
      <c r="D176" s="587"/>
      <c r="E176" s="587"/>
      <c r="F176" s="587"/>
      <c r="G176" s="29"/>
      <c r="H176" s="24" t="s">
        <v>76</v>
      </c>
      <c r="I176" s="55"/>
      <c r="J176" s="55"/>
      <c r="K176" s="55"/>
      <c r="L176" s="26"/>
      <c r="M176" s="25"/>
      <c r="N176" s="25"/>
      <c r="O176" s="25">
        <f>($N$192/2)*3</f>
        <v>20100</v>
      </c>
      <c r="P176" s="26"/>
      <c r="Q176" s="26"/>
      <c r="R176" s="26"/>
      <c r="S176" s="26"/>
      <c r="T176" s="25"/>
      <c r="U176" s="25"/>
      <c r="V176" s="26"/>
      <c r="W176" s="25"/>
      <c r="X176" s="25">
        <f>($N$192/2)*2</f>
        <v>13400</v>
      </c>
      <c r="Y176" s="25">
        <f>$N$192/2</f>
        <v>6700</v>
      </c>
      <c r="Z176" s="26"/>
      <c r="AA176" s="25">
        <f>$N$192/2</f>
        <v>6700</v>
      </c>
      <c r="AB176" s="25">
        <f>$N$192/2</f>
        <v>6700</v>
      </c>
      <c r="AC176" s="25">
        <f>($N$192/2)*2</f>
        <v>13400</v>
      </c>
      <c r="AD176" s="25"/>
      <c r="AE176" s="25"/>
      <c r="AF176" s="25"/>
      <c r="AG176" s="26"/>
      <c r="AH176" s="25"/>
      <c r="AI176" s="25"/>
      <c r="AJ176" s="25">
        <f>($N$192/2)/2</f>
        <v>3350</v>
      </c>
      <c r="AK176" s="25"/>
      <c r="AL176" s="28">
        <f>SUM(I176:AK176)</f>
        <v>70350</v>
      </c>
      <c r="AM176" s="21"/>
      <c r="AN176" s="21"/>
      <c r="AO176" s="21"/>
      <c r="AP176" s="21"/>
      <c r="AQ176" s="21"/>
      <c r="AR176" s="21"/>
      <c r="AS176" s="525"/>
      <c r="AT176" s="525"/>
      <c r="AU176" s="22"/>
      <c r="AV176" s="525"/>
    </row>
    <row r="177" spans="1:48">
      <c r="A177" s="584"/>
      <c r="B177" s="531"/>
      <c r="C177" s="587"/>
      <c r="D177" s="587"/>
      <c r="E177" s="587"/>
      <c r="F177" s="587"/>
      <c r="G177" s="29"/>
      <c r="H177" s="24" t="s">
        <v>28</v>
      </c>
      <c r="I177" s="25"/>
      <c r="J177" s="25"/>
      <c r="K177" s="25"/>
      <c r="L177" s="26"/>
      <c r="M177" s="25"/>
      <c r="N177" s="25"/>
      <c r="O177" s="25">
        <v>1</v>
      </c>
      <c r="P177" s="26"/>
      <c r="Q177" s="26"/>
      <c r="R177" s="26"/>
      <c r="S177" s="26"/>
      <c r="T177" s="25"/>
      <c r="U177" s="25"/>
      <c r="V177" s="26"/>
      <c r="W177" s="25"/>
      <c r="X177" s="25">
        <v>1</v>
      </c>
      <c r="Y177" s="25">
        <v>1</v>
      </c>
      <c r="Z177" s="26"/>
      <c r="AA177" s="25">
        <v>1</v>
      </c>
      <c r="AB177" s="25">
        <v>1</v>
      </c>
      <c r="AC177" s="25">
        <v>1</v>
      </c>
      <c r="AD177" s="25"/>
      <c r="AE177" s="25"/>
      <c r="AF177" s="25"/>
      <c r="AG177" s="26"/>
      <c r="AH177" s="25"/>
      <c r="AI177" s="25"/>
      <c r="AJ177" s="25">
        <v>1</v>
      </c>
      <c r="AK177" s="25"/>
      <c r="AL177" s="28"/>
      <c r="AM177" s="21"/>
      <c r="AN177" s="21"/>
      <c r="AO177" s="21"/>
      <c r="AP177" s="21"/>
      <c r="AQ177" s="21"/>
      <c r="AR177" s="21"/>
      <c r="AS177" s="525"/>
      <c r="AT177" s="525"/>
      <c r="AU177" s="22"/>
      <c r="AV177" s="525"/>
    </row>
    <row r="178" spans="1:48">
      <c r="A178" s="584"/>
      <c r="B178" s="531"/>
      <c r="C178" s="587"/>
      <c r="D178" s="587"/>
      <c r="E178" s="587"/>
      <c r="F178" s="587"/>
      <c r="G178" s="29"/>
      <c r="H178" s="30" t="s">
        <v>16</v>
      </c>
      <c r="I178" s="31"/>
      <c r="J178" s="31"/>
      <c r="K178" s="31"/>
      <c r="L178" s="26"/>
      <c r="M178" s="31"/>
      <c r="N178" s="31"/>
      <c r="O178" s="31">
        <f>3733</f>
        <v>3733</v>
      </c>
      <c r="P178" s="26"/>
      <c r="Q178" s="26"/>
      <c r="R178" s="26"/>
      <c r="S178" s="26"/>
      <c r="T178" s="31"/>
      <c r="U178" s="31"/>
      <c r="V178" s="26"/>
      <c r="W178" s="31"/>
      <c r="X178" s="31">
        <f>3176+767+7512+4020</f>
        <v>15475</v>
      </c>
      <c r="Y178" s="31">
        <f>621+4161+3623+903+4185+2091</f>
        <v>15584</v>
      </c>
      <c r="Z178" s="26"/>
      <c r="AA178" s="31">
        <f>3304+4505+1595+1589+4522+800</f>
        <v>16315</v>
      </c>
      <c r="AB178" s="31">
        <f>4525+1624+2927+4520+312</f>
        <v>13908</v>
      </c>
      <c r="AC178" s="31"/>
      <c r="AD178" s="31"/>
      <c r="AE178" s="31"/>
      <c r="AF178" s="31"/>
      <c r="AG178" s="26"/>
      <c r="AH178" s="31"/>
      <c r="AI178" s="31"/>
      <c r="AJ178" s="31">
        <f>3156</f>
        <v>3156</v>
      </c>
      <c r="AK178" s="32">
        <f>1430+2800</f>
        <v>4230</v>
      </c>
      <c r="AL178" s="33">
        <f>SUM(I178:AK178)</f>
        <v>72401</v>
      </c>
      <c r="AM178" s="21"/>
      <c r="AN178" s="21"/>
      <c r="AO178" s="21"/>
      <c r="AP178" s="21"/>
      <c r="AQ178" s="21"/>
      <c r="AR178" s="21"/>
      <c r="AS178" s="525"/>
      <c r="AT178" s="525"/>
      <c r="AU178" s="22"/>
      <c r="AV178" s="525"/>
    </row>
    <row r="179" spans="1:48">
      <c r="A179" s="584"/>
      <c r="B179" s="531"/>
      <c r="C179" s="587"/>
      <c r="D179" s="587"/>
      <c r="E179" s="587"/>
      <c r="F179" s="587"/>
      <c r="G179" s="29"/>
      <c r="H179" s="30" t="s">
        <v>17</v>
      </c>
      <c r="I179" s="31">
        <f>I178-I176</f>
        <v>0</v>
      </c>
      <c r="J179" s="31">
        <f>I179+(J178-J176)</f>
        <v>0</v>
      </c>
      <c r="K179" s="31">
        <f>J179+(K178-K176)</f>
        <v>0</v>
      </c>
      <c r="L179" s="26"/>
      <c r="M179" s="31">
        <f>K179+(M178-M176)</f>
        <v>0</v>
      </c>
      <c r="N179" s="31">
        <f>M179+(N178-N176)</f>
        <v>0</v>
      </c>
      <c r="O179" s="31">
        <f>N179+(O178-O176)</f>
        <v>-16367</v>
      </c>
      <c r="P179" s="26"/>
      <c r="Q179" s="26"/>
      <c r="R179" s="26"/>
      <c r="S179" s="26"/>
      <c r="T179" s="31">
        <f>O179+(T178-T176)</f>
        <v>-16367</v>
      </c>
      <c r="U179" s="31">
        <f>T179+(U178-U176)</f>
        <v>-16367</v>
      </c>
      <c r="V179" s="26"/>
      <c r="W179" s="31">
        <f>U179+(W178-W176)</f>
        <v>-16367</v>
      </c>
      <c r="X179" s="31">
        <f>W179+(X178-X176)</f>
        <v>-14292</v>
      </c>
      <c r="Y179" s="31">
        <f>X179+(Y178-Y176)</f>
        <v>-5408</v>
      </c>
      <c r="Z179" s="26"/>
      <c r="AA179" s="31">
        <f>Y179+(AA178-AA176)</f>
        <v>4207</v>
      </c>
      <c r="AB179" s="31">
        <f>AA179+(AB178-AB176)</f>
        <v>11415</v>
      </c>
      <c r="AC179" s="31">
        <f>AB179+(AC178-AC176)</f>
        <v>-1985</v>
      </c>
      <c r="AD179" s="31">
        <f>AC179+(AD178-AD176)</f>
        <v>-1985</v>
      </c>
      <c r="AE179" s="31">
        <f>AD179+(AE178-AE176)</f>
        <v>-1985</v>
      </c>
      <c r="AF179" s="31">
        <f>AE179+(AF178-AF176)</f>
        <v>-1985</v>
      </c>
      <c r="AG179" s="26"/>
      <c r="AH179" s="31">
        <f>AF179+(AH178-AH176)</f>
        <v>-1985</v>
      </c>
      <c r="AI179" s="31">
        <f>AH179+(AI178-AI176)</f>
        <v>-1985</v>
      </c>
      <c r="AJ179" s="31">
        <f>AI179+(AJ178-AJ176)</f>
        <v>-2179</v>
      </c>
      <c r="AK179" s="31">
        <f>AJ179+(AK178-AK176)</f>
        <v>2051</v>
      </c>
      <c r="AL179" s="33"/>
      <c r="AM179" s="21"/>
      <c r="AN179" s="21"/>
      <c r="AO179" s="21"/>
      <c r="AP179" s="21"/>
      <c r="AQ179" s="21"/>
      <c r="AR179" s="21"/>
      <c r="AS179" s="525"/>
      <c r="AT179" s="525"/>
      <c r="AU179" s="22"/>
      <c r="AV179" s="525"/>
    </row>
    <row r="180" spans="1:48">
      <c r="A180" s="584"/>
      <c r="B180" s="531"/>
      <c r="C180" s="587"/>
      <c r="D180" s="587"/>
      <c r="E180" s="587"/>
      <c r="F180" s="587"/>
      <c r="G180" s="29"/>
      <c r="H180" s="24" t="s">
        <v>77</v>
      </c>
      <c r="I180" s="25"/>
      <c r="J180" s="25">
        <f>$N$196/2</f>
        <v>6700</v>
      </c>
      <c r="K180" s="25">
        <f>$N$196/2</f>
        <v>6700</v>
      </c>
      <c r="L180" s="26"/>
      <c r="M180" s="25"/>
      <c r="N180" s="25"/>
      <c r="O180" s="25">
        <f>$N$196/2</f>
        <v>6700</v>
      </c>
      <c r="P180" s="26"/>
      <c r="Q180" s="26"/>
      <c r="R180" s="26"/>
      <c r="S180" s="26"/>
      <c r="T180" s="25">
        <f>$N$196/2</f>
        <v>6700</v>
      </c>
      <c r="U180" s="25"/>
      <c r="V180" s="26"/>
      <c r="W180" s="25"/>
      <c r="X180" s="25">
        <f>$N$196/2</f>
        <v>6700</v>
      </c>
      <c r="Y180" s="25">
        <f>$N$196/2</f>
        <v>6700</v>
      </c>
      <c r="Z180" s="26"/>
      <c r="AA180" s="25"/>
      <c r="AB180" s="25"/>
      <c r="AC180" s="25">
        <f>($N$196/2)*3</f>
        <v>20100</v>
      </c>
      <c r="AD180" s="25">
        <f>$N$196/2</f>
        <v>6700</v>
      </c>
      <c r="AE180" s="25"/>
      <c r="AF180" s="25"/>
      <c r="AG180" s="26"/>
      <c r="AH180" s="25"/>
      <c r="AI180" s="25"/>
      <c r="AJ180" s="25"/>
      <c r="AK180" s="27"/>
      <c r="AL180" s="28">
        <f>SUM(I180:AK180)</f>
        <v>67000</v>
      </c>
      <c r="AM180" s="21"/>
      <c r="AN180" s="21"/>
      <c r="AO180" s="21"/>
      <c r="AP180" s="21"/>
      <c r="AQ180" s="21"/>
      <c r="AR180" s="21"/>
      <c r="AS180" s="525"/>
      <c r="AT180" s="525"/>
      <c r="AU180" s="22"/>
      <c r="AV180" s="525"/>
    </row>
    <row r="181" spans="1:48">
      <c r="A181" s="584"/>
      <c r="B181" s="531"/>
      <c r="C181" s="587"/>
      <c r="D181" s="587"/>
      <c r="E181" s="587"/>
      <c r="F181" s="587"/>
      <c r="G181" s="29"/>
      <c r="H181" s="24" t="s">
        <v>28</v>
      </c>
      <c r="I181" s="25"/>
      <c r="J181" s="25">
        <v>1</v>
      </c>
      <c r="K181" s="25">
        <v>1</v>
      </c>
      <c r="L181" s="26"/>
      <c r="M181" s="25"/>
      <c r="N181" s="25"/>
      <c r="O181" s="25">
        <v>1</v>
      </c>
      <c r="P181" s="26"/>
      <c r="Q181" s="26"/>
      <c r="R181" s="26"/>
      <c r="S181" s="26"/>
      <c r="T181" s="25">
        <v>1</v>
      </c>
      <c r="U181" s="25"/>
      <c r="V181" s="26"/>
      <c r="W181" s="25"/>
      <c r="X181" s="25">
        <v>1</v>
      </c>
      <c r="Y181" s="25">
        <v>1</v>
      </c>
      <c r="Z181" s="26"/>
      <c r="AA181" s="25"/>
      <c r="AB181" s="25"/>
      <c r="AC181" s="25">
        <v>1</v>
      </c>
      <c r="AD181" s="25">
        <v>1</v>
      </c>
      <c r="AE181" s="25"/>
      <c r="AF181" s="25"/>
      <c r="AG181" s="26"/>
      <c r="AH181" s="25"/>
      <c r="AI181" s="25"/>
      <c r="AJ181" s="25"/>
      <c r="AK181" s="27"/>
      <c r="AL181" s="28"/>
      <c r="AM181" s="21"/>
      <c r="AN181" s="21"/>
      <c r="AO181" s="21"/>
      <c r="AP181" s="21"/>
      <c r="AQ181" s="21"/>
      <c r="AR181" s="21"/>
      <c r="AS181" s="525"/>
      <c r="AT181" s="525"/>
      <c r="AU181" s="22"/>
      <c r="AV181" s="525"/>
    </row>
    <row r="182" spans="1:48">
      <c r="A182" s="584"/>
      <c r="B182" s="531"/>
      <c r="C182" s="587"/>
      <c r="D182" s="587"/>
      <c r="E182" s="587"/>
      <c r="F182" s="587"/>
      <c r="G182" s="29"/>
      <c r="H182" s="30" t="s">
        <v>16</v>
      </c>
      <c r="I182" s="31"/>
      <c r="J182" s="31">
        <f>4020+3800+667+4461+2637</f>
        <v>15585</v>
      </c>
      <c r="K182" s="31">
        <f>2033+3400+1268+3367</f>
        <v>10068</v>
      </c>
      <c r="L182" s="26"/>
      <c r="M182" s="31">
        <f>750+4660+3310+1299+4565+3908</f>
        <v>18492</v>
      </c>
      <c r="N182" s="31">
        <f>1358+4669+1112+2778</f>
        <v>9917</v>
      </c>
      <c r="O182" s="31">
        <f>4020+1434+4667+649</f>
        <v>10770</v>
      </c>
      <c r="P182" s="26"/>
      <c r="Q182" s="26"/>
      <c r="R182" s="26"/>
      <c r="S182" s="26"/>
      <c r="T182" s="31"/>
      <c r="U182" s="31"/>
      <c r="V182" s="26"/>
      <c r="W182" s="31"/>
      <c r="X182" s="31"/>
      <c r="Y182" s="31"/>
      <c r="Z182" s="26"/>
      <c r="AA182" s="31"/>
      <c r="AB182" s="31"/>
      <c r="AC182" s="31"/>
      <c r="AD182" s="31"/>
      <c r="AE182" s="31"/>
      <c r="AF182" s="31"/>
      <c r="AG182" s="26"/>
      <c r="AH182" s="31"/>
      <c r="AI182" s="31"/>
      <c r="AJ182" s="31"/>
      <c r="AK182" s="32"/>
      <c r="AL182" s="33">
        <f>SUM(I182:AK182)</f>
        <v>64832</v>
      </c>
      <c r="AM182" s="21"/>
      <c r="AN182" s="21"/>
      <c r="AO182" s="21"/>
      <c r="AP182" s="21"/>
      <c r="AQ182" s="21"/>
      <c r="AR182" s="21"/>
      <c r="AS182" s="525"/>
      <c r="AT182" s="525"/>
      <c r="AU182" s="22"/>
      <c r="AV182" s="525"/>
    </row>
    <row r="183" spans="1:48">
      <c r="A183" s="584"/>
      <c r="B183" s="531"/>
      <c r="C183" s="587"/>
      <c r="D183" s="587"/>
      <c r="E183" s="587"/>
      <c r="F183" s="587"/>
      <c r="G183" s="29"/>
      <c r="H183" s="30" t="s">
        <v>17</v>
      </c>
      <c r="I183" s="31">
        <f>I182-I180</f>
        <v>0</v>
      </c>
      <c r="J183" s="31">
        <f>I183+(J182-J180)</f>
        <v>8885</v>
      </c>
      <c r="K183" s="31">
        <f>J183+(K182-K180)</f>
        <v>12253</v>
      </c>
      <c r="L183" s="26"/>
      <c r="M183" s="31">
        <f>K183+(M182-M180)</f>
        <v>30745</v>
      </c>
      <c r="N183" s="31">
        <f>M183+(N182-N180)</f>
        <v>40662</v>
      </c>
      <c r="O183" s="31">
        <f>N183+(O182-O180)</f>
        <v>44732</v>
      </c>
      <c r="P183" s="26"/>
      <c r="Q183" s="26"/>
      <c r="R183" s="26"/>
      <c r="S183" s="26"/>
      <c r="T183" s="31">
        <f>O183+(T182-T180)</f>
        <v>38032</v>
      </c>
      <c r="U183" s="31">
        <f>T183+(U182-U180)</f>
        <v>38032</v>
      </c>
      <c r="V183" s="26"/>
      <c r="W183" s="31">
        <f>U183+(W182-W180)</f>
        <v>38032</v>
      </c>
      <c r="X183" s="31">
        <f>W183+(X182-X180)</f>
        <v>31332</v>
      </c>
      <c r="Y183" s="31">
        <f>X183+(Y182-Y180)</f>
        <v>24632</v>
      </c>
      <c r="Z183" s="26"/>
      <c r="AA183" s="31">
        <f>Y183+(AA182-AA180)</f>
        <v>24632</v>
      </c>
      <c r="AB183" s="31">
        <f>AA183+(AB182-AB180)</f>
        <v>24632</v>
      </c>
      <c r="AC183" s="31">
        <f>AB183+(AC182-AC180)</f>
        <v>4532</v>
      </c>
      <c r="AD183" s="31"/>
      <c r="AE183" s="31"/>
      <c r="AF183" s="31"/>
      <c r="AG183" s="26"/>
      <c r="AH183" s="31"/>
      <c r="AI183" s="31"/>
      <c r="AJ183" s="31"/>
      <c r="AK183" s="32"/>
      <c r="AL183" s="33"/>
      <c r="AM183" s="21"/>
      <c r="AN183" s="21"/>
      <c r="AO183" s="21"/>
      <c r="AP183" s="21"/>
      <c r="AQ183" s="21"/>
      <c r="AR183" s="21"/>
      <c r="AS183" s="525"/>
      <c r="AT183" s="525"/>
      <c r="AU183" s="22"/>
      <c r="AV183" s="525"/>
    </row>
    <row r="184" spans="1:48">
      <c r="A184" s="584"/>
      <c r="B184" s="531"/>
      <c r="C184" s="587"/>
      <c r="D184" s="587"/>
      <c r="E184" s="587"/>
      <c r="F184" s="587"/>
      <c r="G184" s="29"/>
      <c r="H184" s="24" t="s">
        <v>78</v>
      </c>
      <c r="I184" s="25"/>
      <c r="J184" s="25"/>
      <c r="K184" s="25"/>
      <c r="L184" s="26"/>
      <c r="M184" s="25"/>
      <c r="N184" s="25"/>
      <c r="O184" s="25">
        <f>($N$192/4)*6</f>
        <v>20100</v>
      </c>
      <c r="P184" s="26"/>
      <c r="Q184" s="26"/>
      <c r="R184" s="26"/>
      <c r="S184" s="26"/>
      <c r="T184" s="25">
        <f>$N$192/4</f>
        <v>3350</v>
      </c>
      <c r="U184" s="25">
        <f>$N$192/4</f>
        <v>3350</v>
      </c>
      <c r="V184" s="26"/>
      <c r="W184" s="25"/>
      <c r="X184" s="25">
        <f>($N$192/4)*2</f>
        <v>6700</v>
      </c>
      <c r="Y184" s="25">
        <f>$N$192/4</f>
        <v>3350</v>
      </c>
      <c r="Z184" s="26"/>
      <c r="AA184" s="25">
        <f t="shared" ref="AA184:AB184" si="34">$N$192/4</f>
        <v>3350</v>
      </c>
      <c r="AB184" s="25">
        <f t="shared" si="34"/>
        <v>3350</v>
      </c>
      <c r="AC184" s="25">
        <f>($N$192/4)*2</f>
        <v>6700</v>
      </c>
      <c r="AD184" s="25">
        <f>($N$192/4)*2</f>
        <v>6700</v>
      </c>
      <c r="AE184" s="25"/>
      <c r="AF184" s="25"/>
      <c r="AG184" s="26"/>
      <c r="AH184" s="25">
        <f>($N$192/4)*2</f>
        <v>6700</v>
      </c>
      <c r="AI184" s="25"/>
      <c r="AJ184" s="25">
        <f>($N$192/4)*2</f>
        <v>6700</v>
      </c>
      <c r="AK184" s="25">
        <f>($N$192/4)*2</f>
        <v>6700</v>
      </c>
      <c r="AL184" s="28">
        <f>SUM(I184:AK184)</f>
        <v>77050</v>
      </c>
      <c r="AM184" s="21"/>
      <c r="AN184" s="21"/>
      <c r="AO184" s="21"/>
      <c r="AP184" s="21"/>
      <c r="AQ184" s="21"/>
      <c r="AR184" s="21"/>
      <c r="AS184" s="525"/>
      <c r="AT184" s="525"/>
      <c r="AU184" s="22"/>
      <c r="AV184" s="525"/>
    </row>
    <row r="185" spans="1:48">
      <c r="A185" s="584"/>
      <c r="B185" s="531"/>
      <c r="C185" s="587"/>
      <c r="D185" s="587"/>
      <c r="E185" s="587"/>
      <c r="F185" s="587"/>
      <c r="G185" s="29"/>
      <c r="H185" s="24" t="s">
        <v>79</v>
      </c>
      <c r="I185" s="25"/>
      <c r="J185" s="25"/>
      <c r="K185" s="25"/>
      <c r="L185" s="26"/>
      <c r="M185" s="25"/>
      <c r="N185" s="25"/>
      <c r="O185" s="25">
        <v>3</v>
      </c>
      <c r="P185" s="26"/>
      <c r="Q185" s="26"/>
      <c r="R185" s="26"/>
      <c r="S185" s="26"/>
      <c r="T185" s="25">
        <v>3</v>
      </c>
      <c r="U185" s="25">
        <v>3</v>
      </c>
      <c r="V185" s="26"/>
      <c r="W185" s="25"/>
      <c r="X185" s="25">
        <v>3</v>
      </c>
      <c r="Y185" s="25">
        <v>3</v>
      </c>
      <c r="Z185" s="26"/>
      <c r="AA185" s="25">
        <v>3</v>
      </c>
      <c r="AB185" s="25">
        <v>3</v>
      </c>
      <c r="AC185" s="25">
        <v>3</v>
      </c>
      <c r="AD185" s="25">
        <v>3</v>
      </c>
      <c r="AE185" s="25"/>
      <c r="AF185" s="25"/>
      <c r="AG185" s="26"/>
      <c r="AH185" s="25">
        <v>3</v>
      </c>
      <c r="AI185" s="25"/>
      <c r="AJ185" s="25">
        <v>3</v>
      </c>
      <c r="AK185" s="25">
        <v>3</v>
      </c>
      <c r="AL185" s="28"/>
      <c r="AM185" s="21"/>
      <c r="AN185" s="21"/>
      <c r="AO185" s="21"/>
      <c r="AP185" s="21"/>
      <c r="AQ185" s="21"/>
      <c r="AR185" s="21"/>
      <c r="AS185" s="525"/>
      <c r="AT185" s="525"/>
      <c r="AU185" s="22"/>
      <c r="AV185" s="525"/>
    </row>
    <row r="186" spans="1:48">
      <c r="A186" s="584"/>
      <c r="B186" s="531"/>
      <c r="C186" s="587"/>
      <c r="D186" s="587"/>
      <c r="E186" s="587"/>
      <c r="F186" s="587"/>
      <c r="G186" s="29"/>
      <c r="H186" s="30" t="s">
        <v>16</v>
      </c>
      <c r="I186" s="31"/>
      <c r="J186" s="31"/>
      <c r="K186" s="31"/>
      <c r="L186" s="26"/>
      <c r="M186" s="31"/>
      <c r="N186" s="31"/>
      <c r="O186" s="31">
        <v>4018</v>
      </c>
      <c r="P186" s="26"/>
      <c r="Q186" s="26"/>
      <c r="R186" s="26"/>
      <c r="S186" s="26"/>
      <c r="T186" s="31">
        <f>1642+1377+1291+977+1326</f>
        <v>6613</v>
      </c>
      <c r="U186" s="31">
        <f>1502+862</f>
        <v>2364</v>
      </c>
      <c r="V186" s="26"/>
      <c r="W186" s="31"/>
      <c r="X186" s="31">
        <v>1637</v>
      </c>
      <c r="Y186" s="31">
        <v>10517</v>
      </c>
      <c r="Z186" s="26"/>
      <c r="AA186" s="31">
        <v>12863</v>
      </c>
      <c r="AB186" s="31">
        <v>12941</v>
      </c>
      <c r="AC186" s="31">
        <v>13411</v>
      </c>
      <c r="AD186" s="31">
        <v>7251</v>
      </c>
      <c r="AE186" s="31"/>
      <c r="AF186" s="31"/>
      <c r="AG186" s="26"/>
      <c r="AH186" s="31"/>
      <c r="AI186" s="31">
        <f>1849+1301</f>
        <v>3150</v>
      </c>
      <c r="AJ186" s="31">
        <v>2328</v>
      </c>
      <c r="AK186" s="32">
        <v>5133</v>
      </c>
      <c r="AL186" s="33">
        <f>SUM(I186:AK186)</f>
        <v>82226</v>
      </c>
      <c r="AM186" s="21"/>
      <c r="AN186" s="21"/>
      <c r="AO186" s="21"/>
      <c r="AP186" s="525"/>
      <c r="AQ186" s="21"/>
      <c r="AR186" s="21"/>
      <c r="AS186" s="525"/>
      <c r="AT186" s="525"/>
      <c r="AU186" s="22"/>
      <c r="AV186" s="525"/>
    </row>
    <row r="187" spans="1:48">
      <c r="A187" s="584"/>
      <c r="B187" s="531"/>
      <c r="C187" s="587"/>
      <c r="D187" s="587"/>
      <c r="E187" s="587"/>
      <c r="F187" s="587"/>
      <c r="G187" s="29"/>
      <c r="H187" s="30" t="s">
        <v>17</v>
      </c>
      <c r="I187" s="31">
        <f>I186-I184</f>
        <v>0</v>
      </c>
      <c r="J187" s="31">
        <f>I187+(J186-J184)</f>
        <v>0</v>
      </c>
      <c r="K187" s="31">
        <f>J187+(K186-K184)</f>
        <v>0</v>
      </c>
      <c r="L187" s="26"/>
      <c r="M187" s="31">
        <f>K187+(M186-M184)</f>
        <v>0</v>
      </c>
      <c r="N187" s="31">
        <f>M187+(N186-N184)</f>
        <v>0</v>
      </c>
      <c r="O187" s="31">
        <f>N187+(O186-O184)</f>
        <v>-16082</v>
      </c>
      <c r="P187" s="26"/>
      <c r="Q187" s="26"/>
      <c r="R187" s="26"/>
      <c r="S187" s="26"/>
      <c r="T187" s="31">
        <f>O187+(T186-T184)</f>
        <v>-12819</v>
      </c>
      <c r="U187" s="31">
        <f>T187+(U186-U184)</f>
        <v>-13805</v>
      </c>
      <c r="V187" s="26"/>
      <c r="W187" s="31">
        <f>U187+(W186-W184)</f>
        <v>-13805</v>
      </c>
      <c r="X187" s="31">
        <f>W187+(X186-X184)</f>
        <v>-18868</v>
      </c>
      <c r="Y187" s="31">
        <f>X187+(Y186-Y184)</f>
        <v>-11701</v>
      </c>
      <c r="Z187" s="26"/>
      <c r="AA187" s="31">
        <f>Y187+(AA186-AA184)</f>
        <v>-2188</v>
      </c>
      <c r="AB187" s="31">
        <f>AA187+(AB186-AB184)</f>
        <v>7403</v>
      </c>
      <c r="AC187" s="31">
        <f>AB187+(AC186-AC184)</f>
        <v>14114</v>
      </c>
      <c r="AD187" s="31">
        <f>AC187+(AD186-AD184)</f>
        <v>14665</v>
      </c>
      <c r="AE187" s="31">
        <f>AD187+(AE186-AE184)</f>
        <v>14665</v>
      </c>
      <c r="AF187" s="31">
        <f>AE187+(AF186-AF184)</f>
        <v>14665</v>
      </c>
      <c r="AG187" s="26"/>
      <c r="AH187" s="31">
        <f>AF187+(AH186-AH184)</f>
        <v>7965</v>
      </c>
      <c r="AI187" s="31">
        <f>AH187+(AI186-AI184)</f>
        <v>11115</v>
      </c>
      <c r="AJ187" s="31">
        <f>AI187+(AJ186-AJ184)</f>
        <v>6743</v>
      </c>
      <c r="AK187" s="31">
        <f>AJ187+(AK186-AK184)</f>
        <v>5176</v>
      </c>
      <c r="AL187" s="33"/>
      <c r="AM187" s="21"/>
      <c r="AN187" s="21"/>
      <c r="AO187" s="21"/>
      <c r="AP187" s="525"/>
      <c r="AQ187" s="21"/>
      <c r="AR187" s="21"/>
      <c r="AS187" s="525"/>
      <c r="AT187" s="525"/>
      <c r="AU187" s="22"/>
      <c r="AV187" s="525"/>
    </row>
    <row r="188" spans="1:48">
      <c r="A188" s="584"/>
      <c r="B188" s="531"/>
      <c r="C188" s="587"/>
      <c r="D188" s="587"/>
      <c r="E188" s="587"/>
      <c r="F188" s="587"/>
      <c r="G188" s="29"/>
      <c r="H188" s="24" t="s">
        <v>80</v>
      </c>
      <c r="I188" s="25">
        <f>$N$196/4</f>
        <v>3350</v>
      </c>
      <c r="J188" s="25">
        <f>$N$196/4</f>
        <v>3350</v>
      </c>
      <c r="K188" s="25">
        <f>$N$196/4</f>
        <v>3350</v>
      </c>
      <c r="L188" s="26"/>
      <c r="M188" s="25">
        <f>$N$196/4</f>
        <v>3350</v>
      </c>
      <c r="N188" s="25">
        <f>$N$196/4</f>
        <v>3350</v>
      </c>
      <c r="O188" s="25">
        <f>$N$196/4</f>
        <v>3350</v>
      </c>
      <c r="P188" s="26"/>
      <c r="Q188" s="26"/>
      <c r="R188" s="26"/>
      <c r="S188" s="26"/>
      <c r="T188" s="25">
        <f>$N$196/4</f>
        <v>3350</v>
      </c>
      <c r="U188" s="25">
        <f>$N$196/4</f>
        <v>3350</v>
      </c>
      <c r="V188" s="26"/>
      <c r="W188" s="25">
        <f>$N$196/4</f>
        <v>3350</v>
      </c>
      <c r="X188" s="25">
        <f>$N$196/4</f>
        <v>3350</v>
      </c>
      <c r="Y188" s="25"/>
      <c r="Z188" s="26"/>
      <c r="AA188" s="25"/>
      <c r="AB188" s="25">
        <f>($N$196/4)*7</f>
        <v>23450</v>
      </c>
      <c r="AC188" s="25"/>
      <c r="AD188" s="25"/>
      <c r="AE188" s="25"/>
      <c r="AF188" s="25"/>
      <c r="AG188" s="26"/>
      <c r="AH188" s="25">
        <f>($N$196/4)*4</f>
        <v>13400</v>
      </c>
      <c r="AI188" s="25"/>
      <c r="AJ188" s="25"/>
      <c r="AK188" s="27"/>
      <c r="AL188" s="28">
        <f>SUM(I188:AK188)</f>
        <v>70350</v>
      </c>
      <c r="AM188" s="21"/>
      <c r="AN188" s="21"/>
      <c r="AO188" s="21"/>
      <c r="AP188" s="525"/>
      <c r="AQ188" s="21"/>
      <c r="AR188" s="21"/>
      <c r="AS188" s="525"/>
      <c r="AT188" s="525"/>
      <c r="AU188" s="22"/>
      <c r="AV188" s="525"/>
    </row>
    <row r="189" spans="1:48">
      <c r="A189" s="584"/>
      <c r="B189" s="531"/>
      <c r="C189" s="587"/>
      <c r="D189" s="587"/>
      <c r="E189" s="587"/>
      <c r="F189" s="587"/>
      <c r="G189" s="29"/>
      <c r="H189" s="24" t="s">
        <v>79</v>
      </c>
      <c r="I189" s="25">
        <v>3</v>
      </c>
      <c r="J189" s="25">
        <v>3</v>
      </c>
      <c r="K189" s="25">
        <v>3</v>
      </c>
      <c r="L189" s="26"/>
      <c r="M189" s="25">
        <v>3</v>
      </c>
      <c r="N189" s="25">
        <v>3</v>
      </c>
      <c r="O189" s="25">
        <v>3</v>
      </c>
      <c r="P189" s="26"/>
      <c r="Q189" s="26"/>
      <c r="R189" s="26"/>
      <c r="S189" s="26"/>
      <c r="T189" s="25">
        <v>3</v>
      </c>
      <c r="U189" s="25">
        <v>3</v>
      </c>
      <c r="V189" s="26"/>
      <c r="W189" s="25">
        <v>3</v>
      </c>
      <c r="X189" s="25">
        <v>3</v>
      </c>
      <c r="Y189" s="25"/>
      <c r="Z189" s="26"/>
      <c r="AA189" s="25"/>
      <c r="AB189" s="25">
        <v>3</v>
      </c>
      <c r="AC189" s="25"/>
      <c r="AD189" s="25"/>
      <c r="AE189" s="25"/>
      <c r="AF189" s="25"/>
      <c r="AG189" s="26"/>
      <c r="AH189" s="25">
        <v>3</v>
      </c>
      <c r="AI189" s="25"/>
      <c r="AJ189" s="25"/>
      <c r="AK189" s="27"/>
      <c r="AL189" s="28"/>
      <c r="AM189" s="21"/>
      <c r="AN189" s="21"/>
      <c r="AO189" s="21"/>
      <c r="AP189" s="525"/>
      <c r="AQ189" s="21"/>
      <c r="AR189" s="21"/>
      <c r="AS189" s="525"/>
      <c r="AT189" s="525"/>
      <c r="AU189" s="22"/>
      <c r="AV189" s="525"/>
    </row>
    <row r="190" spans="1:48">
      <c r="A190" s="584"/>
      <c r="B190" s="531"/>
      <c r="C190" s="587"/>
      <c r="D190" s="587"/>
      <c r="E190" s="587"/>
      <c r="F190" s="587"/>
      <c r="G190" s="29"/>
      <c r="H190" s="30" t="s">
        <v>16</v>
      </c>
      <c r="I190" s="31">
        <v>4456</v>
      </c>
      <c r="J190" s="31">
        <v>4536</v>
      </c>
      <c r="K190" s="31">
        <v>7057</v>
      </c>
      <c r="L190" s="26"/>
      <c r="M190" s="31">
        <v>5034</v>
      </c>
      <c r="N190" s="31">
        <v>8037</v>
      </c>
      <c r="O190" s="31">
        <v>6729</v>
      </c>
      <c r="P190" s="26"/>
      <c r="Q190" s="26"/>
      <c r="R190" s="26"/>
      <c r="S190" s="26"/>
      <c r="T190" s="31">
        <v>7188</v>
      </c>
      <c r="U190" s="31">
        <v>7441</v>
      </c>
      <c r="V190" s="26"/>
      <c r="W190" s="31">
        <f>1323+479+1189+1447+1464+1414</f>
        <v>7316</v>
      </c>
      <c r="X190" s="31">
        <v>573</v>
      </c>
      <c r="Y190" s="31"/>
      <c r="Z190" s="26"/>
      <c r="AA190" s="31"/>
      <c r="AB190" s="31"/>
      <c r="AC190" s="31"/>
      <c r="AD190" s="31"/>
      <c r="AE190" s="31"/>
      <c r="AF190" s="31"/>
      <c r="AG190" s="26"/>
      <c r="AH190" s="31">
        <v>849</v>
      </c>
      <c r="AI190" s="31"/>
      <c r="AJ190" s="31"/>
      <c r="AK190" s="32"/>
      <c r="AL190" s="33">
        <f>SUM(I190:AK190)</f>
        <v>59216</v>
      </c>
      <c r="AM190" s="21"/>
      <c r="AN190" s="21"/>
      <c r="AO190" s="21"/>
      <c r="AP190" s="525"/>
      <c r="AQ190" s="21"/>
      <c r="AR190" s="21"/>
      <c r="AS190" s="525"/>
      <c r="AT190" s="525"/>
      <c r="AU190" s="22"/>
      <c r="AV190" s="525"/>
    </row>
    <row r="191" spans="1:48">
      <c r="A191" s="584"/>
      <c r="B191" s="531"/>
      <c r="C191" s="587"/>
      <c r="D191" s="587"/>
      <c r="E191" s="587"/>
      <c r="F191" s="587"/>
      <c r="G191" s="29"/>
      <c r="H191" s="30" t="s">
        <v>17</v>
      </c>
      <c r="I191" s="31">
        <f>I190-I188</f>
        <v>1106</v>
      </c>
      <c r="J191" s="31">
        <f>I191+(J190-J188)</f>
        <v>2292</v>
      </c>
      <c r="K191" s="31">
        <f>J191+(K190-K188)</f>
        <v>5999</v>
      </c>
      <c r="L191" s="26"/>
      <c r="M191" s="31">
        <f>K191+(M190-M188)</f>
        <v>7683</v>
      </c>
      <c r="N191" s="31">
        <f>M191+(N190-N188)</f>
        <v>12370</v>
      </c>
      <c r="O191" s="31">
        <f>N191+(O190-O188)</f>
        <v>15749</v>
      </c>
      <c r="P191" s="26"/>
      <c r="Q191" s="26"/>
      <c r="R191" s="26"/>
      <c r="S191" s="26"/>
      <c r="T191" s="31">
        <f>O191+(T190-T188)</f>
        <v>19587</v>
      </c>
      <c r="U191" s="31">
        <f>T191+(U190-U188)</f>
        <v>23678</v>
      </c>
      <c r="V191" s="26"/>
      <c r="W191" s="31">
        <f>U191+(W190-W188)</f>
        <v>27644</v>
      </c>
      <c r="X191" s="31">
        <f>W191+(X190-X188)</f>
        <v>24867</v>
      </c>
      <c r="Y191" s="31">
        <f>X191+(Y190-Y188)</f>
        <v>24867</v>
      </c>
      <c r="Z191" s="26"/>
      <c r="AA191" s="31">
        <f>Y191+(AA190-AA188)</f>
        <v>24867</v>
      </c>
      <c r="AB191" s="31">
        <f>AA191+(AB190-AB188)</f>
        <v>1417</v>
      </c>
      <c r="AC191" s="31">
        <f>AB191+(AC190-AC188)</f>
        <v>1417</v>
      </c>
      <c r="AD191" s="31">
        <f t="shared" ref="AD191:AF191" si="35">AC191+(AD190-AD188)</f>
        <v>1417</v>
      </c>
      <c r="AE191" s="31">
        <f t="shared" si="35"/>
        <v>1417</v>
      </c>
      <c r="AF191" s="31">
        <f t="shared" si="35"/>
        <v>1417</v>
      </c>
      <c r="AG191" s="26"/>
      <c r="AH191" s="31">
        <f>AF191+(AH190-AH188)</f>
        <v>-11134</v>
      </c>
      <c r="AI191" s="31"/>
      <c r="AJ191" s="31"/>
      <c r="AK191" s="32"/>
      <c r="AL191" s="33"/>
      <c r="AM191" s="21"/>
      <c r="AN191" s="21"/>
      <c r="AO191" s="21"/>
      <c r="AP191" s="525"/>
      <c r="AQ191" s="21"/>
      <c r="AR191" s="21"/>
      <c r="AS191" s="525"/>
      <c r="AT191" s="525"/>
      <c r="AU191" s="22"/>
      <c r="AV191" s="525"/>
    </row>
    <row r="192" spans="1:48">
      <c r="A192" s="584"/>
      <c r="B192" s="531"/>
      <c r="C192" s="587"/>
      <c r="D192" s="587"/>
      <c r="E192" s="587"/>
      <c r="F192" s="587"/>
      <c r="G192" s="29" t="s">
        <v>81</v>
      </c>
      <c r="H192" s="24" t="s">
        <v>29</v>
      </c>
      <c r="I192" s="25"/>
      <c r="J192" s="25"/>
      <c r="K192" s="25"/>
      <c r="L192" s="26"/>
      <c r="M192" s="25"/>
      <c r="N192" s="25">
        <f>3350*4</f>
        <v>13400</v>
      </c>
      <c r="O192" s="25"/>
      <c r="P192" s="26"/>
      <c r="Q192" s="26"/>
      <c r="R192" s="26"/>
      <c r="S192" s="26"/>
      <c r="T192" s="25"/>
      <c r="U192" s="25"/>
      <c r="V192" s="26"/>
      <c r="W192" s="25">
        <f>3350*4</f>
        <v>13400</v>
      </c>
      <c r="X192" s="25"/>
      <c r="Y192" s="25"/>
      <c r="Z192" s="26"/>
      <c r="AA192" s="25"/>
      <c r="AB192" s="25">
        <f>3350*4</f>
        <v>13400</v>
      </c>
      <c r="AC192" s="25"/>
      <c r="AD192" s="25"/>
      <c r="AE192" s="25"/>
      <c r="AF192" s="25">
        <f>3350*4</f>
        <v>13400</v>
      </c>
      <c r="AG192" s="26"/>
      <c r="AH192" s="25"/>
      <c r="AI192" s="25"/>
      <c r="AJ192" s="25"/>
      <c r="AK192" s="27">
        <f>3350*4</f>
        <v>13400</v>
      </c>
      <c r="AL192" s="28">
        <f>SUM(I192:AK192)</f>
        <v>67000</v>
      </c>
      <c r="AM192" s="21"/>
      <c r="AN192" s="21"/>
      <c r="AO192" s="21"/>
      <c r="AP192" s="525"/>
      <c r="AQ192" s="21"/>
      <c r="AR192" s="21"/>
      <c r="AS192" s="525"/>
      <c r="AT192" s="525"/>
      <c r="AU192" s="22"/>
      <c r="AV192" s="525"/>
    </row>
    <row r="193" spans="1:48">
      <c r="A193" s="584"/>
      <c r="B193" s="531"/>
      <c r="C193" s="587"/>
      <c r="D193" s="587"/>
      <c r="E193" s="587"/>
      <c r="F193" s="587"/>
      <c r="G193" s="29"/>
      <c r="H193" s="24" t="s">
        <v>48</v>
      </c>
      <c r="I193" s="25"/>
      <c r="J193" s="25"/>
      <c r="K193" s="25"/>
      <c r="L193" s="26"/>
      <c r="M193" s="25"/>
      <c r="N193" s="25">
        <v>1</v>
      </c>
      <c r="O193" s="25"/>
      <c r="P193" s="26"/>
      <c r="Q193" s="26"/>
      <c r="R193" s="26"/>
      <c r="S193" s="26"/>
      <c r="T193" s="25"/>
      <c r="U193" s="25"/>
      <c r="V193" s="26"/>
      <c r="W193" s="25">
        <v>1</v>
      </c>
      <c r="X193" s="25"/>
      <c r="Y193" s="25"/>
      <c r="Z193" s="26"/>
      <c r="AA193" s="25"/>
      <c r="AB193" s="25">
        <v>1</v>
      </c>
      <c r="AC193" s="25"/>
      <c r="AD193" s="25"/>
      <c r="AE193" s="25"/>
      <c r="AF193" s="25">
        <v>1</v>
      </c>
      <c r="AG193" s="26"/>
      <c r="AH193" s="25"/>
      <c r="AI193" s="25"/>
      <c r="AJ193" s="25"/>
      <c r="AK193" s="27">
        <v>1</v>
      </c>
      <c r="AL193" s="28"/>
      <c r="AM193" s="21"/>
      <c r="AN193" s="21"/>
      <c r="AO193" s="21"/>
      <c r="AP193" s="525"/>
      <c r="AQ193" s="21"/>
      <c r="AR193" s="21"/>
      <c r="AS193" s="525"/>
      <c r="AT193" s="525"/>
      <c r="AU193" s="22"/>
      <c r="AV193" s="525"/>
    </row>
    <row r="194" spans="1:48">
      <c r="A194" s="584"/>
      <c r="B194" s="531"/>
      <c r="C194" s="587"/>
      <c r="D194" s="587"/>
      <c r="E194" s="587"/>
      <c r="F194" s="587"/>
      <c r="G194" s="29"/>
      <c r="H194" s="30" t="s">
        <v>16</v>
      </c>
      <c r="I194" s="31"/>
      <c r="J194" s="31"/>
      <c r="K194" s="31"/>
      <c r="L194" s="26"/>
      <c r="M194" s="31">
        <v>27780</v>
      </c>
      <c r="N194" s="31"/>
      <c r="O194" s="31"/>
      <c r="P194" s="26"/>
      <c r="Q194" s="26"/>
      <c r="R194" s="26"/>
      <c r="S194" s="26"/>
      <c r="T194" s="31"/>
      <c r="U194" s="31">
        <v>12774</v>
      </c>
      <c r="V194" s="26"/>
      <c r="W194" s="31"/>
      <c r="X194" s="31"/>
      <c r="Y194" s="31">
        <v>1814</v>
      </c>
      <c r="Z194" s="26"/>
      <c r="AA194" s="31"/>
      <c r="AB194" s="31">
        <v>33749</v>
      </c>
      <c r="AC194" s="31"/>
      <c r="AD194" s="31"/>
      <c r="AE194" s="31">
        <v>23415</v>
      </c>
      <c r="AF194" s="31"/>
      <c r="AG194" s="26"/>
      <c r="AH194" s="31"/>
      <c r="AI194" s="31"/>
      <c r="AJ194" s="31"/>
      <c r="AK194" s="32"/>
      <c r="AL194" s="33">
        <f>SUM(I194:AK194)</f>
        <v>99532</v>
      </c>
      <c r="AM194" s="21"/>
      <c r="AN194" s="21"/>
      <c r="AO194" s="21"/>
      <c r="AP194" s="525"/>
      <c r="AQ194" s="21"/>
      <c r="AR194" s="21"/>
      <c r="AS194" s="525"/>
      <c r="AT194" s="525"/>
      <c r="AU194" s="22"/>
      <c r="AV194" s="525"/>
    </row>
    <row r="195" spans="1:48">
      <c r="A195" s="584"/>
      <c r="B195" s="531"/>
      <c r="C195" s="587"/>
      <c r="D195" s="587"/>
      <c r="E195" s="587"/>
      <c r="F195" s="587"/>
      <c r="G195" s="29"/>
      <c r="H195" s="30" t="s">
        <v>17</v>
      </c>
      <c r="I195" s="31">
        <f>I194-I192</f>
        <v>0</v>
      </c>
      <c r="J195" s="31">
        <f>I195+(J194-J192)</f>
        <v>0</v>
      </c>
      <c r="K195" s="31">
        <f>J195+(K194-K192)</f>
        <v>0</v>
      </c>
      <c r="L195" s="26"/>
      <c r="M195" s="31">
        <f>K195+(M194-M192)</f>
        <v>27780</v>
      </c>
      <c r="N195" s="31">
        <f>M195+(N194-N192)</f>
        <v>14380</v>
      </c>
      <c r="O195" s="31">
        <f>N195+(O194-O192)</f>
        <v>14380</v>
      </c>
      <c r="P195" s="26"/>
      <c r="Q195" s="26"/>
      <c r="R195" s="26"/>
      <c r="S195" s="26"/>
      <c r="T195" s="31">
        <f>O195+(T194-T192)</f>
        <v>14380</v>
      </c>
      <c r="U195" s="31">
        <f>T195+(U194-U192)</f>
        <v>27154</v>
      </c>
      <c r="V195" s="26"/>
      <c r="W195" s="31">
        <f>U195+(W194-W192)</f>
        <v>13754</v>
      </c>
      <c r="X195" s="31">
        <f>W195+(X194-X192)</f>
        <v>13754</v>
      </c>
      <c r="Y195" s="31">
        <f>X195+(Y194-Y192)</f>
        <v>15568</v>
      </c>
      <c r="Z195" s="26"/>
      <c r="AA195" s="31">
        <f>Y195+(AA194-AA192)</f>
        <v>15568</v>
      </c>
      <c r="AB195" s="31">
        <f>AA195+(AB194-AB192)</f>
        <v>35917</v>
      </c>
      <c r="AC195" s="31">
        <f>AB195+(AC194-AC192)</f>
        <v>35917</v>
      </c>
      <c r="AD195" s="31">
        <f>AC195+(AD194-AD192)</f>
        <v>35917</v>
      </c>
      <c r="AE195" s="31">
        <f>AD195+(AE194-AE192)</f>
        <v>59332</v>
      </c>
      <c r="AF195" s="31">
        <f>AE195+(AF194-AF192)</f>
        <v>45932</v>
      </c>
      <c r="AG195" s="26"/>
      <c r="AH195" s="31"/>
      <c r="AI195" s="31"/>
      <c r="AJ195" s="31"/>
      <c r="AK195" s="32"/>
      <c r="AL195" s="33"/>
      <c r="AM195" s="21"/>
      <c r="AN195" s="21"/>
      <c r="AO195" s="21"/>
      <c r="AP195" s="21"/>
      <c r="AQ195" s="21"/>
      <c r="AR195" s="21"/>
      <c r="AS195" s="21"/>
      <c r="AT195" s="21"/>
      <c r="AU195" s="22"/>
      <c r="AV195" s="21"/>
    </row>
    <row r="196" spans="1:48">
      <c r="A196" s="584"/>
      <c r="B196" s="531"/>
      <c r="C196" s="587"/>
      <c r="D196" s="587"/>
      <c r="E196" s="587"/>
      <c r="F196" s="587"/>
      <c r="G196" s="29" t="s">
        <v>82</v>
      </c>
      <c r="H196" s="24" t="s">
        <v>29</v>
      </c>
      <c r="I196" s="25"/>
      <c r="J196" s="25"/>
      <c r="K196" s="25"/>
      <c r="L196" s="26"/>
      <c r="M196" s="25"/>
      <c r="N196" s="25">
        <f>3350*4</f>
        <v>13400</v>
      </c>
      <c r="O196" s="25"/>
      <c r="P196" s="26"/>
      <c r="Q196" s="26"/>
      <c r="R196" s="26"/>
      <c r="S196" s="26"/>
      <c r="T196" s="25"/>
      <c r="U196" s="25"/>
      <c r="V196" s="26"/>
      <c r="W196" s="25">
        <f>3350*4</f>
        <v>13400</v>
      </c>
      <c r="X196" s="25"/>
      <c r="Y196" s="25"/>
      <c r="Z196" s="26"/>
      <c r="AA196" s="25"/>
      <c r="AB196" s="25">
        <f>3350*4</f>
        <v>13400</v>
      </c>
      <c r="AC196" s="25"/>
      <c r="AD196" s="25"/>
      <c r="AE196" s="25"/>
      <c r="AF196" s="25">
        <f>3350*4</f>
        <v>13400</v>
      </c>
      <c r="AG196" s="26"/>
      <c r="AH196" s="25"/>
      <c r="AI196" s="25"/>
      <c r="AJ196" s="25"/>
      <c r="AK196" s="27">
        <f>3350*4</f>
        <v>13400</v>
      </c>
      <c r="AL196" s="28">
        <f>SUM(I196:AK196)</f>
        <v>67000</v>
      </c>
      <c r="AM196" s="21"/>
      <c r="AN196" s="21"/>
      <c r="AO196" s="21"/>
      <c r="AP196" s="21"/>
      <c r="AQ196" s="21"/>
      <c r="AR196" s="21"/>
      <c r="AS196" s="21"/>
      <c r="AT196" s="21"/>
      <c r="AU196" s="22"/>
      <c r="AV196" s="21"/>
    </row>
    <row r="197" spans="1:48">
      <c r="A197" s="584"/>
      <c r="B197" s="531"/>
      <c r="C197" s="587"/>
      <c r="D197" s="587"/>
      <c r="E197" s="587"/>
      <c r="F197" s="587"/>
      <c r="G197" s="29"/>
      <c r="H197" s="24" t="s">
        <v>48</v>
      </c>
      <c r="I197" s="25"/>
      <c r="J197" s="25"/>
      <c r="K197" s="25"/>
      <c r="L197" s="26"/>
      <c r="M197" s="25"/>
      <c r="N197" s="25">
        <v>1</v>
      </c>
      <c r="O197" s="25"/>
      <c r="P197" s="26"/>
      <c r="Q197" s="26"/>
      <c r="R197" s="26"/>
      <c r="S197" s="26"/>
      <c r="T197" s="25"/>
      <c r="U197" s="25"/>
      <c r="V197" s="26"/>
      <c r="W197" s="25"/>
      <c r="X197" s="25"/>
      <c r="Y197" s="25"/>
      <c r="Z197" s="26"/>
      <c r="AA197" s="25"/>
      <c r="AB197" s="25"/>
      <c r="AC197" s="25"/>
      <c r="AD197" s="25"/>
      <c r="AE197" s="25"/>
      <c r="AF197" s="25"/>
      <c r="AG197" s="26"/>
      <c r="AH197" s="25"/>
      <c r="AI197" s="25"/>
      <c r="AJ197" s="25"/>
      <c r="AK197" s="27"/>
      <c r="AL197" s="28"/>
      <c r="AM197" s="21"/>
      <c r="AN197" s="21"/>
      <c r="AO197" s="21"/>
      <c r="AP197" s="21"/>
      <c r="AQ197" s="21"/>
      <c r="AR197" s="21"/>
      <c r="AS197" s="21"/>
      <c r="AT197" s="21"/>
      <c r="AU197" s="22"/>
      <c r="AV197" s="21"/>
    </row>
    <row r="198" spans="1:48">
      <c r="A198" s="584"/>
      <c r="B198" s="531"/>
      <c r="C198" s="587"/>
      <c r="D198" s="587"/>
      <c r="E198" s="587"/>
      <c r="F198" s="587"/>
      <c r="G198" s="29"/>
      <c r="H198" s="30" t="s">
        <v>16</v>
      </c>
      <c r="I198" s="31"/>
      <c r="J198" s="31"/>
      <c r="K198" s="31"/>
      <c r="L198" s="26"/>
      <c r="M198" s="31">
        <v>10442</v>
      </c>
      <c r="N198" s="31"/>
      <c r="O198" s="31"/>
      <c r="P198" s="26"/>
      <c r="Q198" s="26"/>
      <c r="R198" s="26"/>
      <c r="S198" s="26"/>
      <c r="T198" s="31">
        <v>25690</v>
      </c>
      <c r="U198" s="31"/>
      <c r="V198" s="26"/>
      <c r="W198" s="31"/>
      <c r="X198" s="31"/>
      <c r="Y198" s="31">
        <v>17896</v>
      </c>
      <c r="Z198" s="26"/>
      <c r="AA198" s="31"/>
      <c r="AB198" s="31"/>
      <c r="AC198" s="31"/>
      <c r="AD198" s="31"/>
      <c r="AE198" s="31"/>
      <c r="AF198" s="31"/>
      <c r="AG198" s="26"/>
      <c r="AH198" s="31"/>
      <c r="AI198" s="31"/>
      <c r="AJ198" s="31"/>
      <c r="AK198" s="31"/>
      <c r="AL198" s="76">
        <f>SUM(I198:AK198)</f>
        <v>54028</v>
      </c>
      <c r="AM198" s="21"/>
      <c r="AN198" s="21"/>
      <c r="AO198" s="21"/>
      <c r="AP198" s="21"/>
      <c r="AQ198" s="21"/>
      <c r="AR198" s="21"/>
      <c r="AS198" s="21"/>
      <c r="AT198" s="21"/>
      <c r="AU198" s="22"/>
      <c r="AV198" s="21"/>
    </row>
    <row r="199" spans="1:48" ht="15.75" thickBot="1">
      <c r="A199" s="585"/>
      <c r="B199" s="532"/>
      <c r="C199" s="588"/>
      <c r="D199" s="588"/>
      <c r="E199" s="588"/>
      <c r="F199" s="588"/>
      <c r="G199" s="67"/>
      <c r="H199" s="68" t="s">
        <v>17</v>
      </c>
      <c r="I199" s="72">
        <f>I198-I196</f>
        <v>0</v>
      </c>
      <c r="J199" s="72">
        <f>I199+(J198-J196)</f>
        <v>0</v>
      </c>
      <c r="K199" s="72">
        <f>J199+(K198-K196)</f>
        <v>0</v>
      </c>
      <c r="L199" s="71"/>
      <c r="M199" s="72">
        <f>K199+(M198-M196)</f>
        <v>10442</v>
      </c>
      <c r="N199" s="72">
        <f>M199+(N198-N196)</f>
        <v>-2958</v>
      </c>
      <c r="O199" s="72">
        <f>N199+(O198-O196)</f>
        <v>-2958</v>
      </c>
      <c r="P199" s="71"/>
      <c r="Q199" s="71"/>
      <c r="R199" s="71"/>
      <c r="S199" s="71"/>
      <c r="T199" s="72">
        <f>O199+(T198-T196)</f>
        <v>22732</v>
      </c>
      <c r="U199" s="72">
        <f>T199+(U198-U196)</f>
        <v>22732</v>
      </c>
      <c r="V199" s="71"/>
      <c r="W199" s="72">
        <f>U199+(W198-W196)</f>
        <v>9332</v>
      </c>
      <c r="X199" s="72">
        <f>W199+(X198-X196)</f>
        <v>9332</v>
      </c>
      <c r="Y199" s="72">
        <f>X199+(Y198-Y196)</f>
        <v>27228</v>
      </c>
      <c r="Z199" s="71"/>
      <c r="AA199" s="72">
        <f>Y199+(AA198-AA196)</f>
        <v>27228</v>
      </c>
      <c r="AB199" s="72">
        <f>AA199+(AB198-AB196)</f>
        <v>13828</v>
      </c>
      <c r="AC199" s="72">
        <f>AB199+(AC198-AC196)</f>
        <v>13828</v>
      </c>
      <c r="AD199" s="72">
        <f>AC199+(AD198-AD196)</f>
        <v>13828</v>
      </c>
      <c r="AE199" s="72">
        <f>AD199+(AE198-AE196)</f>
        <v>13828</v>
      </c>
      <c r="AF199" s="72"/>
      <c r="AG199" s="71"/>
      <c r="AH199" s="72"/>
      <c r="AI199" s="72"/>
      <c r="AJ199" s="72"/>
      <c r="AK199" s="73"/>
      <c r="AL199" s="43"/>
      <c r="AM199" s="21"/>
      <c r="AN199" s="21"/>
      <c r="AO199" s="21"/>
      <c r="AP199" s="21"/>
      <c r="AQ199" s="21"/>
      <c r="AR199" s="21"/>
      <c r="AS199" s="21"/>
      <c r="AT199" s="21"/>
      <c r="AU199" s="22"/>
      <c r="AV199" s="21"/>
    </row>
    <row r="200" spans="1:48" ht="15" customHeight="1">
      <c r="A200" s="527" t="s">
        <v>83</v>
      </c>
      <c r="B200" s="530" t="s">
        <v>84</v>
      </c>
      <c r="C200" s="563">
        <v>3350</v>
      </c>
      <c r="D200" s="536">
        <v>1.4750000000000001</v>
      </c>
      <c r="E200" s="564"/>
      <c r="F200" s="534" t="s">
        <v>85</v>
      </c>
      <c r="G200" s="49" t="s">
        <v>86</v>
      </c>
      <c r="H200" s="74" t="s">
        <v>87</v>
      </c>
      <c r="I200" s="77"/>
      <c r="J200" s="77"/>
      <c r="K200" s="77"/>
      <c r="L200" s="64"/>
      <c r="M200" s="77"/>
      <c r="N200" s="77"/>
      <c r="O200" s="77"/>
      <c r="P200" s="64"/>
      <c r="Q200" s="64"/>
      <c r="R200" s="64"/>
      <c r="S200" s="64"/>
      <c r="T200" s="77"/>
      <c r="U200" s="77"/>
      <c r="V200" s="64"/>
      <c r="W200" s="77">
        <f>(($AK$240*$D$200/5)*7)*3</f>
        <v>103766.25</v>
      </c>
      <c r="X200" s="77">
        <f>($AK$240*$D$200/5)*7</f>
        <v>34588.75</v>
      </c>
      <c r="Y200" s="77">
        <f>($AK$240*$D$200/5)*14</f>
        <v>69177.5</v>
      </c>
      <c r="Z200" s="64"/>
      <c r="AA200" s="77"/>
      <c r="AB200" s="77">
        <f>(($AK$240*$D$200/5)*14)*2</f>
        <v>138355</v>
      </c>
      <c r="AC200" s="77">
        <f t="shared" ref="AC200:AF200" si="36">($AK$240*$D$200/5)*14</f>
        <v>69177.5</v>
      </c>
      <c r="AD200" s="77">
        <f t="shared" si="36"/>
        <v>69177.5</v>
      </c>
      <c r="AE200" s="77">
        <f t="shared" si="36"/>
        <v>69177.5</v>
      </c>
      <c r="AF200" s="77">
        <f t="shared" si="36"/>
        <v>69177.5</v>
      </c>
      <c r="AG200" s="64"/>
      <c r="AH200" s="77">
        <f>($AK$240*$D$200/5)*14</f>
        <v>69177.5</v>
      </c>
      <c r="AI200" s="77">
        <f>($AK$240*$D$200/5)*14</f>
        <v>69177.5</v>
      </c>
      <c r="AJ200" s="77">
        <f>($AK$240*$D$200/5)*14</f>
        <v>69177.5</v>
      </c>
      <c r="AK200" s="78">
        <f>($AK$240*$D$200/5)*14</f>
        <v>69177.5</v>
      </c>
      <c r="AL200" s="79">
        <f>SUM(I200:AK200)</f>
        <v>899307.5</v>
      </c>
      <c r="AM200" s="21"/>
      <c r="AN200" s="21"/>
      <c r="AO200" s="21"/>
      <c r="AP200" s="21"/>
      <c r="AQ200" s="21"/>
      <c r="AR200" s="21"/>
      <c r="AS200" s="525"/>
      <c r="AT200" s="525"/>
      <c r="AU200" s="22"/>
      <c r="AV200" s="525"/>
    </row>
    <row r="201" spans="1:48">
      <c r="A201" s="528"/>
      <c r="B201" s="531"/>
      <c r="C201" s="564"/>
      <c r="D201" s="537"/>
      <c r="E201" s="564"/>
      <c r="F201" s="534"/>
      <c r="G201" s="49"/>
      <c r="H201" s="24" t="s">
        <v>88</v>
      </c>
      <c r="I201" s="47"/>
      <c r="J201" s="47"/>
      <c r="K201" s="47"/>
      <c r="L201" s="64"/>
      <c r="M201" s="47"/>
      <c r="N201" s="47"/>
      <c r="O201" s="47"/>
      <c r="P201" s="64"/>
      <c r="Q201" s="64"/>
      <c r="R201" s="64"/>
      <c r="S201" s="64"/>
      <c r="T201" s="47"/>
      <c r="U201" s="47"/>
      <c r="V201" s="64"/>
      <c r="W201" s="47">
        <v>2</v>
      </c>
      <c r="X201" s="47">
        <v>2</v>
      </c>
      <c r="Y201" s="47">
        <v>4</v>
      </c>
      <c r="Z201" s="64"/>
      <c r="AA201" s="47"/>
      <c r="AB201" s="47">
        <v>4</v>
      </c>
      <c r="AC201" s="47">
        <v>4</v>
      </c>
      <c r="AD201" s="47">
        <v>4</v>
      </c>
      <c r="AE201" s="47">
        <v>4</v>
      </c>
      <c r="AF201" s="47">
        <v>4</v>
      </c>
      <c r="AG201" s="64"/>
      <c r="AH201" s="47">
        <v>4</v>
      </c>
      <c r="AI201" s="47">
        <v>4</v>
      </c>
      <c r="AJ201" s="47">
        <v>4</v>
      </c>
      <c r="AK201" s="48">
        <v>4</v>
      </c>
      <c r="AL201" s="28"/>
      <c r="AM201" s="21"/>
      <c r="AN201" s="21"/>
      <c r="AO201" s="21"/>
      <c r="AP201" s="21"/>
      <c r="AQ201" s="21"/>
      <c r="AR201" s="21"/>
      <c r="AS201" s="525"/>
      <c r="AT201" s="525"/>
      <c r="AU201" s="22"/>
      <c r="AV201" s="525"/>
    </row>
    <row r="202" spans="1:48">
      <c r="A202" s="528"/>
      <c r="B202" s="531"/>
      <c r="C202" s="564"/>
      <c r="D202" s="537"/>
      <c r="E202" s="564"/>
      <c r="F202" s="534"/>
      <c r="G202" s="49"/>
      <c r="H202" s="30" t="s">
        <v>16</v>
      </c>
      <c r="I202" s="65"/>
      <c r="J202" s="65"/>
      <c r="K202" s="65"/>
      <c r="L202" s="64"/>
      <c r="M202" s="65"/>
      <c r="N202" s="65"/>
      <c r="O202" s="65"/>
      <c r="P202" s="64"/>
      <c r="Q202" s="64"/>
      <c r="R202" s="64"/>
      <c r="S202" s="64"/>
      <c r="T202" s="65"/>
      <c r="U202" s="65"/>
      <c r="V202" s="64"/>
      <c r="W202" s="65">
        <v>20205</v>
      </c>
      <c r="X202" s="65">
        <v>39062</v>
      </c>
      <c r="Y202" s="65">
        <f>8208</f>
        <v>8208</v>
      </c>
      <c r="Z202" s="64"/>
      <c r="AA202" s="65"/>
      <c r="AB202" s="65">
        <v>20230</v>
      </c>
      <c r="AC202" s="65">
        <v>41422</v>
      </c>
      <c r="AD202" s="65">
        <f>4896+12609</f>
        <v>17505</v>
      </c>
      <c r="AE202" s="65">
        <v>17556</v>
      </c>
      <c r="AF202" s="65">
        <v>21925</v>
      </c>
      <c r="AG202" s="64"/>
      <c r="AH202" s="65">
        <f>8359+9214+6071</f>
        <v>23644</v>
      </c>
      <c r="AI202" s="65">
        <f>7688+11924+8670</f>
        <v>28282</v>
      </c>
      <c r="AJ202" s="65">
        <v>37760</v>
      </c>
      <c r="AK202" s="66">
        <v>54874</v>
      </c>
      <c r="AL202" s="33">
        <f>SUM(I202:AK202)</f>
        <v>330673</v>
      </c>
      <c r="AM202" s="21"/>
      <c r="AN202" s="21"/>
      <c r="AO202" s="21"/>
      <c r="AP202" s="21"/>
      <c r="AQ202" s="21"/>
      <c r="AR202" s="21"/>
      <c r="AS202" s="525"/>
      <c r="AT202" s="525"/>
      <c r="AU202" s="22"/>
      <c r="AV202" s="525"/>
    </row>
    <row r="203" spans="1:48">
      <c r="A203" s="528"/>
      <c r="B203" s="531"/>
      <c r="C203" s="564"/>
      <c r="D203" s="537"/>
      <c r="E203" s="564"/>
      <c r="F203" s="534"/>
      <c r="G203" s="29"/>
      <c r="H203" s="30" t="s">
        <v>17</v>
      </c>
      <c r="I203" s="31">
        <f>I202-I200</f>
        <v>0</v>
      </c>
      <c r="J203" s="31">
        <f>I203+(J202-J200)</f>
        <v>0</v>
      </c>
      <c r="K203" s="31">
        <f>J203+(K202-K200)</f>
        <v>0</v>
      </c>
      <c r="L203" s="26"/>
      <c r="M203" s="31">
        <f>K203+(M202-M200)</f>
        <v>0</v>
      </c>
      <c r="N203" s="31">
        <f>M203+(N202-N200)</f>
        <v>0</v>
      </c>
      <c r="O203" s="31">
        <f>N203+(O202-O200)</f>
        <v>0</v>
      </c>
      <c r="P203" s="26"/>
      <c r="Q203" s="26"/>
      <c r="R203" s="26"/>
      <c r="S203" s="26"/>
      <c r="T203" s="31">
        <f>O203+(T202-T200)</f>
        <v>0</v>
      </c>
      <c r="U203" s="31">
        <f>T203+(U202-U200)</f>
        <v>0</v>
      </c>
      <c r="V203" s="26"/>
      <c r="W203" s="31">
        <f>U203+(W202-W200)</f>
        <v>-83561.25</v>
      </c>
      <c r="X203" s="31">
        <f>W203+(X202-X200)</f>
        <v>-79088</v>
      </c>
      <c r="Y203" s="31">
        <f>X203+(Y202-Y200)</f>
        <v>-140057.5</v>
      </c>
      <c r="Z203" s="26"/>
      <c r="AA203" s="31">
        <f>Y203+(AA202-AA200)</f>
        <v>-140057.5</v>
      </c>
      <c r="AB203" s="31">
        <f>AA203+(AB202-AB200)</f>
        <v>-258182.5</v>
      </c>
      <c r="AC203" s="31">
        <f>AB203+(AC202-AC200)</f>
        <v>-285938</v>
      </c>
      <c r="AD203" s="31">
        <f>AC203+(AD202-AD200)</f>
        <v>-337610.5</v>
      </c>
      <c r="AE203" s="31">
        <f>AD203+(AE202-AE200)</f>
        <v>-389232</v>
      </c>
      <c r="AF203" s="31">
        <f>AE203+(AF202-AF200)</f>
        <v>-436484.5</v>
      </c>
      <c r="AG203" s="64"/>
      <c r="AH203" s="31">
        <f>AF203+(AH202-AH200)</f>
        <v>-482018</v>
      </c>
      <c r="AI203" s="31">
        <f>AH203+(AI202-AI200)</f>
        <v>-522913.5</v>
      </c>
      <c r="AJ203" s="31">
        <f>AI203+(AJ202-AJ200)</f>
        <v>-554331</v>
      </c>
      <c r="AK203" s="31">
        <f>AJ203+(AK202-AK200)</f>
        <v>-568634.5</v>
      </c>
      <c r="AL203" s="33"/>
      <c r="AM203" s="21"/>
      <c r="AN203" s="21"/>
      <c r="AO203" s="21"/>
      <c r="AP203" s="21"/>
      <c r="AQ203" s="21"/>
      <c r="AR203" s="21"/>
      <c r="AS203" s="525"/>
      <c r="AT203" s="525"/>
      <c r="AU203" s="22"/>
      <c r="AV203" s="525"/>
    </row>
    <row r="204" spans="1:48">
      <c r="A204" s="528"/>
      <c r="B204" s="531"/>
      <c r="C204" s="564"/>
      <c r="D204" s="537"/>
      <c r="E204" s="564"/>
      <c r="F204" s="534"/>
      <c r="G204" s="29" t="s">
        <v>89</v>
      </c>
      <c r="H204" s="24" t="s">
        <v>90</v>
      </c>
      <c r="I204" s="55"/>
      <c r="J204" s="55"/>
      <c r="K204" s="55"/>
      <c r="L204" s="26"/>
      <c r="M204" s="55"/>
      <c r="N204" s="55"/>
      <c r="O204" s="55"/>
      <c r="P204" s="26"/>
      <c r="Q204" s="26"/>
      <c r="R204" s="26"/>
      <c r="S204" s="26"/>
      <c r="T204" s="55"/>
      <c r="U204" s="55"/>
      <c r="V204" s="26"/>
      <c r="W204" s="55"/>
      <c r="X204" s="55"/>
      <c r="Y204" s="55"/>
      <c r="Z204" s="26"/>
      <c r="AA204" s="55"/>
      <c r="AB204" s="55">
        <f>($AK$240*$D$200/5)*5</f>
        <v>24706.25</v>
      </c>
      <c r="AC204" s="55">
        <f>($AK$240*$D$200/5)*5</f>
        <v>24706.25</v>
      </c>
      <c r="AD204" s="55"/>
      <c r="AE204" s="55">
        <f>($AK$240*$D$200/5)*5</f>
        <v>24706.25</v>
      </c>
      <c r="AF204" s="55">
        <f>($AK$240*$D$200/5)*5</f>
        <v>24706.25</v>
      </c>
      <c r="AG204" s="26"/>
      <c r="AH204" s="55">
        <f>($AK$240*$D$200/5)*5</f>
        <v>24706.25</v>
      </c>
      <c r="AI204" s="55">
        <f>($AK$240*$D$200/5)*5</f>
        <v>24706.25</v>
      </c>
      <c r="AJ204" s="55">
        <f>($AK$240*$D$200/5)*5</f>
        <v>24706.25</v>
      </c>
      <c r="AK204" s="57">
        <f>($AK$240*$D$200/5)*5</f>
        <v>24706.25</v>
      </c>
      <c r="AL204" s="28">
        <f>SUM(I204:AK204)</f>
        <v>197650</v>
      </c>
      <c r="AM204" s="21"/>
      <c r="AN204" s="21"/>
      <c r="AO204" s="21"/>
      <c r="AP204" s="21"/>
      <c r="AQ204" s="525"/>
      <c r="AR204" s="525"/>
      <c r="AS204" s="525"/>
      <c r="AT204" s="525"/>
      <c r="AU204" s="22"/>
      <c r="AV204" s="525"/>
    </row>
    <row r="205" spans="1:48">
      <c r="A205" s="528"/>
      <c r="B205" s="531"/>
      <c r="C205" s="564"/>
      <c r="D205" s="537"/>
      <c r="E205" s="564"/>
      <c r="F205" s="534"/>
      <c r="G205" s="29"/>
      <c r="H205" s="30" t="s">
        <v>16</v>
      </c>
      <c r="I205" s="58"/>
      <c r="J205" s="58"/>
      <c r="K205" s="58"/>
      <c r="L205" s="26"/>
      <c r="M205" s="58"/>
      <c r="N205" s="58"/>
      <c r="O205" s="58"/>
      <c r="P205" s="26"/>
      <c r="Q205" s="26"/>
      <c r="R205" s="26"/>
      <c r="S205" s="26"/>
      <c r="T205" s="58"/>
      <c r="U205" s="58"/>
      <c r="V205" s="26"/>
      <c r="W205" s="58"/>
      <c r="X205" s="58"/>
      <c r="Y205" s="58"/>
      <c r="Z205" s="26"/>
      <c r="AA205" s="58"/>
      <c r="AB205" s="58">
        <f>4151</f>
        <v>4151</v>
      </c>
      <c r="AC205" s="58"/>
      <c r="AD205" s="58"/>
      <c r="AE205" s="58"/>
      <c r="AF205" s="58"/>
      <c r="AG205" s="26"/>
      <c r="AH205" s="58"/>
      <c r="AI205" s="58"/>
      <c r="AJ205" s="58"/>
      <c r="AK205" s="59"/>
      <c r="AL205" s="33">
        <f>SUM(I205:AK205)</f>
        <v>4151</v>
      </c>
      <c r="AM205" s="21"/>
      <c r="AN205" s="21"/>
      <c r="AO205" s="21"/>
      <c r="AP205" s="21"/>
      <c r="AQ205" s="525"/>
      <c r="AR205" s="525"/>
      <c r="AS205" s="525"/>
      <c r="AT205" s="525"/>
      <c r="AU205" s="22"/>
      <c r="AV205" s="525"/>
    </row>
    <row r="206" spans="1:48">
      <c r="A206" s="528"/>
      <c r="B206" s="531"/>
      <c r="C206" s="564"/>
      <c r="D206" s="537"/>
      <c r="E206" s="564"/>
      <c r="F206" s="534"/>
      <c r="G206" s="29"/>
      <c r="H206" s="30" t="s">
        <v>17</v>
      </c>
      <c r="I206" s="58"/>
      <c r="J206" s="58"/>
      <c r="K206" s="58"/>
      <c r="L206" s="26"/>
      <c r="M206" s="58"/>
      <c r="N206" s="58"/>
      <c r="O206" s="58"/>
      <c r="P206" s="26"/>
      <c r="Q206" s="26"/>
      <c r="R206" s="26"/>
      <c r="S206" s="26"/>
      <c r="T206" s="58"/>
      <c r="U206" s="58"/>
      <c r="V206" s="26"/>
      <c r="W206" s="58"/>
      <c r="X206" s="58"/>
      <c r="Y206" s="58"/>
      <c r="Z206" s="26"/>
      <c r="AA206" s="31">
        <f>Y206+(AA205-AA204)</f>
        <v>0</v>
      </c>
      <c r="AB206" s="31">
        <f>AA206+(AB205-AB204)</f>
        <v>-20555.25</v>
      </c>
      <c r="AC206" s="31">
        <f>AB206+(AC205-AC204)</f>
        <v>-45261.5</v>
      </c>
      <c r="AD206" s="58"/>
      <c r="AE206" s="58"/>
      <c r="AF206" s="58"/>
      <c r="AG206" s="26"/>
      <c r="AH206" s="58"/>
      <c r="AI206" s="58"/>
      <c r="AJ206" s="58"/>
      <c r="AK206" s="59"/>
      <c r="AL206" s="33"/>
      <c r="AM206" s="21"/>
      <c r="AN206" s="21"/>
      <c r="AO206" s="21"/>
      <c r="AP206" s="21"/>
      <c r="AQ206" s="525"/>
      <c r="AR206" s="525"/>
      <c r="AS206" s="525"/>
      <c r="AT206" s="525"/>
      <c r="AU206" s="22"/>
      <c r="AV206" s="525"/>
    </row>
    <row r="207" spans="1:48">
      <c r="A207" s="528"/>
      <c r="B207" s="531"/>
      <c r="C207" s="564"/>
      <c r="D207" s="537"/>
      <c r="E207" s="564"/>
      <c r="F207" s="534"/>
      <c r="G207" s="29" t="s">
        <v>91</v>
      </c>
      <c r="H207" s="24" t="s">
        <v>92</v>
      </c>
      <c r="I207" s="55"/>
      <c r="J207" s="55"/>
      <c r="K207" s="55"/>
      <c r="L207" s="26"/>
      <c r="M207" s="55"/>
      <c r="N207" s="55"/>
      <c r="O207" s="55"/>
      <c r="P207" s="26"/>
      <c r="Q207" s="26"/>
      <c r="R207" s="26"/>
      <c r="S207" s="26"/>
      <c r="T207" s="55"/>
      <c r="U207" s="55"/>
      <c r="V207" s="26"/>
      <c r="W207" s="55"/>
      <c r="X207" s="55"/>
      <c r="Y207" s="55"/>
      <c r="Z207" s="26"/>
      <c r="AA207" s="55"/>
      <c r="AB207" s="55">
        <f>($AK$240*$D$200/5)*5</f>
        <v>24706.25</v>
      </c>
      <c r="AC207" s="55">
        <f>($AK$240*$D$200/5)*5</f>
        <v>24706.25</v>
      </c>
      <c r="AD207" s="55"/>
      <c r="AE207" s="55">
        <f>($AK$240*$D$200/5)*5</f>
        <v>24706.25</v>
      </c>
      <c r="AF207" s="55">
        <f>($AK$240*$D$200/5)*5</f>
        <v>24706.25</v>
      </c>
      <c r="AG207" s="26"/>
      <c r="AH207" s="55">
        <f>($AK$240*$D$200/5)*5</f>
        <v>24706.25</v>
      </c>
      <c r="AI207" s="55">
        <f>($AK$240*$D$200/5)*5</f>
        <v>24706.25</v>
      </c>
      <c r="AJ207" s="55">
        <f>($AK$240*$D$200/5)*5</f>
        <v>24706.25</v>
      </c>
      <c r="AK207" s="57">
        <f>($AK$240*$D$200/5)*5</f>
        <v>24706.25</v>
      </c>
      <c r="AL207" s="28">
        <f>SUM(I207:AK207)</f>
        <v>197650</v>
      </c>
      <c r="AM207" s="21"/>
      <c r="AN207" s="21"/>
      <c r="AO207" s="21"/>
      <c r="AP207" s="21"/>
      <c r="AQ207" s="525"/>
      <c r="AR207" s="525"/>
      <c r="AS207" s="525"/>
      <c r="AT207" s="525"/>
      <c r="AU207" s="22"/>
      <c r="AV207" s="525"/>
    </row>
    <row r="208" spans="1:48">
      <c r="A208" s="528"/>
      <c r="B208" s="531"/>
      <c r="C208" s="564"/>
      <c r="D208" s="537"/>
      <c r="E208" s="564"/>
      <c r="F208" s="534"/>
      <c r="G208" s="29"/>
      <c r="H208" s="24" t="s">
        <v>93</v>
      </c>
      <c r="I208" s="25"/>
      <c r="J208" s="25"/>
      <c r="K208" s="25"/>
      <c r="L208" s="26"/>
      <c r="M208" s="25"/>
      <c r="N208" s="25"/>
      <c r="O208" s="25"/>
      <c r="P208" s="26"/>
      <c r="Q208" s="26"/>
      <c r="R208" s="26"/>
      <c r="S208" s="26"/>
      <c r="T208" s="25"/>
      <c r="U208" s="25"/>
      <c r="V208" s="26"/>
      <c r="W208" s="25"/>
      <c r="X208" s="25"/>
      <c r="Y208" s="25"/>
      <c r="Z208" s="26"/>
      <c r="AA208" s="25"/>
      <c r="AB208" s="25">
        <v>1</v>
      </c>
      <c r="AC208" s="25">
        <v>1</v>
      </c>
      <c r="AD208" s="25"/>
      <c r="AE208" s="25">
        <v>1</v>
      </c>
      <c r="AF208" s="25">
        <v>1</v>
      </c>
      <c r="AG208" s="26"/>
      <c r="AH208" s="25">
        <v>1</v>
      </c>
      <c r="AI208" s="25">
        <v>1</v>
      </c>
      <c r="AJ208" s="25">
        <v>1</v>
      </c>
      <c r="AK208" s="27">
        <v>1</v>
      </c>
      <c r="AL208" s="28"/>
      <c r="AM208" s="21"/>
      <c r="AN208" s="21"/>
      <c r="AO208" s="21"/>
      <c r="AP208" s="21"/>
      <c r="AQ208" s="525"/>
      <c r="AR208" s="525"/>
      <c r="AS208" s="525"/>
      <c r="AT208" s="525"/>
      <c r="AU208" s="22"/>
      <c r="AV208" s="525"/>
    </row>
    <row r="209" spans="1:48">
      <c r="A209" s="528"/>
      <c r="B209" s="531"/>
      <c r="C209" s="564"/>
      <c r="D209" s="537"/>
      <c r="E209" s="564"/>
      <c r="F209" s="534"/>
      <c r="G209" s="29"/>
      <c r="H209" s="30" t="s">
        <v>16</v>
      </c>
      <c r="I209" s="31"/>
      <c r="J209" s="31"/>
      <c r="K209" s="31"/>
      <c r="L209" s="26"/>
      <c r="M209" s="31"/>
      <c r="N209" s="31"/>
      <c r="O209" s="31"/>
      <c r="P209" s="26"/>
      <c r="Q209" s="26"/>
      <c r="R209" s="26"/>
      <c r="S209" s="26"/>
      <c r="T209" s="31"/>
      <c r="U209" s="31"/>
      <c r="V209" s="26"/>
      <c r="W209" s="31"/>
      <c r="X209" s="31"/>
      <c r="Y209" s="31"/>
      <c r="Z209" s="26"/>
      <c r="AA209" s="31"/>
      <c r="AB209" s="31">
        <f>27125</f>
        <v>27125</v>
      </c>
      <c r="AC209" s="31"/>
      <c r="AD209" s="31"/>
      <c r="AE209" s="31"/>
      <c r="AF209" s="31"/>
      <c r="AG209" s="26"/>
      <c r="AH209" s="31"/>
      <c r="AI209" s="31"/>
      <c r="AJ209" s="31"/>
      <c r="AK209" s="32"/>
      <c r="AL209" s="33">
        <f t="shared" ref="AL209:AL220" si="37">SUM(I209:AK209)</f>
        <v>27125</v>
      </c>
      <c r="AM209" s="21"/>
      <c r="AN209" s="21"/>
      <c r="AO209" s="21"/>
      <c r="AP209" s="525"/>
      <c r="AQ209" s="525"/>
      <c r="AR209" s="525"/>
      <c r="AS209" s="525"/>
      <c r="AT209" s="525"/>
      <c r="AU209" s="22"/>
      <c r="AV209" s="525"/>
    </row>
    <row r="210" spans="1:48">
      <c r="A210" s="528"/>
      <c r="B210" s="531"/>
      <c r="C210" s="564"/>
      <c r="D210" s="537"/>
      <c r="E210" s="564"/>
      <c r="F210" s="534"/>
      <c r="G210" s="29"/>
      <c r="H210" s="30" t="s">
        <v>17</v>
      </c>
      <c r="I210" s="31"/>
      <c r="J210" s="31"/>
      <c r="K210" s="31"/>
      <c r="L210" s="26"/>
      <c r="M210" s="31"/>
      <c r="N210" s="31"/>
      <c r="O210" s="31"/>
      <c r="P210" s="26"/>
      <c r="Q210" s="26"/>
      <c r="R210" s="26"/>
      <c r="S210" s="26"/>
      <c r="T210" s="31"/>
      <c r="U210" s="31"/>
      <c r="V210" s="26"/>
      <c r="W210" s="31"/>
      <c r="X210" s="31"/>
      <c r="Y210" s="31"/>
      <c r="Z210" s="26"/>
      <c r="AA210" s="31">
        <f>Y210+(AA209-AA207)</f>
        <v>0</v>
      </c>
      <c r="AB210" s="31">
        <f>AA210+(AB209-AB207)</f>
        <v>2418.75</v>
      </c>
      <c r="AC210" s="31">
        <f>AB210+(AC209-AC207)</f>
        <v>-22287.5</v>
      </c>
      <c r="AD210" s="31"/>
      <c r="AE210" s="31"/>
      <c r="AF210" s="31"/>
      <c r="AG210" s="26"/>
      <c r="AH210" s="31"/>
      <c r="AI210" s="31"/>
      <c r="AJ210" s="31"/>
      <c r="AK210" s="32"/>
      <c r="AL210" s="33"/>
      <c r="AM210" s="21"/>
      <c r="AN210" s="21"/>
      <c r="AO210" s="21"/>
      <c r="AP210" s="525"/>
      <c r="AQ210" s="525"/>
      <c r="AR210" s="525"/>
      <c r="AS210" s="525"/>
      <c r="AT210" s="525"/>
      <c r="AU210" s="22"/>
      <c r="AV210" s="525"/>
    </row>
    <row r="211" spans="1:48">
      <c r="A211" s="528"/>
      <c r="B211" s="531"/>
      <c r="C211" s="564"/>
      <c r="D211" s="537"/>
      <c r="E211" s="564"/>
      <c r="F211" s="534"/>
      <c r="G211" s="29" t="s">
        <v>20</v>
      </c>
      <c r="H211" s="24" t="s">
        <v>21</v>
      </c>
      <c r="I211" s="55"/>
      <c r="J211" s="55"/>
      <c r="K211" s="55"/>
      <c r="L211" s="26"/>
      <c r="M211" s="55"/>
      <c r="N211" s="55"/>
      <c r="O211" s="55"/>
      <c r="P211" s="26"/>
      <c r="Q211" s="26"/>
      <c r="R211" s="26"/>
      <c r="S211" s="26"/>
      <c r="T211" s="55"/>
      <c r="U211" s="55"/>
      <c r="V211" s="26"/>
      <c r="W211" s="55"/>
      <c r="X211" s="55"/>
      <c r="Y211" s="55"/>
      <c r="Z211" s="26"/>
      <c r="AA211" s="55"/>
      <c r="AB211" s="55"/>
      <c r="AC211" s="55">
        <f>$AK$240*$D$200/5</f>
        <v>4941.25</v>
      </c>
      <c r="AD211" s="55">
        <f>$AK$240*$D$200/5</f>
        <v>4941.25</v>
      </c>
      <c r="AE211" s="55">
        <f>$AK$240*$D$200/5</f>
        <v>4941.25</v>
      </c>
      <c r="AF211" s="55">
        <f>$AK$240*$D$200/5</f>
        <v>4941.25</v>
      </c>
      <c r="AG211" s="26"/>
      <c r="AH211" s="55">
        <f>$AK$240*$D$200/5</f>
        <v>4941.25</v>
      </c>
      <c r="AI211" s="55">
        <f>$AK$240*$D$200/5</f>
        <v>4941.25</v>
      </c>
      <c r="AJ211" s="55">
        <f>$AK$240*$D$200/5</f>
        <v>4941.25</v>
      </c>
      <c r="AK211" s="57">
        <f>$AK$240*$D$200/5</f>
        <v>4941.25</v>
      </c>
      <c r="AL211" s="28">
        <f t="shared" si="37"/>
        <v>39530</v>
      </c>
      <c r="AM211" s="21"/>
      <c r="AN211" s="21"/>
      <c r="AO211" s="21"/>
      <c r="AP211" s="525"/>
      <c r="AQ211" s="525"/>
      <c r="AR211" s="525"/>
      <c r="AS211" s="525"/>
      <c r="AT211" s="525"/>
      <c r="AU211" s="22"/>
      <c r="AV211" s="525"/>
    </row>
    <row r="212" spans="1:48">
      <c r="A212" s="528"/>
      <c r="B212" s="531"/>
      <c r="C212" s="564"/>
      <c r="D212" s="537"/>
      <c r="E212" s="564"/>
      <c r="F212" s="534"/>
      <c r="G212" s="29"/>
      <c r="H212" s="30" t="s">
        <v>16</v>
      </c>
      <c r="I212" s="58"/>
      <c r="J212" s="58"/>
      <c r="K212" s="58"/>
      <c r="L212" s="26"/>
      <c r="M212" s="58"/>
      <c r="N212" s="58"/>
      <c r="O212" s="58"/>
      <c r="P212" s="26"/>
      <c r="Q212" s="26"/>
      <c r="R212" s="26"/>
      <c r="S212" s="26"/>
      <c r="T212" s="58"/>
      <c r="U212" s="58"/>
      <c r="V212" s="26"/>
      <c r="W212" s="58"/>
      <c r="X212" s="58"/>
      <c r="Y212" s="58"/>
      <c r="Z212" s="26"/>
      <c r="AA212" s="58"/>
      <c r="AB212" s="58"/>
      <c r="AC212" s="58"/>
      <c r="AD212" s="58"/>
      <c r="AE212" s="58"/>
      <c r="AF212" s="58"/>
      <c r="AG212" s="26"/>
      <c r="AH212" s="58"/>
      <c r="AI212" s="58"/>
      <c r="AJ212" s="58"/>
      <c r="AK212" s="59"/>
      <c r="AL212" s="33">
        <f t="shared" si="37"/>
        <v>0</v>
      </c>
      <c r="AM212" s="21"/>
      <c r="AN212" s="21"/>
      <c r="AO212" s="21"/>
      <c r="AP212" s="21"/>
      <c r="AQ212" s="21"/>
      <c r="AR212" s="21"/>
      <c r="AS212" s="525"/>
      <c r="AT212" s="525"/>
      <c r="AU212" s="22"/>
      <c r="AV212" s="525"/>
    </row>
    <row r="213" spans="1:48">
      <c r="A213" s="528"/>
      <c r="B213" s="531"/>
      <c r="C213" s="564"/>
      <c r="D213" s="537"/>
      <c r="E213" s="564"/>
      <c r="F213" s="534"/>
      <c r="G213" s="29"/>
      <c r="H213" s="30" t="s">
        <v>17</v>
      </c>
      <c r="I213" s="58"/>
      <c r="J213" s="58"/>
      <c r="K213" s="58"/>
      <c r="L213" s="26"/>
      <c r="M213" s="58"/>
      <c r="N213" s="58"/>
      <c r="O213" s="58"/>
      <c r="P213" s="26"/>
      <c r="Q213" s="26"/>
      <c r="R213" s="26"/>
      <c r="S213" s="26"/>
      <c r="T213" s="58"/>
      <c r="U213" s="58"/>
      <c r="V213" s="26"/>
      <c r="W213" s="58"/>
      <c r="X213" s="58"/>
      <c r="Y213" s="58"/>
      <c r="Z213" s="26"/>
      <c r="AA213" s="58"/>
      <c r="AB213" s="58"/>
      <c r="AC213" s="58"/>
      <c r="AD213" s="58"/>
      <c r="AE213" s="58"/>
      <c r="AF213" s="58"/>
      <c r="AG213" s="26"/>
      <c r="AH213" s="58"/>
      <c r="AI213" s="58"/>
      <c r="AJ213" s="58"/>
      <c r="AK213" s="59"/>
      <c r="AL213" s="33"/>
      <c r="AM213" s="21"/>
      <c r="AN213" s="21"/>
      <c r="AO213" s="21"/>
      <c r="AP213" s="21"/>
      <c r="AQ213" s="21"/>
      <c r="AR213" s="21"/>
      <c r="AS213" s="525"/>
      <c r="AT213" s="525"/>
      <c r="AU213" s="22"/>
      <c r="AV213" s="525"/>
    </row>
    <row r="214" spans="1:48">
      <c r="A214" s="528"/>
      <c r="B214" s="531"/>
      <c r="C214" s="564"/>
      <c r="D214" s="537"/>
      <c r="E214" s="564"/>
      <c r="F214" s="534"/>
      <c r="G214" s="29" t="s">
        <v>36</v>
      </c>
      <c r="H214" s="24" t="s">
        <v>37</v>
      </c>
      <c r="I214" s="55"/>
      <c r="J214" s="55"/>
      <c r="K214" s="55"/>
      <c r="L214" s="26"/>
      <c r="M214" s="55"/>
      <c r="N214" s="55"/>
      <c r="O214" s="55"/>
      <c r="P214" s="26"/>
      <c r="Q214" s="26"/>
      <c r="R214" s="26"/>
      <c r="S214" s="26"/>
      <c r="T214" s="55"/>
      <c r="U214" s="55"/>
      <c r="V214" s="26"/>
      <c r="W214" s="55"/>
      <c r="X214" s="55"/>
      <c r="Y214" s="55"/>
      <c r="Z214" s="26"/>
      <c r="AA214" s="55"/>
      <c r="AB214" s="55"/>
      <c r="AC214" s="55"/>
      <c r="AD214" s="55"/>
      <c r="AE214" s="55"/>
      <c r="AF214" s="55"/>
      <c r="AG214" s="26"/>
      <c r="AH214" s="55"/>
      <c r="AI214" s="55">
        <f>($AK$240*$D$200/5)*3</f>
        <v>14823.75</v>
      </c>
      <c r="AJ214" s="55">
        <f>($AK$240*$D$200/5)*3</f>
        <v>14823.75</v>
      </c>
      <c r="AK214" s="57">
        <f>($AK$240*$D$200/5)*2</f>
        <v>9882.5</v>
      </c>
      <c r="AL214" s="28">
        <f t="shared" si="37"/>
        <v>39530</v>
      </c>
      <c r="AM214" s="21"/>
      <c r="AN214" s="21"/>
      <c r="AO214" s="21"/>
      <c r="AP214" s="525"/>
      <c r="AQ214" s="21"/>
      <c r="AR214" s="21"/>
      <c r="AS214" s="525"/>
      <c r="AT214" s="525"/>
      <c r="AU214" s="22"/>
      <c r="AV214" s="525"/>
    </row>
    <row r="215" spans="1:48">
      <c r="A215" s="528"/>
      <c r="B215" s="531"/>
      <c r="C215" s="564"/>
      <c r="D215" s="537"/>
      <c r="E215" s="564"/>
      <c r="F215" s="534"/>
      <c r="G215" s="29"/>
      <c r="H215" s="30" t="s">
        <v>16</v>
      </c>
      <c r="I215" s="58"/>
      <c r="J215" s="58"/>
      <c r="K215" s="58"/>
      <c r="L215" s="26"/>
      <c r="M215" s="58"/>
      <c r="N215" s="58"/>
      <c r="O215" s="58"/>
      <c r="P215" s="26"/>
      <c r="Q215" s="26"/>
      <c r="R215" s="26"/>
      <c r="S215" s="26"/>
      <c r="T215" s="58"/>
      <c r="U215" s="58"/>
      <c r="V215" s="26"/>
      <c r="W215" s="58"/>
      <c r="X215" s="58"/>
      <c r="Y215" s="58"/>
      <c r="Z215" s="26"/>
      <c r="AA215" s="58"/>
      <c r="AB215" s="58"/>
      <c r="AC215" s="58"/>
      <c r="AD215" s="58"/>
      <c r="AE215" s="58"/>
      <c r="AF215" s="58"/>
      <c r="AG215" s="26"/>
      <c r="AH215" s="58"/>
      <c r="AI215" s="58">
        <f>15127</f>
        <v>15127</v>
      </c>
      <c r="AJ215" s="58"/>
      <c r="AK215" s="59"/>
      <c r="AL215" s="33">
        <f t="shared" si="37"/>
        <v>15127</v>
      </c>
      <c r="AM215" s="21"/>
      <c r="AN215" s="21"/>
      <c r="AO215" s="21"/>
      <c r="AP215" s="525"/>
      <c r="AQ215" s="21"/>
      <c r="AR215" s="21"/>
      <c r="AS215" s="525"/>
      <c r="AT215" s="525"/>
      <c r="AU215" s="22"/>
      <c r="AV215" s="525"/>
    </row>
    <row r="216" spans="1:48">
      <c r="A216" s="528"/>
      <c r="B216" s="531"/>
      <c r="C216" s="564"/>
      <c r="D216" s="537"/>
      <c r="E216" s="564"/>
      <c r="F216" s="534"/>
      <c r="G216" s="29"/>
      <c r="H216" s="30" t="s">
        <v>17</v>
      </c>
      <c r="I216" s="58"/>
      <c r="J216" s="58"/>
      <c r="K216" s="58"/>
      <c r="L216" s="26"/>
      <c r="M216" s="58"/>
      <c r="N216" s="58"/>
      <c r="O216" s="58"/>
      <c r="P216" s="26"/>
      <c r="Q216" s="26"/>
      <c r="R216" s="26"/>
      <c r="S216" s="26"/>
      <c r="T216" s="58"/>
      <c r="U216" s="58"/>
      <c r="V216" s="26"/>
      <c r="W216" s="58"/>
      <c r="X216" s="58"/>
      <c r="Y216" s="58"/>
      <c r="Z216" s="26"/>
      <c r="AA216" s="58"/>
      <c r="AB216" s="58"/>
      <c r="AC216" s="58"/>
      <c r="AD216" s="58"/>
      <c r="AE216" s="58"/>
      <c r="AF216" s="58"/>
      <c r="AG216" s="26"/>
      <c r="AH216" s="58"/>
      <c r="AI216" s="58">
        <f>AH216+(AI215-AI214)</f>
        <v>303.25</v>
      </c>
      <c r="AJ216" s="58"/>
      <c r="AK216" s="59"/>
      <c r="AL216" s="33"/>
      <c r="AM216" s="21"/>
      <c r="AN216" s="21"/>
      <c r="AO216" s="21"/>
      <c r="AP216" s="525"/>
      <c r="AQ216" s="21"/>
      <c r="AR216" s="21"/>
      <c r="AS216" s="525"/>
      <c r="AT216" s="525"/>
      <c r="AU216" s="22"/>
      <c r="AV216" s="525"/>
    </row>
    <row r="217" spans="1:48">
      <c r="A217" s="528"/>
      <c r="B217" s="531"/>
      <c r="C217" s="564"/>
      <c r="D217" s="537"/>
      <c r="E217" s="564"/>
      <c r="F217" s="534"/>
      <c r="G217" s="29" t="s">
        <v>94</v>
      </c>
      <c r="H217" s="24" t="s">
        <v>95</v>
      </c>
      <c r="I217" s="55"/>
      <c r="J217" s="55"/>
      <c r="K217" s="55"/>
      <c r="L217" s="26"/>
      <c r="M217" s="55"/>
      <c r="N217" s="55"/>
      <c r="O217" s="55"/>
      <c r="P217" s="26"/>
      <c r="Q217" s="26"/>
      <c r="R217" s="26"/>
      <c r="S217" s="26"/>
      <c r="T217" s="55"/>
      <c r="U217" s="55"/>
      <c r="V217" s="26"/>
      <c r="W217" s="55"/>
      <c r="X217" s="55"/>
      <c r="Y217" s="55"/>
      <c r="Z217" s="26"/>
      <c r="AA217" s="55"/>
      <c r="AB217" s="55"/>
      <c r="AC217" s="55"/>
      <c r="AD217" s="55"/>
      <c r="AE217" s="55"/>
      <c r="AF217" s="55"/>
      <c r="AG217" s="26"/>
      <c r="AH217" s="55"/>
      <c r="AI217" s="55">
        <f>($AK$240*$D$200/5)*2</f>
        <v>9882.5</v>
      </c>
      <c r="AJ217" s="55">
        <f>($AK$240*$D$200/5)*3</f>
        <v>14823.75</v>
      </c>
      <c r="AK217" s="57">
        <f>($AK$240*$D$200/5)*3</f>
        <v>14823.75</v>
      </c>
      <c r="AL217" s="28">
        <f t="shared" si="37"/>
        <v>39530</v>
      </c>
      <c r="AM217" s="21"/>
      <c r="AN217" s="21"/>
      <c r="AO217" s="21"/>
      <c r="AP217" s="525"/>
      <c r="AQ217" s="21"/>
      <c r="AR217" s="21"/>
      <c r="AS217" s="525"/>
      <c r="AT217" s="525"/>
      <c r="AU217" s="22"/>
      <c r="AV217" s="525"/>
    </row>
    <row r="218" spans="1:48">
      <c r="A218" s="528"/>
      <c r="B218" s="531"/>
      <c r="C218" s="564"/>
      <c r="D218" s="537"/>
      <c r="E218" s="564"/>
      <c r="F218" s="534"/>
      <c r="G218" s="29"/>
      <c r="H218" s="30" t="s">
        <v>16</v>
      </c>
      <c r="I218" s="58"/>
      <c r="J218" s="58"/>
      <c r="K218" s="58"/>
      <c r="L218" s="26"/>
      <c r="M218" s="58"/>
      <c r="N218" s="58"/>
      <c r="O218" s="58"/>
      <c r="P218" s="26"/>
      <c r="Q218" s="26"/>
      <c r="R218" s="26"/>
      <c r="S218" s="26"/>
      <c r="T218" s="58"/>
      <c r="U218" s="58"/>
      <c r="V218" s="26"/>
      <c r="W218" s="58"/>
      <c r="X218" s="58"/>
      <c r="Y218" s="58"/>
      <c r="Z218" s="26"/>
      <c r="AA218" s="58"/>
      <c r="AB218" s="58"/>
      <c r="AC218" s="58"/>
      <c r="AD218" s="58"/>
      <c r="AE218" s="58"/>
      <c r="AF218" s="58"/>
      <c r="AG218" s="26"/>
      <c r="AH218" s="58"/>
      <c r="AI218" s="58">
        <f>7827</f>
        <v>7827</v>
      </c>
      <c r="AJ218" s="58"/>
      <c r="AK218" s="59"/>
      <c r="AL218" s="33">
        <f t="shared" si="37"/>
        <v>7827</v>
      </c>
      <c r="AM218" s="21"/>
      <c r="AN218" s="21"/>
      <c r="AO218" s="21"/>
      <c r="AP218" s="525"/>
      <c r="AQ218" s="21"/>
      <c r="AR218" s="21"/>
      <c r="AS218" s="525"/>
      <c r="AT218" s="525"/>
      <c r="AU218" s="22"/>
      <c r="AV218" s="525"/>
    </row>
    <row r="219" spans="1:48">
      <c r="A219" s="528"/>
      <c r="B219" s="531"/>
      <c r="C219" s="564"/>
      <c r="D219" s="537"/>
      <c r="E219" s="564"/>
      <c r="F219" s="534"/>
      <c r="G219" s="29"/>
      <c r="H219" s="30" t="s">
        <v>17</v>
      </c>
      <c r="I219" s="58"/>
      <c r="J219" s="58"/>
      <c r="K219" s="58"/>
      <c r="L219" s="26"/>
      <c r="M219" s="58"/>
      <c r="N219" s="58"/>
      <c r="O219" s="58"/>
      <c r="P219" s="26"/>
      <c r="Q219" s="26"/>
      <c r="R219" s="26"/>
      <c r="S219" s="26"/>
      <c r="T219" s="58"/>
      <c r="U219" s="58"/>
      <c r="V219" s="26"/>
      <c r="W219" s="58"/>
      <c r="X219" s="58"/>
      <c r="Y219" s="58"/>
      <c r="Z219" s="26"/>
      <c r="AA219" s="58"/>
      <c r="AB219" s="58"/>
      <c r="AC219" s="58"/>
      <c r="AD219" s="58"/>
      <c r="AE219" s="58"/>
      <c r="AF219" s="58"/>
      <c r="AG219" s="26"/>
      <c r="AH219" s="58"/>
      <c r="AI219" s="58">
        <f>AH219+(AI218-AI217)</f>
        <v>-2055.5</v>
      </c>
      <c r="AJ219" s="58"/>
      <c r="AK219" s="59"/>
      <c r="AL219" s="33"/>
      <c r="AM219" s="21"/>
      <c r="AN219" s="21"/>
      <c r="AO219" s="21"/>
      <c r="AP219" s="525"/>
      <c r="AQ219" s="21"/>
      <c r="AR219" s="21"/>
      <c r="AS219" s="525"/>
      <c r="AT219" s="525"/>
      <c r="AU219" s="22"/>
      <c r="AV219" s="525"/>
    </row>
    <row r="220" spans="1:48">
      <c r="A220" s="528"/>
      <c r="B220" s="531"/>
      <c r="C220" s="564"/>
      <c r="D220" s="537"/>
      <c r="E220" s="564"/>
      <c r="F220" s="534"/>
      <c r="G220" s="29" t="s">
        <v>25</v>
      </c>
      <c r="H220" s="24" t="s">
        <v>26</v>
      </c>
      <c r="I220" s="55"/>
      <c r="J220" s="55"/>
      <c r="K220" s="55"/>
      <c r="L220" s="26"/>
      <c r="M220" s="55"/>
      <c r="N220" s="55"/>
      <c r="O220" s="55"/>
      <c r="P220" s="26"/>
      <c r="Q220" s="26"/>
      <c r="R220" s="26"/>
      <c r="S220" s="26"/>
      <c r="T220" s="55"/>
      <c r="U220" s="55"/>
      <c r="V220" s="26"/>
      <c r="W220" s="55"/>
      <c r="X220" s="55"/>
      <c r="Y220" s="55"/>
      <c r="Z220" s="26"/>
      <c r="AA220" s="55"/>
      <c r="AB220" s="55"/>
      <c r="AC220" s="55"/>
      <c r="AD220" s="55"/>
      <c r="AE220" s="55"/>
      <c r="AF220" s="55"/>
      <c r="AG220" s="26"/>
      <c r="AH220" s="55"/>
      <c r="AI220" s="55">
        <f>($AK$240*$D$200/5)*5</f>
        <v>24706.25</v>
      </c>
      <c r="AJ220" s="55">
        <f>($AK$240*$D$200/5)*2</f>
        <v>9882.5</v>
      </c>
      <c r="AK220" s="57">
        <f>$AK$240*$D$200/5</f>
        <v>4941.25</v>
      </c>
      <c r="AL220" s="28">
        <f t="shared" si="37"/>
        <v>39530</v>
      </c>
      <c r="AM220" s="21"/>
      <c r="AN220" s="21"/>
      <c r="AO220" s="21"/>
      <c r="AP220" s="525"/>
      <c r="AQ220" s="21"/>
      <c r="AR220" s="21"/>
      <c r="AS220" s="525"/>
      <c r="AT220" s="525"/>
      <c r="AU220" s="22"/>
      <c r="AV220" s="525"/>
    </row>
    <row r="221" spans="1:48">
      <c r="A221" s="528"/>
      <c r="B221" s="531"/>
      <c r="C221" s="564"/>
      <c r="D221" s="537"/>
      <c r="E221" s="564"/>
      <c r="F221" s="534"/>
      <c r="G221" s="29"/>
      <c r="H221" s="24" t="s">
        <v>24</v>
      </c>
      <c r="I221" s="80"/>
      <c r="J221" s="80"/>
      <c r="K221" s="80"/>
      <c r="L221" s="81"/>
      <c r="M221" s="80"/>
      <c r="N221" s="80"/>
      <c r="O221" s="80"/>
      <c r="P221" s="81"/>
      <c r="Q221" s="81"/>
      <c r="R221" s="81"/>
      <c r="S221" s="81"/>
      <c r="T221" s="80"/>
      <c r="U221" s="80"/>
      <c r="V221" s="81"/>
      <c r="W221" s="80"/>
      <c r="X221" s="80"/>
      <c r="Y221" s="80"/>
      <c r="Z221" s="81"/>
      <c r="AA221" s="80"/>
      <c r="AB221" s="80"/>
      <c r="AC221" s="80"/>
      <c r="AD221" s="80"/>
      <c r="AE221" s="80"/>
      <c r="AF221" s="80"/>
      <c r="AG221" s="81"/>
      <c r="AH221" s="80"/>
      <c r="AI221" s="80">
        <v>1</v>
      </c>
      <c r="AJ221" s="80">
        <v>1</v>
      </c>
      <c r="AK221" s="82">
        <v>1</v>
      </c>
      <c r="AL221" s="28"/>
      <c r="AM221" s="21"/>
      <c r="AN221" s="21"/>
      <c r="AO221" s="21"/>
      <c r="AP221" s="525"/>
      <c r="AQ221" s="21"/>
      <c r="AR221" s="21"/>
      <c r="AS221" s="525"/>
      <c r="AT221" s="525"/>
      <c r="AU221" s="22"/>
      <c r="AV221" s="525"/>
    </row>
    <row r="222" spans="1:48">
      <c r="A222" s="528"/>
      <c r="B222" s="531"/>
      <c r="C222" s="564"/>
      <c r="D222" s="537"/>
      <c r="E222" s="564"/>
      <c r="F222" s="534"/>
      <c r="G222" s="29"/>
      <c r="H222" s="30" t="s">
        <v>16</v>
      </c>
      <c r="I222" s="83"/>
      <c r="J222" s="83"/>
      <c r="K222" s="83"/>
      <c r="L222" s="81"/>
      <c r="M222" s="83"/>
      <c r="N222" s="83"/>
      <c r="O222" s="83"/>
      <c r="P222" s="81"/>
      <c r="Q222" s="81"/>
      <c r="R222" s="81"/>
      <c r="S222" s="81"/>
      <c r="T222" s="83"/>
      <c r="U222" s="83"/>
      <c r="V222" s="81"/>
      <c r="W222" s="83"/>
      <c r="X222" s="83"/>
      <c r="Y222" s="83"/>
      <c r="Z222" s="81"/>
      <c r="AA222" s="83"/>
      <c r="AB222" s="83"/>
      <c r="AC222" s="83"/>
      <c r="AD222" s="83"/>
      <c r="AE222" s="83"/>
      <c r="AF222" s="83"/>
      <c r="AG222" s="81"/>
      <c r="AH222" s="83"/>
      <c r="AI222" s="83">
        <f>25212</f>
        <v>25212</v>
      </c>
      <c r="AJ222" s="83"/>
      <c r="AK222" s="84"/>
      <c r="AL222" s="33">
        <f>SUM(I222:AK222)</f>
        <v>25212</v>
      </c>
      <c r="AM222" s="21"/>
      <c r="AN222" s="21"/>
      <c r="AO222" s="21"/>
      <c r="AP222" s="525"/>
      <c r="AQ222" s="21"/>
      <c r="AR222" s="21"/>
      <c r="AS222" s="525"/>
      <c r="AT222" s="525"/>
      <c r="AU222" s="22"/>
      <c r="AV222" s="525"/>
    </row>
    <row r="223" spans="1:48">
      <c r="A223" s="528"/>
      <c r="B223" s="531"/>
      <c r="C223" s="564"/>
      <c r="D223" s="537"/>
      <c r="E223" s="564"/>
      <c r="F223" s="534"/>
      <c r="G223" s="29"/>
      <c r="H223" s="30" t="s">
        <v>17</v>
      </c>
      <c r="I223" s="83"/>
      <c r="J223" s="83"/>
      <c r="K223" s="83"/>
      <c r="L223" s="81"/>
      <c r="M223" s="83"/>
      <c r="N223" s="83"/>
      <c r="O223" s="83"/>
      <c r="P223" s="81"/>
      <c r="Q223" s="81"/>
      <c r="R223" s="81"/>
      <c r="S223" s="81"/>
      <c r="T223" s="83"/>
      <c r="U223" s="83"/>
      <c r="V223" s="81"/>
      <c r="W223" s="83"/>
      <c r="X223" s="83"/>
      <c r="Y223" s="83"/>
      <c r="Z223" s="81"/>
      <c r="AA223" s="83"/>
      <c r="AB223" s="83"/>
      <c r="AC223" s="83"/>
      <c r="AD223" s="83"/>
      <c r="AE223" s="83"/>
      <c r="AF223" s="83"/>
      <c r="AG223" s="81"/>
      <c r="AH223" s="83"/>
      <c r="AI223" s="58">
        <f>AH223+(AI222-AI220)</f>
        <v>505.75</v>
      </c>
      <c r="AJ223" s="83"/>
      <c r="AK223" s="84"/>
      <c r="AL223" s="33"/>
      <c r="AM223" s="21"/>
      <c r="AN223" s="21"/>
      <c r="AO223" s="21"/>
      <c r="AP223" s="525"/>
      <c r="AQ223" s="21"/>
      <c r="AR223" s="21"/>
      <c r="AS223" s="525"/>
      <c r="AT223" s="525"/>
      <c r="AU223" s="22"/>
      <c r="AV223" s="525"/>
    </row>
    <row r="224" spans="1:48">
      <c r="A224" s="528"/>
      <c r="B224" s="531"/>
      <c r="C224" s="564"/>
      <c r="D224" s="537"/>
      <c r="E224" s="564"/>
      <c r="F224" s="534"/>
      <c r="G224" s="29"/>
      <c r="H224" s="24" t="s">
        <v>96</v>
      </c>
      <c r="I224" s="85"/>
      <c r="J224" s="85"/>
      <c r="K224" s="85"/>
      <c r="L224" s="81"/>
      <c r="M224" s="85"/>
      <c r="N224" s="85"/>
      <c r="O224" s="85"/>
      <c r="P224" s="81"/>
      <c r="Q224" s="81"/>
      <c r="R224" s="81"/>
      <c r="S224" s="81"/>
      <c r="T224" s="85"/>
      <c r="U224" s="85"/>
      <c r="V224" s="81"/>
      <c r="W224" s="85"/>
      <c r="X224" s="85"/>
      <c r="Y224" s="85"/>
      <c r="Z224" s="81"/>
      <c r="AA224" s="85"/>
      <c r="AB224" s="85"/>
      <c r="AC224" s="85">
        <f>($AK$240*$D$200/5)*5</f>
        <v>24706.25</v>
      </c>
      <c r="AD224" s="85">
        <f>($AK$240*$D$200/5)*5</f>
        <v>24706.25</v>
      </c>
      <c r="AE224" s="85">
        <f>($AK$240*$D$200/5)*5</f>
        <v>24706.25</v>
      </c>
      <c r="AF224" s="85">
        <f>($AK$240*$D$200/5)*5</f>
        <v>24706.25</v>
      </c>
      <c r="AG224" s="81"/>
      <c r="AH224" s="85">
        <f>($AK$240*$D$200/5)*5</f>
        <v>24706.25</v>
      </c>
      <c r="AI224" s="85">
        <f>($AK$240*$D$200/5)*5</f>
        <v>24706.25</v>
      </c>
      <c r="AJ224" s="85">
        <f>($AK$240*$D$200/5)*5</f>
        <v>24706.25</v>
      </c>
      <c r="AK224" s="86">
        <f>($AK$240*$D$200/5)*5</f>
        <v>24706.25</v>
      </c>
      <c r="AL224" s="28">
        <f>SUM(I224:AK224)</f>
        <v>197650</v>
      </c>
      <c r="AM224" s="21"/>
      <c r="AN224" s="21"/>
      <c r="AO224" s="21"/>
      <c r="AP224" s="525"/>
      <c r="AQ224" s="21"/>
      <c r="AR224" s="21"/>
      <c r="AS224" s="525"/>
      <c r="AT224" s="525"/>
      <c r="AU224" s="22"/>
      <c r="AV224" s="525"/>
    </row>
    <row r="225" spans="1:48">
      <c r="A225" s="528"/>
      <c r="B225" s="531"/>
      <c r="C225" s="564"/>
      <c r="D225" s="537"/>
      <c r="E225" s="564"/>
      <c r="F225" s="534"/>
      <c r="G225" s="87"/>
      <c r="H225" s="24" t="s">
        <v>97</v>
      </c>
      <c r="I225" s="80"/>
      <c r="J225" s="80"/>
      <c r="K225" s="80"/>
      <c r="L225" s="81"/>
      <c r="M225" s="80"/>
      <c r="N225" s="80"/>
      <c r="O225" s="80"/>
      <c r="P225" s="81"/>
      <c r="Q225" s="81"/>
      <c r="R225" s="81"/>
      <c r="S225" s="81"/>
      <c r="T225" s="80"/>
      <c r="U225" s="80"/>
      <c r="V225" s="81"/>
      <c r="W225" s="80"/>
      <c r="X225" s="80"/>
      <c r="Y225" s="80"/>
      <c r="Z225" s="81"/>
      <c r="AA225" s="80"/>
      <c r="AB225" s="80"/>
      <c r="AC225" s="80">
        <v>2</v>
      </c>
      <c r="AD225" s="80">
        <v>2</v>
      </c>
      <c r="AE225" s="80">
        <v>2</v>
      </c>
      <c r="AF225" s="80">
        <v>2</v>
      </c>
      <c r="AG225" s="81"/>
      <c r="AH225" s="80">
        <v>2</v>
      </c>
      <c r="AI225" s="80">
        <v>2</v>
      </c>
      <c r="AJ225" s="80">
        <v>2</v>
      </c>
      <c r="AK225" s="82">
        <v>2</v>
      </c>
      <c r="AL225" s="28"/>
      <c r="AM225" s="21"/>
      <c r="AN225" s="21"/>
      <c r="AO225" s="21"/>
      <c r="AP225" s="525"/>
      <c r="AQ225" s="21"/>
      <c r="AR225" s="21"/>
      <c r="AS225" s="525"/>
      <c r="AT225" s="525"/>
      <c r="AU225" s="22"/>
      <c r="AV225" s="525"/>
    </row>
    <row r="226" spans="1:48">
      <c r="A226" s="528"/>
      <c r="B226" s="531"/>
      <c r="C226" s="564"/>
      <c r="D226" s="537"/>
      <c r="E226" s="564"/>
      <c r="F226" s="534"/>
      <c r="G226" s="87"/>
      <c r="H226" s="30" t="s">
        <v>16</v>
      </c>
      <c r="I226" s="83"/>
      <c r="J226" s="83"/>
      <c r="K226" s="83"/>
      <c r="L226" s="81"/>
      <c r="M226" s="83"/>
      <c r="N226" s="83"/>
      <c r="O226" s="83"/>
      <c r="P226" s="81"/>
      <c r="Q226" s="81"/>
      <c r="R226" s="81"/>
      <c r="S226" s="81"/>
      <c r="T226" s="83"/>
      <c r="U226" s="83"/>
      <c r="V226" s="81"/>
      <c r="W226" s="83"/>
      <c r="X226" s="83"/>
      <c r="Y226" s="83"/>
      <c r="Z226" s="81"/>
      <c r="AA226" s="83"/>
      <c r="AB226" s="83"/>
      <c r="AC226" s="83"/>
      <c r="AD226" s="83"/>
      <c r="AE226" s="83"/>
      <c r="AF226" s="83"/>
      <c r="AG226" s="81"/>
      <c r="AH226" s="83"/>
      <c r="AI226" s="83"/>
      <c r="AJ226" s="83"/>
      <c r="AK226" s="84"/>
      <c r="AL226" s="33">
        <f>SUM(I226:AK226)</f>
        <v>0</v>
      </c>
      <c r="AM226" s="21"/>
      <c r="AN226" s="21"/>
      <c r="AO226" s="21"/>
      <c r="AP226" s="525"/>
      <c r="AQ226" s="21"/>
      <c r="AR226" s="21"/>
      <c r="AS226" s="525"/>
      <c r="AT226" s="525"/>
      <c r="AU226" s="22"/>
      <c r="AV226" s="525"/>
    </row>
    <row r="227" spans="1:48">
      <c r="A227" s="528"/>
      <c r="B227" s="531"/>
      <c r="C227" s="564"/>
      <c r="D227" s="537"/>
      <c r="E227" s="564"/>
      <c r="F227" s="534"/>
      <c r="G227" s="29"/>
      <c r="H227" s="30" t="s">
        <v>17</v>
      </c>
      <c r="I227" s="83"/>
      <c r="J227" s="83"/>
      <c r="K227" s="83"/>
      <c r="L227" s="81"/>
      <c r="M227" s="83"/>
      <c r="N227" s="83"/>
      <c r="O227" s="83"/>
      <c r="P227" s="81"/>
      <c r="Q227" s="81"/>
      <c r="R227" s="81"/>
      <c r="S227" s="81"/>
      <c r="T227" s="83"/>
      <c r="U227" s="83"/>
      <c r="V227" s="81"/>
      <c r="W227" s="83"/>
      <c r="X227" s="83"/>
      <c r="Y227" s="83"/>
      <c r="Z227" s="81"/>
      <c r="AA227" s="83"/>
      <c r="AB227" s="83"/>
      <c r="AC227" s="83"/>
      <c r="AD227" s="83"/>
      <c r="AE227" s="83"/>
      <c r="AF227" s="83"/>
      <c r="AG227" s="81"/>
      <c r="AH227" s="83"/>
      <c r="AI227" s="83"/>
      <c r="AJ227" s="83"/>
      <c r="AK227" s="84"/>
      <c r="AL227" s="33"/>
      <c r="AM227" s="21"/>
      <c r="AN227" s="21"/>
      <c r="AO227" s="21"/>
      <c r="AP227" s="525"/>
      <c r="AQ227" s="21"/>
      <c r="AR227" s="21"/>
      <c r="AS227" s="525"/>
      <c r="AT227" s="525"/>
      <c r="AU227" s="22"/>
      <c r="AV227" s="525"/>
    </row>
    <row r="228" spans="1:48">
      <c r="A228" s="528"/>
      <c r="B228" s="531"/>
      <c r="C228" s="564"/>
      <c r="D228" s="537"/>
      <c r="E228" s="564"/>
      <c r="F228" s="534"/>
      <c r="G228" s="87"/>
      <c r="H228" s="24" t="s">
        <v>98</v>
      </c>
      <c r="I228" s="85"/>
      <c r="J228" s="85"/>
      <c r="K228" s="85"/>
      <c r="L228" s="81"/>
      <c r="M228" s="85"/>
      <c r="N228" s="85"/>
      <c r="O228" s="85"/>
      <c r="P228" s="81"/>
      <c r="Q228" s="81"/>
      <c r="R228" s="81"/>
      <c r="S228" s="81"/>
      <c r="T228" s="85"/>
      <c r="U228" s="85"/>
      <c r="V228" s="81"/>
      <c r="W228" s="85"/>
      <c r="X228" s="85"/>
      <c r="Y228" s="85"/>
      <c r="Z228" s="81"/>
      <c r="AA228" s="85"/>
      <c r="AB228" s="85"/>
      <c r="AC228" s="85">
        <f>($AK$240*$D$200/5)*5</f>
        <v>24706.25</v>
      </c>
      <c r="AD228" s="85">
        <f>($AK$240*$D$200/5)*5</f>
        <v>24706.25</v>
      </c>
      <c r="AE228" s="85">
        <f>($AK$240*$D$200/5)*5</f>
        <v>24706.25</v>
      </c>
      <c r="AF228" s="85">
        <f>($AK$240*$D$200/5)*5</f>
        <v>24706.25</v>
      </c>
      <c r="AG228" s="81"/>
      <c r="AH228" s="85">
        <f>($AK$240*$D$200/5)*5</f>
        <v>24706.25</v>
      </c>
      <c r="AI228" s="85">
        <f>($AK$240*$D$200/5)*5</f>
        <v>24706.25</v>
      </c>
      <c r="AJ228" s="85">
        <f>($AK$240*$D$200/5)*5</f>
        <v>24706.25</v>
      </c>
      <c r="AK228" s="86">
        <f>($AK$240*$D$200/5)*5</f>
        <v>24706.25</v>
      </c>
      <c r="AL228" s="28">
        <f>SUM(I228:AK228)</f>
        <v>197650</v>
      </c>
      <c r="AM228" s="21"/>
      <c r="AN228" s="21"/>
      <c r="AO228" s="21"/>
      <c r="AP228" s="525"/>
      <c r="AQ228" s="21"/>
      <c r="AR228" s="21"/>
      <c r="AS228" s="525"/>
      <c r="AT228" s="525"/>
      <c r="AU228" s="22"/>
      <c r="AV228" s="525"/>
    </row>
    <row r="229" spans="1:48">
      <c r="A229" s="528"/>
      <c r="B229" s="531"/>
      <c r="C229" s="564"/>
      <c r="D229" s="537"/>
      <c r="E229" s="564"/>
      <c r="F229" s="534"/>
      <c r="G229" s="87"/>
      <c r="H229" s="24" t="s">
        <v>99</v>
      </c>
      <c r="I229" s="80"/>
      <c r="J229" s="80"/>
      <c r="K229" s="80"/>
      <c r="L229" s="81"/>
      <c r="M229" s="80"/>
      <c r="N229" s="80"/>
      <c r="O229" s="80"/>
      <c r="P229" s="81"/>
      <c r="Q229" s="81"/>
      <c r="R229" s="81"/>
      <c r="S229" s="81"/>
      <c r="T229" s="80"/>
      <c r="U229" s="80"/>
      <c r="V229" s="81"/>
      <c r="W229" s="80"/>
      <c r="X229" s="80"/>
      <c r="Y229" s="80"/>
      <c r="Z229" s="81"/>
      <c r="AA229" s="80"/>
      <c r="AB229" s="80"/>
      <c r="AC229" s="80">
        <v>5</v>
      </c>
      <c r="AD229" s="80">
        <v>5</v>
      </c>
      <c r="AE229" s="80">
        <v>5</v>
      </c>
      <c r="AF229" s="80">
        <v>5</v>
      </c>
      <c r="AG229" s="81"/>
      <c r="AH229" s="80">
        <v>5</v>
      </c>
      <c r="AI229" s="80">
        <v>5</v>
      </c>
      <c r="AJ229" s="80">
        <v>5</v>
      </c>
      <c r="AK229" s="82">
        <v>5</v>
      </c>
      <c r="AL229" s="28"/>
      <c r="AM229" s="21"/>
      <c r="AN229" s="21"/>
      <c r="AO229" s="21"/>
      <c r="AP229" s="525"/>
      <c r="AQ229" s="21"/>
      <c r="AR229" s="21"/>
      <c r="AS229" s="525"/>
      <c r="AT229" s="525"/>
      <c r="AU229" s="22"/>
      <c r="AV229" s="525"/>
    </row>
    <row r="230" spans="1:48">
      <c r="A230" s="528"/>
      <c r="B230" s="531"/>
      <c r="C230" s="564"/>
      <c r="D230" s="537"/>
      <c r="E230" s="564"/>
      <c r="F230" s="534"/>
      <c r="G230" s="87"/>
      <c r="H230" s="30" t="s">
        <v>16</v>
      </c>
      <c r="I230" s="83"/>
      <c r="J230" s="83"/>
      <c r="K230" s="83"/>
      <c r="L230" s="81"/>
      <c r="M230" s="83"/>
      <c r="N230" s="83"/>
      <c r="O230" s="83"/>
      <c r="P230" s="81"/>
      <c r="Q230" s="81"/>
      <c r="R230" s="81"/>
      <c r="S230" s="81"/>
      <c r="T230" s="83"/>
      <c r="U230" s="83"/>
      <c r="V230" s="81"/>
      <c r="W230" s="83"/>
      <c r="X230" s="83"/>
      <c r="Y230" s="83"/>
      <c r="Z230" s="81"/>
      <c r="AA230" s="83"/>
      <c r="AB230" s="83"/>
      <c r="AC230" s="83"/>
      <c r="AD230" s="83"/>
      <c r="AE230" s="83"/>
      <c r="AF230" s="83"/>
      <c r="AG230" s="81"/>
      <c r="AH230" s="83"/>
      <c r="AI230" s="83"/>
      <c r="AJ230" s="83"/>
      <c r="AK230" s="84"/>
      <c r="AL230" s="33">
        <f>SUM(I230:AK230)</f>
        <v>0</v>
      </c>
      <c r="AM230" s="21"/>
      <c r="AN230" s="21"/>
      <c r="AO230" s="21"/>
      <c r="AP230" s="525"/>
      <c r="AQ230" s="21"/>
      <c r="AR230" s="21"/>
      <c r="AS230" s="525"/>
      <c r="AT230" s="525"/>
      <c r="AU230" s="22"/>
      <c r="AV230" s="525"/>
    </row>
    <row r="231" spans="1:48">
      <c r="A231" s="528"/>
      <c r="B231" s="531"/>
      <c r="C231" s="564"/>
      <c r="D231" s="537"/>
      <c r="E231" s="564"/>
      <c r="F231" s="534"/>
      <c r="G231" s="29"/>
      <c r="H231" s="30" t="s">
        <v>17</v>
      </c>
      <c r="I231" s="83"/>
      <c r="J231" s="83"/>
      <c r="K231" s="83"/>
      <c r="L231" s="81"/>
      <c r="M231" s="83"/>
      <c r="N231" s="83"/>
      <c r="O231" s="83"/>
      <c r="P231" s="81"/>
      <c r="Q231" s="81"/>
      <c r="R231" s="81"/>
      <c r="S231" s="81"/>
      <c r="T231" s="83"/>
      <c r="U231" s="83"/>
      <c r="V231" s="81"/>
      <c r="W231" s="83"/>
      <c r="X231" s="83"/>
      <c r="Y231" s="83"/>
      <c r="Z231" s="81"/>
      <c r="AA231" s="83"/>
      <c r="AB231" s="83"/>
      <c r="AC231" s="83"/>
      <c r="AD231" s="83"/>
      <c r="AE231" s="83"/>
      <c r="AF231" s="83"/>
      <c r="AG231" s="81"/>
      <c r="AH231" s="83"/>
      <c r="AI231" s="83"/>
      <c r="AJ231" s="83"/>
      <c r="AK231" s="84"/>
      <c r="AL231" s="33"/>
      <c r="AM231" s="21"/>
      <c r="AN231" s="21"/>
      <c r="AO231" s="21"/>
      <c r="AP231" s="525"/>
      <c r="AQ231" s="21"/>
      <c r="AR231" s="21"/>
      <c r="AS231" s="525"/>
      <c r="AT231" s="525"/>
      <c r="AU231" s="22"/>
      <c r="AV231" s="525"/>
    </row>
    <row r="232" spans="1:48">
      <c r="A232" s="528"/>
      <c r="B232" s="531"/>
      <c r="C232" s="564"/>
      <c r="D232" s="537"/>
      <c r="E232" s="564"/>
      <c r="F232" s="534"/>
      <c r="G232" s="87"/>
      <c r="H232" s="24" t="s">
        <v>100</v>
      </c>
      <c r="I232" s="85"/>
      <c r="J232" s="85"/>
      <c r="K232" s="85"/>
      <c r="L232" s="81"/>
      <c r="M232" s="85"/>
      <c r="N232" s="85"/>
      <c r="O232" s="85"/>
      <c r="P232" s="81"/>
      <c r="Q232" s="81"/>
      <c r="R232" s="81"/>
      <c r="S232" s="81"/>
      <c r="T232" s="85"/>
      <c r="U232" s="85"/>
      <c r="V232" s="81"/>
      <c r="W232" s="85"/>
      <c r="X232" s="85"/>
      <c r="Y232" s="85"/>
      <c r="Z232" s="81"/>
      <c r="AA232" s="85"/>
      <c r="AB232" s="85"/>
      <c r="AC232" s="85">
        <f>$AK$240*$D$200/5</f>
        <v>4941.25</v>
      </c>
      <c r="AD232" s="85">
        <f>$AK$240*$D$200/5</f>
        <v>4941.25</v>
      </c>
      <c r="AE232" s="85">
        <f>$AK$240*$D$200/5</f>
        <v>4941.25</v>
      </c>
      <c r="AF232" s="85">
        <f>$AK$240*$D$200/5</f>
        <v>4941.25</v>
      </c>
      <c r="AG232" s="81"/>
      <c r="AH232" s="85">
        <f>$AK$240*$D$200/5</f>
        <v>4941.25</v>
      </c>
      <c r="AI232" s="85">
        <f>$AK$240*$D$200/5</f>
        <v>4941.25</v>
      </c>
      <c r="AJ232" s="85">
        <f>$AK$240*$D$200/5</f>
        <v>4941.25</v>
      </c>
      <c r="AK232" s="86">
        <f>$AK$240*$D$200/5</f>
        <v>4941.25</v>
      </c>
      <c r="AL232" s="28">
        <f>SUM(I232:AK232)</f>
        <v>39530</v>
      </c>
      <c r="AM232" s="21"/>
      <c r="AN232" s="21"/>
      <c r="AO232" s="21"/>
      <c r="AP232" s="525"/>
      <c r="AQ232" s="21"/>
      <c r="AR232" s="21"/>
      <c r="AS232" s="525"/>
      <c r="AT232" s="525"/>
      <c r="AU232" s="22"/>
      <c r="AV232" s="525"/>
    </row>
    <row r="233" spans="1:48">
      <c r="A233" s="528"/>
      <c r="B233" s="531"/>
      <c r="C233" s="564"/>
      <c r="D233" s="537"/>
      <c r="E233" s="564"/>
      <c r="F233" s="534"/>
      <c r="G233" s="87"/>
      <c r="H233" s="24" t="s">
        <v>28</v>
      </c>
      <c r="I233" s="80"/>
      <c r="J233" s="80"/>
      <c r="K233" s="80"/>
      <c r="L233" s="81"/>
      <c r="M233" s="80"/>
      <c r="N233" s="80"/>
      <c r="O233" s="80"/>
      <c r="P233" s="81"/>
      <c r="Q233" s="81"/>
      <c r="R233" s="81"/>
      <c r="S233" s="81"/>
      <c r="T233" s="80"/>
      <c r="U233" s="80"/>
      <c r="V233" s="81"/>
      <c r="W233" s="80"/>
      <c r="X233" s="80"/>
      <c r="Y233" s="80"/>
      <c r="Z233" s="81"/>
      <c r="AA233" s="80"/>
      <c r="AB233" s="80"/>
      <c r="AC233" s="80">
        <v>1</v>
      </c>
      <c r="AD233" s="80">
        <v>1</v>
      </c>
      <c r="AE233" s="80">
        <v>1</v>
      </c>
      <c r="AF233" s="80">
        <v>1</v>
      </c>
      <c r="AG233" s="81"/>
      <c r="AH233" s="80">
        <v>1</v>
      </c>
      <c r="AI233" s="80">
        <v>1</v>
      </c>
      <c r="AJ233" s="80">
        <v>1</v>
      </c>
      <c r="AK233" s="82">
        <v>1</v>
      </c>
      <c r="AL233" s="28"/>
      <c r="AM233" s="21"/>
      <c r="AN233" s="21"/>
      <c r="AO233" s="21"/>
      <c r="AP233" s="525"/>
      <c r="AQ233" s="21"/>
      <c r="AR233" s="21"/>
      <c r="AS233" s="525"/>
      <c r="AT233" s="525"/>
      <c r="AU233" s="22"/>
      <c r="AV233" s="525"/>
    </row>
    <row r="234" spans="1:48">
      <c r="A234" s="528"/>
      <c r="B234" s="531"/>
      <c r="C234" s="564"/>
      <c r="D234" s="537"/>
      <c r="E234" s="564"/>
      <c r="F234" s="534"/>
      <c r="G234" s="87"/>
      <c r="H234" s="30" t="s">
        <v>16</v>
      </c>
      <c r="I234" s="83"/>
      <c r="J234" s="83"/>
      <c r="K234" s="83"/>
      <c r="L234" s="81"/>
      <c r="M234" s="83"/>
      <c r="N234" s="83"/>
      <c r="O234" s="83"/>
      <c r="P234" s="81"/>
      <c r="Q234" s="81"/>
      <c r="R234" s="81"/>
      <c r="S234" s="81"/>
      <c r="T234" s="83"/>
      <c r="U234" s="83"/>
      <c r="V234" s="81"/>
      <c r="W234" s="83"/>
      <c r="X234" s="83"/>
      <c r="Y234" s="83"/>
      <c r="Z234" s="81"/>
      <c r="AA234" s="83"/>
      <c r="AB234" s="83"/>
      <c r="AC234" s="83"/>
      <c r="AD234" s="83"/>
      <c r="AE234" s="83"/>
      <c r="AF234" s="83"/>
      <c r="AG234" s="81"/>
      <c r="AH234" s="83"/>
      <c r="AI234" s="83"/>
      <c r="AJ234" s="83"/>
      <c r="AK234" s="84"/>
      <c r="AL234" s="33">
        <f>SUM(I234:AK234)</f>
        <v>0</v>
      </c>
      <c r="AM234" s="21"/>
      <c r="AN234" s="21"/>
      <c r="AO234" s="21"/>
      <c r="AP234" s="525"/>
      <c r="AQ234" s="21"/>
      <c r="AR234" s="21"/>
      <c r="AS234" s="525"/>
      <c r="AT234" s="525"/>
      <c r="AU234" s="22"/>
      <c r="AV234" s="525"/>
    </row>
    <row r="235" spans="1:48">
      <c r="A235" s="528"/>
      <c r="B235" s="531"/>
      <c r="C235" s="564"/>
      <c r="D235" s="537"/>
      <c r="E235" s="564"/>
      <c r="F235" s="534"/>
      <c r="G235" s="29"/>
      <c r="H235" s="30" t="s">
        <v>17</v>
      </c>
      <c r="I235" s="83"/>
      <c r="J235" s="83"/>
      <c r="K235" s="83"/>
      <c r="L235" s="81"/>
      <c r="M235" s="83"/>
      <c r="N235" s="83"/>
      <c r="O235" s="83"/>
      <c r="P235" s="81"/>
      <c r="Q235" s="81"/>
      <c r="R235" s="81"/>
      <c r="S235" s="81"/>
      <c r="T235" s="83"/>
      <c r="U235" s="83"/>
      <c r="V235" s="81"/>
      <c r="W235" s="83"/>
      <c r="X235" s="83"/>
      <c r="Y235" s="83"/>
      <c r="Z235" s="81"/>
      <c r="AA235" s="83"/>
      <c r="AB235" s="83"/>
      <c r="AC235" s="83"/>
      <c r="AD235" s="83"/>
      <c r="AE235" s="83"/>
      <c r="AF235" s="83"/>
      <c r="AG235" s="81"/>
      <c r="AH235" s="83"/>
      <c r="AI235" s="83"/>
      <c r="AJ235" s="83"/>
      <c r="AK235" s="84"/>
      <c r="AL235" s="33"/>
      <c r="AM235" s="21"/>
      <c r="AN235" s="21"/>
      <c r="AO235" s="21"/>
      <c r="AP235" s="525"/>
      <c r="AQ235" s="21"/>
      <c r="AR235" s="21"/>
      <c r="AS235" s="525"/>
      <c r="AT235" s="525"/>
      <c r="AU235" s="22"/>
      <c r="AV235" s="525"/>
    </row>
    <row r="236" spans="1:48">
      <c r="A236" s="528"/>
      <c r="B236" s="531"/>
      <c r="C236" s="564"/>
      <c r="D236" s="537"/>
      <c r="E236" s="564"/>
      <c r="F236" s="534"/>
      <c r="G236" s="87"/>
      <c r="H236" s="24" t="s">
        <v>101</v>
      </c>
      <c r="I236" s="85"/>
      <c r="J236" s="85"/>
      <c r="K236" s="85"/>
      <c r="L236" s="81"/>
      <c r="M236" s="85"/>
      <c r="N236" s="85"/>
      <c r="O236" s="85"/>
      <c r="P236" s="81"/>
      <c r="Q236" s="81"/>
      <c r="R236" s="81"/>
      <c r="S236" s="81"/>
      <c r="T236" s="85"/>
      <c r="U236" s="85"/>
      <c r="V236" s="81"/>
      <c r="W236" s="85"/>
      <c r="X236" s="85"/>
      <c r="Y236" s="85"/>
      <c r="Z236" s="81"/>
      <c r="AA236" s="85"/>
      <c r="AB236" s="85"/>
      <c r="AC236" s="85">
        <f>$AK$240*$D$200/5</f>
        <v>4941.25</v>
      </c>
      <c r="AD236" s="85">
        <f>$AK$240*$D$200/5</f>
        <v>4941.25</v>
      </c>
      <c r="AE236" s="85">
        <f>$AK$240*$D$200/5</f>
        <v>4941.25</v>
      </c>
      <c r="AF236" s="85">
        <f>$AK$240*$D$200/5</f>
        <v>4941.25</v>
      </c>
      <c r="AG236" s="81"/>
      <c r="AH236" s="85">
        <f>$AK$240*$D$200/5</f>
        <v>4941.25</v>
      </c>
      <c r="AI236" s="85">
        <f>$AK$240*$D$200/5</f>
        <v>4941.25</v>
      </c>
      <c r="AJ236" s="85">
        <f>$AK$240*$D$200/5</f>
        <v>4941.25</v>
      </c>
      <c r="AK236" s="86">
        <f>$AK$240*$D$200/5</f>
        <v>4941.25</v>
      </c>
      <c r="AL236" s="28">
        <f>SUM(I236:AK236)</f>
        <v>39530</v>
      </c>
      <c r="AM236" s="21"/>
      <c r="AN236" s="21"/>
      <c r="AO236" s="21"/>
      <c r="AP236" s="525"/>
      <c r="AQ236" s="21"/>
      <c r="AR236" s="21"/>
      <c r="AS236" s="525"/>
      <c r="AT236" s="525"/>
      <c r="AU236" s="22"/>
      <c r="AV236" s="525"/>
    </row>
    <row r="237" spans="1:48">
      <c r="A237" s="528"/>
      <c r="B237" s="531"/>
      <c r="C237" s="564"/>
      <c r="D237" s="537"/>
      <c r="E237" s="564"/>
      <c r="F237" s="534"/>
      <c r="G237" s="87"/>
      <c r="H237" s="24" t="s">
        <v>79</v>
      </c>
      <c r="I237" s="80"/>
      <c r="J237" s="80"/>
      <c r="K237" s="80"/>
      <c r="L237" s="81"/>
      <c r="M237" s="80"/>
      <c r="N237" s="80"/>
      <c r="O237" s="80"/>
      <c r="P237" s="81"/>
      <c r="Q237" s="81"/>
      <c r="R237" s="81"/>
      <c r="S237" s="81"/>
      <c r="T237" s="80"/>
      <c r="U237" s="80"/>
      <c r="V237" s="81"/>
      <c r="W237" s="80"/>
      <c r="X237" s="80"/>
      <c r="Y237" s="80"/>
      <c r="Z237" s="81"/>
      <c r="AA237" s="80"/>
      <c r="AB237" s="80"/>
      <c r="AC237" s="80">
        <v>1</v>
      </c>
      <c r="AD237" s="80">
        <v>1</v>
      </c>
      <c r="AE237" s="80">
        <v>1</v>
      </c>
      <c r="AF237" s="80">
        <v>1</v>
      </c>
      <c r="AG237" s="81"/>
      <c r="AH237" s="80">
        <v>1</v>
      </c>
      <c r="AI237" s="80">
        <v>1</v>
      </c>
      <c r="AJ237" s="80">
        <v>1</v>
      </c>
      <c r="AK237" s="82">
        <v>1</v>
      </c>
      <c r="AL237" s="28"/>
      <c r="AM237" s="21"/>
      <c r="AN237" s="21"/>
      <c r="AO237" s="21"/>
      <c r="AP237" s="525"/>
      <c r="AQ237" s="21"/>
      <c r="AR237" s="21"/>
      <c r="AS237" s="525"/>
      <c r="AT237" s="525"/>
      <c r="AU237" s="22"/>
      <c r="AV237" s="525"/>
    </row>
    <row r="238" spans="1:48">
      <c r="A238" s="528"/>
      <c r="B238" s="531"/>
      <c r="C238" s="564"/>
      <c r="D238" s="537"/>
      <c r="E238" s="564"/>
      <c r="F238" s="534"/>
      <c r="G238" s="87"/>
      <c r="H238" s="30" t="s">
        <v>16</v>
      </c>
      <c r="I238" s="83"/>
      <c r="J238" s="83"/>
      <c r="K238" s="83"/>
      <c r="L238" s="81"/>
      <c r="M238" s="83"/>
      <c r="N238" s="83"/>
      <c r="O238" s="31"/>
      <c r="P238" s="81"/>
      <c r="Q238" s="81"/>
      <c r="R238" s="81"/>
      <c r="S238" s="81"/>
      <c r="T238" s="83"/>
      <c r="U238" s="83"/>
      <c r="V238" s="81"/>
      <c r="W238" s="83"/>
      <c r="X238" s="83"/>
      <c r="Y238" s="31"/>
      <c r="Z238" s="81"/>
      <c r="AA238" s="83"/>
      <c r="AB238" s="83"/>
      <c r="AC238" s="83"/>
      <c r="AD238" s="83"/>
      <c r="AE238" s="83"/>
      <c r="AF238" s="83"/>
      <c r="AG238" s="81"/>
      <c r="AH238" s="83"/>
      <c r="AI238" s="83"/>
      <c r="AJ238" s="83"/>
      <c r="AK238" s="84"/>
      <c r="AL238" s="33">
        <f>SUM(I238:AK238)</f>
        <v>0</v>
      </c>
      <c r="AM238" s="21"/>
      <c r="AN238" s="21"/>
      <c r="AO238" s="21"/>
      <c r="AP238" s="525"/>
      <c r="AQ238" s="21"/>
      <c r="AR238" s="21"/>
      <c r="AS238" s="525"/>
      <c r="AT238" s="525"/>
      <c r="AU238" s="22"/>
      <c r="AV238" s="525"/>
    </row>
    <row r="239" spans="1:48">
      <c r="A239" s="528"/>
      <c r="B239" s="531"/>
      <c r="C239" s="564"/>
      <c r="D239" s="537"/>
      <c r="E239" s="564"/>
      <c r="F239" s="534"/>
      <c r="G239" s="29"/>
      <c r="H239" s="30" t="s">
        <v>17</v>
      </c>
      <c r="I239" s="83"/>
      <c r="J239" s="83"/>
      <c r="K239" s="83"/>
      <c r="L239" s="81"/>
      <c r="M239" s="83"/>
      <c r="N239" s="83"/>
      <c r="O239" s="31"/>
      <c r="P239" s="81"/>
      <c r="Q239" s="81"/>
      <c r="R239" s="81"/>
      <c r="S239" s="81"/>
      <c r="T239" s="83"/>
      <c r="U239" s="83"/>
      <c r="V239" s="81"/>
      <c r="W239" s="83"/>
      <c r="X239" s="83"/>
      <c r="Y239" s="31"/>
      <c r="Z239" s="81"/>
      <c r="AA239" s="83"/>
      <c r="AB239" s="83"/>
      <c r="AC239" s="83"/>
      <c r="AD239" s="83"/>
      <c r="AE239" s="83"/>
      <c r="AF239" s="83"/>
      <c r="AG239" s="81"/>
      <c r="AH239" s="83"/>
      <c r="AI239" s="83"/>
      <c r="AJ239" s="83"/>
      <c r="AK239" s="84"/>
      <c r="AL239" s="33"/>
      <c r="AM239" s="21"/>
      <c r="AN239" s="21"/>
      <c r="AO239" s="21"/>
      <c r="AP239" s="525"/>
      <c r="AQ239" s="21"/>
      <c r="AR239" s="21"/>
      <c r="AS239" s="525"/>
      <c r="AT239" s="525"/>
      <c r="AU239" s="22"/>
      <c r="AV239" s="525"/>
    </row>
    <row r="240" spans="1:48">
      <c r="A240" s="528"/>
      <c r="B240" s="531"/>
      <c r="C240" s="564"/>
      <c r="D240" s="537"/>
      <c r="E240" s="564"/>
      <c r="F240" s="534"/>
      <c r="G240" s="87"/>
      <c r="H240" s="24" t="s">
        <v>29</v>
      </c>
      <c r="I240" s="80"/>
      <c r="J240" s="80"/>
      <c r="K240" s="80"/>
      <c r="L240" s="81"/>
      <c r="M240" s="80"/>
      <c r="N240" s="80"/>
      <c r="O240" s="23"/>
      <c r="P240" s="81"/>
      <c r="Q240" s="81"/>
      <c r="R240" s="81"/>
      <c r="S240" s="81"/>
      <c r="T240" s="80"/>
      <c r="U240" s="80"/>
      <c r="V240" s="81"/>
      <c r="W240" s="80"/>
      <c r="X240" s="80"/>
      <c r="Y240" s="23"/>
      <c r="Z240" s="81"/>
      <c r="AA240" s="80"/>
      <c r="AB240" s="80"/>
      <c r="AC240" s="80"/>
      <c r="AD240" s="80"/>
      <c r="AE240" s="80"/>
      <c r="AF240" s="80"/>
      <c r="AG240" s="81"/>
      <c r="AH240" s="80"/>
      <c r="AI240" s="80"/>
      <c r="AJ240" s="80"/>
      <c r="AK240" s="82">
        <f>($C$200*5)</f>
        <v>16750</v>
      </c>
      <c r="AL240" s="28">
        <f>SUM(I240:AK240)</f>
        <v>16750</v>
      </c>
      <c r="AM240" s="21"/>
      <c r="AN240" s="21"/>
      <c r="AO240" s="21"/>
      <c r="AP240" s="525"/>
      <c r="AQ240" s="21"/>
      <c r="AR240" s="21"/>
      <c r="AS240" s="525"/>
      <c r="AT240" s="525"/>
      <c r="AU240" s="22"/>
      <c r="AV240" s="525"/>
    </row>
    <row r="241" spans="1:48">
      <c r="A241" s="528"/>
      <c r="B241" s="531"/>
      <c r="C241" s="564"/>
      <c r="D241" s="537"/>
      <c r="E241" s="564"/>
      <c r="F241" s="534"/>
      <c r="G241" s="87"/>
      <c r="H241" s="24" t="s">
        <v>30</v>
      </c>
      <c r="I241" s="80"/>
      <c r="J241" s="80"/>
      <c r="K241" s="80"/>
      <c r="L241" s="81"/>
      <c r="M241" s="80"/>
      <c r="N241" s="80"/>
      <c r="O241" s="23"/>
      <c r="P241" s="81"/>
      <c r="Q241" s="81"/>
      <c r="R241" s="81"/>
      <c r="S241" s="81"/>
      <c r="T241" s="80"/>
      <c r="U241" s="80"/>
      <c r="V241" s="81"/>
      <c r="W241" s="80"/>
      <c r="X241" s="80"/>
      <c r="Y241" s="23"/>
      <c r="Z241" s="81"/>
      <c r="AA241" s="80"/>
      <c r="AB241" s="80"/>
      <c r="AC241" s="80"/>
      <c r="AD241" s="80"/>
      <c r="AE241" s="80"/>
      <c r="AF241" s="80"/>
      <c r="AG241" s="81"/>
      <c r="AH241" s="80"/>
      <c r="AI241" s="80"/>
      <c r="AJ241" s="80"/>
      <c r="AK241" s="82">
        <v>1</v>
      </c>
      <c r="AL241" s="28"/>
      <c r="AM241" s="21"/>
      <c r="AN241" s="21"/>
      <c r="AO241" s="21"/>
      <c r="AP241" s="525"/>
      <c r="AQ241" s="21"/>
      <c r="AR241" s="21"/>
      <c r="AS241" s="525"/>
      <c r="AT241" s="525"/>
      <c r="AU241" s="22"/>
      <c r="AV241" s="525"/>
    </row>
    <row r="242" spans="1:48" ht="15.75" thickBot="1">
      <c r="A242" s="529"/>
      <c r="B242" s="532"/>
      <c r="C242" s="565"/>
      <c r="D242" s="538"/>
      <c r="E242" s="565"/>
      <c r="F242" s="535"/>
      <c r="G242" s="88"/>
      <c r="H242" s="89" t="s">
        <v>16</v>
      </c>
      <c r="I242" s="90"/>
      <c r="J242" s="90"/>
      <c r="K242" s="90"/>
      <c r="L242" s="91"/>
      <c r="M242" s="90"/>
      <c r="N242" s="90"/>
      <c r="O242" s="90"/>
      <c r="P242" s="91"/>
      <c r="Q242" s="91"/>
      <c r="R242" s="91"/>
      <c r="S242" s="91"/>
      <c r="T242" s="90"/>
      <c r="U242" s="90"/>
      <c r="V242" s="91"/>
      <c r="W242" s="90"/>
      <c r="X242" s="90"/>
      <c r="Y242" s="90"/>
      <c r="Z242" s="91"/>
      <c r="AA242" s="90"/>
      <c r="AB242" s="90"/>
      <c r="AC242" s="90"/>
      <c r="AD242" s="90"/>
      <c r="AE242" s="90"/>
      <c r="AF242" s="90"/>
      <c r="AG242" s="91"/>
      <c r="AH242" s="90"/>
      <c r="AI242" s="90"/>
      <c r="AJ242" s="90"/>
      <c r="AK242" s="92"/>
      <c r="AL242" s="93">
        <f>SUM(I242:AK242)</f>
        <v>0</v>
      </c>
      <c r="AM242" s="21"/>
      <c r="AN242" s="21"/>
      <c r="AO242" s="21"/>
      <c r="AP242" s="525"/>
      <c r="AQ242" s="21"/>
      <c r="AR242" s="21"/>
      <c r="AS242" s="525"/>
      <c r="AT242" s="525"/>
      <c r="AU242" s="22"/>
      <c r="AV242" s="525"/>
    </row>
    <row r="243" spans="1:48">
      <c r="C243" s="94"/>
      <c r="D243" s="94"/>
      <c r="E243" s="94"/>
      <c r="F243" s="94"/>
      <c r="AM243" s="96"/>
      <c r="AN243" s="97"/>
      <c r="AO243" s="96"/>
      <c r="AP243" s="96"/>
      <c r="AQ243" s="96"/>
      <c r="AR243" s="96"/>
      <c r="AS243" s="96"/>
      <c r="AT243" s="96"/>
      <c r="AU243" s="96"/>
      <c r="AV243" s="96"/>
    </row>
    <row r="244" spans="1:48" hidden="1">
      <c r="C244" s="94"/>
      <c r="D244" s="94"/>
      <c r="E244" s="94"/>
      <c r="F244" s="94"/>
      <c r="H244" s="98" t="s">
        <v>7</v>
      </c>
      <c r="I244" s="590" t="s">
        <v>102</v>
      </c>
      <c r="J244" s="590"/>
      <c r="K244" s="590"/>
      <c r="L244" s="590"/>
      <c r="M244" s="590"/>
      <c r="N244" s="590"/>
      <c r="O244" s="590"/>
      <c r="P244" s="590"/>
      <c r="Q244" s="590"/>
      <c r="R244" s="590"/>
      <c r="S244" s="590"/>
      <c r="T244" s="590"/>
      <c r="U244" s="590"/>
      <c r="V244" s="590"/>
      <c r="W244" s="590"/>
      <c r="X244" s="590"/>
      <c r="Y244" s="590"/>
      <c r="Z244" s="590"/>
      <c r="AA244" s="590"/>
      <c r="AB244" s="590"/>
      <c r="AC244" s="590"/>
      <c r="AD244" s="590"/>
      <c r="AE244" s="590"/>
      <c r="AF244" s="590"/>
      <c r="AG244" s="590"/>
      <c r="AH244" s="590"/>
      <c r="AI244" s="590"/>
      <c r="AJ244" s="590"/>
      <c r="AK244" s="591"/>
      <c r="AL244" s="99" t="s">
        <v>9</v>
      </c>
      <c r="AM244" s="96"/>
      <c r="AN244" s="97"/>
      <c r="AO244" s="96"/>
      <c r="AP244" s="96"/>
      <c r="AQ244" s="96"/>
      <c r="AR244" s="96"/>
      <c r="AS244" s="96"/>
      <c r="AT244" s="96"/>
      <c r="AU244" s="96"/>
      <c r="AV244" s="96"/>
    </row>
    <row r="245" spans="1:48" hidden="1">
      <c r="C245" s="94"/>
      <c r="D245" s="94"/>
      <c r="E245" s="94"/>
      <c r="F245" s="94"/>
      <c r="H245" s="100">
        <v>0.08</v>
      </c>
      <c r="I245" s="101">
        <f>IFERROR(SUMIF($G$1:$G$242, $H245,I$1:I$242 ), 0)</f>
        <v>0</v>
      </c>
      <c r="J245" s="101">
        <f>IFERROR(SUMIF($G$1:$G$242, $H245,J$1:J$242 ), 0)</f>
        <v>0</v>
      </c>
      <c r="K245" s="101">
        <f>IFERROR(SUMIF($G$1:$G$242, $H245,K$1:K$242 ), 0)</f>
        <v>0</v>
      </c>
      <c r="L245" s="26"/>
      <c r="M245" s="101">
        <f>IFERROR(SUMIF($G$1:$G$242, $H245,M$1:M$242 ), 0)</f>
        <v>0</v>
      </c>
      <c r="N245" s="101">
        <f>IFERROR(SUMIF($G$1:$G$242, $H245,N$1:N$242 ), 0)</f>
        <v>0</v>
      </c>
      <c r="O245" s="101">
        <f>IFERROR(SUMIF($G$1:$G$242, $H245,O$1:O$242 ), 0)</f>
        <v>0</v>
      </c>
      <c r="P245" s="26"/>
      <c r="Q245" s="26"/>
      <c r="R245" s="26"/>
      <c r="S245" s="26"/>
      <c r="T245" s="101">
        <f>IFERROR(SUMIF($G$1:$G$242, $H245,T$1:T$242 ), 0)</f>
        <v>0</v>
      </c>
      <c r="U245" s="101">
        <f>IFERROR(SUMIF($G$1:$G$242, $H245,U$1:U$242 ), 0)</f>
        <v>0</v>
      </c>
      <c r="V245" s="26"/>
      <c r="W245" s="101">
        <f>IFERROR(SUMIF($G$1:$G$242, $H245,W$1:W$242 ), 0)</f>
        <v>0</v>
      </c>
      <c r="X245" s="101">
        <f>IFERROR(SUMIF($G$1:$G$242, $H245,X$1:X$242 ), 0)</f>
        <v>0</v>
      </c>
      <c r="Y245" s="101">
        <f>IFERROR(SUMIF($G$1:$G$242, $H245,Y$1:Y$242 ), 0)</f>
        <v>0</v>
      </c>
      <c r="Z245" s="26"/>
      <c r="AA245" s="101">
        <f t="shared" ref="AA245:AF245" si="38">IFERROR(SUMIF($G$1:$G$242, $H245,AA$1:AA$242 ), 0)</f>
        <v>0</v>
      </c>
      <c r="AB245" s="101">
        <f t="shared" si="38"/>
        <v>0</v>
      </c>
      <c r="AC245" s="101">
        <f t="shared" si="38"/>
        <v>0</v>
      </c>
      <c r="AD245" s="101">
        <f t="shared" si="38"/>
        <v>0</v>
      </c>
      <c r="AE245" s="101">
        <f t="shared" si="38"/>
        <v>0</v>
      </c>
      <c r="AF245" s="101">
        <f t="shared" si="38"/>
        <v>0</v>
      </c>
      <c r="AG245" s="26"/>
      <c r="AH245" s="101">
        <f>IFERROR(SUMIF($G$1:$G$242, $H245,AH$1:AH$242 ), 0)</f>
        <v>0</v>
      </c>
      <c r="AI245" s="101">
        <f>IFERROR(SUMIF($G$1:$G$242, $H245,AI$1:AI$242 ), 0)</f>
        <v>0</v>
      </c>
      <c r="AJ245" s="101">
        <f>IFERROR(SUMIF($G$1:$G$242, $H245,AJ$1:AJ$242 ), 0)</f>
        <v>0</v>
      </c>
      <c r="AK245" s="102">
        <f>IFERROR(SUMIF($G$1:$G$242, $H245,AK$1:AK$242 ), 0)</f>
        <v>0</v>
      </c>
      <c r="AL245" s="103">
        <f t="shared" ref="AL245:AL258" si="39">SUM(I245:AK245)</f>
        <v>0</v>
      </c>
      <c r="AM245" s="96"/>
      <c r="AN245" s="97"/>
      <c r="AO245" s="96"/>
      <c r="AP245" s="96"/>
      <c r="AQ245" s="96"/>
      <c r="AR245" s="96"/>
      <c r="AS245" s="96"/>
      <c r="AT245" s="96"/>
      <c r="AU245" s="96"/>
      <c r="AV245" s="96"/>
    </row>
    <row r="246" spans="1:48" hidden="1">
      <c r="C246" s="94"/>
      <c r="D246" s="94"/>
      <c r="E246" s="94"/>
      <c r="F246" s="94"/>
      <c r="H246" s="29" t="s">
        <v>103</v>
      </c>
      <c r="I246" s="104"/>
      <c r="J246" s="104"/>
      <c r="K246" s="104">
        <v>53.92</v>
      </c>
      <c r="L246" s="26"/>
      <c r="M246" s="104">
        <v>304.70999999999998</v>
      </c>
      <c r="N246" s="104">
        <v>376.65</v>
      </c>
      <c r="O246" s="104">
        <v>413.78</v>
      </c>
      <c r="P246" s="26"/>
      <c r="Q246" s="26"/>
      <c r="R246" s="26"/>
      <c r="S246" s="26"/>
      <c r="T246" s="104">
        <v>370.48</v>
      </c>
      <c r="U246" s="104">
        <v>342.84</v>
      </c>
      <c r="V246" s="26"/>
      <c r="W246" s="104">
        <v>375.36</v>
      </c>
      <c r="X246" s="104">
        <v>426.07</v>
      </c>
      <c r="Y246" s="104"/>
      <c r="Z246" s="26"/>
      <c r="AA246" s="104"/>
      <c r="AB246" s="104"/>
      <c r="AC246" s="104"/>
      <c r="AD246" s="104"/>
      <c r="AE246" s="104"/>
      <c r="AF246" s="104"/>
      <c r="AG246" s="26"/>
      <c r="AH246" s="104"/>
      <c r="AI246" s="104"/>
      <c r="AJ246" s="104"/>
      <c r="AK246" s="105"/>
      <c r="AL246" s="106">
        <f t="shared" si="39"/>
        <v>2663.81</v>
      </c>
      <c r="AM246" s="96"/>
      <c r="AN246" s="97"/>
      <c r="AO246" s="96"/>
      <c r="AP246" s="96"/>
      <c r="AQ246" s="96"/>
      <c r="AR246" s="96"/>
      <c r="AS246" s="96"/>
      <c r="AT246" s="96"/>
      <c r="AU246" s="96"/>
      <c r="AV246" s="96"/>
    </row>
    <row r="247" spans="1:48" hidden="1">
      <c r="C247" s="94"/>
      <c r="D247" s="94"/>
      <c r="E247" s="94"/>
      <c r="F247" s="94"/>
      <c r="H247" s="100">
        <v>0.16</v>
      </c>
      <c r="I247" s="101">
        <f>IFERROR(SUMIF($G$1:$G$242, $H247,I$1:I$242 ), 0)</f>
        <v>0</v>
      </c>
      <c r="J247" s="101">
        <f>IFERROR(SUMIF($G$1:$G$242, $H247,J$1:J$242 ), 0)</f>
        <v>0</v>
      </c>
      <c r="K247" s="101">
        <f>IFERROR(SUMIF($G$1:$G$242, $H247,K$1:K$242 ), 0)</f>
        <v>0</v>
      </c>
      <c r="L247" s="26"/>
      <c r="M247" s="101">
        <f>IFERROR(SUMIF($G$1:$G$242, $H247,M$1:M$242 ), 0)</f>
        <v>0</v>
      </c>
      <c r="N247" s="101">
        <f>IFERROR(SUMIF($G$1:$G$242, $H247,N$1:N$242 ), 0)</f>
        <v>0</v>
      </c>
      <c r="O247" s="101">
        <f>IFERROR(SUMIF($G$1:$G$242, $H247,O$1:O$242 ), 0)</f>
        <v>0</v>
      </c>
      <c r="P247" s="26"/>
      <c r="Q247" s="26"/>
      <c r="R247" s="26"/>
      <c r="S247" s="26"/>
      <c r="T247" s="101">
        <f>IFERROR(SUMIF($G$1:$G$242, $H247,T$1:T$242 ), 0)</f>
        <v>0</v>
      </c>
      <c r="U247" s="101">
        <f>IFERROR(SUMIF($G$1:$G$242, $H247,U$1:U$242 ), 0)</f>
        <v>0</v>
      </c>
      <c r="V247" s="26"/>
      <c r="W247" s="101">
        <f>IFERROR(SUMIF($G$1:$G$242, $H247,W$1:W$242 ), 0)</f>
        <v>0</v>
      </c>
      <c r="X247" s="101">
        <f>IFERROR(SUMIF($G$1:$G$242, $H247,X$1:X$242 ), 0)</f>
        <v>0</v>
      </c>
      <c r="Y247" s="101">
        <f>IFERROR(SUMIF($G$1:$G$242, $H247,Y$1:Y$242 ), 0)</f>
        <v>0</v>
      </c>
      <c r="Z247" s="26"/>
      <c r="AA247" s="101">
        <f t="shared" ref="AA247:AF247" si="40">IFERROR(SUMIF($G$1:$G$242, $H247,AA$1:AA$242 ), 0)</f>
        <v>0</v>
      </c>
      <c r="AB247" s="101">
        <f t="shared" si="40"/>
        <v>0</v>
      </c>
      <c r="AC247" s="101">
        <f t="shared" si="40"/>
        <v>0</v>
      </c>
      <c r="AD247" s="101">
        <f t="shared" si="40"/>
        <v>0</v>
      </c>
      <c r="AE247" s="101">
        <f t="shared" si="40"/>
        <v>0</v>
      </c>
      <c r="AF247" s="101">
        <f t="shared" si="40"/>
        <v>0</v>
      </c>
      <c r="AG247" s="26"/>
      <c r="AH247" s="101">
        <f>IFERROR(SUMIF($G$1:$G$242, $H247,AH$1:AH$242 ), 0)</f>
        <v>0</v>
      </c>
      <c r="AI247" s="101">
        <f>IFERROR(SUMIF($G$1:$G$242, $H247,AI$1:AI$242 ), 0)</f>
        <v>0</v>
      </c>
      <c r="AJ247" s="101">
        <f>IFERROR(SUMIF($G$1:$G$242, $H247,AJ$1:AJ$242 ), 0)</f>
        <v>0</v>
      </c>
      <c r="AK247" s="102">
        <f>IFERROR(SUMIF($G$1:$G$242, $H247,AK$1:AK$242 ), 0)</f>
        <v>0</v>
      </c>
      <c r="AL247" s="103">
        <f t="shared" si="39"/>
        <v>0</v>
      </c>
      <c r="AM247" s="96"/>
      <c r="AN247" s="97"/>
      <c r="AO247" s="96"/>
      <c r="AP247" s="96"/>
      <c r="AQ247" s="96"/>
      <c r="AR247" s="96"/>
      <c r="AS247" s="96"/>
      <c r="AT247" s="96"/>
      <c r="AU247" s="96"/>
      <c r="AV247" s="96"/>
    </row>
    <row r="248" spans="1:48" hidden="1">
      <c r="C248" s="94"/>
      <c r="D248" s="94"/>
      <c r="E248" s="94"/>
      <c r="F248" s="94"/>
      <c r="H248" s="29" t="s">
        <v>103</v>
      </c>
      <c r="I248" s="104"/>
      <c r="J248" s="104"/>
      <c r="K248" s="104"/>
      <c r="L248" s="26"/>
      <c r="M248" s="104"/>
      <c r="N248" s="104"/>
      <c r="O248" s="104"/>
      <c r="P248" s="26"/>
      <c r="Q248" s="26"/>
      <c r="R248" s="26"/>
      <c r="S248" s="26"/>
      <c r="T248" s="104"/>
      <c r="U248" s="104"/>
      <c r="V248" s="26"/>
      <c r="W248" s="104"/>
      <c r="X248" s="104"/>
      <c r="Y248" s="104"/>
      <c r="Z248" s="26"/>
      <c r="AA248" s="104"/>
      <c r="AB248" s="104"/>
      <c r="AC248" s="104"/>
      <c r="AD248" s="104"/>
      <c r="AE248" s="104"/>
      <c r="AF248" s="104"/>
      <c r="AG248" s="26"/>
      <c r="AH248" s="104"/>
      <c r="AI248" s="104"/>
      <c r="AJ248" s="104"/>
      <c r="AK248" s="105"/>
      <c r="AL248" s="106">
        <f t="shared" si="39"/>
        <v>0</v>
      </c>
      <c r="AM248" s="96"/>
      <c r="AN248" s="97"/>
      <c r="AO248" s="96"/>
      <c r="AP248" s="96"/>
      <c r="AQ248" s="96"/>
      <c r="AR248" s="96"/>
      <c r="AS248" s="96"/>
      <c r="AT248" s="96"/>
      <c r="AU248" s="96"/>
      <c r="AV248" s="96"/>
    </row>
    <row r="249" spans="1:48" hidden="1">
      <c r="C249" s="94"/>
      <c r="D249" s="94"/>
      <c r="E249" s="94"/>
      <c r="F249" s="94"/>
      <c r="H249" s="100">
        <v>0.127</v>
      </c>
      <c r="I249" s="107">
        <f>IFERROR(SUMIF($G$1:$G$242, $H249,I$1:I$242 ), 0)</f>
        <v>0</v>
      </c>
      <c r="J249" s="101">
        <f>IFERROR(SUMIF($G$1:$G$242, $H249,J$1:J$242 ), 0)</f>
        <v>0</v>
      </c>
      <c r="K249" s="101">
        <f>IFERROR(SUMIF($G$1:$G$242, $H249,K$1:K$242 ), 0)</f>
        <v>0</v>
      </c>
      <c r="L249" s="26"/>
      <c r="M249" s="101">
        <f>IFERROR(SUMIF($G$1:$G$242, $H249,M$1:M$242 ), 0)</f>
        <v>0</v>
      </c>
      <c r="N249" s="101">
        <f>IFERROR(SUMIF($G$1:$G$242, $H249,N$1:N$242 ), 0)</f>
        <v>0</v>
      </c>
      <c r="O249" s="101">
        <f>IFERROR(SUMIF($G$1:$G$242, $H249,O$1:O$242 ), 0)</f>
        <v>0</v>
      </c>
      <c r="P249" s="26"/>
      <c r="Q249" s="26"/>
      <c r="R249" s="26"/>
      <c r="S249" s="26"/>
      <c r="T249" s="101">
        <f>IFERROR(SUMIF($G$1:$G$242, $H249,T$1:T$242 ), 0)</f>
        <v>0</v>
      </c>
      <c r="U249" s="101">
        <f>IFERROR(SUMIF($G$1:$G$242, $H249,U$1:U$242 ), 0)</f>
        <v>0</v>
      </c>
      <c r="V249" s="26"/>
      <c r="W249" s="101">
        <f>IFERROR(SUMIF($G$1:$G$242, $H249,W$1:W$242 ), 0)</f>
        <v>0</v>
      </c>
      <c r="X249" s="101">
        <f>IFERROR(SUMIF($G$1:$G$242, $H249,X$1:X$242 ), 0)</f>
        <v>0</v>
      </c>
      <c r="Y249" s="101">
        <f>IFERROR(SUMIF($G$1:$G$242, $H249,Y$1:Y$242 ), 0)</f>
        <v>0</v>
      </c>
      <c r="Z249" s="26"/>
      <c r="AA249" s="101">
        <f t="shared" ref="AA249:AF249" si="41">IFERROR(SUMIF($G$1:$G$242, $H249,AA$1:AA$242 ), 0)</f>
        <v>0</v>
      </c>
      <c r="AB249" s="101">
        <f t="shared" si="41"/>
        <v>0</v>
      </c>
      <c r="AC249" s="101">
        <f t="shared" si="41"/>
        <v>0</v>
      </c>
      <c r="AD249" s="101">
        <f t="shared" si="41"/>
        <v>0</v>
      </c>
      <c r="AE249" s="101">
        <f t="shared" si="41"/>
        <v>0</v>
      </c>
      <c r="AF249" s="101">
        <f t="shared" si="41"/>
        <v>0</v>
      </c>
      <c r="AG249" s="26"/>
      <c r="AH249" s="101">
        <f>IFERROR(SUMIF($G$1:$G$242, $H249,AH$1:AH$242 ), 0)</f>
        <v>0</v>
      </c>
      <c r="AI249" s="101">
        <f>IFERROR(SUMIF($G$1:$G$242, $H249,AI$1:AI$242 ), 0)</f>
        <v>0</v>
      </c>
      <c r="AJ249" s="101">
        <f>IFERROR(SUMIF($G$1:$G$242, $H249,AJ$1:AJ$242 ), 0)</f>
        <v>0</v>
      </c>
      <c r="AK249" s="102">
        <f>IFERROR(SUMIF($G$1:$G$242, $H249,AK$1:AK$242 ), 0)</f>
        <v>0</v>
      </c>
      <c r="AL249" s="103">
        <f t="shared" si="39"/>
        <v>0</v>
      </c>
      <c r="AM249" s="96"/>
      <c r="AN249" s="97"/>
      <c r="AO249" s="96"/>
      <c r="AP249" s="96"/>
      <c r="AQ249" s="96"/>
      <c r="AR249" s="96"/>
      <c r="AS249" s="96"/>
      <c r="AT249" s="96"/>
      <c r="AU249" s="96"/>
      <c r="AV249" s="96"/>
    </row>
    <row r="250" spans="1:48" hidden="1">
      <c r="C250" s="94"/>
      <c r="D250" s="94"/>
      <c r="E250" s="94"/>
      <c r="F250" s="94"/>
      <c r="H250" s="29" t="s">
        <v>103</v>
      </c>
      <c r="I250" s="104"/>
      <c r="J250" s="104"/>
      <c r="K250" s="104"/>
      <c r="L250" s="26"/>
      <c r="M250" s="104"/>
      <c r="N250" s="104"/>
      <c r="O250" s="104"/>
      <c r="P250" s="26"/>
      <c r="Q250" s="26"/>
      <c r="R250" s="26"/>
      <c r="S250" s="26"/>
      <c r="T250" s="104"/>
      <c r="U250" s="104"/>
      <c r="V250" s="26"/>
      <c r="W250" s="104"/>
      <c r="X250" s="104"/>
      <c r="Y250" s="104"/>
      <c r="Z250" s="26"/>
      <c r="AA250" s="104"/>
      <c r="AB250" s="104"/>
      <c r="AC250" s="104"/>
      <c r="AD250" s="104"/>
      <c r="AE250" s="104"/>
      <c r="AF250" s="104"/>
      <c r="AG250" s="26"/>
      <c r="AH250" s="104"/>
      <c r="AI250" s="104"/>
      <c r="AJ250" s="104"/>
      <c r="AK250" s="105"/>
      <c r="AL250" s="106">
        <f t="shared" si="39"/>
        <v>0</v>
      </c>
      <c r="AM250" s="96"/>
      <c r="AN250" s="97"/>
      <c r="AO250" s="96"/>
      <c r="AP250" s="96"/>
      <c r="AQ250" s="96"/>
      <c r="AR250" s="96"/>
      <c r="AS250" s="96"/>
      <c r="AT250" s="96"/>
      <c r="AU250" s="96"/>
      <c r="AV250" s="96"/>
    </row>
    <row r="251" spans="1:48" hidden="1">
      <c r="C251" s="94"/>
      <c r="D251" s="94"/>
      <c r="E251" s="94"/>
      <c r="F251" s="94"/>
      <c r="H251" s="100">
        <v>0.12</v>
      </c>
      <c r="I251" s="107">
        <f>IFERROR(SUMIF($G$1:$G$242, $H251,I$1:I$242 ), 0)</f>
        <v>0</v>
      </c>
      <c r="J251" s="101">
        <f>IFERROR(SUMIF($G$1:$G$242, $H251,J$1:J$242 ), 0)</f>
        <v>0</v>
      </c>
      <c r="K251" s="101">
        <f>IFERROR(SUMIF($G$1:$G$242, $H251,K$1:K$242 ), 0)</f>
        <v>0</v>
      </c>
      <c r="L251" s="26"/>
      <c r="M251" s="101">
        <f>IFERROR(SUMIF($G$1:$G$242, $H251,M$1:M$242 ), 0)</f>
        <v>0</v>
      </c>
      <c r="N251" s="101">
        <f>IFERROR(SUMIF($G$1:$G$242, $H251,N$1:N$242 ), 0)</f>
        <v>0</v>
      </c>
      <c r="O251" s="101">
        <f>IFERROR(SUMIF($G$1:$G$242, $H251,O$1:O$242 ), 0)</f>
        <v>0</v>
      </c>
      <c r="P251" s="26"/>
      <c r="Q251" s="26"/>
      <c r="R251" s="26"/>
      <c r="S251" s="26"/>
      <c r="T251" s="101">
        <f>IFERROR(SUMIF($G$1:$G$242, $H251,T$1:T$242 ), 0)</f>
        <v>0</v>
      </c>
      <c r="U251" s="101">
        <f>IFERROR(SUMIF($G$1:$G$242, $H251,U$1:U$242 ), 0)</f>
        <v>0</v>
      </c>
      <c r="V251" s="26"/>
      <c r="W251" s="101">
        <f>IFERROR(SUMIF($G$1:$G$242, $H251,W$1:W$242 ), 0)</f>
        <v>0</v>
      </c>
      <c r="X251" s="101">
        <f>IFERROR(SUMIF($G$1:$G$242, $H251,X$1:X$242 ), 0)</f>
        <v>0</v>
      </c>
      <c r="Y251" s="101">
        <f>IFERROR(SUMIF($G$1:$G$242, $H251,Y$1:Y$242 ), 0)</f>
        <v>0</v>
      </c>
      <c r="Z251" s="26"/>
      <c r="AA251" s="101">
        <f t="shared" ref="AA251:AF251" si="42">IFERROR(SUMIF($G$1:$G$242, $H251,AA$1:AA$242 ), 0)</f>
        <v>0</v>
      </c>
      <c r="AB251" s="101">
        <f t="shared" si="42"/>
        <v>0</v>
      </c>
      <c r="AC251" s="101">
        <f t="shared" si="42"/>
        <v>0</v>
      </c>
      <c r="AD251" s="101">
        <f t="shared" si="42"/>
        <v>0</v>
      </c>
      <c r="AE251" s="101">
        <f t="shared" si="42"/>
        <v>0</v>
      </c>
      <c r="AF251" s="101">
        <f t="shared" si="42"/>
        <v>0</v>
      </c>
      <c r="AG251" s="26"/>
      <c r="AH251" s="101">
        <f>IFERROR(SUMIF($G$1:$G$242, $H251,AH$1:AH$242 ), 0)</f>
        <v>0</v>
      </c>
      <c r="AI251" s="101">
        <f>IFERROR(SUMIF($G$1:$G$242, $H251,AI$1:AI$242 ), 0)</f>
        <v>0</v>
      </c>
      <c r="AJ251" s="101">
        <f>IFERROR(SUMIF($G$1:$G$242, $H251,AJ$1:AJ$242 ), 0)</f>
        <v>0</v>
      </c>
      <c r="AK251" s="101">
        <f>IFERROR(SUMIF($G$1:$G$242, $H251,AK$1:AK$242 ), 0)</f>
        <v>0</v>
      </c>
      <c r="AL251" s="103">
        <f t="shared" si="39"/>
        <v>0</v>
      </c>
      <c r="AM251" s="96"/>
      <c r="AN251" s="97"/>
      <c r="AO251" s="96"/>
      <c r="AP251" s="96"/>
      <c r="AQ251" s="96"/>
      <c r="AR251" s="96"/>
      <c r="AS251" s="96"/>
      <c r="AT251" s="96"/>
      <c r="AU251" s="96"/>
      <c r="AV251" s="96"/>
    </row>
    <row r="252" spans="1:48" hidden="1">
      <c r="C252" s="94"/>
      <c r="D252" s="94"/>
      <c r="E252" s="94"/>
      <c r="F252" s="94"/>
      <c r="H252" s="29" t="s">
        <v>103</v>
      </c>
      <c r="I252" s="104"/>
      <c r="J252" s="104"/>
      <c r="K252" s="104"/>
      <c r="L252" s="26"/>
      <c r="M252" s="104"/>
      <c r="N252" s="104"/>
      <c r="O252" s="104"/>
      <c r="P252" s="26"/>
      <c r="Q252" s="26"/>
      <c r="R252" s="26"/>
      <c r="S252" s="26"/>
      <c r="T252" s="104"/>
      <c r="U252" s="104"/>
      <c r="V252" s="26"/>
      <c r="W252" s="104"/>
      <c r="X252" s="104"/>
      <c r="Y252" s="104"/>
      <c r="Z252" s="26"/>
      <c r="AA252" s="104"/>
      <c r="AB252" s="104"/>
      <c r="AC252" s="104"/>
      <c r="AD252" s="104"/>
      <c r="AE252" s="104"/>
      <c r="AF252" s="104"/>
      <c r="AG252" s="26"/>
      <c r="AH252" s="104"/>
      <c r="AI252" s="104"/>
      <c r="AJ252" s="104"/>
      <c r="AK252" s="105"/>
      <c r="AL252" s="106">
        <f t="shared" si="39"/>
        <v>0</v>
      </c>
      <c r="AM252" s="96"/>
      <c r="AN252" s="97"/>
      <c r="AO252" s="96"/>
      <c r="AP252" s="96"/>
      <c r="AQ252" s="96"/>
      <c r="AR252" s="96"/>
      <c r="AS252" s="96"/>
      <c r="AT252" s="96"/>
      <c r="AU252" s="96"/>
      <c r="AV252" s="96"/>
    </row>
    <row r="253" spans="1:48" hidden="1">
      <c r="C253" s="94"/>
      <c r="D253" s="94"/>
      <c r="E253" s="94"/>
      <c r="F253" s="94"/>
      <c r="H253" s="100">
        <v>0.2</v>
      </c>
      <c r="I253" s="108">
        <f>IFERROR(SUMIF($G$1:$G$242, $H253,I$1:I$242 ), 0)</f>
        <v>0</v>
      </c>
      <c r="J253" s="101">
        <f>IFERROR(SUMIF($G$1:$G$242, $H253,J$1:J$242 ), 0)</f>
        <v>0</v>
      </c>
      <c r="K253" s="101">
        <f>IFERROR(SUMIF($G$1:$G$242, $H253,K$1:K$242 ), 0)</f>
        <v>0</v>
      </c>
      <c r="L253" s="26"/>
      <c r="M253" s="101">
        <f>IFERROR(SUMIF($G$1:$G$242, $H253,M$1:M$242 ), 0)</f>
        <v>0</v>
      </c>
      <c r="N253" s="101">
        <f>IFERROR(SUMIF($G$1:$G$242, $H253,N$1:N$242 ), 0)</f>
        <v>0</v>
      </c>
      <c r="O253" s="101">
        <f>IFERROR(SUMIF($G$1:$G$242, $H253,O$1:O$242 ), 0)</f>
        <v>0</v>
      </c>
      <c r="P253" s="26"/>
      <c r="Q253" s="26"/>
      <c r="R253" s="26"/>
      <c r="S253" s="26"/>
      <c r="T253" s="101">
        <f>IFERROR(SUMIF($G$1:$G$242, $H253,T$1:T$242 ), 0)</f>
        <v>0</v>
      </c>
      <c r="U253" s="101">
        <f>IFERROR(SUMIF($G$1:$G$242, $H253,U$1:U$242 ), 0)</f>
        <v>0</v>
      </c>
      <c r="V253" s="26"/>
      <c r="W253" s="101">
        <f>IFERROR(SUMIF($G$1:$G$242, $H253,W$1:W$242 ), 0)</f>
        <v>0</v>
      </c>
      <c r="X253" s="101">
        <f>IFERROR(SUMIF($G$1:$G$242, $H253,X$1:X$242 ), 0)</f>
        <v>0</v>
      </c>
      <c r="Y253" s="101">
        <f>IFERROR(SUMIF($G$1:$G$242, $H253,Y$1:Y$242 ), 0)</f>
        <v>0</v>
      </c>
      <c r="Z253" s="26"/>
      <c r="AA253" s="101">
        <f t="shared" ref="AA253:AF253" si="43">IFERROR(SUMIF($G$1:$G$242, $H253,AA$1:AA$242 ), 0)</f>
        <v>0</v>
      </c>
      <c r="AB253" s="101">
        <f t="shared" si="43"/>
        <v>0</v>
      </c>
      <c r="AC253" s="101">
        <f t="shared" si="43"/>
        <v>0</v>
      </c>
      <c r="AD253" s="101">
        <f t="shared" si="43"/>
        <v>0</v>
      </c>
      <c r="AE253" s="101">
        <f t="shared" si="43"/>
        <v>0</v>
      </c>
      <c r="AF253" s="101">
        <f t="shared" si="43"/>
        <v>0</v>
      </c>
      <c r="AG253" s="26"/>
      <c r="AH253" s="101">
        <f>IFERROR(SUMIF($G$1:$G$242, $H253,AH$1:AH$242 ), 0)</f>
        <v>0</v>
      </c>
      <c r="AI253" s="101">
        <f>IFERROR(SUMIF($G$1:$G$242, $H253,AI$1:AI$242 ), 0)</f>
        <v>0</v>
      </c>
      <c r="AJ253" s="101">
        <f>IFERROR(SUMIF($G$1:$G$242, $H253,AJ$1:AJ$242 ), 0)</f>
        <v>0</v>
      </c>
      <c r="AK253" s="101">
        <f>IFERROR(SUMIF($G$1:$G$242, $H253,AK$1:AK$242 ), 0)</f>
        <v>0</v>
      </c>
      <c r="AL253" s="103">
        <f t="shared" si="39"/>
        <v>0</v>
      </c>
      <c r="AM253" s="96"/>
      <c r="AN253" s="97"/>
      <c r="AO253" s="96"/>
      <c r="AP253" s="96"/>
      <c r="AQ253" s="96"/>
      <c r="AR253" s="96"/>
      <c r="AS253" s="96"/>
      <c r="AT253" s="96"/>
      <c r="AU253" s="96"/>
      <c r="AV253" s="96"/>
    </row>
    <row r="254" spans="1:48" hidden="1">
      <c r="C254" s="94"/>
      <c r="D254" s="94"/>
      <c r="E254" s="94"/>
      <c r="F254" s="94"/>
      <c r="H254" s="29" t="s">
        <v>103</v>
      </c>
      <c r="I254" s="104"/>
      <c r="J254" s="104"/>
      <c r="K254" s="104"/>
      <c r="L254" s="26"/>
      <c r="M254" s="104"/>
      <c r="N254" s="31">
        <v>148.75</v>
      </c>
      <c r="O254" s="31">
        <v>312.32</v>
      </c>
      <c r="P254" s="26"/>
      <c r="Q254" s="26"/>
      <c r="R254" s="26"/>
      <c r="S254" s="26"/>
      <c r="T254" s="31">
        <v>286.31</v>
      </c>
      <c r="U254" s="31">
        <v>133.27000000000001</v>
      </c>
      <c r="V254" s="26"/>
      <c r="W254" s="104"/>
      <c r="X254" s="104"/>
      <c r="Y254" s="104"/>
      <c r="Z254" s="26"/>
      <c r="AA254" s="104"/>
      <c r="AB254" s="104"/>
      <c r="AC254" s="104"/>
      <c r="AD254" s="104"/>
      <c r="AE254" s="104"/>
      <c r="AF254" s="104"/>
      <c r="AG254" s="26"/>
      <c r="AH254" s="104"/>
      <c r="AI254" s="104"/>
      <c r="AJ254" s="104"/>
      <c r="AK254" s="105"/>
      <c r="AL254" s="106">
        <f t="shared" si="39"/>
        <v>880.65</v>
      </c>
      <c r="AM254" s="96"/>
      <c r="AN254" s="97"/>
      <c r="AO254" s="96"/>
      <c r="AP254" s="96"/>
      <c r="AQ254" s="96"/>
      <c r="AR254" s="96"/>
      <c r="AS254" s="96"/>
      <c r="AT254" s="96"/>
      <c r="AU254" s="96"/>
      <c r="AV254" s="96"/>
    </row>
    <row r="255" spans="1:48" hidden="1">
      <c r="C255" s="94"/>
      <c r="D255" s="94"/>
      <c r="E255" s="94"/>
      <c r="F255" s="94"/>
      <c r="H255" s="100">
        <v>0.254</v>
      </c>
      <c r="I255" s="101">
        <f>IFERROR(SUMIF($G$1:$G$242, $H255,I$1:I$242 ), 0)</f>
        <v>0</v>
      </c>
      <c r="J255" s="101">
        <f>IFERROR(SUMIF($G$1:$G$242, $H255,J$1:J$242 ), 0)</f>
        <v>0</v>
      </c>
      <c r="K255" s="101">
        <f>IFERROR(SUMIF($G$1:$G$242, $H255,K$1:K$242 ), 0)</f>
        <v>0</v>
      </c>
      <c r="L255" s="26"/>
      <c r="M255" s="101">
        <f>IFERROR(SUMIF($G$1:$G$242, $H255,M$1:M$242 ), 0)</f>
        <v>0</v>
      </c>
      <c r="N255" s="101">
        <f>IFERROR(SUMIF($G$1:$G$242, $H255,N$1:N$242 ), 0)</f>
        <v>0</v>
      </c>
      <c r="O255" s="101">
        <f>IFERROR(SUMIF($G$1:$G$242, $H255,O$1:O$242 ), 0)</f>
        <v>0</v>
      </c>
      <c r="P255" s="26"/>
      <c r="Q255" s="26"/>
      <c r="R255" s="26"/>
      <c r="S255" s="26"/>
      <c r="T255" s="101">
        <f>IFERROR(SUMIF($G$1:$G$242, $H255,T$1:T$242 ), 0)</f>
        <v>0</v>
      </c>
      <c r="U255" s="101">
        <f>IFERROR(SUMIF($G$1:$G$242, $H255,U$1:U$242 ), 0)</f>
        <v>0</v>
      </c>
      <c r="V255" s="26"/>
      <c r="W255" s="101">
        <f>IFERROR(SUMIF($G$1:$G$242, $H255,W$1:W$242 ), 0)</f>
        <v>0</v>
      </c>
      <c r="X255" s="101">
        <f>IFERROR(SUMIF($G$1:$G$242, $H255,X$1:X$242 ), 0)</f>
        <v>0</v>
      </c>
      <c r="Y255" s="101">
        <f>IFERROR(SUMIF($G$1:$G$242, $H255,Y$1:Y$242 ), 0)</f>
        <v>0</v>
      </c>
      <c r="Z255" s="26"/>
      <c r="AA255" s="101">
        <f t="shared" ref="AA255:AF255" si="44">IFERROR(SUMIF($G$1:$G$242, $H255,AA$1:AA$242 ), 0)</f>
        <v>0</v>
      </c>
      <c r="AB255" s="101">
        <f t="shared" si="44"/>
        <v>0</v>
      </c>
      <c r="AC255" s="101">
        <f t="shared" si="44"/>
        <v>0</v>
      </c>
      <c r="AD255" s="101">
        <f t="shared" si="44"/>
        <v>0</v>
      </c>
      <c r="AE255" s="101">
        <f t="shared" si="44"/>
        <v>0</v>
      </c>
      <c r="AF255" s="101">
        <f t="shared" si="44"/>
        <v>0</v>
      </c>
      <c r="AG255" s="26"/>
      <c r="AH255" s="101">
        <f>IFERROR(SUMIF($G$1:$G$242, $H255,AH$1:AH$242 ), 0)</f>
        <v>0</v>
      </c>
      <c r="AI255" s="101">
        <f>IFERROR(SUMIF($G$1:$G$242, $H255,AI$1:AI$242 ), 0)</f>
        <v>0</v>
      </c>
      <c r="AJ255" s="101">
        <f>IFERROR(SUMIF($G$1:$G$242, $H255,AJ$1:AJ$242 ), 0)</f>
        <v>0</v>
      </c>
      <c r="AK255" s="101">
        <f>IFERROR(SUMIF($G$1:$G$242, $H255,AK$1:AK$242 ), 0)</f>
        <v>0</v>
      </c>
      <c r="AL255" s="103">
        <f t="shared" si="39"/>
        <v>0</v>
      </c>
      <c r="AM255" s="96"/>
      <c r="AN255" s="97"/>
      <c r="AO255" s="96"/>
      <c r="AP255" s="96"/>
      <c r="AQ255" s="96"/>
      <c r="AR255" s="96"/>
      <c r="AS255" s="96"/>
      <c r="AT255" s="96"/>
      <c r="AU255" s="96"/>
      <c r="AV255" s="96"/>
    </row>
    <row r="256" spans="1:48" hidden="1">
      <c r="C256" s="94"/>
      <c r="D256" s="94"/>
      <c r="E256" s="94"/>
      <c r="F256" s="94"/>
      <c r="H256" s="87" t="s">
        <v>103</v>
      </c>
      <c r="I256" s="109"/>
      <c r="J256" s="109"/>
      <c r="K256" s="109"/>
      <c r="L256" s="81"/>
      <c r="M256" s="109"/>
      <c r="N256" s="109"/>
      <c r="O256" s="109"/>
      <c r="P256" s="81"/>
      <c r="Q256" s="81"/>
      <c r="R256" s="81"/>
      <c r="S256" s="81"/>
      <c r="T256" s="109"/>
      <c r="U256" s="109"/>
      <c r="V256" s="81"/>
      <c r="W256" s="109"/>
      <c r="X256" s="109"/>
      <c r="Y256" s="109"/>
      <c r="Z256" s="81"/>
      <c r="AA256" s="109"/>
      <c r="AB256" s="109"/>
      <c r="AC256" s="109"/>
      <c r="AD256" s="109"/>
      <c r="AE256" s="109"/>
      <c r="AF256" s="109"/>
      <c r="AG256" s="81"/>
      <c r="AH256" s="109"/>
      <c r="AI256" s="109"/>
      <c r="AJ256" s="109"/>
      <c r="AK256" s="110"/>
      <c r="AL256" s="111">
        <f t="shared" si="39"/>
        <v>0</v>
      </c>
      <c r="AM256" s="96"/>
      <c r="AN256" s="97"/>
      <c r="AO256" s="96"/>
      <c r="AP256" s="96"/>
      <c r="AQ256" s="96"/>
      <c r="AR256" s="96"/>
      <c r="AS256" s="96"/>
      <c r="AT256" s="96"/>
      <c r="AU256" s="96"/>
      <c r="AV256" s="96"/>
    </row>
    <row r="257" spans="3:48" hidden="1">
      <c r="C257" s="94"/>
      <c r="D257" s="94"/>
      <c r="E257" s="94"/>
      <c r="F257" s="94"/>
      <c r="H257" s="592" t="s">
        <v>9</v>
      </c>
      <c r="I257" s="112">
        <f>I245+I247+I249+I251+I253+I255</f>
        <v>0</v>
      </c>
      <c r="J257" s="112">
        <f>J245+J247+J249+J251+J253+J255</f>
        <v>0</v>
      </c>
      <c r="K257" s="112">
        <f>K245+K247+K249+K251+K253+K255</f>
        <v>0</v>
      </c>
      <c r="L257" s="113"/>
      <c r="M257" s="112">
        <f>M245+M247+M249+M251+M253+M255</f>
        <v>0</v>
      </c>
      <c r="N257" s="112">
        <f>N245+N247+N249+N251+N253+N255</f>
        <v>0</v>
      </c>
      <c r="O257" s="112">
        <f>O245+O247+O249+O251+O253+O255</f>
        <v>0</v>
      </c>
      <c r="P257" s="113"/>
      <c r="Q257" s="113"/>
      <c r="R257" s="113"/>
      <c r="S257" s="113"/>
      <c r="T257" s="112">
        <f t="shared" ref="T257:U258" si="45">T245+T247+T249+T251+T253+T255</f>
        <v>0</v>
      </c>
      <c r="U257" s="112">
        <f t="shared" si="45"/>
        <v>0</v>
      </c>
      <c r="V257" s="113"/>
      <c r="W257" s="112">
        <f t="shared" ref="W257:Y258" si="46">W245+W247+W249+W251+W253+W255</f>
        <v>0</v>
      </c>
      <c r="X257" s="112">
        <f t="shared" si="46"/>
        <v>0</v>
      </c>
      <c r="Y257" s="112">
        <f t="shared" si="46"/>
        <v>0</v>
      </c>
      <c r="Z257" s="113"/>
      <c r="AA257" s="112">
        <f t="shared" ref="AA257:AF258" si="47">AA245+AA247+AA249+AA251+AA253+AA255</f>
        <v>0</v>
      </c>
      <c r="AB257" s="112">
        <f t="shared" si="47"/>
        <v>0</v>
      </c>
      <c r="AC257" s="112">
        <f t="shared" si="47"/>
        <v>0</v>
      </c>
      <c r="AD257" s="112">
        <f t="shared" si="47"/>
        <v>0</v>
      </c>
      <c r="AE257" s="112">
        <f t="shared" si="47"/>
        <v>0</v>
      </c>
      <c r="AF257" s="112">
        <f t="shared" si="47"/>
        <v>0</v>
      </c>
      <c r="AG257" s="113"/>
      <c r="AH257" s="112">
        <f t="shared" ref="AH257:AK258" si="48">AH245+AH247+AH249+AH251+AH253+AH255</f>
        <v>0</v>
      </c>
      <c r="AI257" s="112">
        <f t="shared" si="48"/>
        <v>0</v>
      </c>
      <c r="AJ257" s="112">
        <f t="shared" si="48"/>
        <v>0</v>
      </c>
      <c r="AK257" s="112">
        <f t="shared" si="48"/>
        <v>0</v>
      </c>
      <c r="AL257" s="114">
        <f t="shared" si="39"/>
        <v>0</v>
      </c>
      <c r="AM257" s="96"/>
      <c r="AN257" s="97"/>
      <c r="AO257" s="96"/>
      <c r="AP257" s="96"/>
      <c r="AQ257" s="96"/>
      <c r="AR257" s="96"/>
      <c r="AS257" s="96"/>
      <c r="AT257" s="96"/>
      <c r="AU257" s="96"/>
      <c r="AV257" s="96"/>
    </row>
    <row r="258" spans="3:48" ht="15.75" hidden="1" thickBot="1">
      <c r="C258" s="94"/>
      <c r="D258" s="94"/>
      <c r="E258" s="94"/>
      <c r="F258" s="94"/>
      <c r="H258" s="593"/>
      <c r="I258" s="115">
        <f>I246+I248+I250+I252+I254+I256</f>
        <v>0</v>
      </c>
      <c r="J258" s="115">
        <f t="shared" ref="J258:K258" si="49">J246+J248+J250+J252+J254+J256</f>
        <v>0</v>
      </c>
      <c r="K258" s="115">
        <f t="shared" si="49"/>
        <v>53.92</v>
      </c>
      <c r="L258" s="116"/>
      <c r="M258" s="115">
        <f t="shared" ref="M258:O258" si="50">M246+M248+M250+M252+M254+M256</f>
        <v>304.70999999999998</v>
      </c>
      <c r="N258" s="115">
        <f t="shared" si="50"/>
        <v>525.4</v>
      </c>
      <c r="O258" s="115">
        <f t="shared" si="50"/>
        <v>726.09999999999991</v>
      </c>
      <c r="P258" s="116"/>
      <c r="Q258" s="116"/>
      <c r="R258" s="116"/>
      <c r="S258" s="116"/>
      <c r="T258" s="115">
        <f t="shared" si="45"/>
        <v>656.79</v>
      </c>
      <c r="U258" s="115">
        <f t="shared" si="45"/>
        <v>476.11</v>
      </c>
      <c r="V258" s="116"/>
      <c r="W258" s="115">
        <f t="shared" si="46"/>
        <v>375.36</v>
      </c>
      <c r="X258" s="115">
        <f t="shared" si="46"/>
        <v>426.07</v>
      </c>
      <c r="Y258" s="115">
        <f t="shared" si="46"/>
        <v>0</v>
      </c>
      <c r="Z258" s="116"/>
      <c r="AA258" s="115">
        <f t="shared" si="47"/>
        <v>0</v>
      </c>
      <c r="AB258" s="115">
        <f t="shared" si="47"/>
        <v>0</v>
      </c>
      <c r="AC258" s="115">
        <f t="shared" si="47"/>
        <v>0</v>
      </c>
      <c r="AD258" s="115">
        <f t="shared" si="47"/>
        <v>0</v>
      </c>
      <c r="AE258" s="115">
        <f t="shared" si="47"/>
        <v>0</v>
      </c>
      <c r="AF258" s="115">
        <f t="shared" si="47"/>
        <v>0</v>
      </c>
      <c r="AG258" s="116"/>
      <c r="AH258" s="115">
        <f t="shared" si="48"/>
        <v>0</v>
      </c>
      <c r="AI258" s="115">
        <f t="shared" si="48"/>
        <v>0</v>
      </c>
      <c r="AJ258" s="115">
        <f t="shared" si="48"/>
        <v>0</v>
      </c>
      <c r="AK258" s="115">
        <f t="shared" si="48"/>
        <v>0</v>
      </c>
      <c r="AL258" s="117">
        <f t="shared" si="39"/>
        <v>3544.4600000000005</v>
      </c>
      <c r="AM258" s="96"/>
      <c r="AN258" s="97"/>
      <c r="AO258" s="96"/>
      <c r="AP258" s="96"/>
      <c r="AQ258" s="96"/>
      <c r="AR258" s="96"/>
      <c r="AS258" s="96"/>
      <c r="AT258" s="96"/>
      <c r="AU258" s="96"/>
      <c r="AV258" s="96"/>
    </row>
    <row r="259" spans="3:48" hidden="1">
      <c r="C259" s="94"/>
      <c r="D259" s="94"/>
      <c r="E259" s="94"/>
      <c r="F259" s="94"/>
      <c r="AM259" s="96"/>
      <c r="AN259" s="97"/>
      <c r="AO259" s="96"/>
      <c r="AP259" s="96"/>
      <c r="AQ259" s="96"/>
      <c r="AR259" s="96"/>
      <c r="AS259" s="96"/>
      <c r="AT259" s="96"/>
      <c r="AU259" s="96"/>
      <c r="AV259" s="96"/>
    </row>
    <row r="260" spans="3:48" hidden="1">
      <c r="C260" s="94"/>
      <c r="D260" s="94"/>
      <c r="E260" s="94"/>
      <c r="F260" s="94"/>
      <c r="AM260" s="96"/>
      <c r="AN260" s="97"/>
      <c r="AO260" s="96"/>
      <c r="AP260" s="96"/>
      <c r="AQ260" s="96"/>
      <c r="AR260" s="96"/>
      <c r="AS260" s="96"/>
      <c r="AT260" s="96"/>
      <c r="AU260" s="96"/>
      <c r="AV260" s="96"/>
    </row>
    <row r="261" spans="3:48" hidden="1">
      <c r="C261" s="94"/>
      <c r="D261" s="94"/>
      <c r="E261" s="94"/>
      <c r="F261" s="94"/>
      <c r="AM261" s="96"/>
      <c r="AN261" s="97"/>
      <c r="AO261" s="96"/>
      <c r="AP261" s="96"/>
      <c r="AQ261" s="96"/>
      <c r="AR261" s="96"/>
      <c r="AS261" s="96"/>
      <c r="AT261" s="96"/>
      <c r="AU261" s="96"/>
      <c r="AV261" s="96"/>
    </row>
    <row r="262" spans="3:48" hidden="1">
      <c r="C262" s="94"/>
      <c r="D262" s="94"/>
      <c r="E262" s="94"/>
      <c r="F262" s="94"/>
      <c r="AM262" s="96"/>
      <c r="AN262" s="97"/>
      <c r="AO262" s="96"/>
      <c r="AP262" s="96"/>
      <c r="AQ262" s="96"/>
      <c r="AR262" s="96"/>
      <c r="AS262" s="96"/>
      <c r="AT262" s="96"/>
      <c r="AU262" s="96"/>
      <c r="AV262" s="96"/>
    </row>
    <row r="263" spans="3:48" hidden="1">
      <c r="C263" s="94"/>
      <c r="D263" s="94"/>
      <c r="E263" s="94"/>
      <c r="F263" s="94"/>
      <c r="H263" s="118" t="s">
        <v>7</v>
      </c>
      <c r="I263" s="590" t="s">
        <v>104</v>
      </c>
      <c r="J263" s="590"/>
      <c r="K263" s="590"/>
      <c r="L263" s="590"/>
      <c r="M263" s="590"/>
      <c r="N263" s="590"/>
      <c r="O263" s="590"/>
      <c r="P263" s="590"/>
      <c r="Q263" s="590"/>
      <c r="R263" s="590"/>
      <c r="S263" s="590"/>
      <c r="T263" s="590"/>
      <c r="U263" s="590"/>
      <c r="V263" s="590"/>
      <c r="W263" s="590"/>
      <c r="X263" s="590"/>
      <c r="Y263" s="590"/>
      <c r="Z263" s="590"/>
      <c r="AA263" s="590"/>
      <c r="AB263" s="590"/>
      <c r="AC263" s="590"/>
      <c r="AD263" s="590"/>
      <c r="AE263" s="590"/>
      <c r="AF263" s="590"/>
      <c r="AG263" s="590"/>
      <c r="AH263" s="590"/>
      <c r="AI263" s="590"/>
      <c r="AJ263" s="590"/>
      <c r="AK263" s="591"/>
      <c r="AL263" s="99" t="s">
        <v>9</v>
      </c>
      <c r="AM263" s="96"/>
      <c r="AN263" s="96"/>
      <c r="AO263" s="96"/>
      <c r="AP263" s="96"/>
      <c r="AQ263" s="96"/>
      <c r="AR263" s="96"/>
      <c r="AS263" s="96"/>
      <c r="AT263" s="96"/>
      <c r="AU263" s="96"/>
      <c r="AV263" s="96"/>
    </row>
    <row r="264" spans="3:48" hidden="1">
      <c r="H264" s="119" t="s">
        <v>105</v>
      </c>
      <c r="I264" s="120">
        <f>IFERROR(SUMIF($G$1:$G$242, $H264,I$1:I$242 ), 0)</f>
        <v>0</v>
      </c>
      <c r="J264" s="120">
        <f>IFERROR(SUMIF($G$1:$G$242, $H264,J$1:J$242 ), 0)</f>
        <v>0</v>
      </c>
      <c r="K264" s="120">
        <f>IFERROR(SUMIF($G$1:$G$242, $H264,K$1:K$242 ), 0)</f>
        <v>0</v>
      </c>
      <c r="L264" s="26"/>
      <c r="M264" s="120">
        <f>IFERROR(SUMIF($G$1:$G$242, $H264,M1:M242 ), 0)</f>
        <v>0</v>
      </c>
      <c r="N264" s="120">
        <f>IFERROR(SUMIF($G$1:$G$242, $H264,N1:N242 ), 0)</f>
        <v>0</v>
      </c>
      <c r="O264" s="120">
        <f>IFERROR(SUMIF($G$1:$G$242, $H264,O1:O242 ), 0)</f>
        <v>0</v>
      </c>
      <c r="P264" s="26"/>
      <c r="Q264" s="26"/>
      <c r="R264" s="26"/>
      <c r="S264" s="26"/>
      <c r="T264" s="120">
        <f>IFERROR(SUMIF($G$1:$G$242, $H264,T1:T242 ), 0)</f>
        <v>0</v>
      </c>
      <c r="U264" s="120">
        <f>IFERROR(SUMIF($G$1:$G$242, $H264,U1:U242 ), 0)</f>
        <v>0</v>
      </c>
      <c r="V264" s="26"/>
      <c r="W264" s="120">
        <f>IFERROR(SUMIF($G$1:$G$242, $H264,W1:W242 ), 0)</f>
        <v>0</v>
      </c>
      <c r="X264" s="120">
        <f>IFERROR(SUMIF($G$1:$G$242, $H264,X1:X242 ), 0)</f>
        <v>0</v>
      </c>
      <c r="Y264" s="120">
        <f>IFERROR(SUMIF($G$1:$G$242, $H264,Y1:Y242 ), 0)</f>
        <v>0</v>
      </c>
      <c r="Z264" s="26"/>
      <c r="AA264" s="120">
        <f t="shared" ref="AA264:AF264" si="51">IFERROR(SUMIF($G$1:$G$242, $H264,AA1:AA242 ), 0)</f>
        <v>0</v>
      </c>
      <c r="AB264" s="120">
        <f t="shared" si="51"/>
        <v>0</v>
      </c>
      <c r="AC264" s="120">
        <f t="shared" si="51"/>
        <v>0</v>
      </c>
      <c r="AD264" s="120">
        <f t="shared" si="51"/>
        <v>0</v>
      </c>
      <c r="AE264" s="120">
        <f t="shared" si="51"/>
        <v>0</v>
      </c>
      <c r="AF264" s="120">
        <f t="shared" si="51"/>
        <v>0</v>
      </c>
      <c r="AG264" s="26"/>
      <c r="AH264" s="120">
        <f>IFERROR(SUMIF($G$1:$G$242, $H264,AH1:AH242 ), 0)</f>
        <v>0</v>
      </c>
      <c r="AI264" s="120">
        <f>IFERROR(SUMIF($G$1:$G$242, $H264,AI1:AI242 ), 0)</f>
        <v>0</v>
      </c>
      <c r="AJ264" s="120">
        <f>IFERROR(SUMIF($G$1:$G$242, $H264,AJ1:AJ242 ), 0)</f>
        <v>0</v>
      </c>
      <c r="AK264" s="121">
        <f>IFERROR(SUMIF($G$1:$G$242, $H264,AK1:AK242 ), 0)</f>
        <v>0</v>
      </c>
      <c r="AL264" s="122">
        <f t="shared" ref="AL264:AL279" si="52">SUM(I264:AK264)</f>
        <v>0</v>
      </c>
    </row>
    <row r="265" spans="3:48" hidden="1">
      <c r="H265" s="29" t="s">
        <v>103</v>
      </c>
      <c r="I265" s="104">
        <v>178.82</v>
      </c>
      <c r="J265" s="104">
        <v>98.4</v>
      </c>
      <c r="K265" s="104">
        <v>60.52</v>
      </c>
      <c r="L265" s="26"/>
      <c r="M265" s="104">
        <v>64.739999999999995</v>
      </c>
      <c r="N265" s="104">
        <v>217.72</v>
      </c>
      <c r="O265" s="104">
        <v>325.8</v>
      </c>
      <c r="P265" s="26"/>
      <c r="Q265" s="26"/>
      <c r="R265" s="26"/>
      <c r="S265" s="26"/>
      <c r="T265" s="104">
        <v>319.92</v>
      </c>
      <c r="U265" s="104">
        <v>395.42</v>
      </c>
      <c r="V265" s="26"/>
      <c r="W265" s="104">
        <v>342.4</v>
      </c>
      <c r="X265" s="104">
        <v>549.5</v>
      </c>
      <c r="Y265" s="104">
        <v>312.89999999999998</v>
      </c>
      <c r="Z265" s="26"/>
      <c r="AA265" s="104"/>
      <c r="AB265" s="104"/>
      <c r="AC265" s="104"/>
      <c r="AD265" s="104"/>
      <c r="AE265" s="104"/>
      <c r="AF265" s="104"/>
      <c r="AG265" s="26"/>
      <c r="AH265" s="104"/>
      <c r="AI265" s="104"/>
      <c r="AJ265" s="104"/>
      <c r="AK265" s="105"/>
      <c r="AL265" s="106">
        <f t="shared" si="52"/>
        <v>2866.1400000000003</v>
      </c>
    </row>
    <row r="266" spans="3:48" hidden="1">
      <c r="H266" s="119">
        <v>0.16</v>
      </c>
      <c r="I266" s="120">
        <f>IFERROR(SUMIF($G$1:$G$242, $H266,I$1:I$242 ), 0)</f>
        <v>0</v>
      </c>
      <c r="J266" s="120">
        <f>IFERROR(SUMIF($G$1:$G$242, $H266,J$1:J$242 ), 0)</f>
        <v>0</v>
      </c>
      <c r="K266" s="120">
        <f>IFERROR(SUMIF($G$1:$G$242, $H266,K$1:K$242 ), 0)</f>
        <v>0</v>
      </c>
      <c r="L266" s="26"/>
      <c r="M266" s="120">
        <f>IFERROR(SUMIF($G$1:$G$242, $H266,M$1:M$242 ), 0)</f>
        <v>0</v>
      </c>
      <c r="N266" s="120">
        <f>IFERROR(SUMIF($G$1:$G$242, $H266,N$1:N$242 ), 0)</f>
        <v>0</v>
      </c>
      <c r="O266" s="120">
        <f>IFERROR(SUMIF($G$1:$G$242, $H266,O$1:O$242 ), 0)</f>
        <v>0</v>
      </c>
      <c r="P266" s="26"/>
      <c r="Q266" s="26"/>
      <c r="R266" s="26"/>
      <c r="S266" s="26"/>
      <c r="T266" s="120">
        <f>IFERROR(SUMIF($G$1:$G$242, $H266,T$1:T$242 ), 0)</f>
        <v>0</v>
      </c>
      <c r="U266" s="120">
        <f>IFERROR(SUMIF($G$1:$G$242, $H266,U$1:U$242 ), 0)</f>
        <v>0</v>
      </c>
      <c r="V266" s="26"/>
      <c r="W266" s="120">
        <f>IFERROR(SUMIF($G$1:$G$242, $H266,W$1:W$242 ), 0)</f>
        <v>0</v>
      </c>
      <c r="X266" s="120">
        <f>IFERROR(SUMIF($G$1:$G$242, $H266,X$1:X$242 ), 0)</f>
        <v>0</v>
      </c>
      <c r="Y266" s="120">
        <f>IFERROR(SUMIF($G$1:$G$242, $H266,Y$1:Y$242 ), 0)</f>
        <v>0</v>
      </c>
      <c r="Z266" s="26"/>
      <c r="AA266" s="120">
        <f t="shared" ref="AA266:AF266" si="53">IFERROR(SUMIF($G$1:$G$242, $H266,AA$1:AA$242 ), 0)</f>
        <v>0</v>
      </c>
      <c r="AB266" s="120">
        <f t="shared" si="53"/>
        <v>0</v>
      </c>
      <c r="AC266" s="120">
        <f t="shared" si="53"/>
        <v>0</v>
      </c>
      <c r="AD266" s="120">
        <f t="shared" si="53"/>
        <v>0</v>
      </c>
      <c r="AE266" s="120">
        <f t="shared" si="53"/>
        <v>0</v>
      </c>
      <c r="AF266" s="120">
        <f t="shared" si="53"/>
        <v>0</v>
      </c>
      <c r="AG266" s="26"/>
      <c r="AH266" s="120">
        <f>IFERROR(SUMIF($G$1:$G$242, $H266,AH$1:AH$242 ), 0)</f>
        <v>0</v>
      </c>
      <c r="AI266" s="120">
        <f>IFERROR(SUMIF($G$1:$G$242, $H266,AI$1:AI$242 ), 0)</f>
        <v>0</v>
      </c>
      <c r="AJ266" s="120">
        <f>IFERROR(SUMIF($G$1:$G$242, $H266,AJ$1:AJ$242 ), 0)</f>
        <v>0</v>
      </c>
      <c r="AK266" s="121">
        <f>IFERROR(SUMIF($G$1:$G$242, $H266,AK$1:AK$242 ), 0)</f>
        <v>0</v>
      </c>
      <c r="AL266" s="122">
        <f t="shared" si="52"/>
        <v>0</v>
      </c>
      <c r="AM266" s="96"/>
    </row>
    <row r="267" spans="3:48" hidden="1">
      <c r="H267" s="29" t="s">
        <v>103</v>
      </c>
      <c r="I267" s="104"/>
      <c r="J267" s="104"/>
      <c r="K267" s="104"/>
      <c r="L267" s="26"/>
      <c r="M267" s="104"/>
      <c r="N267" s="104"/>
      <c r="O267" s="104"/>
      <c r="P267" s="26"/>
      <c r="Q267" s="26"/>
      <c r="R267" s="26"/>
      <c r="S267" s="26"/>
      <c r="T267" s="104"/>
      <c r="U267" s="104"/>
      <c r="V267" s="26"/>
      <c r="W267" s="104"/>
      <c r="X267" s="104"/>
      <c r="Y267" s="104"/>
      <c r="Z267" s="26"/>
      <c r="AA267" s="104"/>
      <c r="AB267" s="104"/>
      <c r="AC267" s="104"/>
      <c r="AD267" s="104"/>
      <c r="AE267" s="104"/>
      <c r="AF267" s="104"/>
      <c r="AG267" s="26"/>
      <c r="AH267" s="104"/>
      <c r="AI267" s="104"/>
      <c r="AJ267" s="104"/>
      <c r="AK267" s="105"/>
      <c r="AL267" s="106">
        <f t="shared" si="52"/>
        <v>0</v>
      </c>
      <c r="AM267" s="96"/>
    </row>
    <row r="268" spans="3:48" hidden="1">
      <c r="H268" s="119">
        <v>0.12</v>
      </c>
      <c r="I268" s="120">
        <f>IFERROR(SUMIF($G$1:$G$242, $H268,I$1:I$242 ), 0)</f>
        <v>0</v>
      </c>
      <c r="J268" s="120">
        <f>IFERROR(SUMIF($G$1:$G$242, $H268,J$1:J$242 ), 0)</f>
        <v>0</v>
      </c>
      <c r="K268" s="120">
        <f>IFERROR(SUMIF($G$1:$G$242, $H268,K$1:K$242 ), 0)</f>
        <v>0</v>
      </c>
      <c r="L268" s="26"/>
      <c r="M268" s="120">
        <f>IFERROR(SUMIF($G$1:$G$242, $H268,M$1:M$242 ), 0)</f>
        <v>0</v>
      </c>
      <c r="N268" s="120">
        <f>IFERROR(SUMIF($G$1:$G$242, $H268,N$1:N$242 ), 0)</f>
        <v>0</v>
      </c>
      <c r="O268" s="120">
        <f>IFERROR(SUMIF($G$1:$G$242, $H268,O$1:O$242 ), 0)</f>
        <v>0</v>
      </c>
      <c r="P268" s="26"/>
      <c r="Q268" s="26"/>
      <c r="R268" s="26"/>
      <c r="S268" s="26"/>
      <c r="T268" s="120">
        <f>IFERROR(SUMIF($G$1:$G$242, $H268,T$1:T$242 ), 0)</f>
        <v>0</v>
      </c>
      <c r="U268" s="120">
        <f>IFERROR(SUMIF($G$1:$G$242, $H268,U$1:U$242 ), 0)</f>
        <v>0</v>
      </c>
      <c r="V268" s="26"/>
      <c r="W268" s="120">
        <f>IFERROR(SUMIF($G$1:$G$242, $H268,W$1:W$242 ), 0)</f>
        <v>0</v>
      </c>
      <c r="X268" s="120">
        <f>IFERROR(SUMIF($G$1:$G$242, $H268,X$1:X$242 ), 0)</f>
        <v>0</v>
      </c>
      <c r="Y268" s="120">
        <f>IFERROR(SUMIF($G$1:$G$242, $H268,Y$1:Y$242 ), 0)</f>
        <v>0</v>
      </c>
      <c r="Z268" s="26"/>
      <c r="AA268" s="120">
        <f t="shared" ref="AA268:AF268" si="54">IFERROR(SUMIF($G$1:$G$242, $H268,AA$1:AA$242 ), 0)</f>
        <v>0</v>
      </c>
      <c r="AB268" s="120">
        <f t="shared" si="54"/>
        <v>0</v>
      </c>
      <c r="AC268" s="120">
        <f t="shared" si="54"/>
        <v>0</v>
      </c>
      <c r="AD268" s="120">
        <f t="shared" si="54"/>
        <v>0</v>
      </c>
      <c r="AE268" s="120">
        <f t="shared" si="54"/>
        <v>0</v>
      </c>
      <c r="AF268" s="120">
        <f t="shared" si="54"/>
        <v>0</v>
      </c>
      <c r="AG268" s="26"/>
      <c r="AH268" s="120">
        <f>IFERROR(SUMIF($G$1:$G$242, $H268,AH$1:AH$242 ), 0)</f>
        <v>0</v>
      </c>
      <c r="AI268" s="120">
        <f>IFERROR(SUMIF($G$1:$G$242, $H268,AI$1:AI$242 ), 0)</f>
        <v>0</v>
      </c>
      <c r="AJ268" s="120">
        <f>IFERROR(SUMIF($G$1:$G$242, $H268,AJ$1:AJ$242 ), 0)</f>
        <v>0</v>
      </c>
      <c r="AK268" s="121">
        <f>IFERROR(SUMIF($G$1:$G$242, $H268,AK$1:AK$242 ), 0)</f>
        <v>0</v>
      </c>
      <c r="AL268" s="122">
        <f t="shared" si="52"/>
        <v>0</v>
      </c>
      <c r="AO268" s="123"/>
    </row>
    <row r="269" spans="3:48" hidden="1">
      <c r="H269" s="29" t="s">
        <v>103</v>
      </c>
      <c r="I269" s="104"/>
      <c r="J269" s="104"/>
      <c r="K269" s="104"/>
      <c r="L269" s="26"/>
      <c r="M269" s="104">
        <v>146.62</v>
      </c>
      <c r="N269" s="104">
        <v>118.28</v>
      </c>
      <c r="O269" s="104"/>
      <c r="P269" s="26"/>
      <c r="Q269" s="26"/>
      <c r="R269" s="26"/>
      <c r="S269" s="26"/>
      <c r="T269" s="104"/>
      <c r="U269" s="104"/>
      <c r="V269" s="26"/>
      <c r="W269" s="104"/>
      <c r="X269" s="104"/>
      <c r="Y269" s="104">
        <v>468.26</v>
      </c>
      <c r="Z269" s="26"/>
      <c r="AA269" s="104"/>
      <c r="AB269" s="104"/>
      <c r="AC269" s="104"/>
      <c r="AD269" s="104"/>
      <c r="AE269" s="104"/>
      <c r="AF269" s="104"/>
      <c r="AG269" s="26"/>
      <c r="AH269" s="104"/>
      <c r="AI269" s="104"/>
      <c r="AJ269" s="104"/>
      <c r="AK269" s="105"/>
      <c r="AL269" s="106">
        <f t="shared" si="52"/>
        <v>733.16</v>
      </c>
      <c r="AO269" s="123"/>
    </row>
    <row r="270" spans="3:48" hidden="1">
      <c r="H270" s="119">
        <v>0.127</v>
      </c>
      <c r="I270" s="120">
        <f>IFERROR(SUMIF($G$1:$G$242, $H270,I$1:I$242 ), 0)</f>
        <v>0</v>
      </c>
      <c r="J270" s="120">
        <f>IFERROR(SUMIF($G$1:$G$242, $H270,J$1:J$242 ), 0)</f>
        <v>0</v>
      </c>
      <c r="K270" s="120">
        <f>IFERROR(SUMIF($G$1:$G$242, $H270,K$1:K$242 ), 0)</f>
        <v>0</v>
      </c>
      <c r="L270" s="26"/>
      <c r="M270" s="120">
        <f>IFERROR(SUMIF($G$1:$G$242, $H270,M$1:M$242 ), 0)</f>
        <v>0</v>
      </c>
      <c r="N270" s="120">
        <f>IFERROR(SUMIF($G$1:$G$242, $H270,N$1:N$242 ), 0)</f>
        <v>0</v>
      </c>
      <c r="O270" s="120">
        <f>IFERROR(SUMIF($G$1:$G$242, $H270,O$1:O$242 ), 0)</f>
        <v>0</v>
      </c>
      <c r="P270" s="26"/>
      <c r="Q270" s="26"/>
      <c r="R270" s="26"/>
      <c r="S270" s="26"/>
      <c r="T270" s="120">
        <f>IFERROR(SUMIF($G$1:$G$242, $H270,T$1:T$242 ), 0)</f>
        <v>0</v>
      </c>
      <c r="U270" s="120">
        <f>IFERROR(SUMIF($G$1:$G$242, $H270,U$1:U$242 ), 0)</f>
        <v>0</v>
      </c>
      <c r="V270" s="26"/>
      <c r="W270" s="120">
        <f>IFERROR(SUMIF($G$1:$G$242, $H270,W$1:W$242 ), 0)</f>
        <v>0</v>
      </c>
      <c r="X270" s="120">
        <f>IFERROR(SUMIF($G$1:$G$242, $H270,X$1:X$242 ), 0)</f>
        <v>0</v>
      </c>
      <c r="Y270" s="120">
        <f>IFERROR(SUMIF($G$1:$G$242, $H270,Y$1:Y$242 ), 0)</f>
        <v>0</v>
      </c>
      <c r="Z270" s="26"/>
      <c r="AA270" s="120">
        <f t="shared" ref="AA270:AF270" si="55">IFERROR(SUMIF($G$1:$G$242, $H270,AA$1:AA$242 ), 0)</f>
        <v>0</v>
      </c>
      <c r="AB270" s="120">
        <f t="shared" si="55"/>
        <v>0</v>
      </c>
      <c r="AC270" s="120">
        <f t="shared" si="55"/>
        <v>0</v>
      </c>
      <c r="AD270" s="120">
        <f t="shared" si="55"/>
        <v>0</v>
      </c>
      <c r="AE270" s="120">
        <f t="shared" si="55"/>
        <v>0</v>
      </c>
      <c r="AF270" s="120">
        <f t="shared" si="55"/>
        <v>0</v>
      </c>
      <c r="AG270" s="26"/>
      <c r="AH270" s="120">
        <f>IFERROR(SUMIF($G$1:$G$242, $H270,AH$1:AH$242 ), 0)</f>
        <v>0</v>
      </c>
      <c r="AI270" s="120">
        <f>IFERROR(SUMIF($G$1:$G$242, $H270,AI$1:AI$242 ), 0)</f>
        <v>0</v>
      </c>
      <c r="AJ270" s="120">
        <f>IFERROR(SUMIF($G$1:$G$242, $H270,AJ$1:AJ$242 ), 0)</f>
        <v>0</v>
      </c>
      <c r="AK270" s="121">
        <f>IFERROR(SUMIF($G$1:$G$242, $H270,AK$1:AK$242 ), 0)</f>
        <v>0</v>
      </c>
      <c r="AL270" s="122">
        <f t="shared" si="52"/>
        <v>0</v>
      </c>
      <c r="AO270" s="123"/>
    </row>
    <row r="271" spans="3:48" hidden="1">
      <c r="H271" s="29" t="s">
        <v>103</v>
      </c>
      <c r="I271" s="104"/>
      <c r="J271" s="104"/>
      <c r="K271" s="104"/>
      <c r="L271" s="26"/>
      <c r="M271" s="104"/>
      <c r="N271" s="104"/>
      <c r="O271" s="104"/>
      <c r="P271" s="26"/>
      <c r="Q271" s="26"/>
      <c r="R271" s="26"/>
      <c r="S271" s="26"/>
      <c r="T271" s="104"/>
      <c r="U271" s="104"/>
      <c r="V271" s="26"/>
      <c r="W271" s="104"/>
      <c r="X271" s="104"/>
      <c r="Y271" s="104"/>
      <c r="Z271" s="26"/>
      <c r="AA271" s="104"/>
      <c r="AB271" s="104"/>
      <c r="AC271" s="104"/>
      <c r="AD271" s="104"/>
      <c r="AE271" s="104"/>
      <c r="AF271" s="104"/>
      <c r="AG271" s="26"/>
      <c r="AH271" s="104"/>
      <c r="AI271" s="104"/>
      <c r="AJ271" s="104"/>
      <c r="AK271" s="105"/>
      <c r="AL271" s="106">
        <f t="shared" si="52"/>
        <v>0</v>
      </c>
      <c r="AO271" s="123"/>
    </row>
    <row r="272" spans="3:48" hidden="1">
      <c r="H272" s="119">
        <v>0.2</v>
      </c>
      <c r="I272" s="120">
        <f>IFERROR(SUMIF($G$1:$G$242, $H272,I$1:I$242 ), 0)</f>
        <v>0</v>
      </c>
      <c r="J272" s="120">
        <f>IFERROR(SUMIF($G$1:$G$242, $H272,J$1:J$242 ), 0)</f>
        <v>0</v>
      </c>
      <c r="K272" s="120">
        <f>IFERROR(SUMIF($G$1:$G$242, $H272,K$1:K$242 ), 0)</f>
        <v>0</v>
      </c>
      <c r="L272" s="26"/>
      <c r="M272" s="120">
        <f>IFERROR(SUMIF($G$1:$G$242, $H272,M$1:M$242 ), 0)</f>
        <v>0</v>
      </c>
      <c r="N272" s="120">
        <f>IFERROR(SUMIF($G$1:$G$242, $H272,N$1:N$242 ), 0)</f>
        <v>0</v>
      </c>
      <c r="O272" s="120">
        <f>IFERROR(SUMIF($G$1:$G$242, $H272,O$1:O$242 ), 0)</f>
        <v>0</v>
      </c>
      <c r="P272" s="26"/>
      <c r="Q272" s="26"/>
      <c r="R272" s="26"/>
      <c r="S272" s="26"/>
      <c r="T272" s="120">
        <f>IFERROR(SUMIF($G$1:$G$242, $H272,T$1:T$242 ), 0)</f>
        <v>0</v>
      </c>
      <c r="U272" s="120">
        <f>IFERROR(SUMIF($G$1:$G$242, $H272,U$1:U$242 ), 0)</f>
        <v>0</v>
      </c>
      <c r="V272" s="26"/>
      <c r="W272" s="120">
        <f>IFERROR(SUMIF($G$1:$G$242, $H272,W$1:W$242 ), 0)</f>
        <v>0</v>
      </c>
      <c r="X272" s="120">
        <f>IFERROR(SUMIF($G$1:$G$242, $H272,X$1:X$242 ), 0)</f>
        <v>0</v>
      </c>
      <c r="Y272" s="120">
        <f>IFERROR(SUMIF($G$1:$G$242, $H272,Y$1:Y$242 ), 0)</f>
        <v>0</v>
      </c>
      <c r="Z272" s="26"/>
      <c r="AA272" s="120">
        <f t="shared" ref="AA272:AF272" si="56">IFERROR(SUMIF($G$1:$G$242, $H272,AA$1:AA$242 ), 0)</f>
        <v>0</v>
      </c>
      <c r="AB272" s="120">
        <f t="shared" si="56"/>
        <v>0</v>
      </c>
      <c r="AC272" s="120">
        <f t="shared" si="56"/>
        <v>0</v>
      </c>
      <c r="AD272" s="120">
        <f t="shared" si="56"/>
        <v>0</v>
      </c>
      <c r="AE272" s="120">
        <f t="shared" si="56"/>
        <v>0</v>
      </c>
      <c r="AF272" s="120">
        <f t="shared" si="56"/>
        <v>0</v>
      </c>
      <c r="AG272" s="26"/>
      <c r="AH272" s="120">
        <f>IFERROR(SUMIF($G$1:$G$242, $H272,AH$1:AH$242 ), 0)</f>
        <v>0</v>
      </c>
      <c r="AI272" s="120">
        <f>IFERROR(SUMIF($G$1:$G$242, $H272,AI$1:AI$242 ), 0)</f>
        <v>0</v>
      </c>
      <c r="AJ272" s="120">
        <f>IFERROR(SUMIF($G$1:$G$242, $H272,AJ$1:AJ$242 ), 0)</f>
        <v>0</v>
      </c>
      <c r="AK272" s="121">
        <f>IFERROR(SUMIF($G$1:$G$242, $H272,AK$1:AK$242 ), 0)</f>
        <v>0</v>
      </c>
      <c r="AL272" s="122">
        <f t="shared" si="52"/>
        <v>0</v>
      </c>
      <c r="AO272" s="123"/>
    </row>
    <row r="273" spans="2:41" hidden="1">
      <c r="H273" s="29" t="s">
        <v>103</v>
      </c>
      <c r="I273" s="104"/>
      <c r="J273" s="104">
        <v>438.26</v>
      </c>
      <c r="K273" s="104">
        <v>101.86</v>
      </c>
      <c r="L273" s="26"/>
      <c r="M273" s="104">
        <v>4</v>
      </c>
      <c r="N273" s="104"/>
      <c r="O273" s="104"/>
      <c r="P273" s="26"/>
      <c r="Q273" s="26"/>
      <c r="R273" s="26"/>
      <c r="S273" s="26"/>
      <c r="T273" s="104"/>
      <c r="U273" s="104"/>
      <c r="V273" s="26"/>
      <c r="W273" s="104"/>
      <c r="X273" s="104"/>
      <c r="Y273" s="104"/>
      <c r="Z273" s="26"/>
      <c r="AA273" s="104"/>
      <c r="AB273" s="104"/>
      <c r="AC273" s="104"/>
      <c r="AD273" s="104"/>
      <c r="AE273" s="104"/>
      <c r="AF273" s="104"/>
      <c r="AG273" s="26"/>
      <c r="AH273" s="104"/>
      <c r="AI273" s="104"/>
      <c r="AJ273" s="104"/>
      <c r="AK273" s="105"/>
      <c r="AL273" s="106">
        <f t="shared" si="52"/>
        <v>544.12</v>
      </c>
      <c r="AO273" s="123"/>
    </row>
    <row r="274" spans="2:41" hidden="1">
      <c r="H274" s="119" t="s">
        <v>106</v>
      </c>
      <c r="I274" s="120">
        <f>IFERROR(SUMIF($G$1:$G$242, $H274,I$1:I$242 ), 0)</f>
        <v>0</v>
      </c>
      <c r="J274" s="120">
        <f>IFERROR(SUMIF($G$1:$G$242, $H274,J$1:J$242 ), 0)</f>
        <v>0</v>
      </c>
      <c r="K274" s="120">
        <f>IFERROR(SUMIF($G$1:$G$242, $H274,K$1:K$242 ), 0)</f>
        <v>0</v>
      </c>
      <c r="L274" s="26"/>
      <c r="M274" s="120">
        <f>IFERROR(SUMIF($G$1:$G$242, $H274,M$1:M$242 ), 0)</f>
        <v>0</v>
      </c>
      <c r="N274" s="120">
        <f>IFERROR(SUMIF($G$1:$G$242, $H274,N$1:N$242 ), 0)</f>
        <v>0</v>
      </c>
      <c r="O274" s="120">
        <f>IFERROR(SUMIF($G$1:$G$242, $H274,O$1:O$242 ), 0)</f>
        <v>0</v>
      </c>
      <c r="P274" s="26"/>
      <c r="Q274" s="26"/>
      <c r="R274" s="26"/>
      <c r="S274" s="26"/>
      <c r="T274" s="120">
        <f>IFERROR(SUMIF($G$1:$G$242, $H274,T$1:T$242 ), 0)</f>
        <v>0</v>
      </c>
      <c r="U274" s="120">
        <f>IFERROR(SUMIF($G$1:$G$242, $H274,U$1:U$242 ), 0)</f>
        <v>0</v>
      </c>
      <c r="V274" s="26"/>
      <c r="W274" s="120">
        <f>IFERROR(SUMIF($G$1:$G$242, $H274,W$1:W$242 ), 0)</f>
        <v>0</v>
      </c>
      <c r="X274" s="120">
        <f>IFERROR(SUMIF($G$1:$G$242, $H274,X$1:X$242 ), 0)</f>
        <v>0</v>
      </c>
      <c r="Y274" s="120">
        <f>IFERROR(SUMIF($G$1:$G$242, $H274,Y$1:Y$242 ), 0)</f>
        <v>0</v>
      </c>
      <c r="Z274" s="26"/>
      <c r="AA274" s="120">
        <f t="shared" ref="AA274:AF274" si="57">IFERROR(SUMIF($G$1:$G$242, $H274,AA$1:AA$242 ), 0)</f>
        <v>0</v>
      </c>
      <c r="AB274" s="120">
        <f t="shared" si="57"/>
        <v>0</v>
      </c>
      <c r="AC274" s="120">
        <f t="shared" si="57"/>
        <v>0</v>
      </c>
      <c r="AD274" s="120">
        <f t="shared" si="57"/>
        <v>0</v>
      </c>
      <c r="AE274" s="120">
        <f t="shared" si="57"/>
        <v>0</v>
      </c>
      <c r="AF274" s="120">
        <f t="shared" si="57"/>
        <v>0</v>
      </c>
      <c r="AG274" s="26"/>
      <c r="AH274" s="120">
        <f>IFERROR(SUMIF($G$1:$G$242, $H274,AH$1:AH$242 ), 0)</f>
        <v>0</v>
      </c>
      <c r="AI274" s="120">
        <f>IFERROR(SUMIF($G$1:$G$242, $H274,AI$1:AI$242 ), 0)</f>
        <v>0</v>
      </c>
      <c r="AJ274" s="120">
        <f>IFERROR(SUMIF($G$1:$G$242, $H274,AJ$1:AJ$242 ), 0)</f>
        <v>0</v>
      </c>
      <c r="AK274" s="121">
        <f>IFERROR(SUMIF($G$1:$G$242, $H274,AK$1:AK$242 ), 0)</f>
        <v>0</v>
      </c>
      <c r="AL274" s="124">
        <f t="shared" si="52"/>
        <v>0</v>
      </c>
      <c r="AO274" s="123"/>
    </row>
    <row r="275" spans="2:41" hidden="1">
      <c r="H275" s="29" t="s">
        <v>103</v>
      </c>
      <c r="I275" s="104">
        <v>6.26</v>
      </c>
      <c r="J275" s="104"/>
      <c r="K275" s="104"/>
      <c r="L275" s="26"/>
      <c r="M275" s="104"/>
      <c r="N275" s="104"/>
      <c r="O275" s="104"/>
      <c r="P275" s="26"/>
      <c r="Q275" s="26"/>
      <c r="R275" s="26"/>
      <c r="S275" s="26"/>
      <c r="T275" s="104"/>
      <c r="U275" s="104"/>
      <c r="V275" s="26"/>
      <c r="W275" s="104"/>
      <c r="X275" s="104"/>
      <c r="Y275" s="104"/>
      <c r="Z275" s="26"/>
      <c r="AA275" s="104"/>
      <c r="AB275" s="104"/>
      <c r="AC275" s="104"/>
      <c r="AD275" s="104"/>
      <c r="AE275" s="104"/>
      <c r="AF275" s="104"/>
      <c r="AG275" s="26"/>
      <c r="AH275" s="104"/>
      <c r="AI275" s="104"/>
      <c r="AJ275" s="104"/>
      <c r="AK275" s="105"/>
      <c r="AL275" s="106">
        <f t="shared" si="52"/>
        <v>6.26</v>
      </c>
      <c r="AO275" s="123"/>
    </row>
    <row r="276" spans="2:41" hidden="1">
      <c r="H276" s="119" t="s">
        <v>107</v>
      </c>
      <c r="I276" s="120">
        <f>IFERROR(SUMIF($G$1:$G$242, $H276,I$1:I$242 ), 0)</f>
        <v>0</v>
      </c>
      <c r="J276" s="120">
        <f>IFERROR(SUMIF($G$1:$G$242, $H276,J$1:J$242 ), 0)</f>
        <v>0</v>
      </c>
      <c r="K276" s="120">
        <f>IFERROR(SUMIF($G$1:$G$242, $H276,K$1:K$242 ), 0)</f>
        <v>0</v>
      </c>
      <c r="L276" s="26"/>
      <c r="M276" s="120">
        <f>IFERROR(SUMIF($G$1:$G$242, $H276,M$1:M$242 ), 0)</f>
        <v>0</v>
      </c>
      <c r="N276" s="120">
        <f>IFERROR(SUMIF($G$1:$G$242, $H276,N$1:N$242 ), 0)</f>
        <v>0</v>
      </c>
      <c r="O276" s="120">
        <f>IFERROR(SUMIF($G$1:$G$242, $H276,O$1:O$242 ), 0)</f>
        <v>0</v>
      </c>
      <c r="P276" s="26"/>
      <c r="Q276" s="26"/>
      <c r="R276" s="26"/>
      <c r="S276" s="26"/>
      <c r="T276" s="120">
        <f>IFERROR(SUMIF($G$1:$G$242, $H276,T$1:T$242 ), 0)</f>
        <v>0</v>
      </c>
      <c r="U276" s="120">
        <f>IFERROR(SUMIF($G$1:$G$242, $H276,U$1:U$242 ), 0)</f>
        <v>0</v>
      </c>
      <c r="V276" s="26"/>
      <c r="W276" s="120">
        <f>IFERROR(SUMIF($G$1:$G$242, $H276,W$1:W$242 ), 0)</f>
        <v>0</v>
      </c>
      <c r="X276" s="120">
        <f>IFERROR(SUMIF($G$1:$G$242, $H276,X$1:X$242 ), 0)</f>
        <v>0</v>
      </c>
      <c r="Y276" s="120">
        <f>IFERROR(SUMIF($G$1:$G$242, $H276,Y$1:Y$242 ), 0)</f>
        <v>0</v>
      </c>
      <c r="Z276" s="26"/>
      <c r="AA276" s="120">
        <f t="shared" ref="AA276:AF276" si="58">IFERROR(SUMIF($G$1:$G$242, $H276,AA$1:AA$242 ), 0)</f>
        <v>0</v>
      </c>
      <c r="AB276" s="120">
        <f t="shared" si="58"/>
        <v>0</v>
      </c>
      <c r="AC276" s="120">
        <f t="shared" si="58"/>
        <v>0</v>
      </c>
      <c r="AD276" s="120">
        <f t="shared" si="58"/>
        <v>0</v>
      </c>
      <c r="AE276" s="120">
        <f t="shared" si="58"/>
        <v>0</v>
      </c>
      <c r="AF276" s="120">
        <f t="shared" si="58"/>
        <v>0</v>
      </c>
      <c r="AG276" s="26"/>
      <c r="AH276" s="120">
        <f>IFERROR(SUMIF($G$1:$G$242, $H276,AH$1:AH$242 ), 0)</f>
        <v>0</v>
      </c>
      <c r="AI276" s="120">
        <f>IFERROR(SUMIF($G$1:$G$242, $H276,AI$1:AI$242 ), 0)</f>
        <v>0</v>
      </c>
      <c r="AJ276" s="120">
        <f>IFERROR(SUMIF($G$1:$G$242, $H276,AJ$1:AJ$242 ), 0)</f>
        <v>0</v>
      </c>
      <c r="AK276" s="121">
        <f>IFERROR(SUMIF($G$1:$G$242, $H276,AK$1:AK$242 ), 0)</f>
        <v>0</v>
      </c>
      <c r="AL276" s="124">
        <f t="shared" si="52"/>
        <v>0</v>
      </c>
      <c r="AO276" s="123"/>
    </row>
    <row r="277" spans="2:41" hidden="1">
      <c r="H277" s="29" t="s">
        <v>103</v>
      </c>
      <c r="I277" s="104"/>
      <c r="J277" s="104"/>
      <c r="K277" s="104"/>
      <c r="L277" s="26"/>
      <c r="M277" s="104"/>
      <c r="N277" s="104"/>
      <c r="O277" s="104"/>
      <c r="P277" s="26"/>
      <c r="Q277" s="26"/>
      <c r="R277" s="26"/>
      <c r="S277" s="26"/>
      <c r="T277" s="104"/>
      <c r="U277" s="104"/>
      <c r="V277" s="26"/>
      <c r="W277" s="104"/>
      <c r="X277" s="104"/>
      <c r="Y277" s="104"/>
      <c r="Z277" s="26"/>
      <c r="AA277" s="104"/>
      <c r="AB277" s="104"/>
      <c r="AC277" s="104"/>
      <c r="AD277" s="104"/>
      <c r="AE277" s="104"/>
      <c r="AF277" s="104"/>
      <c r="AG277" s="26"/>
      <c r="AH277" s="104"/>
      <c r="AI277" s="104"/>
      <c r="AJ277" s="104"/>
      <c r="AK277" s="105"/>
      <c r="AL277" s="106">
        <f t="shared" si="52"/>
        <v>0</v>
      </c>
      <c r="AO277" s="123"/>
    </row>
    <row r="278" spans="2:41" hidden="1">
      <c r="H278" s="119" t="s">
        <v>108</v>
      </c>
      <c r="I278" s="120">
        <f>IFERROR(SUMIF($G$1:$G$242, $H278,I$1:I$242 ), 0)</f>
        <v>0</v>
      </c>
      <c r="J278" s="120">
        <f>IFERROR(SUMIF($G$1:$G$242, $H278,J$1:J$242 ), 0)</f>
        <v>0</v>
      </c>
      <c r="K278" s="120">
        <f>IFERROR(SUMIF($G$1:$G$242, $H278,K$1:K$242 ), 0)</f>
        <v>0</v>
      </c>
      <c r="L278" s="26"/>
      <c r="M278" s="120">
        <f>IFERROR(SUMIF($G$1:$G$242, $H278,M$1:M$242 ), 0)</f>
        <v>0</v>
      </c>
      <c r="N278" s="120">
        <f>IFERROR(SUMIF($G$1:$G$242, $H278,N$1:N$242 ), 0)</f>
        <v>0</v>
      </c>
      <c r="O278" s="120">
        <f>IFERROR(SUMIF($G$1:$G$242, $H278,O$1:O$242 ), 0)</f>
        <v>0</v>
      </c>
      <c r="P278" s="26"/>
      <c r="Q278" s="26"/>
      <c r="R278" s="26"/>
      <c r="S278" s="26"/>
      <c r="T278" s="120">
        <f>IFERROR(SUMIF($G$1:$G$242, $H278,T$1:T$242 ), 0)</f>
        <v>0</v>
      </c>
      <c r="U278" s="120">
        <f>IFERROR(SUMIF($G$1:$G$242, $H278,U$1:U$242 ), 0)</f>
        <v>0</v>
      </c>
      <c r="V278" s="26"/>
      <c r="W278" s="120">
        <f>IFERROR(SUMIF($G$1:$G$242, $H278,W$1:W$242 ), 0)</f>
        <v>0</v>
      </c>
      <c r="X278" s="120">
        <f>IFERROR(SUMIF($G$1:$G$242, $H278,X$1:X$242 ), 0)</f>
        <v>0</v>
      </c>
      <c r="Y278" s="120">
        <f>IFERROR(SUMIF($G$1:$G$242, $H278,Y$1:Y$242 ), 0)</f>
        <v>0</v>
      </c>
      <c r="Z278" s="26"/>
      <c r="AA278" s="120">
        <f t="shared" ref="AA278:AF278" si="59">IFERROR(SUMIF($G$1:$G$242, $H278,AA$1:AA$242 ), 0)</f>
        <v>0</v>
      </c>
      <c r="AB278" s="120">
        <f t="shared" si="59"/>
        <v>0</v>
      </c>
      <c r="AC278" s="120">
        <f t="shared" si="59"/>
        <v>0</v>
      </c>
      <c r="AD278" s="120">
        <f t="shared" si="59"/>
        <v>0</v>
      </c>
      <c r="AE278" s="120">
        <f t="shared" si="59"/>
        <v>0</v>
      </c>
      <c r="AF278" s="120">
        <f t="shared" si="59"/>
        <v>0</v>
      </c>
      <c r="AG278" s="26"/>
      <c r="AH278" s="120">
        <f>IFERROR(SUMIF($G$1:$G$242, $H278,AH$1:AH$242 ), 0)</f>
        <v>0</v>
      </c>
      <c r="AI278" s="120">
        <f>IFERROR(SUMIF($G$1:$G$242, $H278,AI$1:AI$242 ), 0)</f>
        <v>0</v>
      </c>
      <c r="AJ278" s="120">
        <f>IFERROR(SUMIF($G$1:$G$242, $H278,AJ$1:AJ$242 ), 0)</f>
        <v>0</v>
      </c>
      <c r="AK278" s="121">
        <f>IFERROR(SUMIF($G$1:$G$242, $H278,AK$1:AK$242 ), 0)</f>
        <v>0</v>
      </c>
      <c r="AL278" s="124">
        <f t="shared" si="52"/>
        <v>0</v>
      </c>
      <c r="AO278" s="123"/>
    </row>
    <row r="279" spans="2:41" hidden="1">
      <c r="H279" s="87" t="s">
        <v>103</v>
      </c>
      <c r="I279" s="109"/>
      <c r="J279" s="109"/>
      <c r="K279" s="109"/>
      <c r="L279" s="81"/>
      <c r="M279" s="109"/>
      <c r="N279" s="109"/>
      <c r="O279" s="109"/>
      <c r="P279" s="81"/>
      <c r="Q279" s="81"/>
      <c r="R279" s="81"/>
      <c r="S279" s="81"/>
      <c r="T279" s="109"/>
      <c r="U279" s="109"/>
      <c r="V279" s="81"/>
      <c r="W279" s="109"/>
      <c r="X279" s="109"/>
      <c r="Y279" s="109"/>
      <c r="Z279" s="81"/>
      <c r="AA279" s="109"/>
      <c r="AB279" s="109"/>
      <c r="AC279" s="109"/>
      <c r="AD279" s="109"/>
      <c r="AE279" s="109"/>
      <c r="AF279" s="109"/>
      <c r="AG279" s="81"/>
      <c r="AH279" s="109"/>
      <c r="AI279" s="109"/>
      <c r="AJ279" s="109"/>
      <c r="AK279" s="110"/>
      <c r="AL279" s="106">
        <f t="shared" si="52"/>
        <v>0</v>
      </c>
      <c r="AO279" s="123"/>
    </row>
    <row r="280" spans="2:41" hidden="1">
      <c r="H280" s="594" t="s">
        <v>109</v>
      </c>
      <c r="I280" s="125">
        <f>SUM(I264,I266,I268,I270,I272,I274,I276,I278)</f>
        <v>0</v>
      </c>
      <c r="J280" s="125">
        <f t="shared" ref="J280:O281" si="60">SUM(J264,J266,J268,J270,J272,J274,J276,J278)</f>
        <v>0</v>
      </c>
      <c r="K280" s="125">
        <f t="shared" si="60"/>
        <v>0</v>
      </c>
      <c r="L280" s="113"/>
      <c r="M280" s="125">
        <f t="shared" ref="M280:O280" si="61">SUM(M264,M266,M268,M270,M272,M274,M276,M278)</f>
        <v>0</v>
      </c>
      <c r="N280" s="125">
        <f t="shared" si="61"/>
        <v>0</v>
      </c>
      <c r="O280" s="125">
        <f t="shared" si="61"/>
        <v>0</v>
      </c>
      <c r="P280" s="113"/>
      <c r="Q280" s="113"/>
      <c r="R280" s="113"/>
      <c r="S280" s="113"/>
      <c r="T280" s="125">
        <f t="shared" ref="T280:U281" si="62">SUM(T264,T266,T268,T270,T272,T274,T276,T278)</f>
        <v>0</v>
      </c>
      <c r="U280" s="125">
        <f t="shared" si="62"/>
        <v>0</v>
      </c>
      <c r="V280" s="113"/>
      <c r="W280" s="125">
        <f t="shared" ref="W280:Y281" si="63">SUM(W264,W266,W268,W270,W272,W274,W276,W278)</f>
        <v>0</v>
      </c>
      <c r="X280" s="125">
        <f t="shared" si="63"/>
        <v>0</v>
      </c>
      <c r="Y280" s="125">
        <f t="shared" si="63"/>
        <v>0</v>
      </c>
      <c r="Z280" s="113"/>
      <c r="AA280" s="125">
        <f t="shared" ref="AA280:AF281" si="64">SUM(AA264,AA266,AA268,AA270,AA272,AA274,AA276,AA278)</f>
        <v>0</v>
      </c>
      <c r="AB280" s="125">
        <f t="shared" si="64"/>
        <v>0</v>
      </c>
      <c r="AC280" s="125">
        <f t="shared" si="64"/>
        <v>0</v>
      </c>
      <c r="AD280" s="125">
        <f t="shared" si="64"/>
        <v>0</v>
      </c>
      <c r="AE280" s="125">
        <f t="shared" si="64"/>
        <v>0</v>
      </c>
      <c r="AF280" s="125">
        <f t="shared" si="64"/>
        <v>0</v>
      </c>
      <c r="AG280" s="113"/>
      <c r="AH280" s="125">
        <f t="shared" ref="AH280:AL281" si="65">SUM(AH264,AH266,AH268,AH270,AH272,AH274,AH276,AH278)</f>
        <v>0</v>
      </c>
      <c r="AI280" s="125">
        <f t="shared" si="65"/>
        <v>0</v>
      </c>
      <c r="AJ280" s="125">
        <f t="shared" si="65"/>
        <v>0</v>
      </c>
      <c r="AK280" s="126">
        <f t="shared" si="65"/>
        <v>0</v>
      </c>
      <c r="AL280" s="127">
        <f t="shared" si="65"/>
        <v>0</v>
      </c>
      <c r="AO280" s="123"/>
    </row>
    <row r="281" spans="2:41" ht="15.75" hidden="1" thickBot="1">
      <c r="H281" s="595"/>
      <c r="I281" s="128">
        <f>SUM(I265,I267,I269,I271,I273,I275,I277,I279)</f>
        <v>185.07999999999998</v>
      </c>
      <c r="J281" s="128">
        <f t="shared" si="60"/>
        <v>536.66</v>
      </c>
      <c r="K281" s="128">
        <f t="shared" si="60"/>
        <v>162.38</v>
      </c>
      <c r="L281" s="91"/>
      <c r="M281" s="128">
        <f t="shared" si="60"/>
        <v>215.36</v>
      </c>
      <c r="N281" s="128">
        <f t="shared" si="60"/>
        <v>336</v>
      </c>
      <c r="O281" s="128">
        <f t="shared" si="60"/>
        <v>325.8</v>
      </c>
      <c r="P281" s="91"/>
      <c r="Q281" s="91"/>
      <c r="R281" s="91"/>
      <c r="S281" s="91"/>
      <c r="T281" s="128">
        <f t="shared" si="62"/>
        <v>319.92</v>
      </c>
      <c r="U281" s="128">
        <f t="shared" si="62"/>
        <v>395.42</v>
      </c>
      <c r="V281" s="91"/>
      <c r="W281" s="128">
        <f t="shared" si="63"/>
        <v>342.4</v>
      </c>
      <c r="X281" s="128">
        <f t="shared" si="63"/>
        <v>549.5</v>
      </c>
      <c r="Y281" s="128">
        <f t="shared" si="63"/>
        <v>781.16</v>
      </c>
      <c r="Z281" s="91"/>
      <c r="AA281" s="128">
        <f t="shared" si="64"/>
        <v>0</v>
      </c>
      <c r="AB281" s="128">
        <f t="shared" si="64"/>
        <v>0</v>
      </c>
      <c r="AC281" s="128">
        <f t="shared" si="64"/>
        <v>0</v>
      </c>
      <c r="AD281" s="128">
        <f t="shared" si="64"/>
        <v>0</v>
      </c>
      <c r="AE281" s="128">
        <f t="shared" si="64"/>
        <v>0</v>
      </c>
      <c r="AF281" s="128">
        <f t="shared" si="64"/>
        <v>0</v>
      </c>
      <c r="AG281" s="91"/>
      <c r="AH281" s="128">
        <f t="shared" si="65"/>
        <v>0</v>
      </c>
      <c r="AI281" s="128">
        <f t="shared" si="65"/>
        <v>0</v>
      </c>
      <c r="AJ281" s="128">
        <f t="shared" si="65"/>
        <v>0</v>
      </c>
      <c r="AK281" s="129">
        <f t="shared" si="65"/>
        <v>0</v>
      </c>
      <c r="AL281" s="117">
        <f t="shared" si="65"/>
        <v>4149.68</v>
      </c>
      <c r="AO281" s="123"/>
    </row>
    <row r="282" spans="2:41" hidden="1">
      <c r="B282" s="96"/>
      <c r="C282" s="596"/>
      <c r="D282" s="596"/>
      <c r="E282" s="596"/>
      <c r="F282" s="596"/>
      <c r="G282" s="596"/>
      <c r="J282" s="96"/>
      <c r="K282" s="96"/>
      <c r="L282" s="130"/>
      <c r="M282" s="96"/>
      <c r="N282" s="96"/>
      <c r="O282" s="96"/>
      <c r="P282" s="130"/>
      <c r="Q282" s="130"/>
      <c r="R282" s="130"/>
      <c r="S282" s="130"/>
      <c r="T282" s="96"/>
      <c r="U282" s="96"/>
      <c r="V282" s="130"/>
      <c r="W282" s="96"/>
      <c r="X282" s="96"/>
      <c r="Y282" s="96"/>
      <c r="Z282" s="130"/>
      <c r="AA282" s="96"/>
      <c r="AB282" s="96"/>
      <c r="AC282" s="96"/>
      <c r="AD282" s="96"/>
      <c r="AE282" s="96"/>
      <c r="AF282" s="96"/>
      <c r="AG282" s="131"/>
      <c r="AH282" s="96"/>
      <c r="AI282" s="96"/>
      <c r="AJ282" s="96"/>
      <c r="AK282" s="96"/>
      <c r="AM282" s="589"/>
      <c r="AN282" s="589"/>
      <c r="AO282" s="96"/>
    </row>
    <row r="283" spans="2:41" hidden="1">
      <c r="B283" s="3"/>
      <c r="C283" s="132"/>
      <c r="D283" s="132"/>
      <c r="E283" s="132"/>
      <c r="F283" s="132"/>
      <c r="AM283" s="589"/>
      <c r="AN283" s="589"/>
      <c r="AO283" s="96"/>
    </row>
    <row r="284" spans="2:41" hidden="1">
      <c r="B284" s="3"/>
      <c r="C284" s="132"/>
      <c r="D284" s="132"/>
      <c r="E284" s="132"/>
      <c r="F284" s="132"/>
      <c r="AM284" s="589"/>
      <c r="AN284" s="589"/>
      <c r="AO284" s="96"/>
    </row>
    <row r="285" spans="2:41" hidden="1">
      <c r="B285" s="3"/>
      <c r="C285" s="132"/>
      <c r="D285" s="132"/>
      <c r="E285" s="132"/>
      <c r="F285" s="132"/>
      <c r="AM285" s="589"/>
      <c r="AN285" s="589"/>
      <c r="AO285" s="96"/>
    </row>
    <row r="286" spans="2:41" hidden="1">
      <c r="B286" s="3"/>
      <c r="C286" s="132"/>
      <c r="D286" s="132"/>
      <c r="E286" s="132"/>
      <c r="F286" s="132"/>
      <c r="AM286" s="589"/>
      <c r="AN286" s="589"/>
      <c r="AO286" s="96"/>
    </row>
    <row r="287" spans="2:41" hidden="1">
      <c r="B287" s="3"/>
      <c r="C287" s="132"/>
      <c r="D287" s="132"/>
      <c r="E287" s="132"/>
      <c r="F287" s="132"/>
      <c r="AM287" s="589"/>
      <c r="AN287" s="589"/>
      <c r="AO287" s="96"/>
    </row>
    <row r="288" spans="2:41" hidden="1">
      <c r="B288" s="3"/>
      <c r="C288" s="132"/>
      <c r="D288" s="132"/>
      <c r="E288" s="132"/>
      <c r="F288" s="132"/>
      <c r="AM288" s="589"/>
      <c r="AN288" s="589"/>
      <c r="AO288" s="133"/>
    </row>
    <row r="289" spans="2:48" hidden="1">
      <c r="B289" s="134"/>
      <c r="C289" s="135"/>
      <c r="D289" s="135"/>
      <c r="E289" s="135"/>
      <c r="F289" s="135"/>
      <c r="G289" s="136"/>
      <c r="H289" s="136"/>
      <c r="I289" s="136"/>
      <c r="J289" s="136"/>
      <c r="K289" s="136"/>
      <c r="L289" s="137"/>
      <c r="M289" s="136"/>
      <c r="N289" s="136"/>
      <c r="O289" s="136"/>
      <c r="P289" s="137"/>
      <c r="Q289" s="137"/>
      <c r="R289" s="137"/>
      <c r="S289" s="137"/>
      <c r="T289" s="136"/>
      <c r="U289" s="136"/>
      <c r="V289" s="137"/>
      <c r="W289" s="136"/>
      <c r="X289" s="136"/>
      <c r="Y289" s="136"/>
      <c r="Z289" s="137"/>
      <c r="AA289" s="136"/>
      <c r="AB289" s="136"/>
      <c r="AC289" s="136"/>
      <c r="AD289" s="136"/>
      <c r="AE289" s="136"/>
      <c r="AF289" s="136"/>
      <c r="AG289" s="138"/>
      <c r="AH289" s="136"/>
      <c r="AI289" s="136"/>
      <c r="AJ289" s="136"/>
      <c r="AK289" s="136"/>
      <c r="AM289" s="589"/>
      <c r="AN289" s="589"/>
      <c r="AO289" s="96"/>
    </row>
    <row r="290" spans="2:48" hidden="1"/>
    <row r="291" spans="2:48" hidden="1">
      <c r="B291" s="96"/>
      <c r="C291" s="596"/>
      <c r="D291" s="596"/>
      <c r="E291" s="596"/>
      <c r="F291" s="596"/>
      <c r="G291" s="596"/>
      <c r="H291" s="96"/>
      <c r="I291" s="96"/>
      <c r="J291" s="96"/>
      <c r="K291" s="96"/>
      <c r="L291" s="130"/>
      <c r="M291" s="96"/>
      <c r="N291" s="96"/>
      <c r="O291" s="96"/>
      <c r="P291" s="130"/>
      <c r="Q291" s="130"/>
      <c r="R291" s="130"/>
      <c r="S291" s="130"/>
      <c r="T291" s="96"/>
      <c r="U291" s="96"/>
      <c r="V291" s="130"/>
      <c r="W291" s="96"/>
      <c r="X291" s="96"/>
      <c r="Y291" s="96"/>
      <c r="Z291" s="130"/>
      <c r="AA291" s="96"/>
      <c r="AB291" s="96"/>
      <c r="AC291" s="96"/>
      <c r="AD291" s="96"/>
      <c r="AE291" s="96"/>
      <c r="AF291" s="96"/>
      <c r="AG291" s="131"/>
      <c r="AH291" s="96"/>
      <c r="AI291" s="96"/>
      <c r="AJ291" s="96"/>
      <c r="AK291" s="96"/>
    </row>
    <row r="292" spans="2:48" hidden="1">
      <c r="C292" s="132"/>
      <c r="D292" s="132"/>
      <c r="E292" s="132"/>
      <c r="F292" s="13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</row>
    <row r="293" spans="2:48" hidden="1">
      <c r="C293" s="132"/>
      <c r="D293" s="132"/>
      <c r="E293" s="132"/>
      <c r="F293" s="13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</row>
    <row r="294" spans="2:48" hidden="1">
      <c r="C294" s="132"/>
      <c r="D294" s="132"/>
      <c r="E294" s="132"/>
      <c r="F294" s="13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</row>
    <row r="295" spans="2:48" hidden="1">
      <c r="C295" s="132"/>
      <c r="D295" s="132"/>
      <c r="E295" s="132"/>
      <c r="F295" s="13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</row>
    <row r="296" spans="2:48" hidden="1">
      <c r="C296" s="132"/>
      <c r="D296" s="132"/>
      <c r="E296" s="132"/>
      <c r="F296" s="13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</row>
    <row r="297" spans="2:48" hidden="1">
      <c r="C297" s="132"/>
      <c r="D297" s="132"/>
      <c r="E297" s="132"/>
      <c r="F297" s="13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</row>
    <row r="298" spans="2:48" hidden="1">
      <c r="C298" s="132"/>
      <c r="D298" s="132"/>
      <c r="E298" s="132"/>
      <c r="F298" s="13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</row>
    <row r="299" spans="2:48" hidden="1">
      <c r="C299" s="132"/>
      <c r="D299" s="132"/>
      <c r="E299" s="132"/>
      <c r="F299" s="13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</row>
    <row r="300" spans="2:48" hidden="1">
      <c r="C300" s="132"/>
      <c r="D300" s="132"/>
      <c r="E300" s="132"/>
      <c r="F300" s="13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</row>
    <row r="301" spans="2:48" hidden="1">
      <c r="C301" s="132"/>
      <c r="D301" s="132"/>
      <c r="E301" s="132"/>
      <c r="F301" s="13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</row>
    <row r="302" spans="2:48" hidden="1">
      <c r="C302" s="132"/>
      <c r="D302" s="132"/>
      <c r="E302" s="132"/>
      <c r="F302" s="13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</row>
    <row r="303" spans="2:48" hidden="1">
      <c r="B303" s="134"/>
      <c r="C303" s="135"/>
      <c r="D303" s="135"/>
      <c r="E303" s="135"/>
      <c r="F303" s="135"/>
      <c r="G303" s="139"/>
      <c r="H303" s="139"/>
      <c r="I303" s="139"/>
      <c r="J303" s="139"/>
      <c r="K303" s="139"/>
      <c r="L303" s="140"/>
      <c r="M303" s="139"/>
      <c r="N303" s="139"/>
      <c r="O303" s="139"/>
      <c r="P303" s="140"/>
      <c r="Q303" s="140"/>
      <c r="R303" s="140"/>
      <c r="S303" s="140"/>
      <c r="T303" s="139"/>
      <c r="U303" s="139"/>
      <c r="V303" s="140"/>
      <c r="W303" s="139"/>
      <c r="X303" s="139"/>
      <c r="Y303" s="139"/>
      <c r="Z303" s="140"/>
      <c r="AA303" s="139"/>
      <c r="AB303" s="139"/>
      <c r="AC303" s="139"/>
      <c r="AD303" s="139"/>
      <c r="AE303" s="139"/>
      <c r="AF303" s="139"/>
      <c r="AH303" s="139"/>
      <c r="AI303" s="139"/>
      <c r="AJ303" s="139"/>
      <c r="AK303" s="139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</row>
    <row r="304" spans="2:48" hidden="1"/>
    <row r="305" spans="2:48" hidden="1">
      <c r="B305" s="96"/>
      <c r="C305" s="96"/>
      <c r="D305" s="96"/>
      <c r="E305" s="96"/>
      <c r="F305" s="96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</row>
    <row r="306" spans="2:48" hidden="1">
      <c r="C306" s="132"/>
      <c r="D306" s="132"/>
      <c r="E306" s="132"/>
      <c r="F306" s="13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</row>
    <row r="307" spans="2:48">
      <c r="C307" s="132"/>
      <c r="D307" s="132"/>
      <c r="E307" s="132"/>
      <c r="F307" s="13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</row>
    <row r="308" spans="2:48">
      <c r="B308" s="133"/>
      <c r="C308" s="96"/>
      <c r="D308" s="96"/>
      <c r="E308" s="96"/>
      <c r="F308" s="96"/>
      <c r="G308" s="141"/>
      <c r="H308" s="141"/>
      <c r="I308" s="141"/>
      <c r="J308" s="141"/>
      <c r="K308" s="141"/>
      <c r="L308" s="140"/>
      <c r="M308" s="141"/>
      <c r="N308" s="141"/>
      <c r="O308" s="141"/>
      <c r="P308" s="140"/>
      <c r="Q308" s="140"/>
      <c r="R308" s="140"/>
      <c r="S308" s="140"/>
      <c r="T308" s="141"/>
      <c r="U308" s="141"/>
      <c r="V308" s="140"/>
      <c r="W308" s="141"/>
      <c r="X308" s="141"/>
      <c r="Y308" s="141"/>
      <c r="Z308" s="140"/>
      <c r="AA308" s="141"/>
      <c r="AB308" s="141"/>
      <c r="AC308" s="141"/>
      <c r="AD308" s="141"/>
      <c r="AE308" s="141"/>
      <c r="AF308" s="141"/>
      <c r="AH308" s="141"/>
      <c r="AI308" s="141"/>
      <c r="AJ308" s="141"/>
      <c r="AK308" s="141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</row>
  </sheetData>
  <autoFilter ref="A2:AK258"/>
  <mergeCells count="92">
    <mergeCell ref="AM289:AN289"/>
    <mergeCell ref="C291:G291"/>
    <mergeCell ref="AM283:AN283"/>
    <mergeCell ref="AM284:AN284"/>
    <mergeCell ref="AM285:AN285"/>
    <mergeCell ref="AM286:AN286"/>
    <mergeCell ref="AM287:AN287"/>
    <mergeCell ref="AM288:AN288"/>
    <mergeCell ref="F200:F242"/>
    <mergeCell ref="AM282:AN282"/>
    <mergeCell ref="AS200:AS242"/>
    <mergeCell ref="AT200:AT242"/>
    <mergeCell ref="AV200:AV242"/>
    <mergeCell ref="AQ204:AQ211"/>
    <mergeCell ref="AR204:AR211"/>
    <mergeCell ref="AP209:AP211"/>
    <mergeCell ref="AP214:AP242"/>
    <mergeCell ref="I244:AK244"/>
    <mergeCell ref="H257:H258"/>
    <mergeCell ref="I263:AK263"/>
    <mergeCell ref="H280:H281"/>
    <mergeCell ref="C282:G282"/>
    <mergeCell ref="A200:A242"/>
    <mergeCell ref="B200:B242"/>
    <mergeCell ref="C200:C242"/>
    <mergeCell ref="D200:D242"/>
    <mergeCell ref="E200:E242"/>
    <mergeCell ref="F143:F199"/>
    <mergeCell ref="AS143:AS194"/>
    <mergeCell ref="AT143:AT194"/>
    <mergeCell ref="AV143:AV194"/>
    <mergeCell ref="AP186:AP194"/>
    <mergeCell ref="A143:A199"/>
    <mergeCell ref="B143:B199"/>
    <mergeCell ref="C143:C199"/>
    <mergeCell ref="D143:D199"/>
    <mergeCell ref="E143:E199"/>
    <mergeCell ref="F111:F126"/>
    <mergeCell ref="AU111:AU125"/>
    <mergeCell ref="AV111:AV125"/>
    <mergeCell ref="A127:A142"/>
    <mergeCell ref="B127:B142"/>
    <mergeCell ref="C127:C142"/>
    <mergeCell ref="D127:D142"/>
    <mergeCell ref="E127:E142"/>
    <mergeCell ref="F127:F142"/>
    <mergeCell ref="AU127:AU141"/>
    <mergeCell ref="A111:A126"/>
    <mergeCell ref="B111:B126"/>
    <mergeCell ref="C111:C126"/>
    <mergeCell ref="D111:D126"/>
    <mergeCell ref="E111:E126"/>
    <mergeCell ref="AV127:AV141"/>
    <mergeCell ref="AS60:AS81"/>
    <mergeCell ref="AU60:AU81"/>
    <mergeCell ref="AV60:AV81"/>
    <mergeCell ref="A91:A100"/>
    <mergeCell ref="B91:B100"/>
    <mergeCell ref="C91:C100"/>
    <mergeCell ref="D91:D100"/>
    <mergeCell ref="E91:E110"/>
    <mergeCell ref="F91:F100"/>
    <mergeCell ref="AV91:AV109"/>
    <mergeCell ref="A101:A110"/>
    <mergeCell ref="B101:B110"/>
    <mergeCell ref="C101:C110"/>
    <mergeCell ref="D101:D110"/>
    <mergeCell ref="F101:F110"/>
    <mergeCell ref="AP49:AP58"/>
    <mergeCell ref="A60:A90"/>
    <mergeCell ref="B60:B90"/>
    <mergeCell ref="C60:C90"/>
    <mergeCell ref="D60:D90"/>
    <mergeCell ref="E60:E90"/>
    <mergeCell ref="F60:F90"/>
    <mergeCell ref="AP60:AP81"/>
    <mergeCell ref="AV3:AV28"/>
    <mergeCell ref="A4:A28"/>
    <mergeCell ref="A30:A59"/>
    <mergeCell ref="B30:B59"/>
    <mergeCell ref="C30:C59"/>
    <mergeCell ref="D30:D59"/>
    <mergeCell ref="E30:E59"/>
    <mergeCell ref="F30:F59"/>
    <mergeCell ref="AS30:AS58"/>
    <mergeCell ref="AV30:AV58"/>
    <mergeCell ref="B3:B29"/>
    <mergeCell ref="C3:C29"/>
    <mergeCell ref="D3:D29"/>
    <mergeCell ref="E3:E29"/>
    <mergeCell ref="F3:F29"/>
    <mergeCell ref="AS3:AS28"/>
  </mergeCells>
  <pageMargins left="0.39370078740157483" right="0.39370078740157483" top="0.39370078740157483" bottom="0.39370078740157483" header="0.31496062992125984" footer="0.31496062992125984"/>
  <pageSetup paperSize="8" scale="7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="J10" sqref="J10"/>
    </sheetView>
  </sheetViews>
  <sheetFormatPr defaultColWidth="9" defaultRowHeight="16.899999999999999" customHeight="1"/>
  <cols>
    <col min="1" max="2" width="8.140625" style="445" customWidth="1"/>
    <col min="3" max="3" width="10.5703125" style="445" customWidth="1"/>
    <col min="4" max="5" width="12.7109375" style="445" customWidth="1"/>
    <col min="6" max="7" width="19.42578125" style="445" customWidth="1"/>
    <col min="8" max="8" width="10.28515625" style="445" customWidth="1"/>
    <col min="9" max="16384" width="9" style="431"/>
  </cols>
  <sheetData>
    <row r="1" spans="1:16" s="430" customFormat="1" ht="24" customHeight="1">
      <c r="A1" s="428" t="s">
        <v>392</v>
      </c>
      <c r="B1" s="428"/>
      <c r="C1" s="429"/>
      <c r="D1" s="429"/>
      <c r="E1" s="429"/>
      <c r="F1" s="429"/>
      <c r="G1" s="429"/>
      <c r="H1" s="429"/>
    </row>
    <row r="2" spans="1:16" ht="16.899999999999999" customHeight="1">
      <c r="A2" s="712" t="s">
        <v>353</v>
      </c>
      <c r="B2" s="734" t="s">
        <v>379</v>
      </c>
      <c r="C2" s="711" t="s">
        <v>393</v>
      </c>
      <c r="D2" s="732" t="s">
        <v>394</v>
      </c>
      <c r="E2" s="711" t="s">
        <v>395</v>
      </c>
      <c r="F2" s="711" t="s">
        <v>358</v>
      </c>
      <c r="G2" s="732" t="s">
        <v>396</v>
      </c>
      <c r="H2" s="711" t="s">
        <v>359</v>
      </c>
      <c r="I2" s="712" t="s">
        <v>360</v>
      </c>
      <c r="J2" s="712"/>
      <c r="K2" s="712"/>
      <c r="L2" s="712"/>
      <c r="M2" s="712"/>
      <c r="N2" s="711" t="s">
        <v>361</v>
      </c>
      <c r="O2" s="711" t="s">
        <v>362</v>
      </c>
    </row>
    <row r="3" spans="1:16" s="459" customFormat="1" ht="29.45" customHeight="1">
      <c r="A3" s="712"/>
      <c r="B3" s="735"/>
      <c r="C3" s="712"/>
      <c r="D3" s="733"/>
      <c r="E3" s="712"/>
      <c r="F3" s="712"/>
      <c r="G3" s="733"/>
      <c r="H3" s="712"/>
      <c r="I3" s="432" t="s">
        <v>363</v>
      </c>
      <c r="J3" s="432" t="s">
        <v>364</v>
      </c>
      <c r="K3" s="432" t="s">
        <v>445</v>
      </c>
      <c r="L3" s="432" t="s">
        <v>365</v>
      </c>
      <c r="M3" s="432" t="s">
        <v>366</v>
      </c>
      <c r="N3" s="711"/>
      <c r="O3" s="711"/>
    </row>
    <row r="4" spans="1:16" ht="16.899999999999999" customHeight="1">
      <c r="A4" s="711" t="s">
        <v>209</v>
      </c>
      <c r="B4" s="452">
        <v>6</v>
      </c>
      <c r="C4" s="728" t="s">
        <v>397</v>
      </c>
      <c r="D4" s="453">
        <v>2</v>
      </c>
      <c r="E4" s="454">
        <v>2500</v>
      </c>
      <c r="F4" s="439">
        <f>IFERROR(60/(D4*E4*2/1000)*1000/0.85,"")</f>
        <v>7058.8235294117649</v>
      </c>
      <c r="G4" s="455">
        <f>IFERROR(1000/(F4/3600),"")</f>
        <v>509.99999999999994</v>
      </c>
      <c r="H4" s="436"/>
      <c r="I4" s="436">
        <v>0.8</v>
      </c>
      <c r="J4" s="441"/>
      <c r="K4" s="441"/>
      <c r="L4" s="441"/>
      <c r="M4" s="441"/>
      <c r="N4" s="441"/>
      <c r="O4" s="441"/>
    </row>
    <row r="5" spans="1:16" ht="16.899999999999999" customHeight="1">
      <c r="A5" s="711"/>
      <c r="B5" s="452">
        <v>6</v>
      </c>
      <c r="C5" s="728"/>
      <c r="D5" s="453">
        <v>3</v>
      </c>
      <c r="E5" s="454">
        <v>2500</v>
      </c>
      <c r="F5" s="439">
        <f t="shared" ref="F5:F39" si="0">IFERROR(60/(D5*E5*2/1000)*1000/0.85,"")</f>
        <v>4705.8823529411766</v>
      </c>
      <c r="G5" s="455">
        <f t="shared" ref="G5:G39" si="1">IFERROR(1000/(F5/3600),"")</f>
        <v>765</v>
      </c>
      <c r="H5" s="436"/>
      <c r="I5" s="436">
        <v>0.8</v>
      </c>
      <c r="J5" s="441"/>
      <c r="K5" s="441"/>
      <c r="L5" s="441"/>
      <c r="M5" s="441"/>
      <c r="N5" s="441"/>
      <c r="O5" s="441"/>
      <c r="P5" s="456" t="s">
        <v>398</v>
      </c>
    </row>
    <row r="6" spans="1:16" ht="16.899999999999999" customHeight="1">
      <c r="A6" s="711"/>
      <c r="B6" s="452">
        <v>6</v>
      </c>
      <c r="C6" s="728"/>
      <c r="D6" s="453">
        <v>3.5</v>
      </c>
      <c r="E6" s="454">
        <v>2500</v>
      </c>
      <c r="F6" s="439">
        <f t="shared" si="0"/>
        <v>4033.613445378151</v>
      </c>
      <c r="G6" s="455">
        <f t="shared" si="1"/>
        <v>892.5</v>
      </c>
      <c r="H6" s="436"/>
      <c r="I6" s="436">
        <v>0.8</v>
      </c>
      <c r="J6" s="441"/>
      <c r="K6" s="441"/>
      <c r="L6" s="441"/>
      <c r="M6" s="441"/>
      <c r="N6" s="441"/>
      <c r="O6" s="441"/>
    </row>
    <row r="7" spans="1:16" ht="16.899999999999999" customHeight="1">
      <c r="A7" s="711"/>
      <c r="B7" s="452">
        <v>6</v>
      </c>
      <c r="C7" s="728"/>
      <c r="D7" s="453">
        <v>4</v>
      </c>
      <c r="E7" s="454">
        <v>2500</v>
      </c>
      <c r="F7" s="439">
        <f t="shared" si="0"/>
        <v>3529.4117647058824</v>
      </c>
      <c r="G7" s="455">
        <f t="shared" si="1"/>
        <v>1019.9999999999999</v>
      </c>
      <c r="H7" s="436"/>
      <c r="I7" s="436">
        <v>0.8</v>
      </c>
      <c r="J7" s="441"/>
      <c r="K7" s="441"/>
      <c r="L7" s="441"/>
      <c r="M7" s="441"/>
      <c r="N7" s="441"/>
      <c r="O7" s="441"/>
    </row>
    <row r="8" spans="1:16" ht="16.899999999999999" customHeight="1">
      <c r="A8" s="711"/>
      <c r="B8" s="452">
        <v>6</v>
      </c>
      <c r="C8" s="728"/>
      <c r="D8" s="453">
        <v>4.5</v>
      </c>
      <c r="E8" s="454">
        <v>2500</v>
      </c>
      <c r="F8" s="439">
        <f t="shared" si="0"/>
        <v>3137.2549019607841</v>
      </c>
      <c r="G8" s="455">
        <f t="shared" si="1"/>
        <v>1147.5</v>
      </c>
      <c r="H8" s="436"/>
      <c r="I8" s="436">
        <v>0.8</v>
      </c>
      <c r="J8" s="441"/>
      <c r="K8" s="441"/>
      <c r="L8" s="441"/>
      <c r="M8" s="441"/>
      <c r="N8" s="441"/>
      <c r="O8" s="441"/>
    </row>
    <row r="9" spans="1:16" ht="16.899999999999999" customHeight="1">
      <c r="A9" s="711"/>
      <c r="B9" s="452">
        <v>6</v>
      </c>
      <c r="C9" s="728"/>
      <c r="D9" s="453">
        <v>5</v>
      </c>
      <c r="E9" s="454">
        <v>2500</v>
      </c>
      <c r="F9" s="439">
        <f t="shared" si="0"/>
        <v>2823.5294117647059</v>
      </c>
      <c r="G9" s="455">
        <f t="shared" si="1"/>
        <v>1275</v>
      </c>
      <c r="H9" s="436"/>
      <c r="I9" s="436">
        <v>0.8</v>
      </c>
      <c r="J9" s="441"/>
      <c r="K9" s="441"/>
      <c r="L9" s="441"/>
      <c r="M9" s="441"/>
      <c r="N9" s="441"/>
      <c r="O9" s="441"/>
    </row>
    <row r="10" spans="1:16" ht="16.899999999999999" customHeight="1">
      <c r="A10" s="711"/>
      <c r="B10" s="452">
        <v>6</v>
      </c>
      <c r="C10" s="728"/>
      <c r="D10" s="453">
        <v>6.5</v>
      </c>
      <c r="E10" s="454">
        <v>2500</v>
      </c>
      <c r="F10" s="439">
        <f t="shared" si="0"/>
        <v>2171.9457013574661</v>
      </c>
      <c r="G10" s="455">
        <f t="shared" si="1"/>
        <v>1657.5</v>
      </c>
      <c r="H10" s="436"/>
      <c r="I10" s="436">
        <v>0.8</v>
      </c>
      <c r="J10" s="441"/>
      <c r="K10" s="441"/>
      <c r="L10" s="441"/>
      <c r="M10" s="441"/>
      <c r="N10" s="441"/>
      <c r="O10" s="441"/>
    </row>
    <row r="11" spans="1:16" ht="16.899999999999999" customHeight="1">
      <c r="A11" s="711"/>
      <c r="B11" s="452">
        <v>6</v>
      </c>
      <c r="C11" s="728"/>
      <c r="D11" s="453">
        <v>7.5</v>
      </c>
      <c r="E11" s="454">
        <v>2500</v>
      </c>
      <c r="F11" s="439">
        <f t="shared" si="0"/>
        <v>1882.3529411764707</v>
      </c>
      <c r="G11" s="455">
        <f t="shared" si="1"/>
        <v>1912.5</v>
      </c>
      <c r="H11" s="436"/>
      <c r="I11" s="436">
        <v>0.8</v>
      </c>
      <c r="J11" s="441"/>
      <c r="K11" s="441"/>
      <c r="L11" s="441"/>
      <c r="M11" s="441"/>
      <c r="N11" s="441"/>
      <c r="O11" s="441"/>
    </row>
    <row r="12" spans="1:16" ht="16.899999999999999" customHeight="1">
      <c r="A12" s="711"/>
      <c r="B12" s="452">
        <v>6</v>
      </c>
      <c r="C12" s="728"/>
      <c r="D12" s="453">
        <v>8</v>
      </c>
      <c r="E12" s="454">
        <v>2500</v>
      </c>
      <c r="F12" s="439">
        <f t="shared" si="0"/>
        <v>1764.7058823529412</v>
      </c>
      <c r="G12" s="455">
        <f t="shared" si="1"/>
        <v>2039.9999999999998</v>
      </c>
      <c r="H12" s="436"/>
      <c r="I12" s="436">
        <v>0.8</v>
      </c>
      <c r="J12" s="441"/>
      <c r="K12" s="441"/>
      <c r="L12" s="441"/>
      <c r="M12" s="441"/>
      <c r="N12" s="441"/>
      <c r="O12" s="441"/>
    </row>
    <row r="13" spans="1:16" ht="16.899999999999999" customHeight="1">
      <c r="A13" s="711"/>
      <c r="B13" s="452">
        <v>6</v>
      </c>
      <c r="C13" s="728"/>
      <c r="D13" s="453">
        <v>8.5</v>
      </c>
      <c r="E13" s="454">
        <v>2500</v>
      </c>
      <c r="F13" s="439">
        <f t="shared" si="0"/>
        <v>1660.8996539792388</v>
      </c>
      <c r="G13" s="455">
        <f t="shared" si="1"/>
        <v>2167.5</v>
      </c>
      <c r="H13" s="436"/>
      <c r="I13" s="436">
        <v>0.8</v>
      </c>
      <c r="J13" s="441"/>
      <c r="K13" s="441"/>
      <c r="L13" s="441"/>
      <c r="M13" s="441"/>
      <c r="N13" s="441"/>
      <c r="O13" s="441"/>
    </row>
    <row r="14" spans="1:16" ht="16.899999999999999" customHeight="1">
      <c r="A14" s="711"/>
      <c r="B14" s="452">
        <v>6</v>
      </c>
      <c r="C14" s="728"/>
      <c r="D14" s="453">
        <v>9</v>
      </c>
      <c r="E14" s="454">
        <v>2500</v>
      </c>
      <c r="F14" s="439">
        <f t="shared" si="0"/>
        <v>1568.627450980392</v>
      </c>
      <c r="G14" s="455">
        <f t="shared" si="1"/>
        <v>2295</v>
      </c>
      <c r="H14" s="436"/>
      <c r="I14" s="436">
        <v>0.8</v>
      </c>
      <c r="J14" s="441"/>
      <c r="K14" s="441"/>
      <c r="L14" s="441"/>
      <c r="M14" s="441"/>
      <c r="N14" s="441"/>
      <c r="O14" s="441"/>
    </row>
    <row r="15" spans="1:16" ht="16.899999999999999" customHeight="1">
      <c r="A15" s="711"/>
      <c r="B15" s="452">
        <v>6</v>
      </c>
      <c r="C15" s="728"/>
      <c r="D15" s="453">
        <v>11</v>
      </c>
      <c r="E15" s="454">
        <v>2500</v>
      </c>
      <c r="F15" s="439">
        <f t="shared" si="0"/>
        <v>1283.422459893048</v>
      </c>
      <c r="G15" s="455">
        <f t="shared" si="1"/>
        <v>2805.0000000000005</v>
      </c>
      <c r="H15" s="436"/>
      <c r="I15" s="436">
        <v>0.8</v>
      </c>
      <c r="J15" s="441"/>
      <c r="K15" s="441"/>
      <c r="L15" s="441"/>
      <c r="M15" s="441"/>
      <c r="N15" s="441"/>
      <c r="O15" s="441"/>
    </row>
    <row r="16" spans="1:16" ht="16.899999999999999" customHeight="1">
      <c r="A16" s="711"/>
      <c r="B16" s="452">
        <v>6</v>
      </c>
      <c r="C16" s="726" t="s">
        <v>399</v>
      </c>
      <c r="D16" s="726"/>
      <c r="E16" s="726"/>
      <c r="F16" s="439" t="str">
        <f t="shared" si="0"/>
        <v/>
      </c>
      <c r="G16" s="455" t="str">
        <f t="shared" si="1"/>
        <v/>
      </c>
      <c r="H16" s="436"/>
      <c r="I16" s="436"/>
      <c r="J16" s="441"/>
      <c r="K16" s="441"/>
      <c r="L16" s="441"/>
      <c r="M16" s="441"/>
      <c r="N16" s="441"/>
      <c r="O16" s="441"/>
    </row>
    <row r="17" spans="1:15" ht="16.899999999999999" customHeight="1">
      <c r="A17" s="711"/>
      <c r="B17" s="452">
        <v>6</v>
      </c>
      <c r="C17" s="728" t="s">
        <v>400</v>
      </c>
      <c r="D17" s="457">
        <v>8.5</v>
      </c>
      <c r="E17" s="454">
        <v>2200</v>
      </c>
      <c r="F17" s="439">
        <f t="shared" si="0"/>
        <v>1887.3859704309532</v>
      </c>
      <c r="G17" s="455">
        <f t="shared" si="1"/>
        <v>1907.3999999999999</v>
      </c>
      <c r="H17" s="436"/>
      <c r="I17" s="436">
        <v>1.3</v>
      </c>
      <c r="J17" s="441"/>
      <c r="K17" s="441"/>
      <c r="L17" s="441"/>
      <c r="M17" s="441"/>
      <c r="N17" s="441"/>
      <c r="O17" s="441"/>
    </row>
    <row r="18" spans="1:15" ht="16.899999999999999" customHeight="1">
      <c r="A18" s="711"/>
      <c r="B18" s="452">
        <v>6</v>
      </c>
      <c r="C18" s="728"/>
      <c r="D18" s="453">
        <v>11</v>
      </c>
      <c r="E18" s="454">
        <v>2200</v>
      </c>
      <c r="F18" s="439">
        <f t="shared" si="0"/>
        <v>1458.4346135148276</v>
      </c>
      <c r="G18" s="455">
        <f t="shared" si="1"/>
        <v>2468.4</v>
      </c>
      <c r="H18" s="436"/>
      <c r="I18" s="436">
        <v>1.3</v>
      </c>
      <c r="J18" s="441"/>
      <c r="K18" s="441"/>
      <c r="L18" s="441"/>
      <c r="M18" s="441"/>
      <c r="N18" s="441"/>
      <c r="O18" s="441"/>
    </row>
    <row r="19" spans="1:15" ht="16.899999999999999" customHeight="1">
      <c r="A19" s="711"/>
      <c r="B19" s="452">
        <v>6</v>
      </c>
      <c r="C19" s="728"/>
      <c r="D19" s="457">
        <v>12.6</v>
      </c>
      <c r="E19" s="454">
        <v>2200</v>
      </c>
      <c r="F19" s="439">
        <f t="shared" si="0"/>
        <v>1273.2365673542142</v>
      </c>
      <c r="G19" s="455">
        <f t="shared" si="1"/>
        <v>2827.44</v>
      </c>
      <c r="H19" s="436"/>
      <c r="I19" s="436">
        <v>1.3</v>
      </c>
      <c r="J19" s="441"/>
      <c r="K19" s="441"/>
      <c r="L19" s="441"/>
      <c r="M19" s="441"/>
      <c r="N19" s="441"/>
      <c r="O19" s="441"/>
    </row>
    <row r="20" spans="1:15" ht="16.899999999999999" customHeight="1">
      <c r="A20" s="711"/>
      <c r="B20" s="452">
        <v>6</v>
      </c>
      <c r="C20" s="728"/>
      <c r="D20" s="453">
        <v>13</v>
      </c>
      <c r="E20" s="454">
        <v>2200</v>
      </c>
      <c r="F20" s="439">
        <f t="shared" si="0"/>
        <v>1234.0600575894694</v>
      </c>
      <c r="G20" s="455">
        <f t="shared" si="1"/>
        <v>2917.2</v>
      </c>
      <c r="H20" s="436"/>
      <c r="I20" s="436">
        <v>1.3</v>
      </c>
      <c r="J20" s="441"/>
      <c r="K20" s="441"/>
      <c r="L20" s="441"/>
      <c r="M20" s="441"/>
      <c r="N20" s="441"/>
      <c r="O20" s="441"/>
    </row>
    <row r="21" spans="1:15" ht="16.899999999999999" customHeight="1">
      <c r="A21" s="711"/>
      <c r="B21" s="452">
        <v>6</v>
      </c>
      <c r="C21" s="728"/>
      <c r="D21" s="453">
        <v>15</v>
      </c>
      <c r="E21" s="454">
        <v>2200</v>
      </c>
      <c r="F21" s="439">
        <f t="shared" si="0"/>
        <v>1069.5187165775401</v>
      </c>
      <c r="G21" s="455">
        <f t="shared" si="1"/>
        <v>3366</v>
      </c>
      <c r="H21" s="436"/>
      <c r="I21" s="436">
        <v>1.3</v>
      </c>
      <c r="J21" s="441"/>
      <c r="K21" s="441"/>
      <c r="L21" s="441"/>
      <c r="M21" s="441"/>
      <c r="N21" s="441"/>
      <c r="O21" s="441"/>
    </row>
    <row r="22" spans="1:15" ht="16.899999999999999" customHeight="1">
      <c r="A22" s="711"/>
      <c r="B22" s="452">
        <v>6</v>
      </c>
      <c r="C22" s="728"/>
      <c r="D22" s="453">
        <v>17</v>
      </c>
      <c r="E22" s="454">
        <v>2200</v>
      </c>
      <c r="F22" s="439">
        <f t="shared" si="0"/>
        <v>943.6929852154766</v>
      </c>
      <c r="G22" s="455">
        <f t="shared" si="1"/>
        <v>3814.7999999999997</v>
      </c>
      <c r="H22" s="436"/>
      <c r="I22" s="436">
        <v>1.3</v>
      </c>
      <c r="J22" s="441"/>
      <c r="K22" s="441"/>
      <c r="L22" s="441"/>
      <c r="M22" s="441"/>
      <c r="N22" s="441"/>
      <c r="O22" s="441"/>
    </row>
    <row r="23" spans="1:15" ht="16.899999999999999" customHeight="1">
      <c r="A23" s="711"/>
      <c r="B23" s="452">
        <v>6</v>
      </c>
      <c r="C23" s="728"/>
      <c r="D23" s="453">
        <v>18</v>
      </c>
      <c r="E23" s="454">
        <v>2200</v>
      </c>
      <c r="F23" s="439">
        <f t="shared" si="0"/>
        <v>891.26559714795019</v>
      </c>
      <c r="G23" s="455">
        <f t="shared" si="1"/>
        <v>4039.1999999999994</v>
      </c>
      <c r="H23" s="436"/>
      <c r="I23" s="436">
        <v>1.3</v>
      </c>
      <c r="J23" s="441"/>
      <c r="K23" s="441"/>
      <c r="L23" s="441"/>
      <c r="M23" s="441"/>
      <c r="N23" s="441"/>
      <c r="O23" s="441"/>
    </row>
    <row r="24" spans="1:15" ht="16.899999999999999" customHeight="1">
      <c r="A24" s="711"/>
      <c r="B24" s="452">
        <v>6</v>
      </c>
      <c r="C24" s="728"/>
      <c r="D24" s="453">
        <v>19</v>
      </c>
      <c r="E24" s="454">
        <v>2200</v>
      </c>
      <c r="F24" s="439">
        <f t="shared" si="0"/>
        <v>844.35688150858437</v>
      </c>
      <c r="G24" s="455">
        <f t="shared" si="1"/>
        <v>4263.5999999999995</v>
      </c>
      <c r="H24" s="436"/>
      <c r="I24" s="436">
        <v>1.3</v>
      </c>
      <c r="J24" s="441"/>
      <c r="K24" s="441"/>
      <c r="L24" s="441"/>
      <c r="M24" s="441"/>
      <c r="N24" s="441"/>
      <c r="O24" s="441"/>
    </row>
    <row r="25" spans="1:15" ht="16.899999999999999" customHeight="1">
      <c r="A25" s="711"/>
      <c r="B25" s="452">
        <v>6</v>
      </c>
      <c r="C25" s="726" t="s">
        <v>401</v>
      </c>
      <c r="D25" s="726"/>
      <c r="E25" s="726"/>
      <c r="F25" s="439" t="str">
        <f t="shared" si="0"/>
        <v/>
      </c>
      <c r="G25" s="455" t="str">
        <f t="shared" si="1"/>
        <v/>
      </c>
      <c r="H25" s="436"/>
      <c r="I25" s="436"/>
      <c r="J25" s="441"/>
      <c r="K25" s="441"/>
      <c r="L25" s="441"/>
      <c r="M25" s="441"/>
      <c r="N25" s="441"/>
      <c r="O25" s="441"/>
    </row>
    <row r="26" spans="1:15" ht="16.899999999999999" customHeight="1">
      <c r="A26" s="711"/>
      <c r="B26" s="452">
        <v>6</v>
      </c>
      <c r="C26" s="728" t="s">
        <v>402</v>
      </c>
      <c r="D26" s="458">
        <v>11</v>
      </c>
      <c r="E26" s="436">
        <v>1800</v>
      </c>
      <c r="F26" s="439">
        <f t="shared" si="0"/>
        <v>1782.5311942959004</v>
      </c>
      <c r="G26" s="455">
        <f t="shared" si="1"/>
        <v>2019.5999999999997</v>
      </c>
      <c r="H26" s="436"/>
      <c r="I26" s="436">
        <v>1.3</v>
      </c>
      <c r="J26" s="441"/>
      <c r="K26" s="441"/>
      <c r="L26" s="441"/>
      <c r="M26" s="441"/>
      <c r="N26" s="441"/>
      <c r="O26" s="441"/>
    </row>
    <row r="27" spans="1:15" ht="16.899999999999999" customHeight="1">
      <c r="A27" s="711"/>
      <c r="B27" s="452">
        <v>6</v>
      </c>
      <c r="C27" s="728"/>
      <c r="D27" s="458">
        <v>15</v>
      </c>
      <c r="E27" s="436">
        <v>1800</v>
      </c>
      <c r="F27" s="439">
        <f t="shared" si="0"/>
        <v>1307.18954248366</v>
      </c>
      <c r="G27" s="455">
        <f t="shared" si="1"/>
        <v>2754</v>
      </c>
      <c r="H27" s="436"/>
      <c r="I27" s="436">
        <v>1.3</v>
      </c>
      <c r="J27" s="441"/>
      <c r="K27" s="441"/>
      <c r="L27" s="441"/>
      <c r="M27" s="441"/>
      <c r="N27" s="441"/>
      <c r="O27" s="441"/>
    </row>
    <row r="28" spans="1:15" ht="16.899999999999999" customHeight="1">
      <c r="A28" s="711"/>
      <c r="B28" s="452">
        <v>6</v>
      </c>
      <c r="C28" s="728"/>
      <c r="D28" s="458">
        <v>16</v>
      </c>
      <c r="E28" s="436">
        <v>1800</v>
      </c>
      <c r="F28" s="439">
        <f t="shared" si="0"/>
        <v>1225.4901960784314</v>
      </c>
      <c r="G28" s="455">
        <f t="shared" si="1"/>
        <v>2937.6</v>
      </c>
      <c r="H28" s="436"/>
      <c r="I28" s="436">
        <v>1.3</v>
      </c>
      <c r="J28" s="441"/>
      <c r="K28" s="441"/>
      <c r="L28" s="441"/>
      <c r="M28" s="441"/>
      <c r="N28" s="441"/>
      <c r="O28" s="441"/>
    </row>
    <row r="29" spans="1:15" ht="16.899999999999999" customHeight="1">
      <c r="A29" s="711"/>
      <c r="B29" s="452">
        <v>6</v>
      </c>
      <c r="C29" s="728"/>
      <c r="D29" s="458">
        <v>19</v>
      </c>
      <c r="E29" s="436">
        <v>1800</v>
      </c>
      <c r="F29" s="439">
        <f t="shared" si="0"/>
        <v>1031.9917440660474</v>
      </c>
      <c r="G29" s="455">
        <f t="shared" si="1"/>
        <v>3488.4000000000005</v>
      </c>
      <c r="H29" s="436"/>
      <c r="I29" s="436">
        <v>1.3</v>
      </c>
      <c r="J29" s="441"/>
      <c r="K29" s="441"/>
      <c r="L29" s="441"/>
      <c r="M29" s="441"/>
      <c r="N29" s="441"/>
      <c r="O29" s="441"/>
    </row>
    <row r="30" spans="1:15" ht="16.899999999999999" customHeight="1">
      <c r="A30" s="711"/>
      <c r="B30" s="452">
        <v>6</v>
      </c>
      <c r="C30" s="728"/>
      <c r="D30" s="458">
        <v>22</v>
      </c>
      <c r="E30" s="436">
        <v>1800</v>
      </c>
      <c r="F30" s="439">
        <f t="shared" si="0"/>
        <v>891.26559714795019</v>
      </c>
      <c r="G30" s="455">
        <f t="shared" si="1"/>
        <v>4039.1999999999994</v>
      </c>
      <c r="H30" s="436"/>
      <c r="I30" s="436">
        <v>1.3</v>
      </c>
      <c r="J30" s="441"/>
      <c r="K30" s="441"/>
      <c r="L30" s="441"/>
      <c r="M30" s="441"/>
      <c r="N30" s="441"/>
      <c r="O30" s="441"/>
    </row>
    <row r="31" spans="1:15" ht="16.899999999999999" customHeight="1">
      <c r="A31" s="711"/>
      <c r="B31" s="452">
        <v>6</v>
      </c>
      <c r="C31" s="728"/>
      <c r="D31" s="458">
        <v>24</v>
      </c>
      <c r="E31" s="436">
        <v>1800</v>
      </c>
      <c r="F31" s="439">
        <f t="shared" si="0"/>
        <v>816.99346405228766</v>
      </c>
      <c r="G31" s="455">
        <f t="shared" si="1"/>
        <v>4406.3999999999996</v>
      </c>
      <c r="H31" s="436"/>
      <c r="I31" s="436">
        <v>1.3</v>
      </c>
      <c r="J31" s="441"/>
      <c r="K31" s="441"/>
      <c r="L31" s="441"/>
      <c r="M31" s="441"/>
      <c r="N31" s="441"/>
      <c r="O31" s="441"/>
    </row>
    <row r="32" spans="1:15" ht="16.899999999999999" customHeight="1">
      <c r="A32" s="711"/>
      <c r="B32" s="452">
        <v>6</v>
      </c>
      <c r="C32" s="728"/>
      <c r="D32" s="458">
        <v>27</v>
      </c>
      <c r="E32" s="436">
        <v>1800</v>
      </c>
      <c r="F32" s="439">
        <f t="shared" si="0"/>
        <v>726.21641249092227</v>
      </c>
      <c r="G32" s="455">
        <f t="shared" si="1"/>
        <v>4957.2</v>
      </c>
      <c r="H32" s="436"/>
      <c r="I32" s="436">
        <v>1.3</v>
      </c>
      <c r="J32" s="441"/>
      <c r="K32" s="441"/>
      <c r="L32" s="441"/>
      <c r="M32" s="441"/>
      <c r="N32" s="441"/>
      <c r="O32" s="441"/>
    </row>
    <row r="33" spans="1:15" ht="16.899999999999999" customHeight="1">
      <c r="A33" s="711"/>
      <c r="B33" s="452">
        <v>6</v>
      </c>
      <c r="C33" s="728"/>
      <c r="D33" s="458">
        <v>29</v>
      </c>
      <c r="E33" s="436">
        <v>1800</v>
      </c>
      <c r="F33" s="439">
        <f t="shared" si="0"/>
        <v>676.132521974307</v>
      </c>
      <c r="G33" s="455">
        <f t="shared" si="1"/>
        <v>5324.4</v>
      </c>
      <c r="H33" s="436"/>
      <c r="I33" s="436">
        <v>1.3</v>
      </c>
      <c r="J33" s="441"/>
      <c r="K33" s="441"/>
      <c r="L33" s="441"/>
      <c r="M33" s="441"/>
      <c r="N33" s="441"/>
      <c r="O33" s="441"/>
    </row>
    <row r="34" spans="1:15" ht="16.899999999999999" customHeight="1">
      <c r="A34" s="711"/>
      <c r="B34" s="452">
        <v>6</v>
      </c>
      <c r="C34" s="728"/>
      <c r="D34" s="458">
        <v>31</v>
      </c>
      <c r="E34" s="436">
        <v>1800</v>
      </c>
      <c r="F34" s="439">
        <f t="shared" si="0"/>
        <v>632.51106894370662</v>
      </c>
      <c r="G34" s="455">
        <f t="shared" si="1"/>
        <v>5691.5999999999985</v>
      </c>
      <c r="H34" s="436"/>
      <c r="I34" s="436">
        <v>1.3</v>
      </c>
      <c r="J34" s="441"/>
      <c r="K34" s="441"/>
      <c r="L34" s="441"/>
      <c r="M34" s="441"/>
      <c r="N34" s="441"/>
      <c r="O34" s="441"/>
    </row>
    <row r="35" spans="1:15" ht="16.899999999999999" customHeight="1">
      <c r="A35" s="711"/>
      <c r="B35" s="452">
        <v>6</v>
      </c>
      <c r="C35" s="728"/>
      <c r="D35" s="458">
        <v>34</v>
      </c>
      <c r="E35" s="436">
        <v>1800</v>
      </c>
      <c r="F35" s="439">
        <f t="shared" si="0"/>
        <v>576.70126874279129</v>
      </c>
      <c r="G35" s="455">
        <f t="shared" si="1"/>
        <v>6242.3999999999987</v>
      </c>
      <c r="H35" s="436"/>
      <c r="I35" s="436">
        <v>1.3</v>
      </c>
      <c r="J35" s="441"/>
      <c r="K35" s="441"/>
      <c r="L35" s="441"/>
      <c r="M35" s="441"/>
      <c r="N35" s="441"/>
      <c r="O35" s="441"/>
    </row>
    <row r="36" spans="1:15" ht="16.899999999999999" customHeight="1">
      <c r="A36" s="711"/>
      <c r="B36" s="452">
        <v>6</v>
      </c>
      <c r="C36" s="728"/>
      <c r="D36" s="458">
        <v>36</v>
      </c>
      <c r="E36" s="436">
        <v>1800</v>
      </c>
      <c r="F36" s="439">
        <f t="shared" si="0"/>
        <v>544.66230936819181</v>
      </c>
      <c r="G36" s="455">
        <f t="shared" si="1"/>
        <v>6609.5999999999985</v>
      </c>
      <c r="H36" s="436"/>
      <c r="I36" s="436">
        <v>1.3</v>
      </c>
      <c r="J36" s="441"/>
      <c r="K36" s="441"/>
      <c r="L36" s="441"/>
      <c r="M36" s="441"/>
      <c r="N36" s="441"/>
      <c r="O36" s="441"/>
    </row>
    <row r="37" spans="1:15" ht="16.899999999999999" customHeight="1">
      <c r="A37" s="711"/>
      <c r="B37" s="452">
        <v>6</v>
      </c>
      <c r="C37" s="728"/>
      <c r="D37" s="458">
        <v>39</v>
      </c>
      <c r="E37" s="436">
        <v>1800</v>
      </c>
      <c r="F37" s="439">
        <f t="shared" si="0"/>
        <v>502.76520864756156</v>
      </c>
      <c r="G37" s="455">
        <f t="shared" si="1"/>
        <v>7160.4000000000005</v>
      </c>
      <c r="H37" s="436"/>
      <c r="I37" s="436">
        <v>1.3</v>
      </c>
      <c r="J37" s="441"/>
      <c r="K37" s="441"/>
      <c r="L37" s="441"/>
      <c r="M37" s="441"/>
      <c r="N37" s="441"/>
      <c r="O37" s="441"/>
    </row>
    <row r="38" spans="1:15" ht="16.899999999999999" customHeight="1">
      <c r="A38" s="711"/>
      <c r="B38" s="452">
        <v>6</v>
      </c>
      <c r="C38" s="728"/>
      <c r="D38" s="458">
        <v>41</v>
      </c>
      <c r="E38" s="436">
        <v>1800</v>
      </c>
      <c r="F38" s="439">
        <f t="shared" si="0"/>
        <v>478.24007651841225</v>
      </c>
      <c r="G38" s="455">
        <f t="shared" si="1"/>
        <v>7527.5999999999995</v>
      </c>
      <c r="H38" s="436"/>
      <c r="I38" s="436">
        <v>1.3</v>
      </c>
      <c r="J38" s="441"/>
      <c r="K38" s="441"/>
      <c r="L38" s="441"/>
      <c r="M38" s="441"/>
      <c r="N38" s="441"/>
      <c r="O38" s="441"/>
    </row>
    <row r="39" spans="1:15" ht="16.899999999999999" customHeight="1">
      <c r="A39" s="711"/>
      <c r="B39" s="452">
        <v>6</v>
      </c>
      <c r="C39" s="728"/>
      <c r="D39" s="458">
        <v>46</v>
      </c>
      <c r="E39" s="436">
        <v>1800</v>
      </c>
      <c r="F39" s="439">
        <f t="shared" si="0"/>
        <v>426.25745950554136</v>
      </c>
      <c r="G39" s="455">
        <f t="shared" si="1"/>
        <v>8445.6</v>
      </c>
      <c r="H39" s="436"/>
      <c r="I39" s="436">
        <v>1.3</v>
      </c>
      <c r="J39" s="441"/>
      <c r="K39" s="441"/>
      <c r="L39" s="441"/>
      <c r="M39" s="441"/>
      <c r="N39" s="441"/>
      <c r="O39" s="441"/>
    </row>
    <row r="40" spans="1:15" ht="16.899999999999999" customHeight="1">
      <c r="A40" s="711"/>
      <c r="B40" s="452">
        <v>6</v>
      </c>
      <c r="C40" s="726" t="s">
        <v>403</v>
      </c>
      <c r="D40" s="726"/>
      <c r="E40" s="726"/>
      <c r="F40" s="451"/>
      <c r="G40" s="451"/>
      <c r="H40" s="436"/>
      <c r="I40" s="441"/>
      <c r="J40" s="441"/>
      <c r="K40" s="441"/>
      <c r="L40" s="441"/>
      <c r="M40" s="441"/>
      <c r="N40" s="441"/>
      <c r="O40" s="441"/>
    </row>
    <row r="41" spans="1:15" ht="16.899999999999999" customHeight="1">
      <c r="A41" s="441" t="s">
        <v>373</v>
      </c>
      <c r="B41" s="441"/>
      <c r="C41" s="441"/>
      <c r="D41" s="436"/>
      <c r="E41" s="436"/>
      <c r="F41" s="441"/>
      <c r="G41" s="441"/>
      <c r="H41" s="441"/>
      <c r="I41" s="441"/>
      <c r="J41" s="441"/>
      <c r="K41" s="441"/>
      <c r="L41" s="441"/>
      <c r="M41" s="441"/>
      <c r="N41" s="441"/>
      <c r="O41" s="441"/>
    </row>
    <row r="43" spans="1:15" ht="36" customHeight="1">
      <c r="A43" s="731" t="s">
        <v>404</v>
      </c>
      <c r="B43" s="731"/>
      <c r="C43" s="731"/>
      <c r="D43" s="731"/>
      <c r="E43" s="731"/>
    </row>
  </sheetData>
  <mergeCells count="19">
    <mergeCell ref="O2:O3"/>
    <mergeCell ref="A4:A40"/>
    <mergeCell ref="C4:C15"/>
    <mergeCell ref="C16:E16"/>
    <mergeCell ref="C17:C24"/>
    <mergeCell ref="C25:E25"/>
    <mergeCell ref="A2:A3"/>
    <mergeCell ref="B2:B3"/>
    <mergeCell ref="C2:C3"/>
    <mergeCell ref="D2:D3"/>
    <mergeCell ref="E2:E3"/>
    <mergeCell ref="F2:F3"/>
    <mergeCell ref="C26:C39"/>
    <mergeCell ref="C40:E40"/>
    <mergeCell ref="A43:E43"/>
    <mergeCell ref="G2:G3"/>
    <mergeCell ref="H2:H3"/>
    <mergeCell ref="I2:M2"/>
    <mergeCell ref="N2:N3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J10" sqref="J10"/>
    </sheetView>
  </sheetViews>
  <sheetFormatPr defaultColWidth="9" defaultRowHeight="16.899999999999999" customHeight="1"/>
  <cols>
    <col min="1" max="1" width="8.140625" style="445" customWidth="1"/>
    <col min="2" max="3" width="10.5703125" style="445" customWidth="1"/>
    <col min="4" max="5" width="12.7109375" style="445" customWidth="1"/>
    <col min="6" max="7" width="12.140625" style="445" customWidth="1"/>
    <col min="8" max="8" width="10.28515625" style="445" customWidth="1"/>
    <col min="9" max="16384" width="9" style="431"/>
  </cols>
  <sheetData>
    <row r="1" spans="1:15" s="430" customFormat="1" ht="24" customHeight="1">
      <c r="A1" s="428" t="s">
        <v>405</v>
      </c>
      <c r="B1" s="429"/>
      <c r="C1" s="429"/>
      <c r="D1" s="429"/>
      <c r="E1" s="429"/>
      <c r="F1" s="429"/>
      <c r="G1" s="429"/>
      <c r="H1" s="429"/>
    </row>
    <row r="2" spans="1:15" ht="16.899999999999999" customHeight="1">
      <c r="A2" s="712" t="s">
        <v>353</v>
      </c>
      <c r="B2" s="713" t="s">
        <v>170</v>
      </c>
      <c r="C2" s="712" t="s">
        <v>354</v>
      </c>
      <c r="D2" s="711" t="s">
        <v>394</v>
      </c>
      <c r="E2" s="711" t="s">
        <v>395</v>
      </c>
      <c r="F2" s="711" t="s">
        <v>358</v>
      </c>
      <c r="G2" s="743" t="s">
        <v>206</v>
      </c>
      <c r="H2" s="711" t="s">
        <v>359</v>
      </c>
      <c r="I2" s="712" t="s">
        <v>360</v>
      </c>
      <c r="J2" s="712"/>
      <c r="K2" s="712"/>
      <c r="L2" s="712"/>
      <c r="M2" s="712"/>
      <c r="N2" s="711" t="s">
        <v>361</v>
      </c>
      <c r="O2" s="711" t="s">
        <v>362</v>
      </c>
    </row>
    <row r="3" spans="1:15" s="459" customFormat="1" ht="59.45" customHeight="1">
      <c r="A3" s="712"/>
      <c r="B3" s="714"/>
      <c r="C3" s="712"/>
      <c r="D3" s="712"/>
      <c r="E3" s="712"/>
      <c r="F3" s="712"/>
      <c r="G3" s="744"/>
      <c r="H3" s="712"/>
      <c r="I3" s="432" t="s">
        <v>363</v>
      </c>
      <c r="J3" s="432" t="s">
        <v>364</v>
      </c>
      <c r="K3" s="432" t="s">
        <v>445</v>
      </c>
      <c r="L3" s="432" t="s">
        <v>365</v>
      </c>
      <c r="M3" s="432" t="s">
        <v>366</v>
      </c>
      <c r="N3" s="711"/>
      <c r="O3" s="711"/>
    </row>
    <row r="4" spans="1:15" ht="16.899999999999999" customHeight="1">
      <c r="A4" s="711" t="s">
        <v>406</v>
      </c>
      <c r="B4" s="745" t="s">
        <v>407</v>
      </c>
      <c r="C4" s="737" t="s">
        <v>408</v>
      </c>
      <c r="D4" s="458">
        <v>5</v>
      </c>
      <c r="E4" s="436">
        <v>600</v>
      </c>
      <c r="F4" s="439">
        <f>IFERROR(1000/((D4*E4/1000)*0.9)*60,"")</f>
        <v>22222.222222222219</v>
      </c>
      <c r="G4" s="455">
        <f>IFERROR(1000/(F4/3600),"")</f>
        <v>162.00000000000003</v>
      </c>
      <c r="H4" s="436"/>
      <c r="I4" s="436">
        <v>1</v>
      </c>
      <c r="J4" s="441"/>
      <c r="K4" s="441"/>
      <c r="L4" s="441"/>
      <c r="M4" s="441"/>
      <c r="N4" s="441"/>
      <c r="O4" s="441"/>
    </row>
    <row r="5" spans="1:15" ht="16.899999999999999" customHeight="1">
      <c r="A5" s="711"/>
      <c r="B5" s="745"/>
      <c r="C5" s="737"/>
      <c r="D5" s="458">
        <v>5.5</v>
      </c>
      <c r="E5" s="436">
        <v>600</v>
      </c>
      <c r="F5" s="439">
        <f t="shared" ref="F5:F16" si="0">IFERROR(1000/((D5*E5/1000)*0.9)*60,"")</f>
        <v>20202.020202020205</v>
      </c>
      <c r="G5" s="455">
        <f t="shared" ref="G5:G29" si="1">IFERROR(1000/(F5/3600),"")</f>
        <v>178.19999999999996</v>
      </c>
      <c r="H5" s="436"/>
      <c r="I5" s="436">
        <v>1</v>
      </c>
      <c r="J5" s="441"/>
      <c r="K5" s="441"/>
      <c r="L5" s="441"/>
      <c r="M5" s="441"/>
      <c r="N5" s="441"/>
      <c r="O5" s="441"/>
    </row>
    <row r="6" spans="1:15" ht="16.899999999999999" customHeight="1">
      <c r="A6" s="711"/>
      <c r="B6" s="745"/>
      <c r="C6" s="737"/>
      <c r="D6" s="458">
        <v>6.7</v>
      </c>
      <c r="E6" s="436">
        <v>600</v>
      </c>
      <c r="F6" s="439">
        <f t="shared" si="0"/>
        <v>16583.747927031509</v>
      </c>
      <c r="G6" s="455">
        <f t="shared" si="1"/>
        <v>217.07999999999998</v>
      </c>
      <c r="H6" s="436"/>
      <c r="I6" s="436">
        <v>1</v>
      </c>
      <c r="J6" s="441"/>
      <c r="K6" s="441"/>
      <c r="L6" s="441"/>
      <c r="M6" s="441"/>
      <c r="N6" s="441"/>
      <c r="O6" s="441"/>
    </row>
    <row r="7" spans="1:15" ht="16.899999999999999" customHeight="1">
      <c r="A7" s="711"/>
      <c r="B7" s="745"/>
      <c r="C7" s="737"/>
      <c r="D7" s="458">
        <v>8.5</v>
      </c>
      <c r="E7" s="436">
        <v>600</v>
      </c>
      <c r="F7" s="439">
        <f t="shared" si="0"/>
        <v>13071.895424836601</v>
      </c>
      <c r="G7" s="455">
        <f t="shared" si="1"/>
        <v>275.39999999999998</v>
      </c>
      <c r="H7" s="436"/>
      <c r="I7" s="436">
        <v>1</v>
      </c>
      <c r="J7" s="441"/>
      <c r="K7" s="441"/>
      <c r="L7" s="441"/>
      <c r="M7" s="441"/>
      <c r="N7" s="441"/>
      <c r="O7" s="441"/>
    </row>
    <row r="8" spans="1:15" ht="16.899999999999999" customHeight="1">
      <c r="A8" s="711"/>
      <c r="B8" s="745"/>
      <c r="C8" s="737"/>
      <c r="D8" s="458">
        <v>10.1</v>
      </c>
      <c r="E8" s="436">
        <v>600</v>
      </c>
      <c r="F8" s="439">
        <f t="shared" si="0"/>
        <v>11001.100110011002</v>
      </c>
      <c r="G8" s="455">
        <f t="shared" si="1"/>
        <v>327.23999999999995</v>
      </c>
      <c r="H8" s="436"/>
      <c r="I8" s="436">
        <v>1</v>
      </c>
      <c r="J8" s="441"/>
      <c r="K8" s="441"/>
      <c r="L8" s="441"/>
      <c r="M8" s="441"/>
      <c r="N8" s="441"/>
      <c r="O8" s="441"/>
    </row>
    <row r="9" spans="1:15" ht="16.899999999999999" customHeight="1">
      <c r="A9" s="711"/>
      <c r="B9" s="745"/>
      <c r="C9" s="737"/>
      <c r="D9" s="458">
        <v>11.9</v>
      </c>
      <c r="E9" s="436">
        <v>600</v>
      </c>
      <c r="F9" s="439">
        <f t="shared" si="0"/>
        <v>9337.0681605975733</v>
      </c>
      <c r="G9" s="455">
        <f t="shared" si="1"/>
        <v>385.55999999999995</v>
      </c>
      <c r="H9" s="436"/>
      <c r="I9" s="436">
        <v>1</v>
      </c>
      <c r="J9" s="441"/>
      <c r="K9" s="441"/>
      <c r="L9" s="441"/>
      <c r="M9" s="441"/>
      <c r="N9" s="441"/>
      <c r="O9" s="441"/>
    </row>
    <row r="10" spans="1:15" ht="16.899999999999999" customHeight="1">
      <c r="A10" s="711"/>
      <c r="B10" s="745"/>
      <c r="C10" s="737"/>
      <c r="D10" s="458">
        <v>13.8</v>
      </c>
      <c r="E10" s="436">
        <v>600</v>
      </c>
      <c r="F10" s="439">
        <f t="shared" si="0"/>
        <v>8051.5297906602264</v>
      </c>
      <c r="G10" s="455">
        <f t="shared" si="1"/>
        <v>447.11999999999989</v>
      </c>
      <c r="H10" s="436"/>
      <c r="I10" s="436">
        <v>1</v>
      </c>
      <c r="J10" s="441"/>
      <c r="K10" s="441"/>
      <c r="L10" s="441"/>
      <c r="M10" s="441"/>
      <c r="N10" s="441"/>
      <c r="O10" s="441"/>
    </row>
    <row r="11" spans="1:15" ht="16.899999999999999" customHeight="1">
      <c r="A11" s="711"/>
      <c r="B11" s="745"/>
      <c r="C11" s="737"/>
      <c r="D11" s="458">
        <v>16.7</v>
      </c>
      <c r="E11" s="436">
        <v>600</v>
      </c>
      <c r="F11" s="439">
        <f t="shared" si="0"/>
        <v>6653.3599467731192</v>
      </c>
      <c r="G11" s="455">
        <f t="shared" si="1"/>
        <v>541.08000000000004</v>
      </c>
      <c r="H11" s="436"/>
      <c r="I11" s="436">
        <v>1</v>
      </c>
      <c r="J11" s="441"/>
      <c r="K11" s="441"/>
      <c r="L11" s="441"/>
      <c r="M11" s="441"/>
      <c r="N11" s="441"/>
      <c r="O11" s="441"/>
    </row>
    <row r="12" spans="1:15" ht="16.899999999999999" customHeight="1">
      <c r="A12" s="711"/>
      <c r="B12" s="745"/>
      <c r="C12" s="737"/>
      <c r="D12" s="458">
        <v>20.100000000000001</v>
      </c>
      <c r="E12" s="436">
        <v>600</v>
      </c>
      <c r="F12" s="439">
        <f t="shared" si="0"/>
        <v>5527.9159756771687</v>
      </c>
      <c r="G12" s="455">
        <f t="shared" si="1"/>
        <v>651.24000000000012</v>
      </c>
      <c r="H12" s="436"/>
      <c r="I12" s="436">
        <v>1</v>
      </c>
      <c r="J12" s="441"/>
      <c r="K12" s="441"/>
      <c r="L12" s="441"/>
      <c r="M12" s="441"/>
      <c r="N12" s="441"/>
      <c r="O12" s="441"/>
    </row>
    <row r="13" spans="1:15" ht="16.899999999999999" customHeight="1">
      <c r="A13" s="711"/>
      <c r="B13" s="745"/>
      <c r="C13" s="737"/>
      <c r="D13" s="458">
        <v>24.1</v>
      </c>
      <c r="E13" s="436">
        <v>600</v>
      </c>
      <c r="F13" s="439">
        <f t="shared" si="0"/>
        <v>4610.4195481788838</v>
      </c>
      <c r="G13" s="455">
        <f t="shared" si="1"/>
        <v>780.84000000000015</v>
      </c>
      <c r="H13" s="436"/>
      <c r="I13" s="436">
        <v>1</v>
      </c>
      <c r="J13" s="441"/>
      <c r="K13" s="441"/>
      <c r="L13" s="441"/>
      <c r="M13" s="441"/>
      <c r="N13" s="441"/>
      <c r="O13" s="441"/>
    </row>
    <row r="14" spans="1:15" ht="16.899999999999999" customHeight="1">
      <c r="A14" s="711"/>
      <c r="B14" s="745"/>
      <c r="C14" s="737"/>
      <c r="D14" s="458">
        <v>29.6</v>
      </c>
      <c r="E14" s="436">
        <v>500</v>
      </c>
      <c r="F14" s="439">
        <f t="shared" si="0"/>
        <v>4504.5045045045044</v>
      </c>
      <c r="G14" s="455">
        <f t="shared" si="1"/>
        <v>799.2</v>
      </c>
      <c r="H14" s="436"/>
      <c r="I14" s="436">
        <v>1</v>
      </c>
      <c r="J14" s="441"/>
      <c r="K14" s="441"/>
      <c r="L14" s="441"/>
      <c r="M14" s="441"/>
      <c r="N14" s="441"/>
      <c r="O14" s="441"/>
    </row>
    <row r="15" spans="1:15" ht="16.899999999999999" customHeight="1">
      <c r="A15" s="711"/>
      <c r="B15" s="745"/>
      <c r="C15" s="737"/>
      <c r="D15" s="458">
        <v>33.1</v>
      </c>
      <c r="E15" s="436">
        <v>500</v>
      </c>
      <c r="F15" s="439">
        <f t="shared" si="0"/>
        <v>4028.1973816717014</v>
      </c>
      <c r="G15" s="455">
        <f t="shared" si="1"/>
        <v>893.70000000000016</v>
      </c>
      <c r="I15" s="436">
        <v>1</v>
      </c>
      <c r="J15" s="441"/>
      <c r="K15" s="441"/>
      <c r="L15" s="441"/>
      <c r="M15" s="441"/>
      <c r="N15" s="441"/>
      <c r="O15" s="441"/>
    </row>
    <row r="16" spans="1:15" ht="16.899999999999999" customHeight="1">
      <c r="A16" s="711"/>
      <c r="B16" s="738" t="s">
        <v>409</v>
      </c>
      <c r="C16" s="739"/>
      <c r="D16" s="739"/>
      <c r="E16" s="739"/>
      <c r="F16" s="439" t="str">
        <f t="shared" si="0"/>
        <v/>
      </c>
      <c r="G16" s="455" t="str">
        <f t="shared" si="1"/>
        <v/>
      </c>
      <c r="H16" s="436"/>
      <c r="I16" s="436"/>
      <c r="J16" s="441"/>
      <c r="K16" s="441"/>
      <c r="L16" s="441"/>
      <c r="M16" s="441"/>
      <c r="N16" s="441"/>
      <c r="O16" s="441"/>
    </row>
    <row r="17" spans="1:15" ht="16.899999999999999" customHeight="1">
      <c r="A17" s="717" t="s">
        <v>410</v>
      </c>
      <c r="B17" s="737" t="s">
        <v>411</v>
      </c>
      <c r="C17" s="737" t="s">
        <v>412</v>
      </c>
      <c r="D17" s="436">
        <v>5.0999999999999996</v>
      </c>
      <c r="E17" s="436">
        <v>90</v>
      </c>
      <c r="F17" s="439">
        <f>IFERROR(1000/((D17*E17/1000)*0.85)*60,"")</f>
        <v>153787.0049980777</v>
      </c>
      <c r="G17" s="455">
        <f t="shared" si="1"/>
        <v>23.408999999999995</v>
      </c>
      <c r="H17" s="436"/>
      <c r="I17" s="436">
        <v>0.6</v>
      </c>
      <c r="J17" s="441"/>
      <c r="K17" s="441"/>
      <c r="L17" s="441"/>
      <c r="M17" s="441"/>
      <c r="N17" s="441"/>
      <c r="O17" s="441"/>
    </row>
    <row r="18" spans="1:15" ht="16.899999999999999" customHeight="1">
      <c r="A18" s="707"/>
      <c r="B18" s="737"/>
      <c r="C18" s="737"/>
      <c r="D18" s="436">
        <v>8.3000000000000007</v>
      </c>
      <c r="E18" s="436">
        <v>90</v>
      </c>
      <c r="F18" s="439">
        <f t="shared" ref="F18:F29" si="2">IFERROR(1000/((D18*E18/1000)*0.85)*60,"")</f>
        <v>94495.629577132044</v>
      </c>
      <c r="G18" s="455">
        <f t="shared" si="1"/>
        <v>38.097000000000008</v>
      </c>
      <c r="H18" s="436"/>
      <c r="I18" s="436">
        <v>0.6</v>
      </c>
      <c r="J18" s="441"/>
      <c r="K18" s="441"/>
      <c r="L18" s="441"/>
      <c r="M18" s="441"/>
      <c r="N18" s="441"/>
      <c r="O18" s="441"/>
    </row>
    <row r="19" spans="1:15" ht="16.899999999999999" customHeight="1">
      <c r="A19" s="707"/>
      <c r="B19" s="737"/>
      <c r="C19" s="737"/>
      <c r="D19" s="436">
        <v>11</v>
      </c>
      <c r="E19" s="436">
        <v>90</v>
      </c>
      <c r="F19" s="439">
        <f t="shared" si="2"/>
        <v>71301.247771836017</v>
      </c>
      <c r="G19" s="455">
        <f t="shared" si="1"/>
        <v>50.489999999999995</v>
      </c>
      <c r="H19" s="436"/>
      <c r="I19" s="436">
        <v>0.6</v>
      </c>
      <c r="J19" s="441"/>
      <c r="K19" s="441"/>
      <c r="L19" s="441"/>
      <c r="M19" s="441"/>
      <c r="N19" s="441"/>
      <c r="O19" s="441"/>
    </row>
    <row r="20" spans="1:15" ht="16.899999999999999" customHeight="1">
      <c r="A20" s="707"/>
      <c r="B20" s="737"/>
      <c r="C20" s="737"/>
      <c r="D20" s="436">
        <v>13</v>
      </c>
      <c r="E20" s="436">
        <v>90</v>
      </c>
      <c r="F20" s="439">
        <f t="shared" si="2"/>
        <v>60331.825037707393</v>
      </c>
      <c r="G20" s="455">
        <f t="shared" si="1"/>
        <v>59.67</v>
      </c>
      <c r="H20" s="436"/>
      <c r="I20" s="436">
        <v>0.6</v>
      </c>
      <c r="J20" s="441"/>
      <c r="K20" s="441"/>
      <c r="L20" s="441"/>
      <c r="M20" s="441"/>
      <c r="N20" s="441"/>
      <c r="O20" s="441"/>
    </row>
    <row r="21" spans="1:15" ht="16.899999999999999" customHeight="1">
      <c r="A21" s="707"/>
      <c r="B21" s="737"/>
      <c r="C21" s="737"/>
      <c r="D21" s="436">
        <v>15</v>
      </c>
      <c r="E21" s="436">
        <v>90</v>
      </c>
      <c r="F21" s="439">
        <f t="shared" si="2"/>
        <v>52287.581699346403</v>
      </c>
      <c r="G21" s="455">
        <f t="shared" si="1"/>
        <v>68.849999999999994</v>
      </c>
      <c r="H21" s="436"/>
      <c r="I21" s="436">
        <v>0.6</v>
      </c>
      <c r="J21" s="441"/>
      <c r="K21" s="441"/>
      <c r="L21" s="441"/>
      <c r="M21" s="441"/>
      <c r="N21" s="441"/>
      <c r="O21" s="441"/>
    </row>
    <row r="22" spans="1:15" ht="16.899999999999999" customHeight="1">
      <c r="A22" s="707"/>
      <c r="B22" s="737"/>
      <c r="C22" s="737"/>
      <c r="D22" s="436">
        <v>18</v>
      </c>
      <c r="E22" s="436">
        <v>90</v>
      </c>
      <c r="F22" s="439">
        <f t="shared" si="2"/>
        <v>43572.98474945534</v>
      </c>
      <c r="G22" s="455">
        <f t="shared" si="1"/>
        <v>82.62</v>
      </c>
      <c r="H22" s="436"/>
      <c r="I22" s="436">
        <v>0.6</v>
      </c>
      <c r="J22" s="441"/>
      <c r="K22" s="441"/>
      <c r="L22" s="441"/>
      <c r="M22" s="441"/>
      <c r="N22" s="441" t="s">
        <v>118</v>
      </c>
      <c r="O22" s="441"/>
    </row>
    <row r="23" spans="1:15" ht="16.899999999999999" customHeight="1">
      <c r="A23" s="707"/>
      <c r="B23" s="737"/>
      <c r="C23" s="737"/>
      <c r="D23" s="436">
        <v>21</v>
      </c>
      <c r="E23" s="436">
        <v>90</v>
      </c>
      <c r="F23" s="439">
        <f t="shared" si="2"/>
        <v>37348.272642390293</v>
      </c>
      <c r="G23" s="455">
        <f t="shared" si="1"/>
        <v>96.389999999999986</v>
      </c>
      <c r="H23" s="436"/>
      <c r="I23" s="436">
        <v>0.6</v>
      </c>
      <c r="J23" s="441"/>
      <c r="K23" s="441"/>
      <c r="L23" s="441"/>
      <c r="M23" s="441"/>
      <c r="N23" s="441"/>
      <c r="O23" s="441"/>
    </row>
    <row r="24" spans="1:15" ht="16.899999999999999" customHeight="1">
      <c r="A24" s="707"/>
      <c r="B24" s="737"/>
      <c r="C24" s="737"/>
      <c r="D24" s="436">
        <v>25</v>
      </c>
      <c r="E24" s="436">
        <v>90</v>
      </c>
      <c r="F24" s="439">
        <f t="shared" si="2"/>
        <v>31372.549019607846</v>
      </c>
      <c r="G24" s="455">
        <f t="shared" si="1"/>
        <v>114.74999999999999</v>
      </c>
      <c r="H24" s="436"/>
      <c r="I24" s="436">
        <v>0.6</v>
      </c>
      <c r="J24" s="441"/>
      <c r="K24" s="441"/>
      <c r="L24" s="441"/>
      <c r="M24" s="441"/>
      <c r="N24" s="441"/>
      <c r="O24" s="441"/>
    </row>
    <row r="25" spans="1:15" ht="16.899999999999999" customHeight="1">
      <c r="A25" s="707"/>
      <c r="B25" s="737"/>
      <c r="C25" s="737"/>
      <c r="D25" s="436">
        <v>29</v>
      </c>
      <c r="E25" s="436">
        <v>90</v>
      </c>
      <c r="F25" s="439">
        <f t="shared" si="2"/>
        <v>27045.300878972284</v>
      </c>
      <c r="G25" s="455">
        <f t="shared" si="1"/>
        <v>133.10999999999996</v>
      </c>
      <c r="H25" s="436"/>
      <c r="I25" s="436">
        <v>0.6</v>
      </c>
      <c r="J25" s="441"/>
      <c r="K25" s="441"/>
      <c r="L25" s="441"/>
      <c r="M25" s="441"/>
      <c r="N25" s="441"/>
      <c r="O25" s="441"/>
    </row>
    <row r="26" spans="1:15" ht="16.899999999999999" customHeight="1">
      <c r="A26" s="707"/>
      <c r="B26" s="737"/>
      <c r="C26" s="737"/>
      <c r="D26" s="436">
        <v>34</v>
      </c>
      <c r="E26" s="436">
        <v>90</v>
      </c>
      <c r="F26" s="439">
        <f t="shared" si="2"/>
        <v>23068.050749711649</v>
      </c>
      <c r="G26" s="455">
        <f t="shared" si="1"/>
        <v>156.06</v>
      </c>
      <c r="H26" s="436"/>
      <c r="I26" s="436">
        <v>0.6</v>
      </c>
      <c r="J26" s="441"/>
      <c r="K26" s="441"/>
      <c r="L26" s="441"/>
      <c r="M26" s="441"/>
      <c r="N26" s="441"/>
      <c r="O26" s="441"/>
    </row>
    <row r="27" spans="1:15" ht="16.899999999999999" customHeight="1">
      <c r="A27" s="707"/>
      <c r="B27" s="737"/>
      <c r="C27" s="737"/>
      <c r="D27" s="436">
        <v>41</v>
      </c>
      <c r="E27" s="436">
        <v>90</v>
      </c>
      <c r="F27" s="439">
        <f t="shared" si="2"/>
        <v>19129.603060736492</v>
      </c>
      <c r="G27" s="455">
        <f t="shared" si="1"/>
        <v>188.19</v>
      </c>
      <c r="H27" s="436"/>
      <c r="I27" s="436">
        <v>0.6</v>
      </c>
      <c r="J27" s="441"/>
      <c r="K27" s="441"/>
      <c r="L27" s="441"/>
      <c r="M27" s="441"/>
      <c r="N27" s="441"/>
      <c r="O27" s="441"/>
    </row>
    <row r="28" spans="1:15" ht="16.899999999999999" customHeight="1">
      <c r="A28" s="707"/>
      <c r="B28" s="737"/>
      <c r="C28" s="737"/>
      <c r="D28" s="436">
        <v>51</v>
      </c>
      <c r="E28" s="436">
        <v>90</v>
      </c>
      <c r="F28" s="439">
        <f t="shared" si="2"/>
        <v>15378.700499807766</v>
      </c>
      <c r="G28" s="455">
        <f t="shared" si="1"/>
        <v>234.09</v>
      </c>
      <c r="H28" s="436"/>
      <c r="I28" s="436">
        <v>0.6</v>
      </c>
      <c r="J28" s="441"/>
      <c r="K28" s="441"/>
      <c r="L28" s="441"/>
      <c r="M28" s="441"/>
      <c r="N28" s="441"/>
      <c r="O28" s="441"/>
    </row>
    <row r="29" spans="1:15" ht="16.899999999999999" customHeight="1">
      <c r="A29" s="707"/>
      <c r="B29" s="737"/>
      <c r="C29" s="737"/>
      <c r="D29" s="436">
        <v>66</v>
      </c>
      <c r="E29" s="436">
        <v>65</v>
      </c>
      <c r="F29" s="439">
        <f t="shared" si="2"/>
        <v>16454.134101192925</v>
      </c>
      <c r="G29" s="455">
        <f t="shared" si="1"/>
        <v>218.79</v>
      </c>
      <c r="H29" s="436"/>
      <c r="I29" s="436">
        <v>0.6</v>
      </c>
      <c r="J29" s="441"/>
      <c r="K29" s="441"/>
      <c r="L29" s="441"/>
      <c r="M29" s="441"/>
      <c r="N29" s="441"/>
      <c r="O29" s="441"/>
    </row>
    <row r="30" spans="1:15" ht="16.899999999999999" customHeight="1">
      <c r="A30" s="718"/>
      <c r="B30" s="738" t="s">
        <v>413</v>
      </c>
      <c r="C30" s="739"/>
      <c r="D30" s="739"/>
      <c r="E30" s="739"/>
      <c r="F30" s="460"/>
      <c r="G30" s="461"/>
      <c r="H30" s="436"/>
      <c r="I30" s="441"/>
      <c r="J30" s="441"/>
      <c r="K30" s="441"/>
      <c r="L30" s="441"/>
      <c r="M30" s="441"/>
      <c r="N30" s="441"/>
      <c r="O30" s="441"/>
    </row>
    <row r="31" spans="1:15" ht="27" customHeight="1">
      <c r="A31" s="462"/>
      <c r="B31" s="463"/>
      <c r="C31" s="740" t="s">
        <v>414</v>
      </c>
      <c r="D31" s="741"/>
      <c r="E31" s="741"/>
      <c r="F31" s="742"/>
      <c r="G31" s="464"/>
      <c r="H31" s="464"/>
      <c r="I31" s="441"/>
      <c r="J31" s="441"/>
      <c r="K31" s="441"/>
      <c r="L31" s="441"/>
      <c r="M31" s="441"/>
      <c r="N31" s="441"/>
      <c r="O31" s="441"/>
    </row>
    <row r="32" spans="1:15" ht="16.899999999999999" customHeight="1">
      <c r="A32" s="441" t="s">
        <v>373</v>
      </c>
      <c r="B32" s="441"/>
      <c r="C32" s="441"/>
      <c r="D32" s="436"/>
      <c r="E32" s="436"/>
      <c r="F32" s="441"/>
      <c r="G32" s="441"/>
      <c r="H32" s="441"/>
      <c r="I32" s="441"/>
      <c r="J32" s="441"/>
      <c r="K32" s="441"/>
      <c r="L32" s="441"/>
      <c r="M32" s="441"/>
      <c r="N32" s="441"/>
      <c r="O32" s="441"/>
    </row>
    <row r="35" spans="8:9" ht="16.899999999999999" customHeight="1">
      <c r="H35" s="431" t="s">
        <v>415</v>
      </c>
    </row>
    <row r="36" spans="8:9" ht="16.899999999999999" customHeight="1">
      <c r="H36" s="736" t="s">
        <v>416</v>
      </c>
      <c r="I36" s="736"/>
    </row>
    <row r="37" spans="8:9" ht="16.899999999999999" customHeight="1">
      <c r="H37" s="736" t="s">
        <v>417</v>
      </c>
      <c r="I37" s="736"/>
    </row>
    <row r="38" spans="8:9" ht="16.899999999999999" customHeight="1">
      <c r="H38" s="736" t="s">
        <v>418</v>
      </c>
      <c r="I38" s="736"/>
    </row>
    <row r="39" spans="8:9" ht="16.899999999999999" customHeight="1">
      <c r="H39" s="736" t="s">
        <v>419</v>
      </c>
      <c r="I39" s="736"/>
    </row>
  </sheetData>
  <mergeCells count="24">
    <mergeCell ref="F2:F3"/>
    <mergeCell ref="A4:A16"/>
    <mergeCell ref="B4:B15"/>
    <mergeCell ref="C4:C15"/>
    <mergeCell ref="B16:E16"/>
    <mergeCell ref="A2:A3"/>
    <mergeCell ref="B2:B3"/>
    <mergeCell ref="C2:C3"/>
    <mergeCell ref="D2:D3"/>
    <mergeCell ref="E2:E3"/>
    <mergeCell ref="G2:G3"/>
    <mergeCell ref="H2:H3"/>
    <mergeCell ref="I2:M2"/>
    <mergeCell ref="N2:N3"/>
    <mergeCell ref="O2:O3"/>
    <mergeCell ref="H37:I37"/>
    <mergeCell ref="H38:I38"/>
    <mergeCell ref="H39:I39"/>
    <mergeCell ref="A17:A30"/>
    <mergeCell ref="B17:B29"/>
    <mergeCell ref="C17:C29"/>
    <mergeCell ref="B30:E30"/>
    <mergeCell ref="C31:F31"/>
    <mergeCell ref="H36:I36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A10" workbookViewId="0">
      <selection activeCell="J10" sqref="J10"/>
    </sheetView>
  </sheetViews>
  <sheetFormatPr defaultColWidth="9" defaultRowHeight="16.899999999999999" customHeight="1"/>
  <cols>
    <col min="1" max="2" width="8.140625" style="445" customWidth="1"/>
    <col min="3" max="3" width="10.5703125" style="445" customWidth="1"/>
    <col min="4" max="4" width="10.28515625" style="445" customWidth="1"/>
    <col min="5" max="5" width="12.7109375" style="445" customWidth="1"/>
    <col min="6" max="6" width="16.28515625" style="445" customWidth="1"/>
    <col min="7" max="8" width="9.42578125" style="445" customWidth="1"/>
    <col min="9" max="9" width="9" style="445" customWidth="1"/>
    <col min="10" max="10" width="9.140625" style="431" customWidth="1"/>
    <col min="11" max="11" width="12.42578125" style="431" customWidth="1"/>
    <col min="12" max="12" width="7.28515625" style="431" customWidth="1"/>
    <col min="13" max="13" width="9" style="431"/>
    <col min="14" max="14" width="9.28515625" style="431" customWidth="1"/>
    <col min="15" max="15" width="11.28515625" style="431" customWidth="1"/>
    <col min="16" max="16384" width="9" style="431"/>
  </cols>
  <sheetData>
    <row r="1" spans="1:15" s="430" customFormat="1" ht="24" customHeight="1">
      <c r="A1" s="428" t="s">
        <v>420</v>
      </c>
      <c r="B1" s="428"/>
      <c r="C1" s="429"/>
      <c r="D1" s="429"/>
      <c r="E1" s="429"/>
      <c r="F1" s="429"/>
      <c r="G1" s="429"/>
      <c r="H1" s="429"/>
      <c r="I1" s="429"/>
    </row>
    <row r="2" spans="1:15" ht="16.899999999999999" customHeight="1">
      <c r="A2" s="712" t="s">
        <v>353</v>
      </c>
      <c r="B2" s="729" t="s">
        <v>379</v>
      </c>
      <c r="C2" s="712" t="s">
        <v>354</v>
      </c>
      <c r="D2" s="711" t="s">
        <v>421</v>
      </c>
      <c r="E2" s="711" t="s">
        <v>395</v>
      </c>
      <c r="F2" s="711" t="s">
        <v>358</v>
      </c>
      <c r="G2" s="743" t="s">
        <v>206</v>
      </c>
      <c r="H2" s="711" t="s">
        <v>359</v>
      </c>
      <c r="I2" s="712" t="s">
        <v>360</v>
      </c>
      <c r="J2" s="712"/>
      <c r="K2" s="712"/>
      <c r="L2" s="712"/>
      <c r="M2" s="712"/>
      <c r="N2" s="711" t="s">
        <v>361</v>
      </c>
      <c r="O2" s="711" t="s">
        <v>362</v>
      </c>
    </row>
    <row r="3" spans="1:15" s="459" customFormat="1" ht="55.15" customHeight="1">
      <c r="A3" s="712"/>
      <c r="B3" s="730"/>
      <c r="C3" s="712"/>
      <c r="D3" s="712"/>
      <c r="E3" s="712"/>
      <c r="F3" s="712"/>
      <c r="G3" s="744"/>
      <c r="H3" s="712"/>
      <c r="I3" s="432" t="s">
        <v>363</v>
      </c>
      <c r="J3" s="432" t="s">
        <v>364</v>
      </c>
      <c r="K3" s="432" t="s">
        <v>445</v>
      </c>
      <c r="L3" s="432" t="s">
        <v>365</v>
      </c>
      <c r="M3" s="432" t="s">
        <v>366</v>
      </c>
      <c r="N3" s="711"/>
      <c r="O3" s="711"/>
    </row>
    <row r="4" spans="1:15" ht="16.899999999999999" customHeight="1">
      <c r="A4" s="706" t="s">
        <v>422</v>
      </c>
      <c r="B4" s="732" t="s">
        <v>407</v>
      </c>
      <c r="C4" s="728" t="s">
        <v>423</v>
      </c>
      <c r="D4" s="453">
        <v>8</v>
      </c>
      <c r="E4" s="465">
        <v>1000</v>
      </c>
      <c r="F4" s="439">
        <f>60/(D4*E4*0.75/1000)*1000</f>
        <v>10000</v>
      </c>
      <c r="G4" s="455">
        <f>IFERROR(1000/(F4/3600),"")</f>
        <v>360</v>
      </c>
      <c r="H4" s="436"/>
      <c r="I4" s="436">
        <v>4</v>
      </c>
      <c r="J4" s="436"/>
      <c r="K4" s="436"/>
      <c r="L4" s="436"/>
      <c r="M4" s="436"/>
      <c r="N4" s="436"/>
      <c r="O4" s="436"/>
    </row>
    <row r="5" spans="1:15" ht="16.899999999999999" customHeight="1">
      <c r="A5" s="707"/>
      <c r="B5" s="732"/>
      <c r="C5" s="728"/>
      <c r="D5" s="453">
        <v>10</v>
      </c>
      <c r="E5" s="465">
        <v>1000</v>
      </c>
      <c r="F5" s="439">
        <f t="shared" ref="F5:F20" si="0">60/(D5*E5*0.75/1000)*1000</f>
        <v>8000</v>
      </c>
      <c r="G5" s="455">
        <f t="shared" ref="G5:G20" si="1">IFERROR(1000/(F5/3600),"")</f>
        <v>450</v>
      </c>
      <c r="H5" s="436"/>
      <c r="I5" s="436">
        <v>4</v>
      </c>
      <c r="J5" s="436"/>
      <c r="K5" s="436"/>
      <c r="L5" s="436"/>
      <c r="M5" s="436"/>
      <c r="N5" s="436"/>
      <c r="O5" s="436"/>
    </row>
    <row r="6" spans="1:15" ht="16.899999999999999" customHeight="1">
      <c r="A6" s="707"/>
      <c r="B6" s="732"/>
      <c r="C6" s="728"/>
      <c r="D6" s="453">
        <v>12</v>
      </c>
      <c r="E6" s="465">
        <v>1000</v>
      </c>
      <c r="F6" s="439">
        <f t="shared" si="0"/>
        <v>6666.666666666667</v>
      </c>
      <c r="G6" s="455">
        <f t="shared" si="1"/>
        <v>540</v>
      </c>
      <c r="H6" s="436"/>
      <c r="I6" s="436">
        <v>4</v>
      </c>
      <c r="J6" s="436"/>
      <c r="K6" s="436"/>
      <c r="L6" s="436"/>
      <c r="M6" s="436"/>
      <c r="N6" s="436"/>
      <c r="O6" s="436"/>
    </row>
    <row r="7" spans="1:15" ht="16.899999999999999" customHeight="1">
      <c r="A7" s="707"/>
      <c r="B7" s="732"/>
      <c r="C7" s="728"/>
      <c r="D7" s="453">
        <v>15</v>
      </c>
      <c r="E7" s="465">
        <v>1000</v>
      </c>
      <c r="F7" s="439">
        <f t="shared" si="0"/>
        <v>5333.333333333333</v>
      </c>
      <c r="G7" s="455">
        <f t="shared" si="1"/>
        <v>675</v>
      </c>
      <c r="H7" s="436"/>
      <c r="I7" s="436">
        <v>4</v>
      </c>
      <c r="J7" s="436"/>
      <c r="K7" s="436"/>
      <c r="L7" s="436"/>
      <c r="M7" s="436"/>
      <c r="N7" s="436"/>
      <c r="O7" s="436"/>
    </row>
    <row r="8" spans="1:15" ht="16.899999999999999" customHeight="1">
      <c r="A8" s="707"/>
      <c r="B8" s="732"/>
      <c r="C8" s="728"/>
      <c r="D8" s="453">
        <v>18</v>
      </c>
      <c r="E8" s="465">
        <v>1000</v>
      </c>
      <c r="F8" s="439">
        <f t="shared" si="0"/>
        <v>4444.4444444444443</v>
      </c>
      <c r="G8" s="455">
        <f t="shared" si="1"/>
        <v>810</v>
      </c>
      <c r="H8" s="436"/>
      <c r="I8" s="436">
        <v>4</v>
      </c>
      <c r="J8" s="436"/>
      <c r="K8" s="436"/>
      <c r="L8" s="436"/>
      <c r="M8" s="436"/>
      <c r="N8" s="436"/>
      <c r="O8" s="436"/>
    </row>
    <row r="9" spans="1:15" ht="16.899999999999999" customHeight="1">
      <c r="A9" s="707"/>
      <c r="B9" s="732"/>
      <c r="C9" s="728"/>
      <c r="D9" s="453">
        <v>20</v>
      </c>
      <c r="E9" s="465">
        <v>1000</v>
      </c>
      <c r="F9" s="439">
        <f t="shared" si="0"/>
        <v>4000</v>
      </c>
      <c r="G9" s="455">
        <f t="shared" si="1"/>
        <v>900</v>
      </c>
      <c r="H9" s="436"/>
      <c r="I9" s="436">
        <v>4</v>
      </c>
      <c r="J9" s="436"/>
      <c r="K9" s="436"/>
      <c r="L9" s="436"/>
      <c r="M9" s="436"/>
      <c r="N9" s="436"/>
      <c r="O9" s="436"/>
    </row>
    <row r="10" spans="1:15" ht="16.899999999999999" customHeight="1">
      <c r="A10" s="707"/>
      <c r="B10" s="732"/>
      <c r="C10" s="728"/>
      <c r="D10" s="453">
        <v>21</v>
      </c>
      <c r="E10" s="465">
        <v>1000</v>
      </c>
      <c r="F10" s="439">
        <f t="shared" si="0"/>
        <v>3809.5238095238092</v>
      </c>
      <c r="G10" s="455">
        <f t="shared" si="1"/>
        <v>945</v>
      </c>
      <c r="H10" s="436"/>
      <c r="I10" s="436">
        <v>4</v>
      </c>
      <c r="J10" s="441"/>
      <c r="K10" s="441"/>
      <c r="L10" s="441"/>
      <c r="M10" s="441"/>
      <c r="N10" s="441"/>
      <c r="O10" s="441"/>
    </row>
    <row r="11" spans="1:15" ht="16.899999999999999" customHeight="1">
      <c r="A11" s="707"/>
      <c r="B11" s="732"/>
      <c r="C11" s="728"/>
      <c r="D11" s="453">
        <v>25</v>
      </c>
      <c r="E11" s="465">
        <v>1000</v>
      </c>
      <c r="F11" s="439">
        <f t="shared" si="0"/>
        <v>3200</v>
      </c>
      <c r="G11" s="455">
        <f t="shared" si="1"/>
        <v>1125</v>
      </c>
      <c r="H11" s="436"/>
      <c r="I11" s="436">
        <v>4</v>
      </c>
      <c r="J11" s="441"/>
      <c r="K11" s="441"/>
      <c r="L11" s="441"/>
      <c r="M11" s="441"/>
      <c r="N11" s="441"/>
      <c r="O11" s="441"/>
    </row>
    <row r="12" spans="1:15" ht="16.899999999999999" customHeight="1">
      <c r="A12" s="707"/>
      <c r="B12" s="732"/>
      <c r="C12" s="728"/>
      <c r="D12" s="453">
        <v>29</v>
      </c>
      <c r="E12" s="465">
        <v>1000</v>
      </c>
      <c r="F12" s="439">
        <f t="shared" si="0"/>
        <v>2758.6206896551726</v>
      </c>
      <c r="G12" s="455">
        <f t="shared" si="1"/>
        <v>1305</v>
      </c>
      <c r="H12" s="436"/>
      <c r="I12" s="436">
        <v>4</v>
      </c>
      <c r="J12" s="441"/>
      <c r="K12" s="441"/>
      <c r="L12" s="441"/>
      <c r="M12" s="441"/>
      <c r="N12" s="441"/>
      <c r="O12" s="441"/>
    </row>
    <row r="13" spans="1:15" ht="16.899999999999999" customHeight="1">
      <c r="A13" s="707"/>
      <c r="B13" s="732"/>
      <c r="C13" s="728"/>
      <c r="D13" s="453">
        <v>32</v>
      </c>
      <c r="E13" s="465">
        <v>1000</v>
      </c>
      <c r="F13" s="439">
        <f t="shared" si="0"/>
        <v>2500</v>
      </c>
      <c r="G13" s="455">
        <f t="shared" si="1"/>
        <v>1440</v>
      </c>
      <c r="H13" s="436"/>
      <c r="I13" s="436">
        <v>4</v>
      </c>
      <c r="J13" s="441"/>
      <c r="K13" s="441"/>
      <c r="L13" s="441"/>
      <c r="M13" s="441"/>
      <c r="N13" s="441"/>
      <c r="O13" s="441"/>
    </row>
    <row r="14" spans="1:15" ht="16.899999999999999" customHeight="1">
      <c r="A14" s="707"/>
      <c r="B14" s="732"/>
      <c r="C14" s="728"/>
      <c r="D14" s="453">
        <v>39</v>
      </c>
      <c r="E14" s="465">
        <v>1000</v>
      </c>
      <c r="F14" s="439">
        <f t="shared" si="0"/>
        <v>2051.2820512820513</v>
      </c>
      <c r="G14" s="455">
        <f t="shared" si="1"/>
        <v>1755</v>
      </c>
      <c r="H14" s="436"/>
      <c r="I14" s="436">
        <v>4</v>
      </c>
      <c r="J14" s="441"/>
      <c r="K14" s="441"/>
      <c r="L14" s="441"/>
      <c r="M14" s="441"/>
      <c r="N14" s="441"/>
      <c r="O14" s="441"/>
    </row>
    <row r="15" spans="1:15" ht="16.899999999999999" customHeight="1">
      <c r="A15" s="707"/>
      <c r="B15" s="732"/>
      <c r="C15" s="728"/>
      <c r="D15" s="453">
        <v>47</v>
      </c>
      <c r="E15" s="465">
        <v>1000</v>
      </c>
      <c r="F15" s="439">
        <f t="shared" si="0"/>
        <v>1702.127659574468</v>
      </c>
      <c r="G15" s="455">
        <f t="shared" si="1"/>
        <v>2115</v>
      </c>
      <c r="H15" s="436"/>
      <c r="I15" s="436">
        <v>4</v>
      </c>
      <c r="J15" s="441"/>
      <c r="K15" s="441"/>
      <c r="L15" s="441"/>
      <c r="M15" s="441"/>
      <c r="N15" s="441"/>
      <c r="O15" s="441"/>
    </row>
    <row r="16" spans="1:15" ht="16.899999999999999" customHeight="1">
      <c r="A16" s="707"/>
      <c r="B16" s="732"/>
      <c r="C16" s="728"/>
      <c r="D16" s="453">
        <v>51</v>
      </c>
      <c r="E16" s="465">
        <v>1000</v>
      </c>
      <c r="F16" s="439">
        <f t="shared" si="0"/>
        <v>1568.627450980392</v>
      </c>
      <c r="G16" s="455">
        <f t="shared" si="1"/>
        <v>2295</v>
      </c>
      <c r="H16" s="436"/>
      <c r="I16" s="436">
        <v>4</v>
      </c>
      <c r="J16" s="441"/>
      <c r="K16" s="441"/>
      <c r="L16" s="441"/>
      <c r="M16" s="441"/>
      <c r="N16" s="441"/>
      <c r="O16" s="441"/>
    </row>
    <row r="17" spans="1:15" ht="16.899999999999999" customHeight="1">
      <c r="A17" s="707"/>
      <c r="B17" s="732"/>
      <c r="C17" s="728"/>
      <c r="D17" s="453">
        <v>60</v>
      </c>
      <c r="E17" s="465">
        <v>1000</v>
      </c>
      <c r="F17" s="439">
        <f t="shared" si="0"/>
        <v>1333.3333333333333</v>
      </c>
      <c r="G17" s="455">
        <f t="shared" si="1"/>
        <v>2700</v>
      </c>
      <c r="H17" s="436"/>
      <c r="I17" s="436">
        <v>4</v>
      </c>
      <c r="J17" s="441"/>
      <c r="K17" s="441"/>
      <c r="L17" s="441"/>
      <c r="M17" s="441"/>
      <c r="N17" s="441"/>
      <c r="O17" s="441"/>
    </row>
    <row r="18" spans="1:15" ht="16.899999999999999" customHeight="1">
      <c r="A18" s="707"/>
      <c r="B18" s="732"/>
      <c r="C18" s="728"/>
      <c r="D18" s="453">
        <v>66</v>
      </c>
      <c r="E18" s="465">
        <v>1000</v>
      </c>
      <c r="F18" s="439">
        <f t="shared" si="0"/>
        <v>1212.1212121212122</v>
      </c>
      <c r="G18" s="455">
        <f t="shared" si="1"/>
        <v>2970</v>
      </c>
      <c r="H18" s="436"/>
      <c r="I18" s="436">
        <v>4</v>
      </c>
      <c r="J18" s="441"/>
      <c r="K18" s="441"/>
      <c r="L18" s="441"/>
      <c r="M18" s="441"/>
      <c r="N18" s="441"/>
      <c r="O18" s="441"/>
    </row>
    <row r="19" spans="1:15" ht="16.899999999999999" customHeight="1">
      <c r="A19" s="707"/>
      <c r="B19" s="732"/>
      <c r="C19" s="728"/>
      <c r="D19" s="453">
        <v>74</v>
      </c>
      <c r="E19" s="465">
        <v>1000</v>
      </c>
      <c r="F19" s="439">
        <f t="shared" si="0"/>
        <v>1081.081081081081</v>
      </c>
      <c r="G19" s="455">
        <f t="shared" si="1"/>
        <v>3330</v>
      </c>
      <c r="H19" s="436"/>
      <c r="I19" s="436">
        <v>4</v>
      </c>
      <c r="J19" s="441"/>
      <c r="K19" s="441"/>
      <c r="L19" s="441"/>
      <c r="M19" s="441"/>
      <c r="N19" s="441"/>
      <c r="O19" s="441"/>
    </row>
    <row r="20" spans="1:15" ht="16.899999999999999" customHeight="1">
      <c r="A20" s="707"/>
      <c r="B20" s="732"/>
      <c r="C20" s="728"/>
      <c r="D20" s="453">
        <v>82</v>
      </c>
      <c r="E20" s="465">
        <v>1000</v>
      </c>
      <c r="F20" s="439">
        <f t="shared" si="0"/>
        <v>975.60975609756099</v>
      </c>
      <c r="G20" s="455">
        <f t="shared" si="1"/>
        <v>3689.9999999999995</v>
      </c>
      <c r="H20" s="436"/>
      <c r="I20" s="436">
        <v>4</v>
      </c>
      <c r="J20" s="441"/>
      <c r="K20" s="441"/>
      <c r="L20" s="441"/>
      <c r="M20" s="441"/>
      <c r="N20" s="441"/>
      <c r="O20" s="441"/>
    </row>
    <row r="21" spans="1:15" ht="22.9" customHeight="1">
      <c r="A21" s="711" t="s">
        <v>424</v>
      </c>
      <c r="B21" s="711" t="s">
        <v>411</v>
      </c>
      <c r="C21" s="737" t="s">
        <v>425</v>
      </c>
      <c r="D21" s="466" t="s">
        <v>426</v>
      </c>
      <c r="E21" s="466" t="s">
        <v>427</v>
      </c>
      <c r="F21" s="439"/>
      <c r="G21" s="436"/>
      <c r="H21" s="436"/>
      <c r="I21" s="436"/>
      <c r="J21" s="441"/>
      <c r="K21" s="441"/>
      <c r="L21" s="441"/>
      <c r="M21" s="441"/>
      <c r="N21" s="441"/>
      <c r="O21" s="441"/>
    </row>
    <row r="22" spans="1:15" ht="16.899999999999999" customHeight="1">
      <c r="A22" s="711"/>
      <c r="B22" s="711"/>
      <c r="C22" s="737"/>
      <c r="D22" s="468">
        <v>3</v>
      </c>
      <c r="E22" s="468">
        <v>1300</v>
      </c>
      <c r="F22" s="439">
        <f t="shared" ref="F22:F29" si="2">60/(D22*E22/1000)*1000</f>
        <v>15384.615384615385</v>
      </c>
      <c r="G22" s="439">
        <f>IFERROR(1000/(F22/3600),"")</f>
        <v>234</v>
      </c>
      <c r="H22" s="436"/>
      <c r="I22" s="436">
        <v>4</v>
      </c>
      <c r="J22" s="441"/>
      <c r="K22" s="441"/>
      <c r="L22" s="441"/>
      <c r="M22" s="441"/>
      <c r="N22" s="441"/>
      <c r="O22" s="441"/>
    </row>
    <row r="23" spans="1:15" ht="16.899999999999999" customHeight="1">
      <c r="A23" s="711"/>
      <c r="B23" s="711"/>
      <c r="C23" s="737"/>
      <c r="D23" s="468">
        <v>3.5</v>
      </c>
      <c r="E23" s="468">
        <v>1300</v>
      </c>
      <c r="F23" s="439">
        <f t="shared" si="2"/>
        <v>13186.813186813188</v>
      </c>
      <c r="G23" s="439">
        <f t="shared" ref="G23:G38" si="3">IFERROR(1000/(F23/3600),"")</f>
        <v>273</v>
      </c>
      <c r="H23" s="436"/>
      <c r="I23" s="436">
        <v>4</v>
      </c>
      <c r="J23" s="441"/>
      <c r="K23" s="441"/>
      <c r="L23" s="441"/>
      <c r="M23" s="441"/>
      <c r="N23" s="441"/>
      <c r="O23" s="441"/>
    </row>
    <row r="24" spans="1:15" ht="16.899999999999999" customHeight="1">
      <c r="A24" s="711"/>
      <c r="B24" s="711"/>
      <c r="C24" s="737"/>
      <c r="D24" s="468">
        <v>4</v>
      </c>
      <c r="E24" s="468">
        <v>1300</v>
      </c>
      <c r="F24" s="439">
        <f t="shared" si="2"/>
        <v>11538.461538461539</v>
      </c>
      <c r="G24" s="439">
        <f t="shared" si="3"/>
        <v>312</v>
      </c>
      <c r="H24" s="436"/>
      <c r="I24" s="436">
        <v>4</v>
      </c>
      <c r="J24" s="441"/>
      <c r="K24" s="441"/>
      <c r="L24" s="441"/>
      <c r="M24" s="441"/>
      <c r="N24" s="441"/>
      <c r="O24" s="441"/>
    </row>
    <row r="25" spans="1:15" ht="16.899999999999999" customHeight="1">
      <c r="A25" s="711"/>
      <c r="B25" s="711"/>
      <c r="C25" s="737"/>
      <c r="D25" s="468">
        <v>4.5</v>
      </c>
      <c r="E25" s="468">
        <v>1300</v>
      </c>
      <c r="F25" s="439">
        <f t="shared" si="2"/>
        <v>10256.410256410258</v>
      </c>
      <c r="G25" s="439">
        <f t="shared" si="3"/>
        <v>350.99999999999994</v>
      </c>
      <c r="H25" s="436"/>
      <c r="I25" s="436">
        <v>4</v>
      </c>
      <c r="J25" s="441"/>
      <c r="K25" s="441"/>
      <c r="L25" s="441"/>
      <c r="M25" s="441"/>
      <c r="N25" s="441"/>
      <c r="O25" s="441"/>
    </row>
    <row r="26" spans="1:15" ht="16.899999999999999" customHeight="1">
      <c r="A26" s="711"/>
      <c r="B26" s="711"/>
      <c r="C26" s="737"/>
      <c r="D26" s="468">
        <v>5</v>
      </c>
      <c r="E26" s="468">
        <v>1300</v>
      </c>
      <c r="F26" s="439">
        <f t="shared" si="2"/>
        <v>9230.7692307692305</v>
      </c>
      <c r="G26" s="439">
        <f t="shared" si="3"/>
        <v>390.00000000000006</v>
      </c>
      <c r="H26" s="436"/>
      <c r="I26" s="436">
        <v>4</v>
      </c>
      <c r="J26" s="441"/>
      <c r="K26" s="441"/>
      <c r="L26" s="441"/>
      <c r="M26" s="441"/>
      <c r="N26" s="441"/>
      <c r="O26" s="441"/>
    </row>
    <row r="27" spans="1:15" ht="16.899999999999999" customHeight="1">
      <c r="A27" s="711"/>
      <c r="B27" s="711"/>
      <c r="C27" s="737"/>
      <c r="D27" s="468">
        <v>5.2</v>
      </c>
      <c r="E27" s="468">
        <v>1300</v>
      </c>
      <c r="F27" s="439">
        <f t="shared" si="2"/>
        <v>8875.7396449704138</v>
      </c>
      <c r="G27" s="439">
        <f t="shared" si="3"/>
        <v>405.6</v>
      </c>
      <c r="H27" s="436"/>
      <c r="I27" s="436">
        <v>4</v>
      </c>
      <c r="J27" s="441"/>
      <c r="K27" s="441"/>
      <c r="L27" s="441"/>
      <c r="M27" s="441"/>
      <c r="N27" s="441"/>
      <c r="O27" s="441"/>
    </row>
    <row r="28" spans="1:15" ht="16.899999999999999" customHeight="1">
      <c r="A28" s="711"/>
      <c r="B28" s="711"/>
      <c r="C28" s="737"/>
      <c r="D28" s="468">
        <v>5.5</v>
      </c>
      <c r="E28" s="468">
        <v>1300</v>
      </c>
      <c r="F28" s="439">
        <f t="shared" si="2"/>
        <v>8391.6083916083917</v>
      </c>
      <c r="G28" s="439">
        <f t="shared" si="3"/>
        <v>429</v>
      </c>
      <c r="H28" s="436"/>
      <c r="I28" s="436">
        <v>4</v>
      </c>
      <c r="J28" s="441"/>
      <c r="K28" s="441"/>
      <c r="L28" s="441"/>
      <c r="M28" s="441"/>
      <c r="N28" s="441"/>
      <c r="O28" s="441"/>
    </row>
    <row r="29" spans="1:15" ht="16.899999999999999" customHeight="1">
      <c r="A29" s="711"/>
      <c r="B29" s="711"/>
      <c r="C29" s="737"/>
      <c r="D29" s="468">
        <v>6</v>
      </c>
      <c r="E29" s="468">
        <v>1300</v>
      </c>
      <c r="F29" s="439">
        <f t="shared" si="2"/>
        <v>7692.3076923076924</v>
      </c>
      <c r="G29" s="439">
        <f t="shared" si="3"/>
        <v>468</v>
      </c>
      <c r="H29" s="436"/>
      <c r="I29" s="436">
        <v>4</v>
      </c>
      <c r="J29" s="441"/>
      <c r="K29" s="441"/>
      <c r="L29" s="441"/>
      <c r="M29" s="441"/>
      <c r="N29" s="441"/>
      <c r="O29" s="441"/>
    </row>
    <row r="30" spans="1:15" ht="16.899999999999999" customHeight="1">
      <c r="A30" s="706" t="s">
        <v>428</v>
      </c>
      <c r="B30" s="711" t="s">
        <v>429</v>
      </c>
      <c r="C30" s="728" t="s">
        <v>430</v>
      </c>
      <c r="D30" s="458">
        <v>35</v>
      </c>
      <c r="E30" s="436">
        <v>450</v>
      </c>
      <c r="F30" s="439">
        <f>IFERROR(1000/(D30*E30/1000)/0.85*60,"")</f>
        <v>4481.7927170868352</v>
      </c>
      <c r="G30" s="455">
        <f t="shared" si="3"/>
        <v>803.24999999999989</v>
      </c>
      <c r="H30" s="467"/>
      <c r="I30" s="467">
        <v>5.3</v>
      </c>
      <c r="J30" s="441"/>
      <c r="K30" s="441"/>
      <c r="L30" s="441"/>
      <c r="M30" s="441"/>
      <c r="N30" s="441"/>
      <c r="O30" s="441"/>
    </row>
    <row r="31" spans="1:15" ht="16.899999999999999" customHeight="1">
      <c r="A31" s="707"/>
      <c r="B31" s="711"/>
      <c r="C31" s="728"/>
      <c r="D31" s="458">
        <v>50</v>
      </c>
      <c r="E31" s="436">
        <v>450</v>
      </c>
      <c r="F31" s="439">
        <f t="shared" ref="F31:F38" si="4">IFERROR(1000/(D31*E31/1000)/0.85*60,"")</f>
        <v>3137.2549019607841</v>
      </c>
      <c r="G31" s="455">
        <f t="shared" si="3"/>
        <v>1147.5</v>
      </c>
      <c r="H31" s="467"/>
      <c r="I31" s="467">
        <v>5.3</v>
      </c>
      <c r="J31" s="441"/>
      <c r="K31" s="441"/>
      <c r="L31" s="441"/>
      <c r="M31" s="441"/>
      <c r="N31" s="441"/>
      <c r="O31" s="441"/>
    </row>
    <row r="32" spans="1:15" ht="16.899999999999999" customHeight="1">
      <c r="A32" s="707"/>
      <c r="B32" s="711"/>
      <c r="C32" s="728"/>
      <c r="D32" s="458">
        <v>60</v>
      </c>
      <c r="E32" s="436">
        <v>450</v>
      </c>
      <c r="F32" s="439">
        <f t="shared" si="4"/>
        <v>2614.3790849673201</v>
      </c>
      <c r="G32" s="455">
        <f t="shared" si="3"/>
        <v>1377</v>
      </c>
      <c r="H32" s="467"/>
      <c r="I32" s="467">
        <v>5.3</v>
      </c>
      <c r="J32" s="441"/>
      <c r="K32" s="441"/>
      <c r="L32" s="441"/>
      <c r="M32" s="441"/>
      <c r="N32" s="441"/>
      <c r="O32" s="441"/>
    </row>
    <row r="33" spans="1:15" ht="16.899999999999999" customHeight="1">
      <c r="A33" s="707"/>
      <c r="B33" s="711"/>
      <c r="C33" s="728"/>
      <c r="D33" s="458">
        <v>70</v>
      </c>
      <c r="E33" s="436">
        <v>450</v>
      </c>
      <c r="F33" s="439">
        <f t="shared" si="4"/>
        <v>2240.8963585434176</v>
      </c>
      <c r="G33" s="455">
        <f t="shared" si="3"/>
        <v>1606.4999999999998</v>
      </c>
      <c r="H33" s="467"/>
      <c r="I33" s="467">
        <v>5.3</v>
      </c>
      <c r="J33" s="441"/>
      <c r="K33" s="441"/>
      <c r="L33" s="441"/>
      <c r="M33" s="441"/>
      <c r="N33" s="441"/>
      <c r="O33" s="441"/>
    </row>
    <row r="34" spans="1:15" ht="16.899999999999999" customHeight="1">
      <c r="A34" s="707"/>
      <c r="B34" s="711"/>
      <c r="C34" s="728"/>
      <c r="D34" s="458">
        <v>80</v>
      </c>
      <c r="E34" s="436">
        <v>450</v>
      </c>
      <c r="F34" s="439">
        <f t="shared" si="4"/>
        <v>1960.7843137254904</v>
      </c>
      <c r="G34" s="455">
        <f t="shared" si="3"/>
        <v>1835.9999999999998</v>
      </c>
      <c r="H34" s="467"/>
      <c r="I34" s="467">
        <v>5.3</v>
      </c>
      <c r="J34" s="441"/>
      <c r="K34" s="441"/>
      <c r="L34" s="441"/>
      <c r="M34" s="441"/>
      <c r="N34" s="441"/>
      <c r="O34" s="441"/>
    </row>
    <row r="35" spans="1:15" ht="16.899999999999999" customHeight="1">
      <c r="A35" s="707"/>
      <c r="B35" s="711"/>
      <c r="C35" s="728"/>
      <c r="D35" s="458">
        <v>90</v>
      </c>
      <c r="E35" s="436">
        <v>450</v>
      </c>
      <c r="F35" s="439">
        <f t="shared" si="4"/>
        <v>1742.9193899782135</v>
      </c>
      <c r="G35" s="455">
        <f t="shared" si="3"/>
        <v>2065.5</v>
      </c>
      <c r="H35" s="467"/>
      <c r="I35" s="467">
        <v>5.3</v>
      </c>
      <c r="J35" s="441"/>
      <c r="K35" s="441"/>
      <c r="L35" s="441"/>
      <c r="M35" s="441"/>
      <c r="N35" s="441"/>
      <c r="O35" s="441"/>
    </row>
    <row r="36" spans="1:15" ht="16.899999999999999" customHeight="1">
      <c r="A36" s="707"/>
      <c r="B36" s="711"/>
      <c r="C36" s="728"/>
      <c r="D36" s="458">
        <v>100</v>
      </c>
      <c r="E36" s="436">
        <v>450</v>
      </c>
      <c r="F36" s="439">
        <f t="shared" si="4"/>
        <v>1568.627450980392</v>
      </c>
      <c r="G36" s="455">
        <f t="shared" si="3"/>
        <v>2295</v>
      </c>
      <c r="H36" s="467"/>
      <c r="I36" s="467">
        <v>5.3</v>
      </c>
      <c r="J36" s="441"/>
      <c r="K36" s="441"/>
      <c r="L36" s="441"/>
      <c r="M36" s="441"/>
      <c r="N36" s="441"/>
      <c r="O36" s="441"/>
    </row>
    <row r="37" spans="1:15" ht="16.899999999999999" customHeight="1">
      <c r="A37" s="707"/>
      <c r="B37" s="711"/>
      <c r="C37" s="728"/>
      <c r="D37" s="458">
        <v>110</v>
      </c>
      <c r="E37" s="436">
        <v>450</v>
      </c>
      <c r="F37" s="439">
        <f t="shared" si="4"/>
        <v>1426.0249554367201</v>
      </c>
      <c r="G37" s="455">
        <f t="shared" si="3"/>
        <v>2524.5</v>
      </c>
      <c r="H37" s="467"/>
      <c r="I37" s="467">
        <v>5.3</v>
      </c>
      <c r="J37" s="441"/>
      <c r="K37" s="441"/>
      <c r="L37" s="441"/>
      <c r="M37" s="441"/>
      <c r="N37" s="441"/>
      <c r="O37" s="441"/>
    </row>
    <row r="38" spans="1:15" ht="16.899999999999999" customHeight="1">
      <c r="A38" s="707"/>
      <c r="B38" s="711"/>
      <c r="C38" s="728"/>
      <c r="D38" s="458">
        <v>130</v>
      </c>
      <c r="E38" s="436">
        <v>450</v>
      </c>
      <c r="F38" s="439">
        <f t="shared" si="4"/>
        <v>1206.6365007541478</v>
      </c>
      <c r="G38" s="455">
        <f t="shared" si="3"/>
        <v>2983.5</v>
      </c>
      <c r="H38" s="467"/>
      <c r="I38" s="467">
        <v>5.3</v>
      </c>
      <c r="J38" s="441"/>
      <c r="K38" s="441"/>
      <c r="L38" s="441"/>
      <c r="M38" s="441"/>
      <c r="N38" s="441"/>
      <c r="O38" s="441"/>
    </row>
    <row r="39" spans="1:15" ht="16.899999999999999" customHeight="1">
      <c r="A39" s="718"/>
      <c r="B39" s="711"/>
      <c r="C39" s="726" t="s">
        <v>431</v>
      </c>
      <c r="D39" s="726"/>
      <c r="E39" s="726"/>
      <c r="F39" s="436"/>
      <c r="G39" s="436"/>
      <c r="H39" s="436"/>
      <c r="I39" s="436"/>
      <c r="J39" s="441"/>
      <c r="K39" s="441"/>
      <c r="L39" s="441"/>
      <c r="M39" s="441"/>
      <c r="N39" s="441"/>
      <c r="O39" s="441"/>
    </row>
    <row r="40" spans="1:15" ht="16.899999999999999" customHeight="1">
      <c r="A40" s="441" t="s">
        <v>373</v>
      </c>
      <c r="B40" s="441"/>
      <c r="C40" s="441"/>
      <c r="D40" s="441"/>
      <c r="E40" s="441"/>
      <c r="F40" s="441"/>
      <c r="G40" s="441"/>
      <c r="H40" s="441"/>
      <c r="I40" s="441"/>
      <c r="J40" s="441"/>
      <c r="K40" s="441"/>
      <c r="L40" s="441"/>
      <c r="M40" s="441"/>
      <c r="N40" s="441"/>
      <c r="O40" s="441"/>
    </row>
  </sheetData>
  <mergeCells count="21">
    <mergeCell ref="D2:D3"/>
    <mergeCell ref="E2:E3"/>
    <mergeCell ref="F2:F3"/>
    <mergeCell ref="A4:A20"/>
    <mergeCell ref="B4:B20"/>
    <mergeCell ref="C4:C20"/>
    <mergeCell ref="A2:A3"/>
    <mergeCell ref="B2:B3"/>
    <mergeCell ref="C2:C3"/>
    <mergeCell ref="G2:G3"/>
    <mergeCell ref="H2:H3"/>
    <mergeCell ref="I2:M2"/>
    <mergeCell ref="N2:N3"/>
    <mergeCell ref="O2:O3"/>
    <mergeCell ref="A21:A29"/>
    <mergeCell ref="B21:B29"/>
    <mergeCell ref="C21:C29"/>
    <mergeCell ref="A30:A39"/>
    <mergeCell ref="B30:B39"/>
    <mergeCell ref="C30:C38"/>
    <mergeCell ref="C39:E39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J10" sqref="J10"/>
    </sheetView>
  </sheetViews>
  <sheetFormatPr defaultColWidth="9" defaultRowHeight="16.899999999999999" customHeight="1"/>
  <cols>
    <col min="1" max="1" width="6.5703125" style="445" customWidth="1"/>
    <col min="2" max="2" width="10.85546875" style="445" customWidth="1"/>
    <col min="3" max="3" width="10.5703125" style="445" customWidth="1"/>
    <col min="4" max="6" width="12.7109375" style="445" customWidth="1"/>
    <col min="7" max="7" width="16.5703125" style="445" customWidth="1"/>
    <col min="8" max="8" width="14.28515625" style="445" customWidth="1"/>
    <col min="9" max="9" width="10.42578125" style="445" customWidth="1"/>
    <col min="10" max="10" width="10.85546875" style="431" customWidth="1"/>
    <col min="11" max="16" width="9" style="431"/>
    <col min="17" max="17" width="10.42578125" style="431" customWidth="1"/>
    <col min="18" max="16384" width="9" style="431"/>
  </cols>
  <sheetData>
    <row r="1" spans="1:17" s="430" customFormat="1" ht="24" customHeight="1">
      <c r="A1" s="428" t="s">
        <v>432</v>
      </c>
      <c r="B1" s="428"/>
      <c r="C1" s="429"/>
      <c r="D1" s="429"/>
      <c r="E1" s="429"/>
      <c r="F1" s="429"/>
      <c r="G1" s="429"/>
      <c r="H1" s="429"/>
      <c r="I1" s="429"/>
    </row>
    <row r="2" spans="1:17" ht="16.899999999999999" customHeight="1">
      <c r="A2" s="712" t="s">
        <v>353</v>
      </c>
      <c r="B2" s="729" t="s">
        <v>379</v>
      </c>
      <c r="C2" s="712" t="s">
        <v>354</v>
      </c>
      <c r="D2" s="712" t="s">
        <v>433</v>
      </c>
      <c r="E2" s="712"/>
      <c r="F2" s="712"/>
      <c r="G2" s="732" t="s">
        <v>434</v>
      </c>
      <c r="H2" s="711" t="s">
        <v>435</v>
      </c>
      <c r="I2" s="732" t="s">
        <v>396</v>
      </c>
      <c r="J2" s="711" t="s">
        <v>359</v>
      </c>
      <c r="K2" s="712" t="s">
        <v>360</v>
      </c>
      <c r="L2" s="712"/>
      <c r="M2" s="712"/>
      <c r="N2" s="712"/>
      <c r="O2" s="712"/>
      <c r="P2" s="711" t="s">
        <v>361</v>
      </c>
      <c r="Q2" s="711" t="s">
        <v>362</v>
      </c>
    </row>
    <row r="3" spans="1:17" s="445" customFormat="1" ht="60" customHeight="1">
      <c r="A3" s="712"/>
      <c r="B3" s="730"/>
      <c r="C3" s="712"/>
      <c r="D3" s="432" t="s">
        <v>436</v>
      </c>
      <c r="E3" s="436" t="s">
        <v>437</v>
      </c>
      <c r="F3" s="436" t="s">
        <v>438</v>
      </c>
      <c r="G3" s="733"/>
      <c r="H3" s="712"/>
      <c r="I3" s="733"/>
      <c r="J3" s="712"/>
      <c r="K3" s="432" t="s">
        <v>363</v>
      </c>
      <c r="L3" s="432" t="s">
        <v>364</v>
      </c>
      <c r="M3" s="432" t="s">
        <v>445</v>
      </c>
      <c r="N3" s="432" t="s">
        <v>365</v>
      </c>
      <c r="O3" s="432" t="s">
        <v>366</v>
      </c>
      <c r="P3" s="711"/>
      <c r="Q3" s="711"/>
    </row>
    <row r="4" spans="1:17" ht="16.899999999999999" customHeight="1">
      <c r="A4" s="712" t="s">
        <v>439</v>
      </c>
      <c r="B4" s="729" t="s">
        <v>440</v>
      </c>
      <c r="C4" s="748" t="s">
        <v>441</v>
      </c>
      <c r="D4" s="469">
        <v>1.18</v>
      </c>
      <c r="E4" s="469">
        <v>0.77</v>
      </c>
      <c r="F4" s="470"/>
      <c r="G4" s="458">
        <v>300</v>
      </c>
      <c r="H4" s="436">
        <v>235</v>
      </c>
      <c r="I4" s="455">
        <f>3600/(H4/1000)*0.85</f>
        <v>13021.276595744681</v>
      </c>
      <c r="J4" s="441"/>
      <c r="K4" s="436">
        <v>13.2</v>
      </c>
      <c r="L4" s="441"/>
      <c r="M4" s="441"/>
      <c r="N4" s="441"/>
      <c r="O4" s="441"/>
      <c r="P4" s="441"/>
      <c r="Q4" s="441"/>
    </row>
    <row r="5" spans="1:17" ht="16.899999999999999" customHeight="1">
      <c r="A5" s="712"/>
      <c r="B5" s="747"/>
      <c r="C5" s="748"/>
      <c r="D5" s="469">
        <v>1.4</v>
      </c>
      <c r="E5" s="469">
        <v>0.91</v>
      </c>
      <c r="F5" s="470"/>
      <c r="G5" s="458">
        <v>250</v>
      </c>
      <c r="H5" s="436">
        <v>282</v>
      </c>
      <c r="I5" s="455">
        <f t="shared" ref="I5:I30" si="0">3600/(H5/1000)*0.85</f>
        <v>10851.063829787236</v>
      </c>
      <c r="J5" s="441"/>
      <c r="K5" s="436">
        <v>13.2</v>
      </c>
      <c r="L5" s="441"/>
      <c r="M5" s="441"/>
      <c r="N5" s="441"/>
      <c r="O5" s="441"/>
      <c r="P5" s="441"/>
      <c r="Q5" s="441"/>
    </row>
    <row r="6" spans="1:17" ht="16.899999999999999" customHeight="1">
      <c r="A6" s="712"/>
      <c r="B6" s="747"/>
      <c r="C6" s="748"/>
      <c r="D6" s="469">
        <v>1.52</v>
      </c>
      <c r="E6" s="469">
        <v>0.99</v>
      </c>
      <c r="F6" s="470"/>
      <c r="G6" s="458">
        <v>230</v>
      </c>
      <c r="H6" s="436">
        <v>307</v>
      </c>
      <c r="I6" s="455">
        <f t="shared" si="0"/>
        <v>9967.4267100977195</v>
      </c>
      <c r="J6" s="441"/>
      <c r="K6" s="436">
        <v>13.2</v>
      </c>
      <c r="L6" s="441"/>
      <c r="M6" s="441"/>
      <c r="N6" s="441"/>
      <c r="O6" s="441"/>
      <c r="P6" s="441"/>
      <c r="Q6" s="441"/>
    </row>
    <row r="7" spans="1:17" ht="16.899999999999999" customHeight="1">
      <c r="A7" s="712"/>
      <c r="B7" s="747"/>
      <c r="C7" s="748"/>
      <c r="D7" s="469">
        <v>1.75</v>
      </c>
      <c r="E7" s="469">
        <v>1.1399999999999999</v>
      </c>
      <c r="F7" s="470"/>
      <c r="G7" s="458">
        <v>200</v>
      </c>
      <c r="H7" s="436">
        <v>353</v>
      </c>
      <c r="I7" s="455">
        <f t="shared" si="0"/>
        <v>8668.5552407932028</v>
      </c>
      <c r="J7" s="441"/>
      <c r="K7" s="436">
        <v>13.2</v>
      </c>
      <c r="L7" s="441"/>
      <c r="M7" s="441"/>
      <c r="N7" s="441"/>
      <c r="O7" s="441"/>
      <c r="P7" s="441"/>
      <c r="Q7" s="441"/>
    </row>
    <row r="8" spans="1:17" ht="16.899999999999999" customHeight="1">
      <c r="A8" s="712"/>
      <c r="B8" s="747"/>
      <c r="C8" s="748"/>
      <c r="D8" s="469">
        <v>1.94</v>
      </c>
      <c r="E8" s="469">
        <v>1.26</v>
      </c>
      <c r="F8" s="470"/>
      <c r="G8" s="458">
        <v>180</v>
      </c>
      <c r="H8" s="436">
        <v>392</v>
      </c>
      <c r="I8" s="455">
        <f t="shared" si="0"/>
        <v>7806.1224489795914</v>
      </c>
      <c r="J8" s="441"/>
      <c r="K8" s="436">
        <v>13.2</v>
      </c>
      <c r="L8" s="441"/>
      <c r="M8" s="441"/>
      <c r="N8" s="441"/>
      <c r="O8" s="441"/>
      <c r="P8" s="441"/>
      <c r="Q8" s="441"/>
    </row>
    <row r="9" spans="1:17" ht="16.899999999999999" customHeight="1">
      <c r="A9" s="712"/>
      <c r="B9" s="747"/>
      <c r="C9" s="748"/>
      <c r="D9" s="469">
        <v>2.2999999999999998</v>
      </c>
      <c r="E9" s="469">
        <v>1.5</v>
      </c>
      <c r="F9" s="470"/>
      <c r="G9" s="458">
        <v>150</v>
      </c>
      <c r="H9" s="436">
        <v>471</v>
      </c>
      <c r="I9" s="455">
        <f t="shared" si="0"/>
        <v>6496.8152866242044</v>
      </c>
      <c r="J9" s="441"/>
      <c r="K9" s="436">
        <v>13.2</v>
      </c>
      <c r="L9" s="441"/>
      <c r="M9" s="441"/>
      <c r="N9" s="441"/>
      <c r="O9" s="441"/>
      <c r="P9" s="441"/>
      <c r="Q9" s="441"/>
    </row>
    <row r="10" spans="1:17" ht="16.899999999999999" customHeight="1">
      <c r="A10" s="712"/>
      <c r="B10" s="747"/>
      <c r="C10" s="748"/>
      <c r="D10" s="469">
        <v>2.9</v>
      </c>
      <c r="E10" s="469">
        <v>1.89</v>
      </c>
      <c r="F10" s="470"/>
      <c r="G10" s="458">
        <v>120</v>
      </c>
      <c r="H10" s="436">
        <v>588</v>
      </c>
      <c r="I10" s="455">
        <f t="shared" si="0"/>
        <v>5204.0816326530612</v>
      </c>
      <c r="J10" s="441"/>
      <c r="K10" s="436">
        <v>13.2</v>
      </c>
      <c r="L10" s="441"/>
      <c r="M10" s="441"/>
      <c r="N10" s="441"/>
      <c r="O10" s="441"/>
      <c r="P10" s="441"/>
      <c r="Q10" s="441"/>
    </row>
    <row r="11" spans="1:17" ht="16.899999999999999" customHeight="1">
      <c r="A11" s="712"/>
      <c r="B11" s="730"/>
      <c r="C11" s="748"/>
      <c r="D11" s="469">
        <v>3.5</v>
      </c>
      <c r="E11" s="469">
        <v>2.2799999999999998</v>
      </c>
      <c r="F11" s="470"/>
      <c r="G11" s="458">
        <v>100</v>
      </c>
      <c r="H11" s="436">
        <v>706</v>
      </c>
      <c r="I11" s="455">
        <f t="shared" si="0"/>
        <v>4334.2776203966014</v>
      </c>
      <c r="J11" s="441"/>
      <c r="K11" s="436">
        <v>13.2</v>
      </c>
      <c r="L11" s="441"/>
      <c r="M11" s="441"/>
      <c r="N11" s="441"/>
      <c r="O11" s="441"/>
      <c r="P11" s="441"/>
      <c r="Q11" s="441"/>
    </row>
    <row r="12" spans="1:17" ht="16.899999999999999" customHeight="1">
      <c r="A12" s="712"/>
      <c r="B12" s="729" t="s">
        <v>440</v>
      </c>
      <c r="C12" s="748" t="s">
        <v>442</v>
      </c>
      <c r="D12" s="469">
        <v>3.04</v>
      </c>
      <c r="E12" s="469">
        <v>1.98</v>
      </c>
      <c r="F12" s="470"/>
      <c r="G12" s="458">
        <v>300</v>
      </c>
      <c r="H12" s="436">
        <v>235</v>
      </c>
      <c r="I12" s="455">
        <f t="shared" si="0"/>
        <v>13021.276595744681</v>
      </c>
      <c r="J12" s="441"/>
      <c r="K12" s="436">
        <v>13.2</v>
      </c>
      <c r="L12" s="441"/>
      <c r="M12" s="441"/>
      <c r="N12" s="441"/>
      <c r="O12" s="441"/>
      <c r="P12" s="441"/>
      <c r="Q12" s="441"/>
    </row>
    <row r="13" spans="1:17" ht="16.899999999999999" customHeight="1">
      <c r="A13" s="712"/>
      <c r="B13" s="747"/>
      <c r="C13" s="748"/>
      <c r="D13" s="469">
        <v>3.3</v>
      </c>
      <c r="E13" s="469">
        <v>2.15</v>
      </c>
      <c r="F13" s="470"/>
      <c r="G13" s="458">
        <v>250</v>
      </c>
      <c r="H13" s="436">
        <v>282</v>
      </c>
      <c r="I13" s="455">
        <f t="shared" si="0"/>
        <v>10851.063829787236</v>
      </c>
      <c r="J13" s="441"/>
      <c r="K13" s="436">
        <v>13.2</v>
      </c>
      <c r="L13" s="441"/>
      <c r="M13" s="441"/>
      <c r="N13" s="441"/>
      <c r="O13" s="441"/>
      <c r="P13" s="441"/>
      <c r="Q13" s="441"/>
    </row>
    <row r="14" spans="1:17" ht="16.899999999999999" customHeight="1">
      <c r="A14" s="712"/>
      <c r="B14" s="747"/>
      <c r="C14" s="748"/>
      <c r="D14" s="469">
        <v>4.2</v>
      </c>
      <c r="E14" s="469">
        <v>2.73</v>
      </c>
      <c r="F14" s="470"/>
      <c r="G14" s="458">
        <v>200</v>
      </c>
      <c r="H14" s="436">
        <v>353</v>
      </c>
      <c r="I14" s="455">
        <f t="shared" si="0"/>
        <v>8668.5552407932028</v>
      </c>
      <c r="J14" s="441"/>
      <c r="K14" s="436">
        <v>13.2</v>
      </c>
      <c r="L14" s="441"/>
      <c r="M14" s="441"/>
      <c r="N14" s="441"/>
      <c r="O14" s="441"/>
      <c r="P14" s="441"/>
      <c r="Q14" s="441"/>
    </row>
    <row r="15" spans="1:17" ht="16.899999999999999" customHeight="1">
      <c r="A15" s="712"/>
      <c r="B15" s="747"/>
      <c r="C15" s="748"/>
      <c r="D15" s="469">
        <v>4.63</v>
      </c>
      <c r="E15" s="469">
        <v>3.01</v>
      </c>
      <c r="F15" s="470"/>
      <c r="G15" s="458">
        <v>180</v>
      </c>
      <c r="H15" s="436">
        <v>392</v>
      </c>
      <c r="I15" s="455">
        <f t="shared" si="0"/>
        <v>7806.1224489795914</v>
      </c>
      <c r="J15" s="441"/>
      <c r="K15" s="436">
        <v>13.2</v>
      </c>
      <c r="L15" s="441"/>
      <c r="M15" s="441"/>
      <c r="N15" s="441"/>
      <c r="O15" s="441"/>
      <c r="P15" s="441"/>
      <c r="Q15" s="441"/>
    </row>
    <row r="16" spans="1:17" ht="16.899999999999999" customHeight="1">
      <c r="A16" s="712"/>
      <c r="B16" s="747"/>
      <c r="C16" s="748"/>
      <c r="D16" s="469">
        <v>5.6</v>
      </c>
      <c r="E16" s="469">
        <v>3.64</v>
      </c>
      <c r="F16" s="470"/>
      <c r="G16" s="458">
        <v>150</v>
      </c>
      <c r="H16" s="436">
        <v>471</v>
      </c>
      <c r="I16" s="455">
        <f t="shared" si="0"/>
        <v>6496.8152866242044</v>
      </c>
      <c r="J16" s="441"/>
      <c r="K16" s="436">
        <v>13.2</v>
      </c>
      <c r="L16" s="441"/>
      <c r="M16" s="441"/>
      <c r="N16" s="441"/>
      <c r="O16" s="441"/>
      <c r="P16" s="441"/>
      <c r="Q16" s="441"/>
    </row>
    <row r="17" spans="1:17" ht="16.899999999999999" customHeight="1">
      <c r="A17" s="712"/>
      <c r="B17" s="747"/>
      <c r="C17" s="748"/>
      <c r="D17" s="469">
        <v>6.95</v>
      </c>
      <c r="E17" s="469">
        <v>4.5199999999999996</v>
      </c>
      <c r="F17" s="470"/>
      <c r="G17" s="458">
        <v>120</v>
      </c>
      <c r="H17" s="436">
        <v>588</v>
      </c>
      <c r="I17" s="455">
        <f t="shared" si="0"/>
        <v>5204.0816326530612</v>
      </c>
      <c r="J17" s="441"/>
      <c r="K17" s="436">
        <v>13.2</v>
      </c>
      <c r="L17" s="441"/>
      <c r="M17" s="441"/>
      <c r="N17" s="441"/>
      <c r="O17" s="441"/>
      <c r="P17" s="441"/>
      <c r="Q17" s="441"/>
    </row>
    <row r="18" spans="1:17" ht="16.899999999999999" customHeight="1">
      <c r="A18" s="712"/>
      <c r="B18" s="747"/>
      <c r="C18" s="748"/>
      <c r="D18" s="469">
        <v>8.3000000000000007</v>
      </c>
      <c r="E18" s="469">
        <v>5.4</v>
      </c>
      <c r="F18" s="469">
        <v>4.7</v>
      </c>
      <c r="G18" s="458">
        <v>100</v>
      </c>
      <c r="H18" s="436">
        <v>706</v>
      </c>
      <c r="I18" s="455">
        <f t="shared" si="0"/>
        <v>4334.2776203966014</v>
      </c>
      <c r="J18" s="441"/>
      <c r="K18" s="436">
        <v>13.2</v>
      </c>
      <c r="L18" s="441"/>
      <c r="M18" s="441"/>
      <c r="N18" s="441"/>
      <c r="O18" s="441"/>
      <c r="P18" s="441"/>
      <c r="Q18" s="441"/>
    </row>
    <row r="19" spans="1:17" ht="16.899999999999999" customHeight="1">
      <c r="A19" s="712"/>
      <c r="B19" s="747"/>
      <c r="C19" s="748"/>
      <c r="D19" s="469">
        <v>10.4</v>
      </c>
      <c r="E19" s="469">
        <v>6.76</v>
      </c>
      <c r="F19" s="469">
        <v>5.8</v>
      </c>
      <c r="G19" s="458">
        <v>80</v>
      </c>
      <c r="H19" s="436">
        <v>882</v>
      </c>
      <c r="I19" s="455">
        <f t="shared" si="0"/>
        <v>3469.387755102041</v>
      </c>
      <c r="J19" s="441"/>
      <c r="K19" s="436">
        <v>13.2</v>
      </c>
      <c r="L19" s="441"/>
      <c r="M19" s="441"/>
      <c r="N19" s="441"/>
      <c r="O19" s="441"/>
      <c r="P19" s="441"/>
      <c r="Q19" s="441"/>
    </row>
    <row r="20" spans="1:17" ht="16.899999999999999" customHeight="1">
      <c r="A20" s="712"/>
      <c r="B20" s="730"/>
      <c r="C20" s="748"/>
      <c r="D20" s="469">
        <v>16.5</v>
      </c>
      <c r="E20" s="469">
        <v>10.93</v>
      </c>
      <c r="F20" s="469">
        <v>9</v>
      </c>
      <c r="G20" s="458">
        <v>50</v>
      </c>
      <c r="H20" s="436">
        <v>1412</v>
      </c>
      <c r="I20" s="455">
        <f t="shared" si="0"/>
        <v>2167.1388101983007</v>
      </c>
      <c r="J20" s="441"/>
      <c r="K20" s="436">
        <v>13.2</v>
      </c>
      <c r="L20" s="441"/>
      <c r="M20" s="441"/>
      <c r="N20" s="441"/>
      <c r="O20" s="441"/>
      <c r="P20" s="441"/>
      <c r="Q20" s="441"/>
    </row>
    <row r="21" spans="1:17" ht="16.899999999999999" customHeight="1">
      <c r="A21" s="712"/>
      <c r="B21" s="729" t="s">
        <v>440</v>
      </c>
      <c r="C21" s="748" t="s">
        <v>443</v>
      </c>
      <c r="D21" s="436">
        <v>7.1</v>
      </c>
      <c r="E21" s="436">
        <v>4.62</v>
      </c>
      <c r="F21" s="470"/>
      <c r="G21" s="458">
        <v>200</v>
      </c>
      <c r="H21" s="436">
        <v>353</v>
      </c>
      <c r="I21" s="455">
        <f t="shared" si="0"/>
        <v>8668.5552407932028</v>
      </c>
      <c r="J21" s="441"/>
      <c r="K21" s="436">
        <v>13.2</v>
      </c>
      <c r="L21" s="441"/>
      <c r="M21" s="441"/>
      <c r="N21" s="441"/>
      <c r="O21" s="441"/>
      <c r="P21" s="441"/>
      <c r="Q21" s="441"/>
    </row>
    <row r="22" spans="1:17" ht="16.899999999999999" customHeight="1">
      <c r="A22" s="712"/>
      <c r="B22" s="747"/>
      <c r="C22" s="748"/>
      <c r="D22" s="436">
        <v>9.5</v>
      </c>
      <c r="E22" s="436">
        <v>6.18</v>
      </c>
      <c r="F22" s="470"/>
      <c r="G22" s="458">
        <v>150</v>
      </c>
      <c r="H22" s="436">
        <v>471</v>
      </c>
      <c r="I22" s="455">
        <f t="shared" si="0"/>
        <v>6496.8152866242044</v>
      </c>
      <c r="J22" s="441"/>
      <c r="K22" s="436">
        <v>13.2</v>
      </c>
      <c r="L22" s="441"/>
      <c r="M22" s="441"/>
      <c r="N22" s="441"/>
      <c r="O22" s="441"/>
      <c r="P22" s="441"/>
      <c r="Q22" s="441"/>
    </row>
    <row r="23" spans="1:17" ht="16.899999999999999" customHeight="1">
      <c r="A23" s="712"/>
      <c r="B23" s="747"/>
      <c r="C23" s="748"/>
      <c r="D23" s="436">
        <v>11.8</v>
      </c>
      <c r="E23" s="436">
        <v>7.67</v>
      </c>
      <c r="F23" s="470"/>
      <c r="G23" s="458">
        <v>120</v>
      </c>
      <c r="H23" s="436">
        <v>588</v>
      </c>
      <c r="I23" s="455">
        <f t="shared" si="0"/>
        <v>5204.0816326530612</v>
      </c>
      <c r="J23" s="441"/>
      <c r="K23" s="436">
        <v>13.2</v>
      </c>
      <c r="L23" s="441"/>
      <c r="M23" s="441"/>
      <c r="N23" s="441"/>
      <c r="O23" s="441"/>
      <c r="P23" s="441"/>
      <c r="Q23" s="441"/>
    </row>
    <row r="24" spans="1:17" ht="16.899999999999999" customHeight="1">
      <c r="A24" s="712"/>
      <c r="B24" s="747"/>
      <c r="C24" s="748"/>
      <c r="D24" s="436">
        <v>14.2</v>
      </c>
      <c r="E24" s="436">
        <v>9.23</v>
      </c>
      <c r="F24" s="436">
        <v>6.6</v>
      </c>
      <c r="G24" s="458">
        <v>100</v>
      </c>
      <c r="H24" s="436">
        <v>706</v>
      </c>
      <c r="I24" s="455">
        <f t="shared" si="0"/>
        <v>4334.2776203966014</v>
      </c>
      <c r="J24" s="441"/>
      <c r="K24" s="436">
        <v>13.2</v>
      </c>
      <c r="L24" s="441"/>
      <c r="M24" s="441"/>
      <c r="N24" s="441"/>
      <c r="O24" s="441"/>
      <c r="P24" s="441"/>
      <c r="Q24" s="441"/>
    </row>
    <row r="25" spans="1:17" ht="16.899999999999999" customHeight="1">
      <c r="A25" s="712"/>
      <c r="B25" s="747"/>
      <c r="C25" s="748"/>
      <c r="D25" s="436">
        <v>17.7</v>
      </c>
      <c r="E25" s="436">
        <v>11.51</v>
      </c>
      <c r="F25" s="436">
        <v>7.9</v>
      </c>
      <c r="G25" s="458">
        <v>80</v>
      </c>
      <c r="H25" s="436">
        <v>882</v>
      </c>
      <c r="I25" s="455">
        <f t="shared" si="0"/>
        <v>3469.387755102041</v>
      </c>
      <c r="J25" s="441"/>
      <c r="K25" s="436">
        <v>13.2</v>
      </c>
      <c r="L25" s="441"/>
      <c r="M25" s="441"/>
      <c r="N25" s="441"/>
      <c r="O25" s="441"/>
      <c r="P25" s="441"/>
      <c r="Q25" s="441"/>
    </row>
    <row r="26" spans="1:17" ht="16.899999999999999" customHeight="1">
      <c r="A26" s="712"/>
      <c r="B26" s="747"/>
      <c r="C26" s="748"/>
      <c r="D26" s="436">
        <v>20.2</v>
      </c>
      <c r="E26" s="436">
        <v>13.13</v>
      </c>
      <c r="F26" s="436">
        <v>9.1</v>
      </c>
      <c r="G26" s="458">
        <v>70</v>
      </c>
      <c r="H26" s="436">
        <v>1008</v>
      </c>
      <c r="I26" s="455">
        <f t="shared" si="0"/>
        <v>3035.7142857142858</v>
      </c>
      <c r="J26" s="441"/>
      <c r="K26" s="436">
        <v>13.2</v>
      </c>
      <c r="L26" s="441"/>
      <c r="M26" s="441"/>
      <c r="N26" s="441"/>
      <c r="O26" s="441"/>
      <c r="P26" s="441"/>
      <c r="Q26" s="441"/>
    </row>
    <row r="27" spans="1:17" ht="16.899999999999999" customHeight="1">
      <c r="A27" s="712"/>
      <c r="B27" s="747"/>
      <c r="C27" s="748"/>
      <c r="D27" s="436">
        <v>23.6</v>
      </c>
      <c r="E27" s="436">
        <v>15.34</v>
      </c>
      <c r="F27" s="436">
        <v>10.5</v>
      </c>
      <c r="G27" s="458">
        <v>60</v>
      </c>
      <c r="H27" s="436">
        <v>1176</v>
      </c>
      <c r="I27" s="455">
        <f t="shared" si="0"/>
        <v>2602.0408163265306</v>
      </c>
      <c r="J27" s="441"/>
      <c r="K27" s="436">
        <v>13.2</v>
      </c>
      <c r="L27" s="441"/>
      <c r="M27" s="441"/>
      <c r="N27" s="441"/>
      <c r="O27" s="441"/>
      <c r="P27" s="441"/>
      <c r="Q27" s="441"/>
    </row>
    <row r="28" spans="1:17" ht="16.899999999999999" customHeight="1">
      <c r="A28" s="712"/>
      <c r="B28" s="747"/>
      <c r="C28" s="748"/>
      <c r="D28" s="436">
        <v>28.3</v>
      </c>
      <c r="E28" s="436">
        <v>18.399999999999999</v>
      </c>
      <c r="F28" s="436">
        <v>12.3</v>
      </c>
      <c r="G28" s="458">
        <v>50</v>
      </c>
      <c r="H28" s="436">
        <v>1412</v>
      </c>
      <c r="I28" s="455">
        <f t="shared" si="0"/>
        <v>2167.1388101983007</v>
      </c>
      <c r="J28" s="441"/>
      <c r="K28" s="436">
        <v>13.2</v>
      </c>
      <c r="L28" s="441"/>
      <c r="M28" s="441"/>
      <c r="N28" s="441"/>
      <c r="O28" s="441"/>
      <c r="P28" s="441"/>
      <c r="Q28" s="441"/>
    </row>
    <row r="29" spans="1:17" ht="16.899999999999999" customHeight="1">
      <c r="A29" s="712"/>
      <c r="B29" s="747"/>
      <c r="C29" s="748"/>
      <c r="D29" s="436">
        <v>50</v>
      </c>
      <c r="E29" s="436"/>
      <c r="F29" s="436"/>
      <c r="G29" s="458">
        <v>28</v>
      </c>
      <c r="H29" s="436">
        <v>2521</v>
      </c>
      <c r="I29" s="455">
        <f t="shared" si="0"/>
        <v>1213.8040460134869</v>
      </c>
      <c r="J29" s="441"/>
      <c r="K29" s="436">
        <v>13.2</v>
      </c>
      <c r="L29" s="441"/>
      <c r="M29" s="441"/>
      <c r="N29" s="441"/>
      <c r="O29" s="441"/>
      <c r="P29" s="441"/>
      <c r="Q29" s="441"/>
    </row>
    <row r="30" spans="1:17" ht="16.899999999999999" customHeight="1">
      <c r="A30" s="712"/>
      <c r="B30" s="730"/>
      <c r="C30" s="748"/>
      <c r="D30" s="436">
        <v>75</v>
      </c>
      <c r="E30" s="436"/>
      <c r="F30" s="436"/>
      <c r="G30" s="458">
        <v>19</v>
      </c>
      <c r="H30" s="436">
        <v>3716</v>
      </c>
      <c r="I30" s="455">
        <f t="shared" si="0"/>
        <v>823.46609257265879</v>
      </c>
      <c r="J30" s="441"/>
      <c r="K30" s="436">
        <v>13.2</v>
      </c>
      <c r="L30" s="441"/>
      <c r="M30" s="441"/>
      <c r="N30" s="441"/>
      <c r="O30" s="441"/>
      <c r="P30" s="441"/>
      <c r="Q30" s="441"/>
    </row>
    <row r="31" spans="1:17" ht="16.899999999999999" customHeight="1">
      <c r="A31" s="746" t="s">
        <v>444</v>
      </c>
      <c r="B31" s="746"/>
      <c r="C31" s="746"/>
      <c r="D31" s="746"/>
      <c r="E31" s="746"/>
      <c r="F31" s="746"/>
      <c r="G31" s="746"/>
      <c r="H31" s="746"/>
      <c r="I31" s="471"/>
      <c r="J31" s="441"/>
      <c r="K31" s="441"/>
      <c r="L31" s="441"/>
      <c r="M31" s="441"/>
      <c r="N31" s="441"/>
      <c r="O31" s="441"/>
      <c r="P31" s="441"/>
      <c r="Q31" s="441"/>
    </row>
  </sheetData>
  <mergeCells count="19">
    <mergeCell ref="Q2:Q3"/>
    <mergeCell ref="A4:A30"/>
    <mergeCell ref="B4:B11"/>
    <mergeCell ref="C4:C11"/>
    <mergeCell ref="B12:B20"/>
    <mergeCell ref="C12:C20"/>
    <mergeCell ref="A2:A3"/>
    <mergeCell ref="B2:B3"/>
    <mergeCell ref="C2:C3"/>
    <mergeCell ref="D2:F2"/>
    <mergeCell ref="G2:G3"/>
    <mergeCell ref="H2:H3"/>
    <mergeCell ref="B21:B30"/>
    <mergeCell ref="C21:C30"/>
    <mergeCell ref="A31:H31"/>
    <mergeCell ref="I2:I3"/>
    <mergeCell ref="J2:J3"/>
    <mergeCell ref="K2:O2"/>
    <mergeCell ref="P2:P3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848"/>
  <sheetViews>
    <sheetView showGridLines="0" tabSelected="1" topLeftCell="K1" zoomScaleNormal="100" workbookViewId="0">
      <pane ySplit="2" topLeftCell="A3" activePane="bottomLeft" state="frozen"/>
      <selection activeCell="N109" activeCellId="1" sqref="AA92 N109"/>
      <selection pane="bottomLeft" activeCell="AA10" sqref="AA10"/>
    </sheetView>
  </sheetViews>
  <sheetFormatPr defaultColWidth="9.140625" defaultRowHeight="15"/>
  <cols>
    <col min="1" max="1" width="15.140625" style="143" customWidth="1"/>
    <col min="2" max="2" width="18.140625" style="143" customWidth="1"/>
    <col min="3" max="4" width="12" style="144" customWidth="1"/>
    <col min="5" max="5" width="12" style="144" hidden="1" customWidth="1"/>
    <col min="6" max="6" width="11.5703125" style="144" customWidth="1"/>
    <col min="7" max="7" width="23.140625" style="143" bestFit="1" customWidth="1"/>
    <col min="8" max="8" width="62.85546875" style="143" bestFit="1" customWidth="1"/>
    <col min="9" max="9" width="7.7109375" style="143" customWidth="1"/>
    <col min="10" max="11" width="7.7109375" style="322" customWidth="1"/>
    <col min="12" max="12" width="7.7109375" style="323" customWidth="1"/>
    <col min="13" max="15" width="7.7109375" style="143" customWidth="1"/>
    <col min="16" max="16" width="7.7109375" style="323" customWidth="1"/>
    <col min="17" max="19" width="7.7109375" style="324" customWidth="1"/>
    <col min="20" max="21" width="7.7109375" style="143" customWidth="1"/>
    <col min="22" max="22" width="7.7109375" style="323" customWidth="1"/>
    <col min="23" max="23" width="7.7109375" style="143" customWidth="1"/>
    <col min="24" max="25" width="7.7109375" style="322" customWidth="1"/>
    <col min="26" max="26" width="7.7109375" style="323" customWidth="1"/>
    <col min="27" max="30" width="7.7109375" style="143" customWidth="1"/>
    <col min="31" max="32" width="7.7109375" style="322" customWidth="1"/>
    <col min="33" max="33" width="7.7109375" style="323" customWidth="1"/>
    <col min="34" max="36" width="7.7109375" style="143" customWidth="1"/>
    <col min="37" max="37" width="7.7109375" style="322" customWidth="1"/>
    <col min="38" max="38" width="7.5703125" style="143" customWidth="1"/>
    <col min="39" max="39" width="7.7109375" style="144" customWidth="1"/>
    <col min="40" max="40" width="11.7109375" style="144" customWidth="1"/>
    <col min="41" max="41" width="13.42578125" style="144" customWidth="1"/>
    <col min="42" max="49" width="11.7109375" style="144" customWidth="1"/>
    <col min="50" max="16384" width="9.140625" style="143"/>
  </cols>
  <sheetData>
    <row r="1" spans="1:51" ht="41.45" customHeight="1" thickBot="1">
      <c r="A1" s="142" t="s">
        <v>110</v>
      </c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238"/>
    </row>
    <row r="2" spans="1:51" s="154" customFormat="1" ht="41.45" customHeight="1" thickBot="1">
      <c r="A2" s="147" t="s">
        <v>1</v>
      </c>
      <c r="B2" s="148" t="s">
        <v>2</v>
      </c>
      <c r="C2" s="149" t="s">
        <v>3</v>
      </c>
      <c r="D2" s="150" t="s">
        <v>4</v>
      </c>
      <c r="E2" s="151" t="s">
        <v>5</v>
      </c>
      <c r="F2" s="151" t="s">
        <v>6</v>
      </c>
      <c r="G2" s="148" t="s">
        <v>7</v>
      </c>
      <c r="H2" s="152" t="s">
        <v>8</v>
      </c>
      <c r="I2" s="478">
        <v>45352</v>
      </c>
      <c r="J2" s="479">
        <v>45353</v>
      </c>
      <c r="K2" s="480">
        <v>45354</v>
      </c>
      <c r="L2" s="478">
        <v>45355</v>
      </c>
      <c r="M2" s="478">
        <v>45356</v>
      </c>
      <c r="N2" s="478">
        <v>45357</v>
      </c>
      <c r="O2" s="478">
        <v>45358</v>
      </c>
      <c r="P2" s="478">
        <v>45359</v>
      </c>
      <c r="Q2" s="479">
        <v>45360</v>
      </c>
      <c r="R2" s="480">
        <v>45361</v>
      </c>
      <c r="S2" s="481">
        <v>45362</v>
      </c>
      <c r="T2" s="478">
        <v>45363</v>
      </c>
      <c r="U2" s="478">
        <v>45364</v>
      </c>
      <c r="V2" s="478">
        <v>45365</v>
      </c>
      <c r="W2" s="478">
        <v>45366</v>
      </c>
      <c r="X2" s="479">
        <v>45367</v>
      </c>
      <c r="Y2" s="480">
        <v>45368</v>
      </c>
      <c r="Z2" s="478">
        <v>45369</v>
      </c>
      <c r="AA2" s="478">
        <v>45370</v>
      </c>
      <c r="AB2" s="478">
        <v>45371</v>
      </c>
      <c r="AC2" s="478">
        <v>45372</v>
      </c>
      <c r="AD2" s="478">
        <v>45373</v>
      </c>
      <c r="AE2" s="479">
        <v>45374</v>
      </c>
      <c r="AF2" s="480">
        <v>45375</v>
      </c>
      <c r="AG2" s="478">
        <v>45376</v>
      </c>
      <c r="AH2" s="478">
        <v>45377</v>
      </c>
      <c r="AI2" s="478">
        <v>45378</v>
      </c>
      <c r="AJ2" s="478">
        <v>45379</v>
      </c>
      <c r="AK2" s="481">
        <v>45380</v>
      </c>
      <c r="AL2" s="482">
        <v>45381</v>
      </c>
      <c r="AM2" s="483">
        <v>45382</v>
      </c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53"/>
      <c r="AY2" s="153"/>
    </row>
    <row r="3" spans="1:51" ht="15.75" customHeight="1">
      <c r="A3" s="155"/>
      <c r="B3" s="597" t="s">
        <v>10</v>
      </c>
      <c r="C3" s="548">
        <v>16000</v>
      </c>
      <c r="D3" s="601">
        <v>1.59</v>
      </c>
      <c r="E3" s="554"/>
      <c r="F3" s="557" t="s">
        <v>11</v>
      </c>
      <c r="G3" s="156">
        <v>0.08</v>
      </c>
      <c r="H3" s="157" t="s">
        <v>111</v>
      </c>
      <c r="I3" s="158">
        <f>((10.29*2%)+10.29)*($C$3/1000)</f>
        <v>167.93279999999999</v>
      </c>
      <c r="J3" s="159"/>
      <c r="K3" s="160"/>
      <c r="L3" s="158">
        <f t="shared" ref="L3:P3" si="0">((10.29*2%)+10.29)*($C$3/1000)</f>
        <v>167.93279999999999</v>
      </c>
      <c r="M3" s="158">
        <f t="shared" si="0"/>
        <v>167.93279999999999</v>
      </c>
      <c r="N3" s="158">
        <f t="shared" si="0"/>
        <v>167.93279999999999</v>
      </c>
      <c r="O3" s="158">
        <f t="shared" si="0"/>
        <v>167.93279999999999</v>
      </c>
      <c r="P3" s="158">
        <f t="shared" si="0"/>
        <v>167.93279999999999</v>
      </c>
      <c r="Q3" s="161"/>
      <c r="R3" s="160"/>
      <c r="S3" s="162"/>
      <c r="T3" s="163">
        <f t="shared" ref="T3:W3" si="1">((10.29*2%)+10.29)*($C$3/1000)</f>
        <v>167.93279999999999</v>
      </c>
      <c r="U3" s="163">
        <f t="shared" si="1"/>
        <v>167.93279999999999</v>
      </c>
      <c r="V3" s="163">
        <f t="shared" si="1"/>
        <v>167.93279999999999</v>
      </c>
      <c r="W3" s="163">
        <f t="shared" si="1"/>
        <v>167.93279999999999</v>
      </c>
      <c r="X3" s="159"/>
      <c r="Y3" s="160"/>
      <c r="Z3" s="163">
        <f>((10.29*2%)+10.29)*(AA$34/1000)</f>
        <v>209.916</v>
      </c>
      <c r="AA3" s="163">
        <f>((10.29*2%)+10.29)*(AA$34/1000)</f>
        <v>209.916</v>
      </c>
      <c r="AB3" s="163">
        <f t="shared" ref="AB3:AD3" si="2">((10.29*2%)+10.29)*(AB$34/1000)</f>
        <v>209.916</v>
      </c>
      <c r="AC3" s="163">
        <f t="shared" si="2"/>
        <v>209.916</v>
      </c>
      <c r="AD3" s="163">
        <f t="shared" si="2"/>
        <v>209.916</v>
      </c>
      <c r="AE3" s="159"/>
      <c r="AF3" s="160"/>
      <c r="AG3" s="163">
        <f t="shared" ref="AG3:AJ3" si="3">((10.29*2%)+10.29)*(AG$34/1000)</f>
        <v>209.916</v>
      </c>
      <c r="AH3" s="163">
        <f t="shared" si="3"/>
        <v>209.916</v>
      </c>
      <c r="AI3" s="163">
        <f t="shared" si="3"/>
        <v>209.916</v>
      </c>
      <c r="AJ3" s="163">
        <f t="shared" si="3"/>
        <v>209.916</v>
      </c>
      <c r="AK3" s="164"/>
      <c r="AL3" s="165"/>
      <c r="AM3" s="472"/>
      <c r="AN3" s="525"/>
      <c r="AO3" s="22"/>
      <c r="AP3" s="21"/>
      <c r="AQ3" s="21"/>
      <c r="AR3" s="21"/>
      <c r="AS3" s="21"/>
      <c r="AT3" s="22"/>
      <c r="AU3" s="22"/>
      <c r="AV3" s="22"/>
      <c r="AW3" s="22"/>
    </row>
    <row r="4" spans="1:51" ht="15" customHeight="1">
      <c r="A4" s="484"/>
      <c r="B4" s="598"/>
      <c r="C4" s="549"/>
      <c r="D4" s="602"/>
      <c r="E4" s="555"/>
      <c r="F4" s="558"/>
      <c r="G4" s="167"/>
      <c r="H4" s="168" t="s">
        <v>112</v>
      </c>
      <c r="I4" s="169">
        <v>1.5</v>
      </c>
      <c r="J4" s="159"/>
      <c r="K4" s="160"/>
      <c r="L4" s="169">
        <v>1.5</v>
      </c>
      <c r="M4" s="169">
        <v>1.5</v>
      </c>
      <c r="N4" s="169">
        <v>1.5</v>
      </c>
      <c r="O4" s="169">
        <v>1.5</v>
      </c>
      <c r="P4" s="169">
        <v>1.5</v>
      </c>
      <c r="Q4" s="159"/>
      <c r="R4" s="160"/>
      <c r="S4" s="162"/>
      <c r="T4" s="169">
        <v>1.5</v>
      </c>
      <c r="U4" s="169">
        <v>1.5</v>
      </c>
      <c r="V4" s="169">
        <v>1.5</v>
      </c>
      <c r="W4" s="169">
        <v>1.5</v>
      </c>
      <c r="X4" s="159"/>
      <c r="Y4" s="160"/>
      <c r="Z4" s="169">
        <v>1.5</v>
      </c>
      <c r="AA4" s="169">
        <v>1.5</v>
      </c>
      <c r="AB4" s="169">
        <v>1.5</v>
      </c>
      <c r="AC4" s="169">
        <v>1.5</v>
      </c>
      <c r="AD4" s="169">
        <v>1.5</v>
      </c>
      <c r="AE4" s="159"/>
      <c r="AF4" s="160"/>
      <c r="AG4" s="169">
        <v>1.5</v>
      </c>
      <c r="AH4" s="169">
        <v>1.5</v>
      </c>
      <c r="AI4" s="169">
        <v>1.5</v>
      </c>
      <c r="AJ4" s="169">
        <v>1.5</v>
      </c>
      <c r="AK4" s="164"/>
      <c r="AL4" s="170"/>
      <c r="AM4" s="473"/>
      <c r="AN4" s="525"/>
      <c r="AO4" s="22"/>
      <c r="AP4" s="21"/>
      <c r="AQ4" s="21"/>
      <c r="AR4" s="21"/>
      <c r="AS4" s="21"/>
      <c r="AT4" s="22"/>
      <c r="AU4" s="22"/>
      <c r="AV4" s="22"/>
      <c r="AW4" s="22"/>
    </row>
    <row r="5" spans="1:51" ht="15" customHeight="1">
      <c r="A5" s="485"/>
      <c r="B5" s="599"/>
      <c r="C5" s="549"/>
      <c r="D5" s="602"/>
      <c r="E5" s="555"/>
      <c r="F5" s="558"/>
      <c r="G5" s="172"/>
      <c r="H5" s="173" t="s">
        <v>16</v>
      </c>
      <c r="I5" s="174"/>
      <c r="J5" s="175"/>
      <c r="K5" s="176"/>
      <c r="L5" s="174"/>
      <c r="M5" s="174"/>
      <c r="N5" s="174"/>
      <c r="O5" s="174"/>
      <c r="P5" s="174"/>
      <c r="Q5" s="175"/>
      <c r="R5" s="176"/>
      <c r="S5" s="177"/>
      <c r="T5" s="174"/>
      <c r="U5" s="174"/>
      <c r="V5" s="174"/>
      <c r="W5" s="174"/>
      <c r="X5" s="175"/>
      <c r="Y5" s="176"/>
      <c r="Z5" s="174"/>
      <c r="AA5" s="174"/>
      <c r="AB5" s="174"/>
      <c r="AC5" s="174"/>
      <c r="AD5" s="174"/>
      <c r="AE5" s="175"/>
      <c r="AF5" s="176"/>
      <c r="AG5" s="174"/>
      <c r="AH5" s="174"/>
      <c r="AI5" s="174"/>
      <c r="AJ5" s="174"/>
      <c r="AK5" s="178"/>
      <c r="AL5" s="170"/>
      <c r="AM5" s="473"/>
      <c r="AN5" s="525"/>
      <c r="AO5" s="22"/>
      <c r="AP5" s="21"/>
      <c r="AQ5" s="21"/>
      <c r="AR5" s="21"/>
      <c r="AS5" s="21"/>
      <c r="AT5" s="22"/>
      <c r="AU5" s="22"/>
      <c r="AV5" s="22"/>
      <c r="AW5" s="22"/>
    </row>
    <row r="6" spans="1:51" ht="15" customHeight="1">
      <c r="A6" s="485"/>
      <c r="B6" s="599"/>
      <c r="C6" s="549"/>
      <c r="D6" s="602"/>
      <c r="E6" s="555"/>
      <c r="F6" s="558"/>
      <c r="G6" s="179"/>
      <c r="H6" s="180" t="s">
        <v>113</v>
      </c>
      <c r="I6" s="174"/>
      <c r="J6" s="175"/>
      <c r="K6" s="176"/>
      <c r="L6" s="174"/>
      <c r="M6" s="174"/>
      <c r="N6" s="174"/>
      <c r="O6" s="174"/>
      <c r="P6" s="174"/>
      <c r="Q6" s="175"/>
      <c r="R6" s="176"/>
      <c r="S6" s="177"/>
      <c r="T6" s="174"/>
      <c r="U6" s="174"/>
      <c r="V6" s="174"/>
      <c r="W6" s="174"/>
      <c r="X6" s="175"/>
      <c r="Y6" s="176"/>
      <c r="Z6" s="174"/>
      <c r="AA6" s="174"/>
      <c r="AB6" s="174"/>
      <c r="AC6" s="174"/>
      <c r="AD6" s="174"/>
      <c r="AE6" s="182"/>
      <c r="AF6" s="183"/>
      <c r="AG6" s="174"/>
      <c r="AH6" s="174"/>
      <c r="AI6" s="174"/>
      <c r="AJ6" s="174"/>
      <c r="AK6" s="178"/>
      <c r="AL6" s="170"/>
      <c r="AM6" s="473"/>
      <c r="AN6" s="525"/>
      <c r="AO6" s="22"/>
      <c r="AP6" s="21"/>
      <c r="AQ6" s="21"/>
      <c r="AR6" s="21"/>
      <c r="AS6" s="21"/>
      <c r="AT6" s="22"/>
      <c r="AU6" s="22"/>
      <c r="AV6" s="22"/>
      <c r="AW6" s="22"/>
    </row>
    <row r="7" spans="1:51" ht="15" customHeight="1">
      <c r="A7" s="485"/>
      <c r="B7" s="599"/>
      <c r="C7" s="549"/>
      <c r="D7" s="602"/>
      <c r="E7" s="555"/>
      <c r="F7" s="558"/>
      <c r="G7" s="167" t="s">
        <v>105</v>
      </c>
      <c r="H7" s="181" t="s">
        <v>114</v>
      </c>
      <c r="I7" s="163">
        <f>((10.29*2%)+10.29)*($C$3/1000)</f>
        <v>167.93279999999999</v>
      </c>
      <c r="J7" s="182"/>
      <c r="K7" s="183"/>
      <c r="L7" s="163">
        <f t="shared" ref="L7:P7" si="4">((10.29*2%)+10.29)*($C$3/1000)</f>
        <v>167.93279999999999</v>
      </c>
      <c r="M7" s="163">
        <f t="shared" si="4"/>
        <v>167.93279999999999</v>
      </c>
      <c r="N7" s="163">
        <f t="shared" si="4"/>
        <v>167.93279999999999</v>
      </c>
      <c r="O7" s="163">
        <f t="shared" si="4"/>
        <v>167.93279999999999</v>
      </c>
      <c r="P7" s="163">
        <f t="shared" si="4"/>
        <v>167.93279999999999</v>
      </c>
      <c r="Q7" s="182"/>
      <c r="R7" s="183"/>
      <c r="S7" s="184"/>
      <c r="T7" s="163">
        <f t="shared" ref="T7:W7" si="5">((10.29*2%)+10.29)*($C$3/1000)</f>
        <v>167.93279999999999</v>
      </c>
      <c r="U7" s="163">
        <f t="shared" si="5"/>
        <v>167.93279999999999</v>
      </c>
      <c r="V7" s="163">
        <f t="shared" si="5"/>
        <v>167.93279999999999</v>
      </c>
      <c r="W7" s="163">
        <f t="shared" si="5"/>
        <v>167.93279999999999</v>
      </c>
      <c r="X7" s="182"/>
      <c r="Y7" s="183"/>
      <c r="Z7" s="163">
        <f>((10.29*2%)+10.29)*(AA$34/1000)</f>
        <v>209.916</v>
      </c>
      <c r="AA7" s="163">
        <f>((10.29*2%)+10.29)*(AA$34/1000)</f>
        <v>209.916</v>
      </c>
      <c r="AB7" s="163">
        <f t="shared" ref="AB7:AD7" si="6">((10.29*2%)+10.29)*(AB$34/1000)</f>
        <v>209.916</v>
      </c>
      <c r="AC7" s="163">
        <f t="shared" si="6"/>
        <v>209.916</v>
      </c>
      <c r="AD7" s="163">
        <f t="shared" si="6"/>
        <v>209.916</v>
      </c>
      <c r="AE7" s="182"/>
      <c r="AF7" s="183"/>
      <c r="AG7" s="163">
        <f t="shared" ref="AG7:AJ7" si="7">((10.29*2%)+10.29)*(AG$34/1000)</f>
        <v>209.916</v>
      </c>
      <c r="AH7" s="163">
        <f t="shared" si="7"/>
        <v>209.916</v>
      </c>
      <c r="AI7" s="163">
        <f t="shared" si="7"/>
        <v>209.916</v>
      </c>
      <c r="AJ7" s="163">
        <f t="shared" si="7"/>
        <v>209.916</v>
      </c>
      <c r="AK7" s="178"/>
      <c r="AL7" s="170"/>
      <c r="AM7" s="473"/>
      <c r="AN7" s="525"/>
      <c r="AO7" s="22"/>
      <c r="AP7" s="21"/>
      <c r="AQ7" s="21"/>
      <c r="AR7" s="21"/>
      <c r="AS7" s="21"/>
      <c r="AT7" s="22"/>
      <c r="AU7" s="22"/>
      <c r="AV7" s="22"/>
      <c r="AW7" s="22"/>
    </row>
    <row r="8" spans="1:51" ht="15" customHeight="1">
      <c r="A8" s="485"/>
      <c r="B8" s="599"/>
      <c r="C8" s="549"/>
      <c r="D8" s="602"/>
      <c r="E8" s="555"/>
      <c r="F8" s="558"/>
      <c r="G8" s="167"/>
      <c r="H8" s="168" t="s">
        <v>112</v>
      </c>
      <c r="I8" s="185">
        <v>0.5</v>
      </c>
      <c r="J8" s="182"/>
      <c r="K8" s="183"/>
      <c r="L8" s="185">
        <v>0.5</v>
      </c>
      <c r="M8" s="185">
        <v>0.5</v>
      </c>
      <c r="N8" s="185">
        <v>0.5</v>
      </c>
      <c r="O8" s="185">
        <v>0.5</v>
      </c>
      <c r="P8" s="185">
        <v>0.5</v>
      </c>
      <c r="Q8" s="182"/>
      <c r="R8" s="183"/>
      <c r="S8" s="184"/>
      <c r="T8" s="185">
        <v>0.5</v>
      </c>
      <c r="U8" s="185">
        <v>0.5</v>
      </c>
      <c r="V8" s="185">
        <v>0.5</v>
      </c>
      <c r="W8" s="185">
        <v>0.5</v>
      </c>
      <c r="X8" s="182"/>
      <c r="Y8" s="183"/>
      <c r="Z8" s="185">
        <v>0.5</v>
      </c>
      <c r="AA8" s="185">
        <v>0.5</v>
      </c>
      <c r="AB8" s="185">
        <v>0.5</v>
      </c>
      <c r="AC8" s="185">
        <v>0.5</v>
      </c>
      <c r="AD8" s="185">
        <v>0.5</v>
      </c>
      <c r="AE8" s="182"/>
      <c r="AF8" s="183"/>
      <c r="AG8" s="185">
        <v>0.5</v>
      </c>
      <c r="AH8" s="185">
        <v>0.5</v>
      </c>
      <c r="AI8" s="185">
        <v>0.5</v>
      </c>
      <c r="AJ8" s="185">
        <v>0.5</v>
      </c>
      <c r="AK8" s="178"/>
      <c r="AL8" s="170"/>
      <c r="AM8" s="473"/>
      <c r="AN8" s="525"/>
      <c r="AO8" s="22"/>
      <c r="AP8" s="21"/>
      <c r="AQ8" s="21"/>
      <c r="AR8" s="21"/>
      <c r="AS8" s="21"/>
      <c r="AT8" s="22"/>
      <c r="AU8" s="22"/>
      <c r="AV8" s="22"/>
      <c r="AW8" s="22"/>
    </row>
    <row r="9" spans="1:51" ht="15" customHeight="1">
      <c r="A9" s="485"/>
      <c r="B9" s="599"/>
      <c r="C9" s="549"/>
      <c r="D9" s="602"/>
      <c r="E9" s="555"/>
      <c r="F9" s="558"/>
      <c r="G9" s="179"/>
      <c r="H9" s="173" t="s">
        <v>16</v>
      </c>
      <c r="I9" s="185"/>
      <c r="J9" s="182"/>
      <c r="K9" s="183"/>
      <c r="L9" s="185"/>
      <c r="M9" s="185"/>
      <c r="N9" s="185"/>
      <c r="O9" s="185"/>
      <c r="P9" s="185"/>
      <c r="Q9" s="182"/>
      <c r="R9" s="183"/>
      <c r="S9" s="184"/>
      <c r="T9" s="185"/>
      <c r="U9" s="185"/>
      <c r="V9" s="185"/>
      <c r="W9" s="185"/>
      <c r="X9" s="182"/>
      <c r="Y9" s="183"/>
      <c r="Z9" s="185"/>
      <c r="AA9" s="185"/>
      <c r="AB9" s="185"/>
      <c r="AC9" s="185"/>
      <c r="AD9" s="185"/>
      <c r="AE9" s="182"/>
      <c r="AF9" s="183"/>
      <c r="AG9" s="185"/>
      <c r="AH9" s="185"/>
      <c r="AI9" s="185"/>
      <c r="AJ9" s="185"/>
      <c r="AK9" s="178"/>
      <c r="AL9" s="170"/>
      <c r="AM9" s="473"/>
      <c r="AN9" s="525"/>
      <c r="AO9" s="22"/>
      <c r="AP9" s="21"/>
      <c r="AQ9" s="21"/>
      <c r="AR9" s="21"/>
      <c r="AS9" s="21"/>
      <c r="AT9" s="22"/>
      <c r="AU9" s="22"/>
      <c r="AV9" s="22"/>
      <c r="AW9" s="22"/>
    </row>
    <row r="10" spans="1:51" ht="15" customHeight="1">
      <c r="A10" s="485"/>
      <c r="B10" s="599"/>
      <c r="C10" s="549"/>
      <c r="D10" s="602"/>
      <c r="E10" s="555"/>
      <c r="F10" s="558"/>
      <c r="G10" s="179"/>
      <c r="H10" s="173" t="s">
        <v>113</v>
      </c>
      <c r="I10" s="185"/>
      <c r="J10" s="182"/>
      <c r="K10" s="183"/>
      <c r="L10" s="185"/>
      <c r="M10" s="185"/>
      <c r="N10" s="185"/>
      <c r="O10" s="185"/>
      <c r="P10" s="185"/>
      <c r="Q10" s="182"/>
      <c r="R10" s="183"/>
      <c r="S10" s="184"/>
      <c r="T10" s="185"/>
      <c r="U10" s="185"/>
      <c r="V10" s="185"/>
      <c r="W10" s="185"/>
      <c r="X10" s="182"/>
      <c r="Y10" s="183"/>
      <c r="Z10" s="185"/>
      <c r="AA10" s="185"/>
      <c r="AB10" s="185"/>
      <c r="AC10" s="185"/>
      <c r="AD10" s="185"/>
      <c r="AE10" s="182"/>
      <c r="AF10" s="183"/>
      <c r="AG10" s="185"/>
      <c r="AH10" s="185"/>
      <c r="AI10" s="185"/>
      <c r="AJ10" s="185"/>
      <c r="AK10" s="178"/>
      <c r="AL10" s="170"/>
      <c r="AM10" s="473"/>
      <c r="AN10" s="525"/>
      <c r="AO10" s="22"/>
      <c r="AP10" s="21"/>
      <c r="AQ10" s="21"/>
      <c r="AR10" s="21"/>
      <c r="AS10" s="21"/>
      <c r="AT10" s="22"/>
      <c r="AU10" s="22"/>
      <c r="AV10" s="22"/>
      <c r="AW10" s="22"/>
    </row>
    <row r="11" spans="1:51">
      <c r="A11" s="485"/>
      <c r="B11" s="599"/>
      <c r="C11" s="549"/>
      <c r="D11" s="602"/>
      <c r="E11" s="555"/>
      <c r="F11" s="549"/>
      <c r="G11" s="167" t="s">
        <v>12</v>
      </c>
      <c r="H11" s="168" t="s">
        <v>13</v>
      </c>
      <c r="I11" s="186">
        <f>($M$34*$D$3)*4</f>
        <v>101760</v>
      </c>
      <c r="J11" s="187"/>
      <c r="K11" s="188"/>
      <c r="L11" s="186">
        <f>($M$34*$D$3)*4</f>
        <v>101760</v>
      </c>
      <c r="M11" s="186">
        <f>($M$34*$D$3)*4</f>
        <v>101760</v>
      </c>
      <c r="N11" s="186">
        <f>($M$34*$D$3)*4</f>
        <v>101760</v>
      </c>
      <c r="O11" s="186">
        <f>($M$34*$D$3)*4</f>
        <v>101760</v>
      </c>
      <c r="P11" s="186">
        <f>($M$34*$D$3)*4</f>
        <v>101760</v>
      </c>
      <c r="Q11" s="187"/>
      <c r="R11" s="188"/>
      <c r="S11" s="189"/>
      <c r="T11" s="186">
        <f>($M$34*$D$3)*4</f>
        <v>101760</v>
      </c>
      <c r="U11" s="186">
        <f>($M$34*$D$3)*4</f>
        <v>101760</v>
      </c>
      <c r="V11" s="186">
        <f>($M$34*$D$3)*4</f>
        <v>101760</v>
      </c>
      <c r="W11" s="186">
        <f>($M$34*$D$3)*4</f>
        <v>101760</v>
      </c>
      <c r="X11" s="187"/>
      <c r="Y11" s="188"/>
      <c r="Z11" s="186">
        <f>($AA$34*$D$3)*4</f>
        <v>127200</v>
      </c>
      <c r="AA11" s="186">
        <f t="shared" ref="AA11:AD11" si="8">($AA$34*$D$3)*4</f>
        <v>127200</v>
      </c>
      <c r="AB11" s="186">
        <f t="shared" si="8"/>
        <v>127200</v>
      </c>
      <c r="AC11" s="186">
        <f t="shared" si="8"/>
        <v>127200</v>
      </c>
      <c r="AD11" s="186">
        <f t="shared" si="8"/>
        <v>127200</v>
      </c>
      <c r="AE11" s="187"/>
      <c r="AF11" s="188"/>
      <c r="AG11" s="186">
        <f t="shared" ref="AG11:AJ11" si="9">($AA$34*$D$3)*4</f>
        <v>127200</v>
      </c>
      <c r="AH11" s="186">
        <f t="shared" si="9"/>
        <v>127200</v>
      </c>
      <c r="AI11" s="186">
        <f t="shared" si="9"/>
        <v>127200</v>
      </c>
      <c r="AJ11" s="186">
        <f t="shared" si="9"/>
        <v>127200</v>
      </c>
      <c r="AK11" s="190"/>
      <c r="AL11" s="170"/>
      <c r="AM11" s="473"/>
      <c r="AN11" s="525"/>
      <c r="AO11" s="22"/>
      <c r="AP11" s="21"/>
      <c r="AQ11" s="21"/>
      <c r="AR11" s="21"/>
      <c r="AS11" s="21"/>
      <c r="AT11" s="22"/>
      <c r="AU11" s="22"/>
      <c r="AV11" s="22"/>
      <c r="AW11" s="22"/>
    </row>
    <row r="12" spans="1:51">
      <c r="A12" s="485"/>
      <c r="B12" s="599"/>
      <c r="C12" s="549"/>
      <c r="D12" s="602"/>
      <c r="E12" s="555"/>
      <c r="F12" s="549"/>
      <c r="G12" s="191"/>
      <c r="H12" s="168" t="s">
        <v>15</v>
      </c>
      <c r="I12" s="186">
        <v>4</v>
      </c>
      <c r="J12" s="187"/>
      <c r="K12" s="188"/>
      <c r="L12" s="186">
        <v>4</v>
      </c>
      <c r="M12" s="186">
        <v>4</v>
      </c>
      <c r="N12" s="186">
        <v>4</v>
      </c>
      <c r="O12" s="186">
        <v>4</v>
      </c>
      <c r="P12" s="186">
        <v>4</v>
      </c>
      <c r="Q12" s="187"/>
      <c r="R12" s="188"/>
      <c r="S12" s="189"/>
      <c r="T12" s="186">
        <v>4</v>
      </c>
      <c r="U12" s="186">
        <v>4</v>
      </c>
      <c r="V12" s="186">
        <v>4</v>
      </c>
      <c r="W12" s="186">
        <v>4</v>
      </c>
      <c r="X12" s="187"/>
      <c r="Y12" s="188"/>
      <c r="Z12" s="186">
        <v>4</v>
      </c>
      <c r="AA12" s="186">
        <v>4</v>
      </c>
      <c r="AB12" s="186">
        <v>4</v>
      </c>
      <c r="AC12" s="186">
        <v>4</v>
      </c>
      <c r="AD12" s="186">
        <v>4</v>
      </c>
      <c r="AE12" s="187"/>
      <c r="AF12" s="188"/>
      <c r="AG12" s="186">
        <v>4</v>
      </c>
      <c r="AH12" s="186">
        <v>4</v>
      </c>
      <c r="AI12" s="186">
        <v>4</v>
      </c>
      <c r="AJ12" s="186">
        <v>4</v>
      </c>
      <c r="AK12" s="190"/>
      <c r="AL12" s="170"/>
      <c r="AM12" s="473"/>
      <c r="AN12" s="21"/>
      <c r="AO12" s="21"/>
      <c r="AP12" s="21"/>
      <c r="AQ12" s="21"/>
      <c r="AR12" s="21"/>
      <c r="AS12" s="21"/>
      <c r="AT12" s="22"/>
      <c r="AU12" s="22"/>
      <c r="AV12" s="22"/>
      <c r="AW12" s="22"/>
    </row>
    <row r="13" spans="1:51">
      <c r="A13" s="485"/>
      <c r="B13" s="599"/>
      <c r="C13" s="549"/>
      <c r="D13" s="602"/>
      <c r="E13" s="555"/>
      <c r="F13" s="549"/>
      <c r="G13" s="172"/>
      <c r="H13" s="173" t="s">
        <v>16</v>
      </c>
      <c r="I13" s="186">
        <f>SUMIFS('絞線Twisting wire'!$K$7:$K$1000,'絞線Twisting wire'!$A$7:$A$1000,'03'!I$2,'絞線Twisting wire'!$D$7:$D$1000,'03'!$G$11,'絞線Twisting wire'!$F$7:$F$1000,'03'!$A$24)</f>
        <v>83407</v>
      </c>
      <c r="J13" s="187">
        <f>SUMIFS('絞線Twisting wire'!$K$7:$K$1000,'絞線Twisting wire'!$A$7:$A$1000,'03'!J2,'絞線Twisting wire'!$D$7:$D$1000,'03'!$G$11,'絞線Twisting wire'!$F$7:$F$1000,'03'!$A$24)</f>
        <v>52018</v>
      </c>
      <c r="K13" s="188"/>
      <c r="L13" s="186">
        <f>SUMIFS('絞線Twisting wire'!$K$7:$K$1000,'絞線Twisting wire'!$A$7:$A$1000,'03'!L2,'絞線Twisting wire'!$D$7:$D$1000,'03'!$G$11,'絞線Twisting wire'!$F$7:$F$1000,'03'!$A$24)</f>
        <v>72204</v>
      </c>
      <c r="M13" s="186">
        <f>SUMIFS('絞線Twisting wire'!$K$7:$K$1000,'絞線Twisting wire'!$A$7:$A$1000,'03'!M2,'絞線Twisting wire'!$D$7:$D$1000,'03'!$G$11,'絞線Twisting wire'!$F$7:$F$1000,'03'!$A$24)</f>
        <v>82002</v>
      </c>
      <c r="N13" s="186">
        <f>SUMIFS('絞線Twisting wire'!$K$7:$K$1000,'絞線Twisting wire'!$A$7:$A$1000,'03'!N2,'絞線Twisting wire'!$D$7:$D$1000,'03'!$G$11,'絞線Twisting wire'!$F$7:$F$1000,'03'!$A$24)</f>
        <v>81563</v>
      </c>
      <c r="O13" s="186">
        <f>SUMIFS('絞線Twisting wire'!$K$7:$K$1000,'絞線Twisting wire'!$A$7:$A$1000,'03'!O2,'絞線Twisting wire'!$D$7:$D$1000,'03'!$G$11,'絞線Twisting wire'!$F$7:$F$1000,'03'!$A$24)</f>
        <v>86785</v>
      </c>
      <c r="P13" s="186">
        <f>SUMIFS('絞線Twisting wire'!$K$7:$K$1000,'絞線Twisting wire'!$A$7:$A$1000,'03'!P2,'絞線Twisting wire'!$D$7:$D$1000,'03'!$G$11,'絞線Twisting wire'!$F$7:$F$1000,'03'!$A$24)</f>
        <v>94567</v>
      </c>
      <c r="Q13" s="187">
        <f>SUMIFS('絞線Twisting wire'!$K$7:$K$1000,'絞線Twisting wire'!$A$7:$A$1000,'03'!Q2,'絞線Twisting wire'!$D$7:$D$1000,'03'!$G$11,'絞線Twisting wire'!$F$7:$F$1000,'03'!$A$24)</f>
        <v>51747</v>
      </c>
      <c r="R13" s="188"/>
      <c r="S13" s="189"/>
      <c r="T13" s="186">
        <f>SUMIFS('絞線Twisting wire'!$K$7:$K$1000,'絞線Twisting wire'!$A$7:$A$1000,'03'!T2,'絞線Twisting wire'!$D$7:$D$1000,'03'!$G$11,'絞線Twisting wire'!$F$7:$F$1000,'03'!$A$24)</f>
        <v>86698</v>
      </c>
      <c r="U13" s="186">
        <f>SUMIFS('絞線Twisting wire'!$K$7:$K$1000,'絞線Twisting wire'!$A$7:$A$1000,'03'!U2,'絞線Twisting wire'!$D$7:$D$1000,'03'!$G$11,'絞線Twisting wire'!$F$7:$F$1000,'03'!$A$24)</f>
        <v>0</v>
      </c>
      <c r="V13" s="186">
        <f>SUMIFS('絞線Twisting wire'!$K$7:$K$1000,'絞線Twisting wire'!$A$7:$A$1000,'03'!V2,'絞線Twisting wire'!$D$7:$D$1000,'03'!$G$11,'絞線Twisting wire'!$F$7:$F$1000,'03'!$A$24)</f>
        <v>0</v>
      </c>
      <c r="W13" s="186">
        <f>SUMIFS('絞線Twisting wire'!$K$7:$K$1000,'絞線Twisting wire'!$A$7:$A$1000,'03'!W2,'絞線Twisting wire'!$D$7:$D$1000,'03'!$G$11,'絞線Twisting wire'!$F$7:$F$1000,'03'!$A$24)</f>
        <v>0</v>
      </c>
      <c r="X13" s="187">
        <f>SUMIFS('絞線Twisting wire'!$K$7:$K$1000,'絞線Twisting wire'!$A$7:$A$1000,'03'!X2,'絞線Twisting wire'!$D$7:$D$1000,'03'!$G$11,'絞線Twisting wire'!$F$7:$F$1000,'03'!$A$24)</f>
        <v>0</v>
      </c>
      <c r="Y13" s="188"/>
      <c r="Z13" s="186">
        <f>SUMIFS('絞線Twisting wire'!$K$7:$K$1000,'絞線Twisting wire'!$A$7:$A$1000,'03'!Z2,'絞線Twisting wire'!$D$7:$D$1000,'03'!$G$11,'絞線Twisting wire'!$F$7:$F$1000,'03'!$A$24)</f>
        <v>0</v>
      </c>
      <c r="AA13" s="186">
        <f>SUMIFS('絞線Twisting wire'!$K$7:$K$1000,'絞線Twisting wire'!$A$7:$A$1000,'03'!AA2,'絞線Twisting wire'!$D$7:$D$1000,'03'!$G$11,'絞線Twisting wire'!$F$7:$F$1000,'03'!$A$24)</f>
        <v>0</v>
      </c>
      <c r="AB13" s="186">
        <f>SUMIFS('絞線Twisting wire'!$K$7:$K$1000,'絞線Twisting wire'!$A$7:$A$1000,'03'!AB2,'絞線Twisting wire'!$D$7:$D$1000,'03'!$G$11,'絞線Twisting wire'!$F$7:$F$1000,'03'!$A$24)</f>
        <v>0</v>
      </c>
      <c r="AC13" s="186">
        <f>SUMIFS('絞線Twisting wire'!$K$7:$K$1000,'絞線Twisting wire'!$A$7:$A$1000,'03'!AC2,'絞線Twisting wire'!$D$7:$D$1000,'03'!$G$11,'絞線Twisting wire'!$F$7:$F$1000,'03'!$A$24)</f>
        <v>0</v>
      </c>
      <c r="AD13" s="186">
        <f>SUMIFS('絞線Twisting wire'!$K$7:$K$1000,'絞線Twisting wire'!$A$7:$A$1000,'03'!AD2,'絞線Twisting wire'!$D$7:$D$1000,'03'!$G$11,'絞線Twisting wire'!$F$7:$F$1000,'03'!$A$24)</f>
        <v>0</v>
      </c>
      <c r="AE13" s="187">
        <f>SUMIFS('絞線Twisting wire'!$K$7:$K$1000,'絞線Twisting wire'!$A$7:$A$1000,'03'!AE2,'絞線Twisting wire'!$D$7:$D$1000,'03'!$G$11,'絞線Twisting wire'!$F$7:$F$1000,'03'!$A$24)</f>
        <v>0</v>
      </c>
      <c r="AF13" s="188"/>
      <c r="AG13" s="186">
        <f>SUMIFS('絞線Twisting wire'!$K$7:$K$1000,'絞線Twisting wire'!$A$7:$A$1000,'03'!AG2,'絞線Twisting wire'!$D$7:$D$1000,'03'!$G$11,'絞線Twisting wire'!$F$7:$F$1000,'03'!$A$24)</f>
        <v>0</v>
      </c>
      <c r="AH13" s="186">
        <f>SUMIFS('絞線Twisting wire'!$K$7:$K$1000,'絞線Twisting wire'!$A$7:$A$1000,'03'!AH2,'絞線Twisting wire'!$D$7:$D$1000,'03'!$G$11,'絞線Twisting wire'!$F$7:$F$1000,'03'!$A$24)</f>
        <v>0</v>
      </c>
      <c r="AI13" s="186">
        <f>SUMIFS('絞線Twisting wire'!$K$7:$K$1000,'絞線Twisting wire'!$A$7:$A$1000,'03'!AI2,'絞線Twisting wire'!$D$7:$D$1000,'03'!$G$11,'絞線Twisting wire'!$F$7:$F$1000,'03'!$A$24)</f>
        <v>0</v>
      </c>
      <c r="AJ13" s="186">
        <f>SUMIFS('絞線Twisting wire'!$K$7:$K$1000,'絞線Twisting wire'!$A$7:$A$1000,'03'!AJ2,'絞線Twisting wire'!$D$7:$D$1000,'03'!$G$11,'絞線Twisting wire'!$F$7:$F$1000,'03'!$A$24)</f>
        <v>0</v>
      </c>
      <c r="AK13" s="190"/>
      <c r="AL13" s="170"/>
      <c r="AM13" s="473"/>
      <c r="AN13" s="21"/>
      <c r="AO13" s="21"/>
      <c r="AP13" s="21"/>
      <c r="AQ13" s="21"/>
      <c r="AR13" s="21"/>
      <c r="AS13" s="21"/>
      <c r="AT13" s="22"/>
      <c r="AU13" s="22"/>
      <c r="AV13" s="22"/>
      <c r="AW13" s="22"/>
    </row>
    <row r="14" spans="1:51">
      <c r="A14" s="485"/>
      <c r="B14" s="599"/>
      <c r="C14" s="549"/>
      <c r="D14" s="602"/>
      <c r="E14" s="555"/>
      <c r="F14" s="549"/>
      <c r="G14" s="172"/>
      <c r="H14" s="173" t="s">
        <v>113</v>
      </c>
      <c r="I14" s="31">
        <f>I13-I11</f>
        <v>-18353</v>
      </c>
      <c r="J14" s="192">
        <f>I14+(J13-J11)</f>
        <v>33665</v>
      </c>
      <c r="K14" s="188"/>
      <c r="L14" s="31">
        <f>J14+(L13-L11)</f>
        <v>4109</v>
      </c>
      <c r="M14" s="31">
        <f>L14+(M13-M11)</f>
        <v>-15649</v>
      </c>
      <c r="N14" s="186"/>
      <c r="O14" s="186"/>
      <c r="P14" s="186"/>
      <c r="Q14" s="187"/>
      <c r="R14" s="188"/>
      <c r="S14" s="189"/>
      <c r="T14" s="186"/>
      <c r="U14" s="186"/>
      <c r="V14" s="186"/>
      <c r="W14" s="186"/>
      <c r="X14" s="187"/>
      <c r="Y14" s="188"/>
      <c r="Z14" s="186"/>
      <c r="AA14" s="186"/>
      <c r="AB14" s="186"/>
      <c r="AC14" s="186"/>
      <c r="AD14" s="186"/>
      <c r="AE14" s="187"/>
      <c r="AF14" s="188"/>
      <c r="AG14" s="186"/>
      <c r="AH14" s="186"/>
      <c r="AI14" s="186"/>
      <c r="AJ14" s="186"/>
      <c r="AK14" s="190"/>
      <c r="AL14" s="170"/>
      <c r="AM14" s="171"/>
      <c r="AN14" s="21"/>
      <c r="AO14" s="21"/>
      <c r="AP14" s="21"/>
      <c r="AQ14" s="21"/>
      <c r="AR14" s="21"/>
      <c r="AS14" s="21"/>
      <c r="AT14" s="22"/>
      <c r="AU14" s="22"/>
      <c r="AV14" s="22"/>
      <c r="AW14" s="22"/>
    </row>
    <row r="15" spans="1:51">
      <c r="A15" s="485"/>
      <c r="B15" s="599"/>
      <c r="C15" s="549"/>
      <c r="D15" s="602"/>
      <c r="E15" s="555"/>
      <c r="F15" s="549"/>
      <c r="G15" s="191" t="s">
        <v>210</v>
      </c>
      <c r="H15" s="168" t="s">
        <v>19</v>
      </c>
      <c r="I15" s="186">
        <f>$M$34*$D$3</f>
        <v>25440</v>
      </c>
      <c r="J15" s="187"/>
      <c r="K15" s="188"/>
      <c r="L15" s="186">
        <f>$M$34*$D$3</f>
        <v>25440</v>
      </c>
      <c r="M15" s="186">
        <f>$M$34*$D$3</f>
        <v>25440</v>
      </c>
      <c r="N15" s="186">
        <f>$M$34*$D$3</f>
        <v>25440</v>
      </c>
      <c r="O15" s="186">
        <f>$M$34*$D$3</f>
        <v>25440</v>
      </c>
      <c r="P15" s="186">
        <f>$M$34*$D$3</f>
        <v>25440</v>
      </c>
      <c r="Q15" s="193"/>
      <c r="R15" s="194"/>
      <c r="S15" s="195"/>
      <c r="T15" s="186">
        <f>$M$34*$D$3</f>
        <v>25440</v>
      </c>
      <c r="U15" s="186">
        <f>$M$34*$D$3</f>
        <v>25440</v>
      </c>
      <c r="V15" s="186">
        <f>$M$34*$D$3</f>
        <v>25440</v>
      </c>
      <c r="W15" s="186">
        <f>$M$34*$D$3</f>
        <v>25440</v>
      </c>
      <c r="X15" s="187"/>
      <c r="Y15" s="188"/>
      <c r="Z15" s="186">
        <f>$AA$34*$D$3</f>
        <v>31800</v>
      </c>
      <c r="AA15" s="186">
        <f t="shared" ref="AA15:AD15" si="10">$AA$34*$D$3</f>
        <v>31800</v>
      </c>
      <c r="AB15" s="186">
        <f t="shared" si="10"/>
        <v>31800</v>
      </c>
      <c r="AC15" s="186">
        <f t="shared" si="10"/>
        <v>31800</v>
      </c>
      <c r="AD15" s="186">
        <f t="shared" si="10"/>
        <v>31800</v>
      </c>
      <c r="AE15" s="187"/>
      <c r="AF15" s="188"/>
      <c r="AG15" s="186">
        <f t="shared" ref="AG15:AJ15" si="11">$AA$34*$D$3</f>
        <v>31800</v>
      </c>
      <c r="AH15" s="186">
        <f t="shared" si="11"/>
        <v>31800</v>
      </c>
      <c r="AI15" s="186">
        <f t="shared" si="11"/>
        <v>31800</v>
      </c>
      <c r="AJ15" s="186">
        <f t="shared" si="11"/>
        <v>31800</v>
      </c>
      <c r="AK15" s="190"/>
      <c r="AL15" s="170"/>
      <c r="AM15" s="171"/>
      <c r="AN15" s="21"/>
      <c r="AO15" s="21"/>
      <c r="AP15" s="21"/>
      <c r="AQ15" s="21"/>
      <c r="AR15" s="21"/>
      <c r="AS15" s="21"/>
      <c r="AT15" s="22"/>
      <c r="AU15" s="22"/>
      <c r="AV15" s="22"/>
      <c r="AW15" s="22"/>
    </row>
    <row r="16" spans="1:51">
      <c r="A16" s="485"/>
      <c r="B16" s="599"/>
      <c r="C16" s="549"/>
      <c r="D16" s="602"/>
      <c r="E16" s="555"/>
      <c r="F16" s="549"/>
      <c r="G16" s="191"/>
      <c r="H16" s="168" t="s">
        <v>15</v>
      </c>
      <c r="I16" s="186">
        <v>2</v>
      </c>
      <c r="J16" s="187"/>
      <c r="K16" s="188"/>
      <c r="L16" s="186">
        <v>2</v>
      </c>
      <c r="M16" s="186">
        <v>2</v>
      </c>
      <c r="N16" s="186">
        <v>2</v>
      </c>
      <c r="O16" s="186">
        <v>2</v>
      </c>
      <c r="P16" s="186">
        <v>2</v>
      </c>
      <c r="Q16" s="193"/>
      <c r="R16" s="194"/>
      <c r="S16" s="195"/>
      <c r="T16" s="186">
        <v>2</v>
      </c>
      <c r="U16" s="186">
        <v>2</v>
      </c>
      <c r="V16" s="186">
        <v>2</v>
      </c>
      <c r="W16" s="186">
        <v>2</v>
      </c>
      <c r="X16" s="187"/>
      <c r="Y16" s="188"/>
      <c r="Z16" s="186">
        <v>2</v>
      </c>
      <c r="AA16" s="186">
        <v>2</v>
      </c>
      <c r="AB16" s="186">
        <v>2</v>
      </c>
      <c r="AC16" s="186">
        <v>2</v>
      </c>
      <c r="AD16" s="186">
        <v>2</v>
      </c>
      <c r="AE16" s="187"/>
      <c r="AF16" s="188"/>
      <c r="AG16" s="186">
        <v>2</v>
      </c>
      <c r="AH16" s="186">
        <v>2</v>
      </c>
      <c r="AI16" s="186">
        <v>2</v>
      </c>
      <c r="AJ16" s="186">
        <v>2</v>
      </c>
      <c r="AK16" s="190"/>
      <c r="AL16" s="170"/>
      <c r="AM16" s="171"/>
      <c r="AN16" s="21"/>
      <c r="AO16" s="21"/>
      <c r="AP16" s="21"/>
      <c r="AQ16" s="21"/>
      <c r="AR16" s="21"/>
      <c r="AS16" s="21"/>
      <c r="AT16" s="22"/>
      <c r="AU16" s="22"/>
      <c r="AV16" s="22"/>
      <c r="AW16" s="22"/>
    </row>
    <row r="17" spans="1:49">
      <c r="A17" s="485"/>
      <c r="B17" s="599"/>
      <c r="C17" s="549"/>
      <c r="D17" s="602"/>
      <c r="E17" s="555"/>
      <c r="F17" s="549"/>
      <c r="G17" s="172"/>
      <c r="H17" s="173" t="s">
        <v>16</v>
      </c>
      <c r="I17" s="186">
        <f>SUMIFS('絞線Twisting wire'!$K$7:$K$1000,'絞線Twisting wire'!$A$7:$A$1000,'03'!I$2,'絞線Twisting wire'!$D$7:$D$1000,'03'!$G$15,'絞線Twisting wire'!$F$7:$F$1000,'03'!$A$24)</f>
        <v>11227</v>
      </c>
      <c r="J17" s="187">
        <f>SUMIFS('絞線Twisting wire'!$K$7:$K$1000,'絞線Twisting wire'!$A$7:$A$1000,'03'!J$2,'絞線Twisting wire'!$D$7:$D$1000,'03'!$G$15,'絞線Twisting wire'!$F$7:$F$1000,'03'!$A$24)</f>
        <v>6924</v>
      </c>
      <c r="K17" s="188"/>
      <c r="L17" s="186">
        <f>SUMIFS('絞線Twisting wire'!$K$7:$K$1000,'絞線Twisting wire'!$A$7:$A$1000,'03'!L$2,'絞線Twisting wire'!$D$7:$D$1000,'03'!$G$15,'絞線Twisting wire'!$F$7:$F$1000,'03'!$A$24)</f>
        <v>10892</v>
      </c>
      <c r="M17" s="186">
        <f>SUMIFS('絞線Twisting wire'!$K$7:$K$1000,'絞線Twisting wire'!$A$7:$A$1000,'03'!M$2,'絞線Twisting wire'!$D$7:$D$1000,'03'!$G$15,'絞線Twisting wire'!$F$7:$F$1000,'03'!$A$24)</f>
        <v>9913</v>
      </c>
      <c r="N17" s="186">
        <f>SUMIFS('絞線Twisting wire'!$K$7:$K$1000,'絞線Twisting wire'!$A$7:$A$1000,'03'!N$2,'絞線Twisting wire'!$D$7:$D$1000,'03'!$G$15,'絞線Twisting wire'!$F$7:$F$1000,'03'!$A$24)</f>
        <v>14298</v>
      </c>
      <c r="O17" s="186">
        <f>SUMIFS('絞線Twisting wire'!$K$7:$K$1000,'絞線Twisting wire'!$A$7:$A$1000,'03'!O$2,'絞線Twisting wire'!$D$7:$D$1000,'03'!$G$15,'絞線Twisting wire'!$F$7:$F$1000,'03'!$A$24)</f>
        <v>15301</v>
      </c>
      <c r="P17" s="186">
        <f>SUMIFS('絞線Twisting wire'!$K$7:$K$1000,'絞線Twisting wire'!$A$7:$A$1000,'03'!P$2,'絞線Twisting wire'!$D$7:$D$1000,'03'!$G$15,'絞線Twisting wire'!$F$7:$F$1000,'03'!$A$24)</f>
        <v>16075</v>
      </c>
      <c r="Q17" s="187">
        <f>SUMIFS('絞線Twisting wire'!$K$7:$K$1000,'絞線Twisting wire'!$A$7:$A$1000,'03'!Q$2,'絞線Twisting wire'!$D$7:$D$1000,'03'!$G$15,'絞線Twisting wire'!$F$7:$F$1000,'03'!$A$24)</f>
        <v>5219</v>
      </c>
      <c r="R17" s="194"/>
      <c r="S17" s="195"/>
      <c r="T17" s="186">
        <f>SUMIFS('絞線Twisting wire'!$K$7:$K$1000,'絞線Twisting wire'!$A$7:$A$1000,'03'!T$2,'絞線Twisting wire'!$D$7:$D$1000,'03'!$G$15,'絞線Twisting wire'!$F$7:$F$1000,'03'!$A$24)</f>
        <v>25979</v>
      </c>
      <c r="U17" s="186">
        <f>SUMIFS('絞線Twisting wire'!$K$7:$K$1000,'絞線Twisting wire'!$A$7:$A$1000,'03'!U$2,'絞線Twisting wire'!$D$7:$D$1000,'03'!$G$15,'絞線Twisting wire'!$F$7:$F$1000,'03'!$A$24)</f>
        <v>0</v>
      </c>
      <c r="V17" s="186">
        <f>SUMIFS('絞線Twisting wire'!$K$7:$K$1000,'絞線Twisting wire'!$A$7:$A$1000,'03'!V$2,'絞線Twisting wire'!$D$7:$D$1000,'03'!$G$15,'絞線Twisting wire'!$F$7:$F$1000,'03'!$A$24)</f>
        <v>0</v>
      </c>
      <c r="W17" s="186">
        <f>SUMIFS('絞線Twisting wire'!$K$7:$K$1000,'絞線Twisting wire'!$A$7:$A$1000,'03'!W$2,'絞線Twisting wire'!$D$7:$D$1000,'03'!$G$15,'絞線Twisting wire'!$F$7:$F$1000,'03'!$A$24)</f>
        <v>0</v>
      </c>
      <c r="X17" s="187">
        <f>SUMIFS('絞線Twisting wire'!$K$7:$K$1000,'絞線Twisting wire'!$A$7:$A$1000,'03'!X$2,'絞線Twisting wire'!$D$7:$D$1000,'03'!$G$15,'絞線Twisting wire'!$F$7:$F$1000,'03'!$A$24)</f>
        <v>0</v>
      </c>
      <c r="Y17" s="188"/>
      <c r="Z17" s="186">
        <f>SUMIFS('絞線Twisting wire'!$K$7:$K$1000,'絞線Twisting wire'!$A$7:$A$1000,'03'!Z$2,'絞線Twisting wire'!$D$7:$D$1000,'03'!$G$15,'絞線Twisting wire'!$F$7:$F$1000,'03'!$A$24)</f>
        <v>0</v>
      </c>
      <c r="AA17" s="186">
        <f>SUMIFS('絞線Twisting wire'!$K$7:$K$1000,'絞線Twisting wire'!$A$7:$A$1000,'03'!AA$2,'絞線Twisting wire'!$D$7:$D$1000,'03'!$G$15,'絞線Twisting wire'!$F$7:$F$1000,'03'!$A$24)</f>
        <v>0</v>
      </c>
      <c r="AB17" s="186">
        <f>SUMIFS('絞線Twisting wire'!$K$7:$K$1000,'絞線Twisting wire'!$A$7:$A$1000,'03'!AB$2,'絞線Twisting wire'!$D$7:$D$1000,'03'!$G$15,'絞線Twisting wire'!$F$7:$F$1000,'03'!$A$24)</f>
        <v>0</v>
      </c>
      <c r="AC17" s="186">
        <f>SUMIFS('絞線Twisting wire'!$K$7:$K$1000,'絞線Twisting wire'!$A$7:$A$1000,'03'!AC$2,'絞線Twisting wire'!$D$7:$D$1000,'03'!$G$15,'絞線Twisting wire'!$F$7:$F$1000,'03'!$A$24)</f>
        <v>0</v>
      </c>
      <c r="AD17" s="186">
        <f>SUMIFS('絞線Twisting wire'!$K$7:$K$1000,'絞線Twisting wire'!$A$7:$A$1000,'03'!AD$2,'絞線Twisting wire'!$D$7:$D$1000,'03'!$G$15,'絞線Twisting wire'!$F$7:$F$1000,'03'!$A$24)</f>
        <v>0</v>
      </c>
      <c r="AE17" s="187">
        <f>SUMIFS('絞線Twisting wire'!$K$7:$K$1000,'絞線Twisting wire'!$A$7:$A$1000,'03'!AE$2,'絞線Twisting wire'!$D$7:$D$1000,'03'!$G$15,'絞線Twisting wire'!$F$7:$F$1000,'03'!$A$24)</f>
        <v>0</v>
      </c>
      <c r="AF17" s="188"/>
      <c r="AG17" s="186">
        <f>SUMIFS('絞線Twisting wire'!$K$7:$K$1000,'絞線Twisting wire'!$A$7:$A$1000,'03'!AG$2,'絞線Twisting wire'!$D$7:$D$1000,'03'!$G$15,'絞線Twisting wire'!$F$7:$F$1000,'03'!$A$24)</f>
        <v>0</v>
      </c>
      <c r="AH17" s="186">
        <f>SUMIFS('絞線Twisting wire'!$K$7:$K$1000,'絞線Twisting wire'!$A$7:$A$1000,'03'!AH$2,'絞線Twisting wire'!$D$7:$D$1000,'03'!$G$15,'絞線Twisting wire'!$F$7:$F$1000,'03'!$A$24)</f>
        <v>0</v>
      </c>
      <c r="AI17" s="186">
        <f>SUMIFS('絞線Twisting wire'!$K$7:$K$1000,'絞線Twisting wire'!$A$7:$A$1000,'03'!AI$2,'絞線Twisting wire'!$D$7:$D$1000,'03'!$G$15,'絞線Twisting wire'!$F$7:$F$1000,'03'!$A$24)</f>
        <v>0</v>
      </c>
      <c r="AJ17" s="186">
        <f>SUMIFS('絞線Twisting wire'!$K$7:$K$1000,'絞線Twisting wire'!$A$7:$A$1000,'03'!AJ$2,'絞線Twisting wire'!$D$7:$D$1000,'03'!$G$15,'絞線Twisting wire'!$F$7:$F$1000,'03'!$A$24)</f>
        <v>0</v>
      </c>
      <c r="AK17" s="190"/>
      <c r="AL17" s="170"/>
      <c r="AM17" s="171"/>
      <c r="AN17" s="21"/>
      <c r="AO17" s="21"/>
      <c r="AP17" s="21"/>
      <c r="AQ17" s="21"/>
      <c r="AR17" s="21"/>
      <c r="AS17" s="21"/>
      <c r="AT17" s="22"/>
      <c r="AU17" s="22"/>
      <c r="AV17" s="22"/>
      <c r="AW17" s="22"/>
    </row>
    <row r="18" spans="1:49">
      <c r="A18" s="484"/>
      <c r="B18" s="599"/>
      <c r="C18" s="549"/>
      <c r="D18" s="602"/>
      <c r="E18" s="555"/>
      <c r="F18" s="549"/>
      <c r="G18" s="172"/>
      <c r="H18" s="173" t="s">
        <v>113</v>
      </c>
      <c r="I18" s="31">
        <f>I17-I15</f>
        <v>-14213</v>
      </c>
      <c r="J18" s="192">
        <f>I18+(J17-J15)</f>
        <v>-7289</v>
      </c>
      <c r="K18" s="188"/>
      <c r="L18" s="31">
        <f>J18+(L17-L15)</f>
        <v>-21837</v>
      </c>
      <c r="M18" s="31">
        <f>L18+(M17-M15)</f>
        <v>-37364</v>
      </c>
      <c r="N18" s="186"/>
      <c r="O18" s="186"/>
      <c r="P18" s="186"/>
      <c r="Q18" s="193"/>
      <c r="R18" s="194"/>
      <c r="S18" s="195"/>
      <c r="T18" s="186"/>
      <c r="U18" s="186"/>
      <c r="V18" s="186"/>
      <c r="W18" s="186"/>
      <c r="X18" s="187"/>
      <c r="Y18" s="188"/>
      <c r="Z18" s="186"/>
      <c r="AA18" s="186"/>
      <c r="AB18" s="186"/>
      <c r="AC18" s="186"/>
      <c r="AD18" s="186"/>
      <c r="AE18" s="187"/>
      <c r="AF18" s="188"/>
      <c r="AG18" s="186"/>
      <c r="AH18" s="186"/>
      <c r="AI18" s="186"/>
      <c r="AJ18" s="186"/>
      <c r="AK18" s="190"/>
      <c r="AL18" s="170"/>
      <c r="AM18" s="171"/>
      <c r="AN18" s="21"/>
      <c r="AO18" s="21"/>
      <c r="AP18" s="21"/>
      <c r="AQ18" s="21"/>
      <c r="AR18" s="21"/>
      <c r="AS18" s="21"/>
      <c r="AT18" s="22"/>
      <c r="AU18" s="22"/>
      <c r="AV18" s="22"/>
      <c r="AW18" s="22"/>
    </row>
    <row r="19" spans="1:49">
      <c r="A19" s="485"/>
      <c r="B19" s="599"/>
      <c r="C19" s="549"/>
      <c r="D19" s="602"/>
      <c r="E19" s="555"/>
      <c r="F19" s="549"/>
      <c r="G19" s="191" t="s">
        <v>472</v>
      </c>
      <c r="H19" s="168" t="s">
        <v>21</v>
      </c>
      <c r="I19" s="186">
        <f>($M$34*$D$3)*2</f>
        <v>50880</v>
      </c>
      <c r="J19" s="187"/>
      <c r="K19" s="194"/>
      <c r="L19" s="186">
        <f>($M$34*$D$3)*2</f>
        <v>50880</v>
      </c>
      <c r="M19" s="186">
        <f>($M$34*$D$3)*2</f>
        <v>50880</v>
      </c>
      <c r="N19" s="186">
        <f>($M$34*$D$3)*2</f>
        <v>50880</v>
      </c>
      <c r="O19" s="186">
        <f>($M$34*$D$3)*2</f>
        <v>50880</v>
      </c>
      <c r="P19" s="186">
        <f>($M$34*$D$3)*2</f>
        <v>50880</v>
      </c>
      <c r="Q19" s="193"/>
      <c r="R19" s="194"/>
      <c r="S19" s="195"/>
      <c r="T19" s="186">
        <f>($M$34*$D$3)*2</f>
        <v>50880</v>
      </c>
      <c r="U19" s="186">
        <f>($M$34*$D$3)*2</f>
        <v>50880</v>
      </c>
      <c r="V19" s="186">
        <f>($M$34*$D$3)*2</f>
        <v>50880</v>
      </c>
      <c r="W19" s="186">
        <f>($M$34*$D$3)*2</f>
        <v>50880</v>
      </c>
      <c r="X19" s="193"/>
      <c r="Y19" s="188"/>
      <c r="Z19" s="186">
        <f>($AA$34*$D$3)*2</f>
        <v>63600</v>
      </c>
      <c r="AA19" s="186">
        <f t="shared" ref="AA19:AD19" si="12">($AA$34*$D$3)*2</f>
        <v>63600</v>
      </c>
      <c r="AB19" s="186">
        <f t="shared" si="12"/>
        <v>63600</v>
      </c>
      <c r="AC19" s="186">
        <f t="shared" si="12"/>
        <v>63600</v>
      </c>
      <c r="AD19" s="186">
        <f t="shared" si="12"/>
        <v>63600</v>
      </c>
      <c r="AE19" s="193"/>
      <c r="AF19" s="188"/>
      <c r="AG19" s="186">
        <f t="shared" ref="AG19:AJ19" si="13">($AA$34*$D$3)*2</f>
        <v>63600</v>
      </c>
      <c r="AH19" s="186">
        <f t="shared" si="13"/>
        <v>63600</v>
      </c>
      <c r="AI19" s="186">
        <f t="shared" si="13"/>
        <v>63600</v>
      </c>
      <c r="AJ19" s="186">
        <f t="shared" si="13"/>
        <v>63600</v>
      </c>
      <c r="AK19" s="190"/>
      <c r="AL19" s="170"/>
      <c r="AM19" s="171"/>
      <c r="AN19" s="36"/>
      <c r="AO19" s="37"/>
      <c r="AP19" s="37"/>
      <c r="AQ19" s="22"/>
      <c r="AR19" s="196"/>
      <c r="AS19" s="196"/>
      <c r="AT19" s="22"/>
      <c r="AU19" s="22"/>
      <c r="AV19" s="22"/>
      <c r="AW19" s="22"/>
    </row>
    <row r="20" spans="1:49">
      <c r="A20" s="485"/>
      <c r="B20" s="599"/>
      <c r="C20" s="549"/>
      <c r="D20" s="602"/>
      <c r="E20" s="555"/>
      <c r="F20" s="549"/>
      <c r="G20" s="172"/>
      <c r="H20" s="173" t="s">
        <v>16</v>
      </c>
      <c r="I20" s="186">
        <f>SUMIFS(' 押出ekstrusi'!$H$7:$H$1000,' 押出ekstrusi'!$A$7:$A$1000,'03'!I$2,' 押出ekstrusi'!$D$7:$D$1000,'03'!$A$24,' 押出ekstrusi'!$X$7:$X$1000,'03'!$G$19)</f>
        <v>31353</v>
      </c>
      <c r="J20" s="187">
        <f>SUMIFS(' 押出ekstrusi'!$H$7:$H$1000,' 押出ekstrusi'!$A$7:$A$1000,'03'!J$2,' 押出ekstrusi'!$D$7:$D$1000,'03'!$A$24,' 押出ekstrusi'!$X$7:$X$1000,'03'!$G$19)</f>
        <v>0</v>
      </c>
      <c r="K20" s="194"/>
      <c r="L20" s="186">
        <f>SUMIFS(' 押出ekstrusi'!$H$7:$H$1000,' 押出ekstrusi'!$A$7:$A$1000,'03'!L$2,' 押出ekstrusi'!$D$7:$D$1000,'03'!$A$24,' 押出ekstrusi'!$X$7:$X$1000,'03'!$G$19)</f>
        <v>147887</v>
      </c>
      <c r="M20" s="186">
        <f>SUMIFS(' 押出ekstrusi'!$H$7:$H$1000,' 押出ekstrusi'!$A$7:$A$1000,'03'!M$2,' 押出ekstrusi'!$D$7:$D$1000,'03'!$A$24,' 押出ekstrusi'!$X$7:$X$1000,'03'!$G$19)</f>
        <v>0</v>
      </c>
      <c r="N20" s="186">
        <f>SUMIFS(' 押出ekstrusi'!$H$7:$H$1000,' 押出ekstrusi'!$A$7:$A$1000,'03'!N$2,' 押出ekstrusi'!$D$7:$D$1000,'03'!$A$24,' 押出ekstrusi'!$X$7:$X$1000,'03'!$G$19)</f>
        <v>100793</v>
      </c>
      <c r="O20" s="186">
        <f>SUMIFS(' 押出ekstrusi'!$H$7:$H$1000,' 押出ekstrusi'!$A$7:$A$1000,'03'!O$2,' 押出ekstrusi'!$D$7:$D$1000,'03'!$A$24,' 押出ekstrusi'!$X$7:$X$1000,'03'!$G$19)</f>
        <v>61237</v>
      </c>
      <c r="P20" s="186">
        <f>SUMIFS(' 押出ekstrusi'!$H$7:$H$1000,' 押出ekstrusi'!$A$7:$A$1000,'03'!P$2,' 押出ekstrusi'!$D$7:$D$1000,'03'!$A$24,' 押出ekstrusi'!$X$7:$X$1000,'03'!$G$19)</f>
        <v>0</v>
      </c>
      <c r="Q20" s="187">
        <f>SUMIFS(' 押出ekstrusi'!$H$7:$H$1000,' 押出ekstrusi'!$A$7:$A$1000,'03'!Q$2,' 押出ekstrusi'!$D$7:$D$1000,'03'!$A$24,' 押出ekstrusi'!$X$7:$X$1000,'03'!$G$19)</f>
        <v>62268</v>
      </c>
      <c r="R20" s="194"/>
      <c r="S20" s="195"/>
      <c r="T20" s="186">
        <f>SUMIFS(' 押出ekstrusi'!$H$7:$H$1000,' 押出ekstrusi'!$A$7:$A$1000,'03'!T$2,' 押出ekstrusi'!$D$7:$D$1000,'03'!$A$24,' 押出ekstrusi'!$X$7:$X$1000,'03'!$G$19)</f>
        <v>38005</v>
      </c>
      <c r="U20" s="186">
        <f>SUMIFS(' 押出ekstrusi'!$H$7:$H$1000,' 押出ekstrusi'!$A$7:$A$1000,'03'!U$2,' 押出ekstrusi'!$D$7:$D$1000,'03'!$A$24,' 押出ekstrusi'!$X$7:$X$1000,'03'!$G$19)</f>
        <v>0</v>
      </c>
      <c r="V20" s="186">
        <f>SUMIFS(' 押出ekstrusi'!$H$7:$H$1000,' 押出ekstrusi'!$A$7:$A$1000,'03'!V$2,' 押出ekstrusi'!$D$7:$D$1000,'03'!$A$24,' 押出ekstrusi'!$X$7:$X$1000,'03'!$G$19)</f>
        <v>0</v>
      </c>
      <c r="W20" s="186">
        <f>SUMIFS(' 押出ekstrusi'!$H$7:$H$1000,' 押出ekstrusi'!$A$7:$A$1000,'03'!W$2,' 押出ekstrusi'!$D$7:$D$1000,'03'!$A$24,' 押出ekstrusi'!$X$7:$X$1000,'03'!$G$19)</f>
        <v>0</v>
      </c>
      <c r="X20" s="187">
        <f>SUMIFS(' 押出ekstrusi'!$H$7:$H$1000,' 押出ekstrusi'!$A$7:$A$1000,'03'!X$2,' 押出ekstrusi'!$D$7:$D$1000,'03'!$A$24,' 押出ekstrusi'!$X$7:$X$1000,'03'!$G$19)</f>
        <v>0</v>
      </c>
      <c r="Y20" s="188"/>
      <c r="Z20" s="186">
        <f>SUMIFS(' 押出ekstrusi'!$H$7:$H$1000,' 押出ekstrusi'!$A$7:$A$1000,'03'!Z$2,' 押出ekstrusi'!$D$7:$D$1000,'03'!$A$24,' 押出ekstrusi'!$X$7:$X$1000,'03'!$G$19)</f>
        <v>0</v>
      </c>
      <c r="AA20" s="186">
        <f>SUMIFS(' 押出ekstrusi'!$H$7:$H$1000,' 押出ekstrusi'!$A$7:$A$1000,'03'!AA$2,' 押出ekstrusi'!$D$7:$D$1000,'03'!$A$24,' 押出ekstrusi'!$X$7:$X$1000,'03'!$G$19)</f>
        <v>0</v>
      </c>
      <c r="AB20" s="186">
        <f>SUMIFS(' 押出ekstrusi'!$H$7:$H$1000,' 押出ekstrusi'!$A$7:$A$1000,'03'!AB$2,' 押出ekstrusi'!$D$7:$D$1000,'03'!$A$24,' 押出ekstrusi'!$X$7:$X$1000,'03'!$G$19)</f>
        <v>0</v>
      </c>
      <c r="AC20" s="186">
        <f>SUMIFS(' 押出ekstrusi'!$H$7:$H$1000,' 押出ekstrusi'!$A$7:$A$1000,'03'!AC$2,' 押出ekstrusi'!$D$7:$D$1000,'03'!$A$24,' 押出ekstrusi'!$X$7:$X$1000,'03'!$G$19)</f>
        <v>0</v>
      </c>
      <c r="AD20" s="186">
        <f>SUMIFS(' 押出ekstrusi'!$H$7:$H$1000,' 押出ekstrusi'!$A$7:$A$1000,'03'!AD$2,' 押出ekstrusi'!$D$7:$D$1000,'03'!$A$24,' 押出ekstrusi'!$X$7:$X$1000,'03'!$G$19)</f>
        <v>0</v>
      </c>
      <c r="AE20" s="187">
        <f>SUMIFS(' 押出ekstrusi'!$H$7:$H$1000,' 押出ekstrusi'!$A$7:$A$1000,'03'!AE$2,' 押出ekstrusi'!$D$7:$D$1000,'03'!$A$24,' 押出ekstrusi'!$X$7:$X$1000,'03'!$G$19)</f>
        <v>0</v>
      </c>
      <c r="AF20" s="188"/>
      <c r="AG20" s="186">
        <f>SUMIFS(' 押出ekstrusi'!$H$7:$H$1000,' 押出ekstrusi'!$A$7:$A$1000,'03'!AG$2,' 押出ekstrusi'!$D$7:$D$1000,'03'!$A$24,' 押出ekstrusi'!$X$7:$X$1000,'03'!$G$19)</f>
        <v>0</v>
      </c>
      <c r="AH20" s="186">
        <f>SUMIFS(' 押出ekstrusi'!$H$7:$H$1000,' 押出ekstrusi'!$A$7:$A$1000,'03'!AH$2,' 押出ekstrusi'!$D$7:$D$1000,'03'!$A$24,' 押出ekstrusi'!$X$7:$X$1000,'03'!$G$19)</f>
        <v>0</v>
      </c>
      <c r="AI20" s="186">
        <f>SUMIFS(' 押出ekstrusi'!$H$7:$H$1000,' 押出ekstrusi'!$A$7:$A$1000,'03'!AI$2,' 押出ekstrusi'!$D$7:$D$1000,'03'!$A$24,' 押出ekstrusi'!$X$7:$X$1000,'03'!$G$19)</f>
        <v>0</v>
      </c>
      <c r="AJ20" s="186">
        <f>SUMIFS(' 押出ekstrusi'!$H$7:$H$1000,' 押出ekstrusi'!$A$7:$A$1000,'03'!AJ$2,' 押出ekstrusi'!$D$7:$D$1000,'03'!$A$24,' 押出ekstrusi'!$X$7:$X$1000,'03'!$G$19)</f>
        <v>0</v>
      </c>
      <c r="AK20" s="190"/>
      <c r="AL20" s="170"/>
      <c r="AM20" s="171"/>
      <c r="AN20" s="36"/>
      <c r="AO20" s="37"/>
      <c r="AP20" s="37"/>
      <c r="AQ20" s="22"/>
      <c r="AR20" s="196"/>
      <c r="AS20" s="196"/>
      <c r="AT20" s="22"/>
      <c r="AU20" s="22"/>
      <c r="AV20" s="22"/>
      <c r="AW20" s="22"/>
    </row>
    <row r="21" spans="1:49">
      <c r="A21" s="485"/>
      <c r="B21" s="599"/>
      <c r="C21" s="549"/>
      <c r="D21" s="602"/>
      <c r="E21" s="555"/>
      <c r="F21" s="549"/>
      <c r="G21" s="172"/>
      <c r="H21" s="173" t="s">
        <v>113</v>
      </c>
      <c r="I21" s="31">
        <f>I20-I19</f>
        <v>-19527</v>
      </c>
      <c r="J21" s="187"/>
      <c r="K21" s="194"/>
      <c r="L21" s="172"/>
      <c r="M21" s="172"/>
      <c r="N21" s="172"/>
      <c r="O21" s="172"/>
      <c r="P21" s="172"/>
      <c r="Q21" s="193"/>
      <c r="R21" s="194"/>
      <c r="S21" s="195"/>
      <c r="T21" s="172"/>
      <c r="U21" s="172"/>
      <c r="V21" s="172"/>
      <c r="W21" s="172"/>
      <c r="X21" s="193"/>
      <c r="Y21" s="188"/>
      <c r="Z21" s="172"/>
      <c r="AA21" s="172"/>
      <c r="AB21" s="172"/>
      <c r="AC21" s="172"/>
      <c r="AD21" s="172"/>
      <c r="AE21" s="193"/>
      <c r="AF21" s="188"/>
      <c r="AG21" s="172"/>
      <c r="AH21" s="172"/>
      <c r="AI21" s="172"/>
      <c r="AJ21" s="172"/>
      <c r="AK21" s="190"/>
      <c r="AL21" s="170"/>
      <c r="AM21" s="171"/>
      <c r="AN21" s="36"/>
      <c r="AO21" s="37"/>
      <c r="AP21" s="37"/>
      <c r="AQ21" s="22"/>
      <c r="AR21" s="196"/>
      <c r="AS21" s="196"/>
      <c r="AT21" s="22"/>
      <c r="AU21" s="22"/>
      <c r="AV21" s="22"/>
      <c r="AW21" s="22"/>
    </row>
    <row r="22" spans="1:49">
      <c r="A22" s="485"/>
      <c r="B22" s="599"/>
      <c r="C22" s="549"/>
      <c r="D22" s="602"/>
      <c r="E22" s="555"/>
      <c r="F22" s="549"/>
      <c r="G22" s="191" t="s">
        <v>473</v>
      </c>
      <c r="H22" s="168" t="s">
        <v>23</v>
      </c>
      <c r="I22" s="186">
        <f>($M$34*$D$3)*2</f>
        <v>50880</v>
      </c>
      <c r="J22" s="187"/>
      <c r="K22" s="194"/>
      <c r="L22" s="186">
        <f>($M$34*$D$3)*2</f>
        <v>50880</v>
      </c>
      <c r="M22" s="186">
        <f>($M$34*$D$3)*2</f>
        <v>50880</v>
      </c>
      <c r="N22" s="186">
        <f>($M$34*$D$3)*2</f>
        <v>50880</v>
      </c>
      <c r="O22" s="186">
        <f>($M$34*$D$3)*2</f>
        <v>50880</v>
      </c>
      <c r="P22" s="186">
        <f>($M$34*$D$3)*2</f>
        <v>50880</v>
      </c>
      <c r="Q22" s="193"/>
      <c r="R22" s="194"/>
      <c r="S22" s="195"/>
      <c r="T22" s="186">
        <f>($M$34*$D$3)*2</f>
        <v>50880</v>
      </c>
      <c r="U22" s="186">
        <f>($M$34*$D$3)*2</f>
        <v>50880</v>
      </c>
      <c r="V22" s="186">
        <f>($M$34*$D$3)*2</f>
        <v>50880</v>
      </c>
      <c r="W22" s="186">
        <f>($M$34*$D$3)*2</f>
        <v>50880</v>
      </c>
      <c r="X22" s="193"/>
      <c r="Y22" s="188"/>
      <c r="Z22" s="186">
        <f>($AA$34*$D$3)*2</f>
        <v>63600</v>
      </c>
      <c r="AA22" s="186">
        <f t="shared" ref="AA22:AD22" si="14">($AA$34*$D$3)*2</f>
        <v>63600</v>
      </c>
      <c r="AB22" s="186">
        <f t="shared" si="14"/>
        <v>63600</v>
      </c>
      <c r="AC22" s="186">
        <f t="shared" si="14"/>
        <v>63600</v>
      </c>
      <c r="AD22" s="186">
        <f t="shared" si="14"/>
        <v>63600</v>
      </c>
      <c r="AE22" s="193"/>
      <c r="AF22" s="188"/>
      <c r="AG22" s="186">
        <f t="shared" ref="AG22:AJ22" si="15">($AA$34*$D$3)*2</f>
        <v>63600</v>
      </c>
      <c r="AH22" s="186">
        <f t="shared" si="15"/>
        <v>63600</v>
      </c>
      <c r="AI22" s="186">
        <f t="shared" si="15"/>
        <v>63600</v>
      </c>
      <c r="AJ22" s="186">
        <f t="shared" si="15"/>
        <v>63600</v>
      </c>
      <c r="AK22" s="190"/>
      <c r="AL22" s="170"/>
      <c r="AM22" s="171"/>
      <c r="AN22" s="36"/>
      <c r="AO22" s="37"/>
      <c r="AP22" s="37"/>
      <c r="AQ22" s="22"/>
      <c r="AR22" s="196"/>
      <c r="AS22" s="196"/>
      <c r="AT22" s="22"/>
      <c r="AU22" s="22"/>
      <c r="AV22" s="22"/>
      <c r="AW22" s="22"/>
    </row>
    <row r="23" spans="1:49">
      <c r="A23" s="485"/>
      <c r="B23" s="599"/>
      <c r="C23" s="549"/>
      <c r="D23" s="602"/>
      <c r="E23" s="555"/>
      <c r="F23" s="549"/>
      <c r="G23" s="191"/>
      <c r="H23" s="168" t="s">
        <v>24</v>
      </c>
      <c r="I23" s="186">
        <v>1</v>
      </c>
      <c r="J23" s="187"/>
      <c r="K23" s="194"/>
      <c r="L23" s="186">
        <v>1</v>
      </c>
      <c r="M23" s="186">
        <v>1</v>
      </c>
      <c r="N23" s="186">
        <v>1</v>
      </c>
      <c r="O23" s="186">
        <v>1</v>
      </c>
      <c r="P23" s="186">
        <v>1</v>
      </c>
      <c r="Q23" s="193"/>
      <c r="R23" s="194"/>
      <c r="S23" s="195"/>
      <c r="T23" s="186">
        <v>1</v>
      </c>
      <c r="U23" s="186">
        <v>1</v>
      </c>
      <c r="V23" s="186">
        <v>1</v>
      </c>
      <c r="W23" s="186">
        <v>1</v>
      </c>
      <c r="X23" s="193"/>
      <c r="Y23" s="188"/>
      <c r="Z23" s="186">
        <v>1</v>
      </c>
      <c r="AA23" s="186">
        <v>1</v>
      </c>
      <c r="AB23" s="186">
        <v>1</v>
      </c>
      <c r="AC23" s="186">
        <v>1</v>
      </c>
      <c r="AD23" s="186">
        <v>1</v>
      </c>
      <c r="AE23" s="193"/>
      <c r="AF23" s="188"/>
      <c r="AG23" s="186">
        <v>1</v>
      </c>
      <c r="AH23" s="186">
        <v>1</v>
      </c>
      <c r="AI23" s="186">
        <v>1</v>
      </c>
      <c r="AJ23" s="186">
        <v>1</v>
      </c>
      <c r="AK23" s="190"/>
      <c r="AL23" s="170"/>
      <c r="AM23" s="171"/>
      <c r="AN23" s="36"/>
      <c r="AO23" s="37"/>
      <c r="AP23" s="37"/>
      <c r="AQ23" s="22"/>
      <c r="AR23" s="196"/>
      <c r="AS23" s="196"/>
      <c r="AT23" s="22"/>
      <c r="AU23" s="22"/>
      <c r="AV23" s="22"/>
      <c r="AW23" s="22"/>
    </row>
    <row r="24" spans="1:49">
      <c r="A24" s="767" t="s">
        <v>446</v>
      </c>
      <c r="B24" s="599"/>
      <c r="C24" s="549"/>
      <c r="D24" s="602"/>
      <c r="E24" s="555"/>
      <c r="F24" s="549"/>
      <c r="G24" s="172"/>
      <c r="H24" s="173" t="s">
        <v>16</v>
      </c>
      <c r="I24" s="172"/>
      <c r="J24" s="187"/>
      <c r="K24" s="194"/>
      <c r="L24" s="172"/>
      <c r="M24" s="172"/>
      <c r="N24" s="172"/>
      <c r="O24" s="172"/>
      <c r="P24" s="172"/>
      <c r="Q24" s="193"/>
      <c r="R24" s="194"/>
      <c r="S24" s="195"/>
      <c r="T24" s="172"/>
      <c r="U24" s="172"/>
      <c r="V24" s="172"/>
      <c r="W24" s="172"/>
      <c r="X24" s="193"/>
      <c r="Y24" s="188"/>
      <c r="Z24" s="172"/>
      <c r="AA24" s="172"/>
      <c r="AB24" s="172"/>
      <c r="AC24" s="172"/>
      <c r="AD24" s="172"/>
      <c r="AE24" s="193"/>
      <c r="AF24" s="188"/>
      <c r="AG24" s="172"/>
      <c r="AH24" s="172"/>
      <c r="AI24" s="172"/>
      <c r="AJ24" s="172"/>
      <c r="AK24" s="190"/>
      <c r="AL24" s="170"/>
      <c r="AM24" s="171"/>
      <c r="AN24" s="36"/>
      <c r="AO24" s="37"/>
      <c r="AP24" s="37"/>
      <c r="AQ24" s="22"/>
      <c r="AR24" s="196"/>
      <c r="AS24" s="196"/>
      <c r="AT24" s="22"/>
      <c r="AU24" s="22"/>
      <c r="AV24" s="22"/>
      <c r="AW24" s="22"/>
    </row>
    <row r="25" spans="1:49">
      <c r="A25" s="485"/>
      <c r="B25" s="599"/>
      <c r="C25" s="549"/>
      <c r="D25" s="602"/>
      <c r="E25" s="555"/>
      <c r="F25" s="549"/>
      <c r="G25" s="172"/>
      <c r="H25" s="173" t="s">
        <v>113</v>
      </c>
      <c r="I25" s="172"/>
      <c r="J25" s="187"/>
      <c r="K25" s="194"/>
      <c r="L25" s="172"/>
      <c r="M25" s="172"/>
      <c r="N25" s="172"/>
      <c r="O25" s="172"/>
      <c r="P25" s="172"/>
      <c r="Q25" s="193"/>
      <c r="R25" s="194"/>
      <c r="S25" s="195"/>
      <c r="T25" s="172"/>
      <c r="U25" s="172"/>
      <c r="V25" s="172"/>
      <c r="W25" s="172"/>
      <c r="X25" s="193"/>
      <c r="Y25" s="188"/>
      <c r="Z25" s="172"/>
      <c r="AA25" s="172"/>
      <c r="AB25" s="172"/>
      <c r="AC25" s="172"/>
      <c r="AD25" s="172"/>
      <c r="AE25" s="193"/>
      <c r="AF25" s="188"/>
      <c r="AG25" s="172"/>
      <c r="AH25" s="172"/>
      <c r="AI25" s="172"/>
      <c r="AJ25" s="172"/>
      <c r="AK25" s="190"/>
      <c r="AL25" s="170"/>
      <c r="AM25" s="171"/>
      <c r="AN25" s="36"/>
      <c r="AO25" s="37"/>
      <c r="AP25" s="37"/>
      <c r="AQ25" s="22"/>
      <c r="AR25" s="196"/>
      <c r="AS25" s="196"/>
      <c r="AT25" s="22"/>
      <c r="AU25" s="22"/>
      <c r="AV25" s="22"/>
      <c r="AW25" s="22"/>
    </row>
    <row r="26" spans="1:49">
      <c r="A26" s="485"/>
      <c r="B26" s="599"/>
      <c r="C26" s="549"/>
      <c r="D26" s="602"/>
      <c r="E26" s="555"/>
      <c r="F26" s="549"/>
      <c r="G26" s="191" t="s">
        <v>474</v>
      </c>
      <c r="H26" s="168" t="s">
        <v>26</v>
      </c>
      <c r="I26" s="186">
        <f>$M$34*$D$3</f>
        <v>25440</v>
      </c>
      <c r="J26" s="187"/>
      <c r="K26" s="194"/>
      <c r="L26" s="186">
        <f>$M$34*$D$3</f>
        <v>25440</v>
      </c>
      <c r="M26" s="186">
        <f>$M$34*$D$3</f>
        <v>25440</v>
      </c>
      <c r="N26" s="186">
        <f>$M$34*$D$3</f>
        <v>25440</v>
      </c>
      <c r="O26" s="186">
        <f>$M$34*$D$3</f>
        <v>25440</v>
      </c>
      <c r="P26" s="186">
        <f>$M$34*$D$3</f>
        <v>25440</v>
      </c>
      <c r="Q26" s="193"/>
      <c r="R26" s="194"/>
      <c r="S26" s="195"/>
      <c r="T26" s="186">
        <f>$M$34*$D$3</f>
        <v>25440</v>
      </c>
      <c r="U26" s="186">
        <f>$M$34*$D$3</f>
        <v>25440</v>
      </c>
      <c r="V26" s="186">
        <f>$M$34*$D$3</f>
        <v>25440</v>
      </c>
      <c r="W26" s="186">
        <f>$M$34*$D$3</f>
        <v>25440</v>
      </c>
      <c r="X26" s="193"/>
      <c r="Y26" s="188"/>
      <c r="Z26" s="186">
        <f>$AA$34*$D$3</f>
        <v>31800</v>
      </c>
      <c r="AA26" s="186">
        <f t="shared" ref="AA26:AD26" si="16">$AA$34*$D$3</f>
        <v>31800</v>
      </c>
      <c r="AB26" s="186">
        <f t="shared" si="16"/>
        <v>31800</v>
      </c>
      <c r="AC26" s="186">
        <f t="shared" si="16"/>
        <v>31800</v>
      </c>
      <c r="AD26" s="186">
        <f t="shared" si="16"/>
        <v>31800</v>
      </c>
      <c r="AE26" s="193"/>
      <c r="AF26" s="188"/>
      <c r="AG26" s="186">
        <f t="shared" ref="AG26:AJ26" si="17">$AA$34*$D$3</f>
        <v>31800</v>
      </c>
      <c r="AH26" s="186">
        <f t="shared" si="17"/>
        <v>31800</v>
      </c>
      <c r="AI26" s="186">
        <f t="shared" si="17"/>
        <v>31800</v>
      </c>
      <c r="AJ26" s="186">
        <f t="shared" si="17"/>
        <v>31800</v>
      </c>
      <c r="AK26" s="190"/>
      <c r="AL26" s="170"/>
      <c r="AM26" s="171"/>
      <c r="AN26" s="36"/>
      <c r="AO26" s="37"/>
      <c r="AP26" s="37"/>
      <c r="AQ26" s="22"/>
      <c r="AR26" s="196"/>
      <c r="AS26" s="196"/>
      <c r="AT26" s="22"/>
      <c r="AU26" s="22"/>
      <c r="AV26" s="22"/>
      <c r="AW26" s="22"/>
    </row>
    <row r="27" spans="1:49">
      <c r="A27" s="485"/>
      <c r="B27" s="599"/>
      <c r="C27" s="549"/>
      <c r="D27" s="602"/>
      <c r="E27" s="555"/>
      <c r="F27" s="549"/>
      <c r="G27" s="191"/>
      <c r="H27" s="168" t="s">
        <v>24</v>
      </c>
      <c r="I27" s="186">
        <v>1</v>
      </c>
      <c r="J27" s="187"/>
      <c r="K27" s="194"/>
      <c r="L27" s="186">
        <v>1</v>
      </c>
      <c r="M27" s="186">
        <v>1</v>
      </c>
      <c r="N27" s="186">
        <v>1</v>
      </c>
      <c r="O27" s="186">
        <v>1</v>
      </c>
      <c r="P27" s="186">
        <v>1</v>
      </c>
      <c r="Q27" s="193"/>
      <c r="R27" s="194"/>
      <c r="S27" s="195"/>
      <c r="T27" s="186">
        <v>1</v>
      </c>
      <c r="U27" s="186">
        <v>1</v>
      </c>
      <c r="V27" s="186">
        <v>1</v>
      </c>
      <c r="W27" s="186">
        <v>1</v>
      </c>
      <c r="X27" s="193"/>
      <c r="Y27" s="188"/>
      <c r="Z27" s="186">
        <v>1</v>
      </c>
      <c r="AA27" s="186">
        <v>1</v>
      </c>
      <c r="AB27" s="186">
        <v>1</v>
      </c>
      <c r="AC27" s="186">
        <v>1</v>
      </c>
      <c r="AD27" s="186">
        <v>1</v>
      </c>
      <c r="AE27" s="193"/>
      <c r="AF27" s="188"/>
      <c r="AG27" s="186">
        <v>1</v>
      </c>
      <c r="AH27" s="186">
        <v>1</v>
      </c>
      <c r="AI27" s="186">
        <v>1</v>
      </c>
      <c r="AJ27" s="186">
        <v>1</v>
      </c>
      <c r="AK27" s="190"/>
      <c r="AL27" s="170"/>
      <c r="AM27" s="171"/>
      <c r="AN27" s="36"/>
      <c r="AO27" s="37"/>
      <c r="AP27" s="37"/>
      <c r="AQ27" s="22"/>
      <c r="AR27" s="196"/>
      <c r="AS27" s="196"/>
      <c r="AT27" s="22"/>
      <c r="AU27" s="22"/>
      <c r="AV27" s="22"/>
      <c r="AW27" s="22"/>
    </row>
    <row r="28" spans="1:49">
      <c r="A28" s="485"/>
      <c r="B28" s="599"/>
      <c r="C28" s="549"/>
      <c r="D28" s="602"/>
      <c r="E28" s="555"/>
      <c r="F28" s="549"/>
      <c r="G28" s="172"/>
      <c r="H28" s="173" t="s">
        <v>16</v>
      </c>
      <c r="I28" s="172"/>
      <c r="J28" s="187">
        <f>31895+16858</f>
        <v>48753</v>
      </c>
      <c r="K28" s="194"/>
      <c r="L28" s="172"/>
      <c r="M28" s="172"/>
      <c r="N28" s="172"/>
      <c r="O28" s="172"/>
      <c r="P28" s="172"/>
      <c r="Q28" s="193"/>
      <c r="R28" s="194"/>
      <c r="S28" s="195"/>
      <c r="T28" s="172"/>
      <c r="U28" s="172"/>
      <c r="V28" s="172"/>
      <c r="W28" s="172"/>
      <c r="X28" s="193"/>
      <c r="Y28" s="188"/>
      <c r="Z28" s="172"/>
      <c r="AA28" s="172"/>
      <c r="AB28" s="172"/>
      <c r="AC28" s="172"/>
      <c r="AD28" s="172"/>
      <c r="AE28" s="193"/>
      <c r="AF28" s="188"/>
      <c r="AG28" s="172"/>
      <c r="AH28" s="172"/>
      <c r="AI28" s="172"/>
      <c r="AJ28" s="172"/>
      <c r="AK28" s="190"/>
      <c r="AL28" s="170"/>
      <c r="AM28" s="171"/>
      <c r="AN28" s="36"/>
      <c r="AO28" s="37"/>
      <c r="AP28" s="37"/>
      <c r="AQ28" s="22"/>
      <c r="AR28" s="196"/>
      <c r="AS28" s="196"/>
      <c r="AT28" s="22"/>
      <c r="AU28" s="22"/>
      <c r="AV28" s="22"/>
      <c r="AW28" s="22"/>
    </row>
    <row r="29" spans="1:49">
      <c r="A29" s="485"/>
      <c r="B29" s="599"/>
      <c r="C29" s="549"/>
      <c r="D29" s="602"/>
      <c r="E29" s="555"/>
      <c r="F29" s="549"/>
      <c r="G29" s="172"/>
      <c r="H29" s="173" t="s">
        <v>113</v>
      </c>
      <c r="I29" s="31">
        <f>I28-I26</f>
        <v>-25440</v>
      </c>
      <c r="J29" s="192">
        <f>I29+(J28-J26)</f>
        <v>23313</v>
      </c>
      <c r="K29" s="194"/>
      <c r="L29" s="172"/>
      <c r="M29" s="172"/>
      <c r="N29" s="172"/>
      <c r="O29" s="172"/>
      <c r="P29" s="172"/>
      <c r="Q29" s="193"/>
      <c r="R29" s="194"/>
      <c r="S29" s="195"/>
      <c r="T29" s="172"/>
      <c r="U29" s="172"/>
      <c r="V29" s="172"/>
      <c r="W29" s="172"/>
      <c r="X29" s="193"/>
      <c r="Y29" s="188"/>
      <c r="Z29" s="172"/>
      <c r="AA29" s="172"/>
      <c r="AB29" s="172"/>
      <c r="AC29" s="172"/>
      <c r="AD29" s="172"/>
      <c r="AE29" s="193"/>
      <c r="AF29" s="188"/>
      <c r="AG29" s="172"/>
      <c r="AH29" s="172"/>
      <c r="AI29" s="172"/>
      <c r="AJ29" s="172"/>
      <c r="AK29" s="190"/>
      <c r="AL29" s="170"/>
      <c r="AM29" s="171"/>
      <c r="AN29" s="36"/>
      <c r="AO29" s="37"/>
      <c r="AP29" s="37"/>
      <c r="AQ29" s="22"/>
      <c r="AR29" s="196"/>
      <c r="AS29" s="196"/>
      <c r="AT29" s="22"/>
      <c r="AU29" s="22"/>
      <c r="AV29" s="22"/>
      <c r="AW29" s="22"/>
    </row>
    <row r="30" spans="1:49">
      <c r="A30" s="485"/>
      <c r="B30" s="599"/>
      <c r="C30" s="549"/>
      <c r="D30" s="602"/>
      <c r="E30" s="555"/>
      <c r="F30" s="549"/>
      <c r="G30" s="191"/>
      <c r="H30" s="168" t="s">
        <v>27</v>
      </c>
      <c r="I30" s="186">
        <f>$M$34*$D$3</f>
        <v>25440</v>
      </c>
      <c r="J30" s="187"/>
      <c r="K30" s="188"/>
      <c r="L30" s="186">
        <f>$M$34*$D$3</f>
        <v>25440</v>
      </c>
      <c r="M30" s="186">
        <f>$M$34*$D$3</f>
        <v>25440</v>
      </c>
      <c r="N30" s="186">
        <f>$M$34*$D$3</f>
        <v>25440</v>
      </c>
      <c r="O30" s="186">
        <f>$M$34*$D$3</f>
        <v>25440</v>
      </c>
      <c r="P30" s="186">
        <f>$M$34*$D$3</f>
        <v>25440</v>
      </c>
      <c r="Q30" s="193"/>
      <c r="R30" s="194"/>
      <c r="S30" s="195"/>
      <c r="T30" s="186">
        <f>$M$34*$D$3</f>
        <v>25440</v>
      </c>
      <c r="U30" s="186">
        <f>$M$34*$D$3</f>
        <v>25440</v>
      </c>
      <c r="V30" s="186">
        <f>$M$34*$D$3</f>
        <v>25440</v>
      </c>
      <c r="W30" s="186">
        <f>$M$34*$D$3</f>
        <v>25440</v>
      </c>
      <c r="X30" s="187"/>
      <c r="Y30" s="188"/>
      <c r="Z30" s="186">
        <f>$AA$34*$D$3</f>
        <v>31800</v>
      </c>
      <c r="AA30" s="186">
        <f t="shared" ref="AA30:AD30" si="18">$AA$34*$D$3</f>
        <v>31800</v>
      </c>
      <c r="AB30" s="186">
        <f t="shared" si="18"/>
        <v>31800</v>
      </c>
      <c r="AC30" s="186">
        <f t="shared" si="18"/>
        <v>31800</v>
      </c>
      <c r="AD30" s="186">
        <f t="shared" si="18"/>
        <v>31800</v>
      </c>
      <c r="AE30" s="187"/>
      <c r="AF30" s="188"/>
      <c r="AG30" s="186">
        <f t="shared" ref="AG30:AJ30" si="19">$AA$34*$D$3</f>
        <v>31800</v>
      </c>
      <c r="AH30" s="186">
        <f t="shared" si="19"/>
        <v>31800</v>
      </c>
      <c r="AI30" s="186">
        <f t="shared" si="19"/>
        <v>31800</v>
      </c>
      <c r="AJ30" s="186">
        <f t="shared" si="19"/>
        <v>31800</v>
      </c>
      <c r="AK30" s="190"/>
      <c r="AL30" s="170"/>
      <c r="AM30" s="171"/>
      <c r="AN30" s="36"/>
      <c r="AO30" s="37"/>
      <c r="AP30" s="37"/>
      <c r="AQ30" s="22"/>
      <c r="AR30" s="196"/>
      <c r="AS30" s="196"/>
      <c r="AT30" s="22"/>
      <c r="AU30" s="22"/>
      <c r="AV30" s="22"/>
      <c r="AW30" s="22"/>
    </row>
    <row r="31" spans="1:49">
      <c r="A31" s="485"/>
      <c r="B31" s="599"/>
      <c r="C31" s="549"/>
      <c r="D31" s="602"/>
      <c r="E31" s="555"/>
      <c r="F31" s="549"/>
      <c r="G31" s="191"/>
      <c r="H31" s="168" t="s">
        <v>28</v>
      </c>
      <c r="I31" s="186">
        <v>1</v>
      </c>
      <c r="J31" s="187"/>
      <c r="K31" s="188"/>
      <c r="L31" s="186">
        <v>1</v>
      </c>
      <c r="M31" s="186">
        <v>1</v>
      </c>
      <c r="N31" s="186">
        <v>1</v>
      </c>
      <c r="O31" s="186">
        <v>1</v>
      </c>
      <c r="P31" s="186">
        <v>1</v>
      </c>
      <c r="Q31" s="193"/>
      <c r="R31" s="194"/>
      <c r="S31" s="195"/>
      <c r="T31" s="186">
        <v>1</v>
      </c>
      <c r="U31" s="186">
        <v>1</v>
      </c>
      <c r="V31" s="186">
        <v>1</v>
      </c>
      <c r="W31" s="186">
        <v>1</v>
      </c>
      <c r="X31" s="193"/>
      <c r="Y31" s="194"/>
      <c r="Z31" s="186">
        <v>1</v>
      </c>
      <c r="AA31" s="186">
        <v>1</v>
      </c>
      <c r="AB31" s="186">
        <v>1</v>
      </c>
      <c r="AC31" s="186">
        <v>1</v>
      </c>
      <c r="AD31" s="186">
        <v>1</v>
      </c>
      <c r="AE31" s="193"/>
      <c r="AF31" s="194"/>
      <c r="AG31" s="186">
        <v>1</v>
      </c>
      <c r="AH31" s="186">
        <v>1</v>
      </c>
      <c r="AI31" s="186">
        <v>1</v>
      </c>
      <c r="AJ31" s="186">
        <v>1</v>
      </c>
      <c r="AK31" s="197"/>
      <c r="AL31" s="170"/>
      <c r="AM31" s="171"/>
      <c r="AN31" s="36"/>
      <c r="AO31" s="37"/>
      <c r="AP31" s="37"/>
      <c r="AQ31" s="22"/>
      <c r="AR31" s="196"/>
      <c r="AS31" s="196"/>
      <c r="AT31" s="22"/>
      <c r="AU31" s="22"/>
      <c r="AV31" s="22"/>
      <c r="AW31" s="22"/>
    </row>
    <row r="32" spans="1:49">
      <c r="A32" s="485"/>
      <c r="B32" s="599"/>
      <c r="C32" s="549"/>
      <c r="D32" s="602"/>
      <c r="E32" s="555"/>
      <c r="F32" s="549"/>
      <c r="G32" s="172"/>
      <c r="H32" s="173" t="s">
        <v>16</v>
      </c>
      <c r="I32" s="186">
        <f>SUMIFS('總絞Twisting core'!$K$7:$K$1000,'總絞Twisting core'!$A$7:$A$1000,'03'!I$2,'總絞Twisting core'!$D$7:$D$1000,'03'!$A$24)</f>
        <v>14983</v>
      </c>
      <c r="J32" s="187">
        <f>SUMIFS('總絞Twisting core'!$K$7:$K$1000,'總絞Twisting core'!$A$7:$A$1000,'03'!J$2,'總絞Twisting core'!$D$7:$D$1000,'03'!$A$24)</f>
        <v>10226</v>
      </c>
      <c r="K32" s="194"/>
      <c r="L32" s="186">
        <f>SUMIFS('總絞Twisting core'!$K$7:$K$1000,'總絞Twisting core'!$A$7:$A$1000,'03'!L$2,'總絞Twisting core'!$D$7:$D$1000,'03'!$A$24)</f>
        <v>26756</v>
      </c>
      <c r="M32" s="186">
        <f>SUMIFS('總絞Twisting core'!$K$7:$K$1000,'總絞Twisting core'!$A$7:$A$1000,'03'!M$2,'總絞Twisting core'!$D$7:$D$1000,'03'!$A$24)</f>
        <v>24416</v>
      </c>
      <c r="N32" s="186">
        <f>SUMIFS('總絞Twisting core'!$K$7:$K$1000,'總絞Twisting core'!$A$7:$A$1000,'03'!N$2,'總絞Twisting core'!$D$7:$D$1000,'03'!$A$24)</f>
        <v>22094</v>
      </c>
      <c r="O32" s="186">
        <f>SUMIFS('總絞Twisting core'!$K$7:$K$1000,'總絞Twisting core'!$A$7:$A$1000,'03'!O$2,'總絞Twisting core'!$D$7:$D$1000,'03'!$A$24)</f>
        <v>33788</v>
      </c>
      <c r="P32" s="186">
        <f>SUMIFS('總絞Twisting core'!$K$7:$K$1000,'總絞Twisting core'!$A$7:$A$1000,'03'!P$2,'總絞Twisting core'!$D$7:$D$1000,'03'!$A$24)</f>
        <v>37217</v>
      </c>
      <c r="Q32" s="187">
        <f>SUMIFS('總絞Twisting core'!$K$7:$K$1000,'總絞Twisting core'!$A$7:$A$1000,'03'!Q$2,'總絞Twisting core'!$D$7:$D$1000,'03'!$A$24)</f>
        <v>23536</v>
      </c>
      <c r="R32" s="194"/>
      <c r="S32" s="195"/>
      <c r="T32" s="186">
        <f>SUMIFS('總絞Twisting core'!$K$7:$K$1000,'總絞Twisting core'!$A$7:$A$1000,'03'!T$2,'總絞Twisting core'!$D$7:$D$1000,'03'!$A$24)</f>
        <v>33315</v>
      </c>
      <c r="U32" s="186">
        <f>SUMIFS('總絞Twisting core'!$K$7:$K$1000,'總絞Twisting core'!$A$7:$A$1000,'03'!U$2,'總絞Twisting core'!$D$7:$D$1000,'03'!$A$24)</f>
        <v>32958</v>
      </c>
      <c r="V32" s="186">
        <f>SUMIFS('總絞Twisting core'!$K$7:$K$1000,'總絞Twisting core'!$A$7:$A$1000,'03'!V$2,'總絞Twisting core'!$D$7:$D$1000,'03'!$A$24)</f>
        <v>0</v>
      </c>
      <c r="W32" s="186">
        <f>SUMIFS('總絞Twisting core'!$K$7:$K$1000,'總絞Twisting core'!$A$7:$A$1000,'03'!W$2,'總絞Twisting core'!$D$7:$D$1000,'03'!$A$24)</f>
        <v>0</v>
      </c>
      <c r="X32" s="187">
        <f>SUMIFS('總絞Twisting core'!$K$7:$K$1000,'總絞Twisting core'!$A$7:$A$1000,'03'!X$2,'總絞Twisting core'!$D$7:$D$1000,'03'!$A$24)</f>
        <v>0</v>
      </c>
      <c r="Y32" s="194"/>
      <c r="Z32" s="186">
        <f>SUMIFS('總絞Twisting core'!$K$7:$K$1000,'總絞Twisting core'!$A$7:$A$1000,'03'!Z$2,'總絞Twisting core'!$D$7:$D$1000,'03'!$A$24)</f>
        <v>0</v>
      </c>
      <c r="AA32" s="186">
        <f>SUMIFS('總絞Twisting core'!$K$7:$K$1000,'總絞Twisting core'!$A$7:$A$1000,'03'!AA$2,'總絞Twisting core'!$D$7:$D$1000,'03'!$A$24)</f>
        <v>0</v>
      </c>
      <c r="AB32" s="186">
        <f>SUMIFS('總絞Twisting core'!$K$7:$K$1000,'總絞Twisting core'!$A$7:$A$1000,'03'!AB$2,'總絞Twisting core'!$D$7:$D$1000,'03'!$A$24)</f>
        <v>0</v>
      </c>
      <c r="AC32" s="186">
        <f>SUMIFS('總絞Twisting core'!$K$7:$K$1000,'總絞Twisting core'!$A$7:$A$1000,'03'!AC$2,'總絞Twisting core'!$D$7:$D$1000,'03'!$A$24)</f>
        <v>0</v>
      </c>
      <c r="AD32" s="186">
        <f>SUMIFS('總絞Twisting core'!$K$7:$K$1000,'總絞Twisting core'!$A$7:$A$1000,'03'!AD$2,'總絞Twisting core'!$D$7:$D$1000,'03'!$A$24)</f>
        <v>0</v>
      </c>
      <c r="AE32" s="187">
        <f>SUMIFS('總絞Twisting core'!$K$7:$K$1000,'總絞Twisting core'!$A$7:$A$1000,'03'!AE$2,'總絞Twisting core'!$D$7:$D$1000,'03'!$A$24)</f>
        <v>0</v>
      </c>
      <c r="AF32" s="194"/>
      <c r="AG32" s="186">
        <f>SUMIFS('總絞Twisting core'!$K$7:$K$1000,'總絞Twisting core'!$A$7:$A$1000,'03'!AG$2,'總絞Twisting core'!$D$7:$D$1000,'03'!$A$24)</f>
        <v>0</v>
      </c>
      <c r="AH32" s="186">
        <f>SUMIFS('總絞Twisting core'!$K$7:$K$1000,'總絞Twisting core'!$A$7:$A$1000,'03'!AH$2,'總絞Twisting core'!$D$7:$D$1000,'03'!$A$24)</f>
        <v>0</v>
      </c>
      <c r="AI32" s="186">
        <f>SUMIFS('總絞Twisting core'!$K$7:$K$1000,'總絞Twisting core'!$A$7:$A$1000,'03'!AI$2,'總絞Twisting core'!$D$7:$D$1000,'03'!$A$24)</f>
        <v>0</v>
      </c>
      <c r="AJ32" s="186">
        <f>SUMIFS('總絞Twisting core'!$K$7:$K$1000,'總絞Twisting core'!$A$7:$A$1000,'03'!AJ$2,'總絞Twisting core'!$D$7:$D$1000,'03'!$A$24)</f>
        <v>0</v>
      </c>
      <c r="AK32" s="197"/>
      <c r="AL32" s="170"/>
      <c r="AM32" s="171"/>
      <c r="AN32" s="36"/>
      <c r="AO32" s="37"/>
      <c r="AP32" s="37"/>
      <c r="AQ32" s="22"/>
      <c r="AR32" s="196"/>
      <c r="AS32" s="196"/>
      <c r="AT32" s="22"/>
      <c r="AU32" s="22"/>
      <c r="AV32" s="22"/>
      <c r="AW32" s="22"/>
    </row>
    <row r="33" spans="1:49">
      <c r="A33" s="485"/>
      <c r="B33" s="599"/>
      <c r="C33" s="549"/>
      <c r="D33" s="602"/>
      <c r="E33" s="555"/>
      <c r="F33" s="549"/>
      <c r="G33" s="172"/>
      <c r="H33" s="173" t="s">
        <v>113</v>
      </c>
      <c r="I33" s="31">
        <f>I32-I30</f>
        <v>-10457</v>
      </c>
      <c r="J33" s="192">
        <f>I33+(J32-J30)</f>
        <v>-231</v>
      </c>
      <c r="K33" s="194"/>
      <c r="L33" s="31">
        <f>J33+(L32-L30)</f>
        <v>1085</v>
      </c>
      <c r="M33" s="31">
        <f>L33+(M32-M30)</f>
        <v>61</v>
      </c>
      <c r="N33" s="172"/>
      <c r="O33" s="172"/>
      <c r="P33" s="172"/>
      <c r="Q33" s="193"/>
      <c r="R33" s="194"/>
      <c r="S33" s="195"/>
      <c r="T33" s="172"/>
      <c r="U33" s="172"/>
      <c r="V33" s="172"/>
      <c r="W33" s="172"/>
      <c r="X33" s="193"/>
      <c r="Y33" s="194"/>
      <c r="Z33" s="172"/>
      <c r="AA33" s="172"/>
      <c r="AB33" s="172"/>
      <c r="AC33" s="172"/>
      <c r="AD33" s="172"/>
      <c r="AE33" s="193"/>
      <c r="AF33" s="194"/>
      <c r="AG33" s="172"/>
      <c r="AH33" s="172"/>
      <c r="AI33" s="172"/>
      <c r="AJ33" s="172"/>
      <c r="AK33" s="197"/>
      <c r="AL33" s="170"/>
      <c r="AM33" s="171"/>
      <c r="AN33" s="36"/>
      <c r="AO33" s="37"/>
      <c r="AP33" s="37"/>
      <c r="AQ33" s="22"/>
      <c r="AR33" s="196"/>
      <c r="AS33" s="196"/>
      <c r="AT33" s="22"/>
      <c r="AU33" s="22"/>
      <c r="AV33" s="22"/>
      <c r="AW33" s="22"/>
    </row>
    <row r="34" spans="1:49">
      <c r="A34" s="485"/>
      <c r="B34" s="599"/>
      <c r="C34" s="549"/>
      <c r="D34" s="602"/>
      <c r="E34" s="555"/>
      <c r="F34" s="549"/>
      <c r="G34" s="191"/>
      <c r="H34" s="168" t="s">
        <v>29</v>
      </c>
      <c r="I34" s="186">
        <f>16000</f>
        <v>16000</v>
      </c>
      <c r="J34" s="193"/>
      <c r="K34" s="194"/>
      <c r="L34" s="186">
        <f>16000</f>
        <v>16000</v>
      </c>
      <c r="M34" s="186">
        <f>16000</f>
        <v>16000</v>
      </c>
      <c r="N34" s="186">
        <f>16000</f>
        <v>16000</v>
      </c>
      <c r="O34" s="186">
        <f>16000</f>
        <v>16000</v>
      </c>
      <c r="P34" s="186">
        <f>16000</f>
        <v>16000</v>
      </c>
      <c r="Q34" s="193"/>
      <c r="R34" s="194"/>
      <c r="S34" s="195"/>
      <c r="T34" s="186">
        <f>16000</f>
        <v>16000</v>
      </c>
      <c r="U34" s="186">
        <f>16000</f>
        <v>16000</v>
      </c>
      <c r="V34" s="186">
        <f>16000</f>
        <v>16000</v>
      </c>
      <c r="W34" s="186">
        <f>16000</f>
        <v>16000</v>
      </c>
      <c r="X34" s="187"/>
      <c r="Y34" s="194"/>
      <c r="Z34" s="186">
        <f>16000</f>
        <v>16000</v>
      </c>
      <c r="AA34" s="186">
        <v>20000</v>
      </c>
      <c r="AB34" s="186">
        <v>20000</v>
      </c>
      <c r="AC34" s="186">
        <v>20000</v>
      </c>
      <c r="AD34" s="186">
        <v>20000</v>
      </c>
      <c r="AE34" s="187"/>
      <c r="AF34" s="194"/>
      <c r="AG34" s="186">
        <v>20000</v>
      </c>
      <c r="AH34" s="186">
        <v>20000</v>
      </c>
      <c r="AI34" s="186">
        <v>20000</v>
      </c>
      <c r="AJ34" s="186">
        <v>20000</v>
      </c>
      <c r="AK34" s="197"/>
      <c r="AL34" s="170"/>
      <c r="AM34" s="171"/>
      <c r="AN34" s="36"/>
      <c r="AO34" s="37"/>
      <c r="AP34" s="37"/>
      <c r="AQ34" s="22"/>
      <c r="AR34" s="196"/>
      <c r="AS34" s="196"/>
      <c r="AT34" s="22"/>
      <c r="AU34" s="22"/>
      <c r="AV34" s="22"/>
      <c r="AW34" s="22"/>
    </row>
    <row r="35" spans="1:49">
      <c r="A35" s="485"/>
      <c r="B35" s="599"/>
      <c r="C35" s="549"/>
      <c r="D35" s="602"/>
      <c r="E35" s="555"/>
      <c r="F35" s="549"/>
      <c r="G35" s="191"/>
      <c r="H35" s="168" t="s">
        <v>30</v>
      </c>
      <c r="I35" s="186">
        <v>1</v>
      </c>
      <c r="J35" s="193"/>
      <c r="K35" s="194"/>
      <c r="L35" s="186">
        <v>1</v>
      </c>
      <c r="M35" s="186">
        <v>1</v>
      </c>
      <c r="N35" s="186">
        <v>1</v>
      </c>
      <c r="O35" s="186">
        <v>1</v>
      </c>
      <c r="P35" s="186">
        <v>1</v>
      </c>
      <c r="Q35" s="193"/>
      <c r="R35" s="194"/>
      <c r="S35" s="195"/>
      <c r="T35" s="186">
        <v>1</v>
      </c>
      <c r="U35" s="186">
        <v>1</v>
      </c>
      <c r="V35" s="186">
        <v>1</v>
      </c>
      <c r="W35" s="186">
        <v>1</v>
      </c>
      <c r="X35" s="193"/>
      <c r="Y35" s="194"/>
      <c r="Z35" s="186">
        <v>1</v>
      </c>
      <c r="AA35" s="186">
        <v>1</v>
      </c>
      <c r="AB35" s="186">
        <v>1</v>
      </c>
      <c r="AC35" s="186">
        <v>1</v>
      </c>
      <c r="AD35" s="186">
        <v>1</v>
      </c>
      <c r="AE35" s="193"/>
      <c r="AF35" s="194"/>
      <c r="AG35" s="186">
        <v>1</v>
      </c>
      <c r="AH35" s="186">
        <v>1</v>
      </c>
      <c r="AI35" s="186">
        <v>1</v>
      </c>
      <c r="AJ35" s="186">
        <v>1</v>
      </c>
      <c r="AK35" s="197"/>
      <c r="AL35" s="170"/>
      <c r="AM35" s="171"/>
      <c r="AN35" s="36"/>
      <c r="AO35" s="37"/>
      <c r="AP35" s="37"/>
      <c r="AQ35" s="22"/>
      <c r="AR35" s="196"/>
      <c r="AS35" s="196"/>
      <c r="AT35" s="22"/>
      <c r="AU35" s="22"/>
      <c r="AV35" s="22"/>
      <c r="AW35" s="22"/>
    </row>
    <row r="36" spans="1:49">
      <c r="A36" s="485"/>
      <c r="B36" s="599"/>
      <c r="C36" s="549"/>
      <c r="D36" s="602"/>
      <c r="E36" s="555"/>
      <c r="F36" s="549"/>
      <c r="G36" s="172"/>
      <c r="H36" s="173" t="s">
        <v>16</v>
      </c>
      <c r="I36" s="198">
        <v>7700</v>
      </c>
      <c r="J36" s="199"/>
      <c r="K36" s="200"/>
      <c r="L36" s="198"/>
      <c r="M36" s="198"/>
      <c r="N36" s="198"/>
      <c r="O36" s="198"/>
      <c r="P36" s="198"/>
      <c r="Q36" s="199"/>
      <c r="R36" s="200"/>
      <c r="S36" s="201"/>
      <c r="T36" s="198"/>
      <c r="U36" s="198"/>
      <c r="V36" s="198"/>
      <c r="W36" s="198"/>
      <c r="X36" s="199"/>
      <c r="Y36" s="200"/>
      <c r="Z36" s="198"/>
      <c r="AA36" s="198"/>
      <c r="AB36" s="198"/>
      <c r="AC36" s="198"/>
      <c r="AD36" s="198"/>
      <c r="AE36" s="199"/>
      <c r="AF36" s="200"/>
      <c r="AG36" s="198"/>
      <c r="AH36" s="198"/>
      <c r="AI36" s="198"/>
      <c r="AJ36" s="198"/>
      <c r="AK36" s="202"/>
      <c r="AL36" s="170"/>
      <c r="AM36" s="171"/>
      <c r="AN36" s="36"/>
      <c r="AO36" s="37"/>
      <c r="AP36" s="37"/>
      <c r="AQ36" s="22"/>
      <c r="AR36" s="196"/>
      <c r="AS36" s="196"/>
      <c r="AT36" s="22"/>
      <c r="AU36" s="22"/>
      <c r="AV36" s="22"/>
      <c r="AW36" s="22"/>
    </row>
    <row r="37" spans="1:49" ht="15.75" thickBot="1">
      <c r="A37" s="486"/>
      <c r="B37" s="600"/>
      <c r="C37" s="550"/>
      <c r="D37" s="603"/>
      <c r="E37" s="556"/>
      <c r="F37" s="550"/>
      <c r="G37" s="203"/>
      <c r="H37" s="204" t="s">
        <v>113</v>
      </c>
      <c r="I37" s="90">
        <f>I36-I34</f>
        <v>-8300</v>
      </c>
      <c r="J37" s="205"/>
      <c r="K37" s="206"/>
      <c r="L37" s="207"/>
      <c r="M37" s="207"/>
      <c r="N37" s="207"/>
      <c r="O37" s="207"/>
      <c r="P37" s="207"/>
      <c r="Q37" s="205"/>
      <c r="R37" s="206"/>
      <c r="S37" s="208"/>
      <c r="T37" s="207"/>
      <c r="U37" s="207"/>
      <c r="V37" s="207"/>
      <c r="W37" s="207"/>
      <c r="X37" s="205"/>
      <c r="Y37" s="206"/>
      <c r="Z37" s="207"/>
      <c r="AA37" s="207"/>
      <c r="AB37" s="207"/>
      <c r="AC37" s="207"/>
      <c r="AD37" s="207"/>
      <c r="AE37" s="205"/>
      <c r="AF37" s="206"/>
      <c r="AG37" s="207"/>
      <c r="AH37" s="207"/>
      <c r="AI37" s="207"/>
      <c r="AJ37" s="207"/>
      <c r="AK37" s="209"/>
      <c r="AL37" s="487"/>
      <c r="AM37" s="263"/>
      <c r="AN37" s="36"/>
      <c r="AO37" s="37"/>
      <c r="AP37" s="37"/>
      <c r="AQ37" s="22"/>
      <c r="AR37" s="196"/>
      <c r="AS37" s="196"/>
      <c r="AT37" s="22"/>
      <c r="AU37" s="22"/>
      <c r="AV37" s="22"/>
      <c r="AW37" s="22"/>
    </row>
    <row r="38" spans="1:49" ht="15" hidden="1" customHeight="1">
      <c r="A38" s="523"/>
      <c r="B38" s="531" t="s">
        <v>32</v>
      </c>
      <c r="C38" s="534">
        <v>12000</v>
      </c>
      <c r="D38" s="537">
        <v>1.2749999999999999</v>
      </c>
      <c r="E38" s="218"/>
      <c r="F38" s="543" t="s">
        <v>11</v>
      </c>
      <c r="G38" s="167">
        <v>0.08</v>
      </c>
      <c r="H38" s="181" t="s">
        <v>111</v>
      </c>
      <c r="I38" s="474">
        <v>128.16999999999999</v>
      </c>
      <c r="J38" s="475"/>
      <c r="K38" s="476"/>
      <c r="L38" s="474">
        <v>128.16999999999999</v>
      </c>
      <c r="M38" s="474">
        <v>128.16999999999999</v>
      </c>
      <c r="N38" s="474">
        <v>128.16999999999999</v>
      </c>
      <c r="O38" s="474">
        <v>128.16999999999999</v>
      </c>
      <c r="P38" s="474">
        <v>128.16999999999999</v>
      </c>
      <c r="Q38" s="268"/>
      <c r="R38" s="231"/>
      <c r="S38" s="269"/>
      <c r="T38" s="474">
        <v>128.16999999999999</v>
      </c>
      <c r="U38" s="474">
        <v>128.16999999999999</v>
      </c>
      <c r="V38" s="474">
        <v>128.16999999999999</v>
      </c>
      <c r="W38" s="474">
        <v>128.16999999999999</v>
      </c>
      <c r="X38" s="475"/>
      <c r="Y38" s="476"/>
      <c r="Z38" s="474">
        <v>128.16999999999999</v>
      </c>
      <c r="AA38" s="474">
        <v>128.16999999999999</v>
      </c>
      <c r="AB38" s="474">
        <v>128.16999999999999</v>
      </c>
      <c r="AC38" s="474">
        <v>128.16999999999999</v>
      </c>
      <c r="AD38" s="474">
        <v>128.16999999999999</v>
      </c>
      <c r="AE38" s="475"/>
      <c r="AF38" s="476"/>
      <c r="AG38" s="474">
        <v>128.16999999999999</v>
      </c>
      <c r="AH38" s="474">
        <v>128.16999999999999</v>
      </c>
      <c r="AI38" s="474">
        <v>128.16999999999999</v>
      </c>
      <c r="AJ38" s="474">
        <v>128.16999999999999</v>
      </c>
      <c r="AK38" s="477"/>
      <c r="AL38" s="297"/>
      <c r="AM38" s="166"/>
      <c r="AN38" s="525"/>
      <c r="AO38" s="22"/>
      <c r="AP38" s="21"/>
      <c r="AQ38" s="21"/>
      <c r="AR38" s="21"/>
      <c r="AS38" s="21"/>
      <c r="AT38" s="22"/>
      <c r="AU38" s="22"/>
      <c r="AV38" s="22"/>
      <c r="AW38" s="22"/>
    </row>
    <row r="39" spans="1:49" ht="15" hidden="1" customHeight="1">
      <c r="A39" s="524"/>
      <c r="B39" s="531"/>
      <c r="C39" s="534"/>
      <c r="D39" s="537"/>
      <c r="E39" s="218"/>
      <c r="F39" s="534"/>
      <c r="G39" s="167"/>
      <c r="H39" s="168" t="s">
        <v>112</v>
      </c>
      <c r="I39" s="186">
        <v>1.5</v>
      </c>
      <c r="J39" s="187"/>
      <c r="K39" s="188"/>
      <c r="L39" s="186">
        <v>1.5</v>
      </c>
      <c r="M39" s="186">
        <v>1.5</v>
      </c>
      <c r="N39" s="186">
        <v>1.5</v>
      </c>
      <c r="O39" s="186">
        <v>1.5</v>
      </c>
      <c r="P39" s="186">
        <v>1.5</v>
      </c>
      <c r="Q39" s="187"/>
      <c r="R39" s="188"/>
      <c r="S39" s="189"/>
      <c r="T39" s="186">
        <v>1.5</v>
      </c>
      <c r="U39" s="186">
        <v>1.5</v>
      </c>
      <c r="V39" s="186">
        <v>1.5</v>
      </c>
      <c r="W39" s="186">
        <v>1.5</v>
      </c>
      <c r="X39" s="187"/>
      <c r="Y39" s="188"/>
      <c r="Z39" s="186">
        <v>1.5</v>
      </c>
      <c r="AA39" s="186">
        <v>1.5</v>
      </c>
      <c r="AB39" s="186">
        <v>1.5</v>
      </c>
      <c r="AC39" s="186">
        <v>1.5</v>
      </c>
      <c r="AD39" s="186">
        <v>1.5</v>
      </c>
      <c r="AE39" s="187"/>
      <c r="AF39" s="188"/>
      <c r="AG39" s="186">
        <v>1.5</v>
      </c>
      <c r="AH39" s="186">
        <v>1.5</v>
      </c>
      <c r="AI39" s="186">
        <v>1.5</v>
      </c>
      <c r="AJ39" s="186">
        <v>1.5</v>
      </c>
      <c r="AK39" s="190"/>
      <c r="AL39" s="217"/>
      <c r="AM39" s="171"/>
      <c r="AN39" s="525"/>
      <c r="AO39" s="22"/>
      <c r="AP39" s="21"/>
      <c r="AQ39" s="21"/>
      <c r="AR39" s="21"/>
      <c r="AS39" s="21"/>
      <c r="AT39" s="22"/>
      <c r="AU39" s="22"/>
      <c r="AV39" s="22"/>
      <c r="AW39" s="22"/>
    </row>
    <row r="40" spans="1:49" ht="15" hidden="1" customHeight="1">
      <c r="A40" s="524"/>
      <c r="B40" s="531"/>
      <c r="C40" s="534"/>
      <c r="D40" s="537"/>
      <c r="E40" s="218"/>
      <c r="F40" s="534"/>
      <c r="G40" s="219"/>
      <c r="H40" s="220" t="s">
        <v>16</v>
      </c>
      <c r="I40" s="198"/>
      <c r="J40" s="221"/>
      <c r="K40" s="222"/>
      <c r="L40" s="186"/>
      <c r="M40" s="186"/>
      <c r="N40" s="186"/>
      <c r="O40" s="186"/>
      <c r="P40" s="186"/>
      <c r="Q40" s="187"/>
      <c r="R40" s="188"/>
      <c r="S40" s="189"/>
      <c r="T40" s="186"/>
      <c r="U40" s="186"/>
      <c r="V40" s="186"/>
      <c r="W40" s="186"/>
      <c r="X40" s="187"/>
      <c r="Y40" s="188"/>
      <c r="Z40" s="186"/>
      <c r="AA40" s="186"/>
      <c r="AB40" s="186"/>
      <c r="AC40" s="186"/>
      <c r="AD40" s="186"/>
      <c r="AE40" s="187"/>
      <c r="AF40" s="188"/>
      <c r="AG40" s="186"/>
      <c r="AH40" s="186"/>
      <c r="AI40" s="186"/>
      <c r="AJ40" s="186"/>
      <c r="AK40" s="190"/>
      <c r="AL40" s="217"/>
      <c r="AM40" s="171"/>
      <c r="AN40" s="21"/>
      <c r="AO40" s="21"/>
      <c r="AP40" s="21"/>
      <c r="AQ40" s="21"/>
      <c r="AR40" s="21"/>
      <c r="AS40" s="21"/>
      <c r="AT40" s="22"/>
      <c r="AU40" s="22"/>
      <c r="AV40" s="22"/>
      <c r="AW40" s="22"/>
    </row>
    <row r="41" spans="1:49" ht="15" hidden="1" customHeight="1">
      <c r="A41" s="524"/>
      <c r="B41" s="531"/>
      <c r="C41" s="534"/>
      <c r="D41" s="537"/>
      <c r="E41" s="218"/>
      <c r="F41" s="534"/>
      <c r="G41" s="191" t="s">
        <v>105</v>
      </c>
      <c r="H41" s="168" t="s">
        <v>114</v>
      </c>
      <c r="I41" s="223">
        <v>128.16999999999999</v>
      </c>
      <c r="J41" s="224"/>
      <c r="K41" s="225"/>
      <c r="L41" s="223">
        <v>128.16999999999999</v>
      </c>
      <c r="M41" s="223">
        <v>128.16999999999999</v>
      </c>
      <c r="N41" s="223">
        <v>128.16999999999999</v>
      </c>
      <c r="O41" s="223">
        <v>128.16999999999999</v>
      </c>
      <c r="P41" s="223">
        <v>128.16999999999999</v>
      </c>
      <c r="Q41" s="187"/>
      <c r="R41" s="188"/>
      <c r="S41" s="189"/>
      <c r="T41" s="223">
        <v>128.16999999999999</v>
      </c>
      <c r="U41" s="223">
        <v>128.16999999999999</v>
      </c>
      <c r="V41" s="223">
        <v>128.16999999999999</v>
      </c>
      <c r="W41" s="223">
        <v>128.16999999999999</v>
      </c>
      <c r="X41" s="224"/>
      <c r="Y41" s="225"/>
      <c r="Z41" s="223">
        <v>128.16999999999999</v>
      </c>
      <c r="AA41" s="223">
        <v>128.16999999999999</v>
      </c>
      <c r="AB41" s="223">
        <v>128.16999999999999</v>
      </c>
      <c r="AC41" s="223">
        <v>128.16999999999999</v>
      </c>
      <c r="AD41" s="223">
        <v>128.16999999999999</v>
      </c>
      <c r="AE41" s="224"/>
      <c r="AF41" s="225"/>
      <c r="AG41" s="223">
        <v>128.16999999999999</v>
      </c>
      <c r="AH41" s="223">
        <v>128.16999999999999</v>
      </c>
      <c r="AI41" s="223">
        <v>128.16999999999999</v>
      </c>
      <c r="AJ41" s="223">
        <v>128.16999999999999</v>
      </c>
      <c r="AK41" s="226"/>
      <c r="AL41" s="217"/>
      <c r="AM41" s="171"/>
      <c r="AN41" s="21"/>
      <c r="AO41" s="21"/>
      <c r="AP41" s="21"/>
      <c r="AQ41" s="21"/>
      <c r="AR41" s="21"/>
      <c r="AS41" s="21"/>
      <c r="AT41" s="22"/>
      <c r="AU41" s="22"/>
      <c r="AV41" s="22"/>
      <c r="AW41" s="22"/>
    </row>
    <row r="42" spans="1:49" ht="15" hidden="1" customHeight="1">
      <c r="A42" s="524"/>
      <c r="B42" s="531"/>
      <c r="C42" s="534"/>
      <c r="D42" s="537"/>
      <c r="E42" s="218"/>
      <c r="F42" s="534"/>
      <c r="G42" s="167"/>
      <c r="H42" s="168" t="s">
        <v>112</v>
      </c>
      <c r="I42" s="186">
        <v>0.5</v>
      </c>
      <c r="J42" s="187"/>
      <c r="K42" s="188"/>
      <c r="L42" s="186">
        <v>0.5</v>
      </c>
      <c r="M42" s="186">
        <v>0.5</v>
      </c>
      <c r="N42" s="186">
        <v>0.5</v>
      </c>
      <c r="O42" s="186">
        <v>0.5</v>
      </c>
      <c r="P42" s="186">
        <v>0.5</v>
      </c>
      <c r="Q42" s="187"/>
      <c r="R42" s="188"/>
      <c r="S42" s="189"/>
      <c r="T42" s="186">
        <v>0.5</v>
      </c>
      <c r="U42" s="186">
        <v>0.5</v>
      </c>
      <c r="V42" s="186">
        <v>0.5</v>
      </c>
      <c r="W42" s="186">
        <v>0.5</v>
      </c>
      <c r="X42" s="187"/>
      <c r="Y42" s="188"/>
      <c r="Z42" s="186">
        <v>0.5</v>
      </c>
      <c r="AA42" s="186">
        <v>0.5</v>
      </c>
      <c r="AB42" s="186">
        <v>0.5</v>
      </c>
      <c r="AC42" s="186">
        <v>0.5</v>
      </c>
      <c r="AD42" s="186">
        <v>0.5</v>
      </c>
      <c r="AE42" s="187"/>
      <c r="AF42" s="188"/>
      <c r="AG42" s="186">
        <v>0.5</v>
      </c>
      <c r="AH42" s="186">
        <v>0.5</v>
      </c>
      <c r="AI42" s="186">
        <v>0.5</v>
      </c>
      <c r="AJ42" s="186">
        <v>0.5</v>
      </c>
      <c r="AK42" s="190"/>
      <c r="AL42" s="217"/>
      <c r="AM42" s="171"/>
      <c r="AN42" s="21"/>
      <c r="AO42" s="21"/>
      <c r="AP42" s="21"/>
      <c r="AQ42" s="21"/>
      <c r="AR42" s="21"/>
      <c r="AS42" s="21"/>
      <c r="AT42" s="22"/>
      <c r="AU42" s="22"/>
      <c r="AV42" s="22"/>
      <c r="AW42" s="22"/>
    </row>
    <row r="43" spans="1:49" ht="15" hidden="1" customHeight="1">
      <c r="A43" s="524"/>
      <c r="B43" s="531"/>
      <c r="C43" s="534"/>
      <c r="D43" s="537"/>
      <c r="E43" s="218"/>
      <c r="F43" s="534"/>
      <c r="G43" s="172"/>
      <c r="H43" s="173" t="s">
        <v>16</v>
      </c>
      <c r="I43" s="186"/>
      <c r="J43" s="187"/>
      <c r="K43" s="188"/>
      <c r="L43" s="186"/>
      <c r="M43" s="186"/>
      <c r="N43" s="186"/>
      <c r="O43" s="186"/>
      <c r="P43" s="186"/>
      <c r="Q43" s="187"/>
      <c r="R43" s="188"/>
      <c r="S43" s="189"/>
      <c r="T43" s="186"/>
      <c r="U43" s="186"/>
      <c r="V43" s="186"/>
      <c r="W43" s="186"/>
      <c r="X43" s="187"/>
      <c r="Y43" s="188"/>
      <c r="Z43" s="186"/>
      <c r="AA43" s="186"/>
      <c r="AB43" s="186"/>
      <c r="AC43" s="186"/>
      <c r="AD43" s="186"/>
      <c r="AE43" s="187"/>
      <c r="AF43" s="188"/>
      <c r="AG43" s="186"/>
      <c r="AH43" s="186"/>
      <c r="AI43" s="186"/>
      <c r="AJ43" s="186"/>
      <c r="AK43" s="190"/>
      <c r="AL43" s="217"/>
      <c r="AM43" s="171"/>
      <c r="AN43" s="21"/>
      <c r="AO43" s="21"/>
      <c r="AP43" s="21"/>
      <c r="AQ43" s="21"/>
      <c r="AR43" s="21"/>
      <c r="AS43" s="21"/>
      <c r="AT43" s="22"/>
      <c r="AU43" s="22"/>
      <c r="AV43" s="22"/>
      <c r="AW43" s="22"/>
    </row>
    <row r="44" spans="1:49">
      <c r="A44" s="528" t="s">
        <v>214</v>
      </c>
      <c r="B44" s="531"/>
      <c r="C44" s="534"/>
      <c r="D44" s="537"/>
      <c r="E44" s="218"/>
      <c r="F44" s="534"/>
      <c r="G44" s="167" t="s">
        <v>33</v>
      </c>
      <c r="H44" s="168" t="s">
        <v>13</v>
      </c>
      <c r="I44" s="186">
        <f>$I$52*2</f>
        <v>30599.999999999996</v>
      </c>
      <c r="J44" s="187"/>
      <c r="K44" s="188"/>
      <c r="L44" s="186">
        <f t="shared" ref="L44:P44" si="20">$I$52*2</f>
        <v>30599.999999999996</v>
      </c>
      <c r="M44" s="186">
        <f t="shared" si="20"/>
        <v>30599.999999999996</v>
      </c>
      <c r="N44" s="186">
        <f t="shared" si="20"/>
        <v>30599.999999999996</v>
      </c>
      <c r="O44" s="186">
        <f t="shared" si="20"/>
        <v>30599.999999999996</v>
      </c>
      <c r="P44" s="186">
        <f t="shared" si="20"/>
        <v>30599.999999999996</v>
      </c>
      <c r="Q44" s="187"/>
      <c r="R44" s="188"/>
      <c r="S44" s="189"/>
      <c r="T44" s="186">
        <f t="shared" ref="T44:AD44" si="21">$I$52*2</f>
        <v>30599.999999999996</v>
      </c>
      <c r="U44" s="186">
        <f t="shared" si="21"/>
        <v>30599.999999999996</v>
      </c>
      <c r="V44" s="186">
        <f t="shared" si="21"/>
        <v>30599.999999999996</v>
      </c>
      <c r="W44" s="186">
        <f t="shared" si="21"/>
        <v>30599.999999999996</v>
      </c>
      <c r="X44" s="187"/>
      <c r="Y44" s="188"/>
      <c r="Z44" s="186">
        <f t="shared" si="21"/>
        <v>30599.999999999996</v>
      </c>
      <c r="AA44" s="186">
        <f t="shared" si="21"/>
        <v>30599.999999999996</v>
      </c>
      <c r="AB44" s="186">
        <f t="shared" si="21"/>
        <v>30599.999999999996</v>
      </c>
      <c r="AC44" s="186">
        <f t="shared" si="21"/>
        <v>30599.999999999996</v>
      </c>
      <c r="AD44" s="186">
        <f t="shared" si="21"/>
        <v>30599.999999999996</v>
      </c>
      <c r="AE44" s="187"/>
      <c r="AF44" s="188"/>
      <c r="AG44" s="186">
        <f t="shared" ref="AG44:AJ44" si="22">$I$52*2</f>
        <v>30599.999999999996</v>
      </c>
      <c r="AH44" s="186">
        <f t="shared" si="22"/>
        <v>30599.999999999996</v>
      </c>
      <c r="AI44" s="186">
        <f t="shared" si="22"/>
        <v>30599.999999999996</v>
      </c>
      <c r="AJ44" s="186">
        <f t="shared" si="22"/>
        <v>30599.999999999996</v>
      </c>
      <c r="AK44" s="190"/>
      <c r="AL44" s="217"/>
      <c r="AM44" s="171"/>
      <c r="AN44" s="21"/>
      <c r="AO44" s="21"/>
      <c r="AP44" s="21"/>
      <c r="AQ44" s="21"/>
      <c r="AR44" s="21"/>
      <c r="AS44" s="21"/>
      <c r="AT44" s="22"/>
      <c r="AU44" s="22"/>
      <c r="AV44" s="22"/>
      <c r="AW44" s="22"/>
    </row>
    <row r="45" spans="1:49">
      <c r="A45" s="528"/>
      <c r="B45" s="531"/>
      <c r="C45" s="534"/>
      <c r="D45" s="537"/>
      <c r="E45" s="218"/>
      <c r="F45" s="534"/>
      <c r="G45" s="191"/>
      <c r="H45" s="168" t="s">
        <v>15</v>
      </c>
      <c r="I45" s="186">
        <v>1</v>
      </c>
      <c r="J45" s="187"/>
      <c r="K45" s="188"/>
      <c r="L45" s="186">
        <v>1</v>
      </c>
      <c r="M45" s="186">
        <v>1</v>
      </c>
      <c r="N45" s="186">
        <v>1</v>
      </c>
      <c r="O45" s="186">
        <v>1</v>
      </c>
      <c r="P45" s="186">
        <v>1</v>
      </c>
      <c r="Q45" s="187"/>
      <c r="R45" s="188"/>
      <c r="S45" s="189"/>
      <c r="T45" s="186">
        <v>1</v>
      </c>
      <c r="U45" s="186">
        <v>1</v>
      </c>
      <c r="V45" s="186">
        <v>1</v>
      </c>
      <c r="W45" s="186">
        <v>1</v>
      </c>
      <c r="X45" s="187"/>
      <c r="Y45" s="188"/>
      <c r="Z45" s="186">
        <v>1</v>
      </c>
      <c r="AA45" s="186">
        <v>1</v>
      </c>
      <c r="AB45" s="186">
        <v>1</v>
      </c>
      <c r="AC45" s="186">
        <v>1</v>
      </c>
      <c r="AD45" s="186">
        <v>1</v>
      </c>
      <c r="AE45" s="187"/>
      <c r="AF45" s="188"/>
      <c r="AG45" s="186">
        <v>1</v>
      </c>
      <c r="AH45" s="186">
        <v>1</v>
      </c>
      <c r="AI45" s="186">
        <v>1</v>
      </c>
      <c r="AJ45" s="186">
        <v>1</v>
      </c>
      <c r="AK45" s="190"/>
      <c r="AL45" s="217"/>
      <c r="AM45" s="171"/>
      <c r="AN45" s="21"/>
      <c r="AO45" s="21"/>
      <c r="AP45" s="21"/>
      <c r="AQ45" s="21"/>
      <c r="AR45" s="21"/>
      <c r="AS45" s="21"/>
      <c r="AT45" s="22"/>
      <c r="AU45" s="22"/>
      <c r="AV45" s="22"/>
      <c r="AW45" s="22"/>
    </row>
    <row r="46" spans="1:49">
      <c r="A46" s="528"/>
      <c r="B46" s="531"/>
      <c r="C46" s="534"/>
      <c r="D46" s="537"/>
      <c r="E46" s="218"/>
      <c r="F46" s="534"/>
      <c r="G46" s="172"/>
      <c r="H46" s="173" t="s">
        <v>16</v>
      </c>
      <c r="I46" s="186">
        <f>SUMIFS('絞線Twisting wire'!$K$7:$K$1000,'絞線Twisting wire'!$A$7:$A$1000,'03'!I$2,'絞線Twisting wire'!$D$7:$D$1000,'03'!$G$44,'絞線Twisting wire'!$F$7:$F$1000,'03'!$A$44)</f>
        <v>46096</v>
      </c>
      <c r="J46" s="187">
        <f>SUMIFS('絞線Twisting wire'!$K$7:$K$1000,'絞線Twisting wire'!$A$7:$A$1000,'03'!J$2,'絞線Twisting wire'!$D$7:$D$1000,'03'!$G$44,'絞線Twisting wire'!$F$7:$F$1000,'03'!$A$44)</f>
        <v>32330</v>
      </c>
      <c r="K46" s="188"/>
      <c r="L46" s="186">
        <f>SUMIFS('絞線Twisting wire'!$K$7:$K$1000,'絞線Twisting wire'!$A$7:$A$1000,'03'!L$2,'絞線Twisting wire'!$D$7:$D$1000,'03'!$G$44,'絞線Twisting wire'!$F$7:$F$1000,'03'!$A$44)</f>
        <v>47514</v>
      </c>
      <c r="M46" s="186">
        <f>SUMIFS('絞線Twisting wire'!$K$7:$K$1000,'絞線Twisting wire'!$A$7:$A$1000,'03'!M$2,'絞線Twisting wire'!$D$7:$D$1000,'03'!$G$44,'絞線Twisting wire'!$F$7:$F$1000,'03'!$A$44)</f>
        <v>42434</v>
      </c>
      <c r="N46" s="186">
        <f>SUMIFS('絞線Twisting wire'!$K$7:$K$1000,'絞線Twisting wire'!$A$7:$A$1000,'03'!N$2,'絞線Twisting wire'!$D$7:$D$1000,'03'!$G$44,'絞線Twisting wire'!$F$7:$F$1000,'03'!$A$44)</f>
        <v>50412</v>
      </c>
      <c r="O46" s="186">
        <f>SUMIFS('絞線Twisting wire'!$K$7:$K$1000,'絞線Twisting wire'!$A$7:$A$1000,'03'!O$2,'絞線Twisting wire'!$D$7:$D$1000,'03'!$G$44,'絞線Twisting wire'!$F$7:$F$1000,'03'!$A$44)</f>
        <v>57800</v>
      </c>
      <c r="P46" s="186">
        <f>SUMIFS('絞線Twisting wire'!$K$7:$K$1000,'絞線Twisting wire'!$A$7:$A$1000,'03'!P$2,'絞線Twisting wire'!$D$7:$D$1000,'03'!$G$44,'絞線Twisting wire'!$F$7:$F$1000,'03'!$A$44)</f>
        <v>58151</v>
      </c>
      <c r="Q46" s="187">
        <f>SUMIFS('絞線Twisting wire'!$K$7:$K$1000,'絞線Twisting wire'!$A$7:$A$1000,'03'!Q$2,'絞線Twisting wire'!$D$7:$D$1000,'03'!$G$44,'絞線Twisting wire'!$F$7:$F$1000,'03'!$A$44)</f>
        <v>24796</v>
      </c>
      <c r="R46" s="188"/>
      <c r="S46" s="189"/>
      <c r="T46" s="186">
        <f>SUMIFS('絞線Twisting wire'!$K$7:$K$1000,'絞線Twisting wire'!$A$7:$A$1000,'03'!T$2,'絞線Twisting wire'!$D$7:$D$1000,'03'!$G$44,'絞線Twisting wire'!$F$7:$F$1000,'03'!$A$44)</f>
        <v>59628</v>
      </c>
      <c r="U46" s="186">
        <f>SUMIFS('絞線Twisting wire'!$K$7:$K$1000,'絞線Twisting wire'!$A$7:$A$1000,'03'!U$2,'絞線Twisting wire'!$D$7:$D$1000,'03'!$G$44,'絞線Twisting wire'!$F$7:$F$1000,'03'!$A$44)</f>
        <v>0</v>
      </c>
      <c r="V46" s="186">
        <f>SUMIFS('絞線Twisting wire'!$K$7:$K$1000,'絞線Twisting wire'!$A$7:$A$1000,'03'!V$2,'絞線Twisting wire'!$D$7:$D$1000,'03'!$G$44,'絞線Twisting wire'!$F$7:$F$1000,'03'!$A$44)</f>
        <v>0</v>
      </c>
      <c r="W46" s="186">
        <f>SUMIFS('絞線Twisting wire'!$K$7:$K$1000,'絞線Twisting wire'!$A$7:$A$1000,'03'!W$2,'絞線Twisting wire'!$D$7:$D$1000,'03'!$G$44,'絞線Twisting wire'!$F$7:$F$1000,'03'!$A$44)</f>
        <v>0</v>
      </c>
      <c r="X46" s="187">
        <f>SUMIFS('絞線Twisting wire'!$K$7:$K$1000,'絞線Twisting wire'!$A$7:$A$1000,'03'!X$2,'絞線Twisting wire'!$D$7:$D$1000,'03'!$G$44,'絞線Twisting wire'!$F$7:$F$1000,'03'!$A$44)</f>
        <v>0</v>
      </c>
      <c r="Y46" s="188"/>
      <c r="Z46" s="186">
        <f>SUMIFS('絞線Twisting wire'!$K$7:$K$1000,'絞線Twisting wire'!$A$7:$A$1000,'03'!Z$2,'絞線Twisting wire'!$D$7:$D$1000,'03'!$G$44,'絞線Twisting wire'!$F$7:$F$1000,'03'!$A$44)</f>
        <v>0</v>
      </c>
      <c r="AA46" s="186">
        <f>SUMIFS('絞線Twisting wire'!$K$7:$K$1000,'絞線Twisting wire'!$A$7:$A$1000,'03'!AA$2,'絞線Twisting wire'!$D$7:$D$1000,'03'!$G$44,'絞線Twisting wire'!$F$7:$F$1000,'03'!$A$44)</f>
        <v>0</v>
      </c>
      <c r="AB46" s="186">
        <f>SUMIFS('絞線Twisting wire'!$K$7:$K$1000,'絞線Twisting wire'!$A$7:$A$1000,'03'!AB$2,'絞線Twisting wire'!$D$7:$D$1000,'03'!$G$44,'絞線Twisting wire'!$F$7:$F$1000,'03'!$A$44)</f>
        <v>0</v>
      </c>
      <c r="AC46" s="186">
        <f>SUMIFS('絞線Twisting wire'!$K$7:$K$1000,'絞線Twisting wire'!$A$7:$A$1000,'03'!AC$2,'絞線Twisting wire'!$D$7:$D$1000,'03'!$G$44,'絞線Twisting wire'!$F$7:$F$1000,'03'!$A$44)</f>
        <v>0</v>
      </c>
      <c r="AD46" s="186">
        <f>SUMIFS('絞線Twisting wire'!$K$7:$K$1000,'絞線Twisting wire'!$A$7:$A$1000,'03'!AD$2,'絞線Twisting wire'!$D$7:$D$1000,'03'!$G$44,'絞線Twisting wire'!$F$7:$F$1000,'03'!$A$44)</f>
        <v>0</v>
      </c>
      <c r="AE46" s="187">
        <f>SUMIFS('絞線Twisting wire'!$K$7:$K$1000,'絞線Twisting wire'!$A$7:$A$1000,'03'!AE$2,'絞線Twisting wire'!$D$7:$D$1000,'03'!$G$44,'絞線Twisting wire'!$F$7:$F$1000,'03'!$A$44)</f>
        <v>0</v>
      </c>
      <c r="AF46" s="188"/>
      <c r="AG46" s="186">
        <f>SUMIFS('絞線Twisting wire'!$K$7:$K$1000,'絞線Twisting wire'!$A$7:$A$1000,'03'!AG$2,'絞線Twisting wire'!$D$7:$D$1000,'03'!$G$44,'絞線Twisting wire'!$F$7:$F$1000,'03'!$A$44)</f>
        <v>0</v>
      </c>
      <c r="AH46" s="186">
        <f>SUMIFS('絞線Twisting wire'!$K$7:$K$1000,'絞線Twisting wire'!$A$7:$A$1000,'03'!AH$2,'絞線Twisting wire'!$D$7:$D$1000,'03'!$G$44,'絞線Twisting wire'!$F$7:$F$1000,'03'!$A$44)</f>
        <v>0</v>
      </c>
      <c r="AI46" s="186">
        <f>SUMIFS('絞線Twisting wire'!$K$7:$K$1000,'絞線Twisting wire'!$A$7:$A$1000,'03'!AI$2,'絞線Twisting wire'!$D$7:$D$1000,'03'!$G$44,'絞線Twisting wire'!$F$7:$F$1000,'03'!$A$44)</f>
        <v>0</v>
      </c>
      <c r="AJ46" s="186">
        <f>SUMIFS('絞線Twisting wire'!$K$7:$K$1000,'絞線Twisting wire'!$A$7:$A$1000,'03'!AJ$2,'絞線Twisting wire'!$D$7:$D$1000,'03'!$G$44,'絞線Twisting wire'!$F$7:$F$1000,'03'!$A$44)</f>
        <v>0</v>
      </c>
      <c r="AK46" s="190"/>
      <c r="AL46" s="217"/>
      <c r="AM46" s="171"/>
      <c r="AN46" s="21"/>
      <c r="AO46" s="21"/>
      <c r="AP46" s="21"/>
      <c r="AQ46" s="21"/>
      <c r="AR46" s="21"/>
      <c r="AS46" s="21"/>
      <c r="AT46" s="22"/>
      <c r="AU46" s="22"/>
      <c r="AV46" s="22"/>
      <c r="AW46" s="22"/>
    </row>
    <row r="47" spans="1:49">
      <c r="A47" s="528"/>
      <c r="B47" s="531"/>
      <c r="C47" s="534"/>
      <c r="D47" s="537"/>
      <c r="E47" s="218"/>
      <c r="F47" s="534"/>
      <c r="G47" s="172"/>
      <c r="H47" s="173" t="s">
        <v>113</v>
      </c>
      <c r="I47" s="31">
        <f>I46-I44</f>
        <v>15496.000000000004</v>
      </c>
      <c r="J47" s="192">
        <f>I47+(J46-J44)</f>
        <v>47826</v>
      </c>
      <c r="K47" s="188"/>
      <c r="L47" s="31">
        <f>J47+(L46-L44)</f>
        <v>64740</v>
      </c>
      <c r="M47" s="31">
        <f>L47+(M46-M44)</f>
        <v>76574</v>
      </c>
      <c r="N47" s="186"/>
      <c r="O47" s="186"/>
      <c r="P47" s="186"/>
      <c r="Q47" s="187"/>
      <c r="R47" s="188"/>
      <c r="S47" s="189"/>
      <c r="T47" s="186"/>
      <c r="U47" s="186"/>
      <c r="V47" s="186"/>
      <c r="W47" s="186"/>
      <c r="X47" s="187"/>
      <c r="Y47" s="188"/>
      <c r="Z47" s="186"/>
      <c r="AA47" s="186"/>
      <c r="AB47" s="186"/>
      <c r="AC47" s="186"/>
      <c r="AD47" s="186"/>
      <c r="AE47" s="187"/>
      <c r="AF47" s="188"/>
      <c r="AG47" s="186"/>
      <c r="AH47" s="186"/>
      <c r="AI47" s="186"/>
      <c r="AJ47" s="186"/>
      <c r="AK47" s="190"/>
      <c r="AL47" s="217"/>
      <c r="AM47" s="171"/>
      <c r="AN47" s="21"/>
      <c r="AO47" s="21"/>
      <c r="AP47" s="21"/>
      <c r="AQ47" s="21"/>
      <c r="AR47" s="21"/>
      <c r="AS47" s="21"/>
      <c r="AT47" s="22"/>
      <c r="AU47" s="22"/>
      <c r="AV47" s="22"/>
      <c r="AW47" s="22"/>
    </row>
    <row r="48" spans="1:49">
      <c r="A48" s="528"/>
      <c r="B48" s="531"/>
      <c r="C48" s="534"/>
      <c r="D48" s="537"/>
      <c r="E48" s="218"/>
      <c r="F48" s="534"/>
      <c r="G48" s="191" t="s">
        <v>213</v>
      </c>
      <c r="H48" s="168" t="s">
        <v>35</v>
      </c>
      <c r="I48" s="186">
        <f>$I$59*2</f>
        <v>30599.999999999996</v>
      </c>
      <c r="J48" s="187"/>
      <c r="K48" s="188"/>
      <c r="L48" s="186">
        <f t="shared" ref="L48:P48" si="23">$I$59*2</f>
        <v>30599.999999999996</v>
      </c>
      <c r="M48" s="186">
        <f t="shared" si="23"/>
        <v>30599.999999999996</v>
      </c>
      <c r="N48" s="186">
        <f t="shared" si="23"/>
        <v>30599.999999999996</v>
      </c>
      <c r="O48" s="186">
        <f t="shared" si="23"/>
        <v>30599.999999999996</v>
      </c>
      <c r="P48" s="186">
        <f t="shared" si="23"/>
        <v>30599.999999999996</v>
      </c>
      <c r="Q48" s="187"/>
      <c r="R48" s="188"/>
      <c r="S48" s="189"/>
      <c r="T48" s="186">
        <f t="shared" ref="T48:AD48" si="24">$I$59*2</f>
        <v>30599.999999999996</v>
      </c>
      <c r="U48" s="186">
        <f t="shared" si="24"/>
        <v>30599.999999999996</v>
      </c>
      <c r="V48" s="186">
        <f t="shared" si="24"/>
        <v>30599.999999999996</v>
      </c>
      <c r="W48" s="186">
        <f t="shared" si="24"/>
        <v>30599.999999999996</v>
      </c>
      <c r="X48" s="187"/>
      <c r="Y48" s="188"/>
      <c r="Z48" s="186">
        <f t="shared" si="24"/>
        <v>30599.999999999996</v>
      </c>
      <c r="AA48" s="186">
        <f t="shared" si="24"/>
        <v>30599.999999999996</v>
      </c>
      <c r="AB48" s="186">
        <f t="shared" si="24"/>
        <v>30599.999999999996</v>
      </c>
      <c r="AC48" s="186">
        <f t="shared" si="24"/>
        <v>30599.999999999996</v>
      </c>
      <c r="AD48" s="186">
        <f t="shared" si="24"/>
        <v>30599.999999999996</v>
      </c>
      <c r="AE48" s="187"/>
      <c r="AF48" s="188"/>
      <c r="AG48" s="186">
        <f t="shared" ref="AG48:AJ48" si="25">$I$59*2</f>
        <v>30599.999999999996</v>
      </c>
      <c r="AH48" s="186">
        <f t="shared" si="25"/>
        <v>30599.999999999996</v>
      </c>
      <c r="AI48" s="186">
        <f t="shared" si="25"/>
        <v>30599.999999999996</v>
      </c>
      <c r="AJ48" s="186">
        <f t="shared" si="25"/>
        <v>30599.999999999996</v>
      </c>
      <c r="AK48" s="190"/>
      <c r="AL48" s="217"/>
      <c r="AM48" s="171"/>
      <c r="AN48" s="21"/>
      <c r="AO48" s="21"/>
      <c r="AP48" s="21"/>
      <c r="AQ48" s="21"/>
      <c r="AR48" s="21"/>
      <c r="AS48" s="21"/>
      <c r="AT48" s="22"/>
      <c r="AU48" s="22"/>
      <c r="AV48" s="22"/>
      <c r="AW48" s="22"/>
    </row>
    <row r="49" spans="1:49">
      <c r="A49" s="528"/>
      <c r="B49" s="531"/>
      <c r="C49" s="534"/>
      <c r="D49" s="537"/>
      <c r="E49" s="218"/>
      <c r="F49" s="534"/>
      <c r="G49" s="191"/>
      <c r="H49" s="168" t="s">
        <v>15</v>
      </c>
      <c r="I49" s="186">
        <v>4</v>
      </c>
      <c r="J49" s="187"/>
      <c r="K49" s="188"/>
      <c r="L49" s="186">
        <v>4</v>
      </c>
      <c r="M49" s="186">
        <v>4</v>
      </c>
      <c r="N49" s="186">
        <v>4</v>
      </c>
      <c r="O49" s="186">
        <v>4</v>
      </c>
      <c r="P49" s="186">
        <v>4</v>
      </c>
      <c r="Q49" s="187"/>
      <c r="R49" s="188"/>
      <c r="S49" s="189"/>
      <c r="T49" s="186">
        <v>4</v>
      </c>
      <c r="U49" s="186">
        <v>4</v>
      </c>
      <c r="V49" s="186">
        <v>4</v>
      </c>
      <c r="W49" s="186">
        <v>4</v>
      </c>
      <c r="X49" s="187"/>
      <c r="Y49" s="188"/>
      <c r="Z49" s="186">
        <v>4</v>
      </c>
      <c r="AA49" s="186">
        <v>4</v>
      </c>
      <c r="AB49" s="186">
        <v>4</v>
      </c>
      <c r="AC49" s="186">
        <v>4</v>
      </c>
      <c r="AD49" s="186">
        <v>4</v>
      </c>
      <c r="AE49" s="187"/>
      <c r="AF49" s="188"/>
      <c r="AG49" s="186">
        <v>4</v>
      </c>
      <c r="AH49" s="186">
        <v>4</v>
      </c>
      <c r="AI49" s="186">
        <v>4</v>
      </c>
      <c r="AJ49" s="186">
        <v>4</v>
      </c>
      <c r="AK49" s="190"/>
      <c r="AL49" s="217"/>
      <c r="AM49" s="171"/>
      <c r="AN49" s="21"/>
      <c r="AO49" s="21"/>
      <c r="AP49" s="21"/>
      <c r="AQ49" s="21"/>
      <c r="AR49" s="21"/>
      <c r="AS49" s="21"/>
      <c r="AT49" s="22"/>
      <c r="AU49" s="22"/>
      <c r="AV49" s="22"/>
      <c r="AW49" s="22"/>
    </row>
    <row r="50" spans="1:49">
      <c r="A50" s="528"/>
      <c r="B50" s="531"/>
      <c r="C50" s="534"/>
      <c r="D50" s="537"/>
      <c r="E50" s="218"/>
      <c r="F50" s="534"/>
      <c r="G50" s="172"/>
      <c r="H50" s="173" t="s">
        <v>16</v>
      </c>
      <c r="I50" s="186">
        <f>SUMIFS('絞線Twisting wire'!$K$7:$K$1000,'絞線Twisting wire'!$A$7:$A$1000,'03'!I$2,'絞線Twisting wire'!$D$7:$D$1000,'03'!$G$48,'絞線Twisting wire'!$F$7:$F$1000,'03'!$A$44)</f>
        <v>50741</v>
      </c>
      <c r="J50" s="187">
        <f>SUMIFS('絞線Twisting wire'!$K$7:$K$1000,'絞線Twisting wire'!$A$7:$A$1000,'03'!J$2,'絞線Twisting wire'!$D$7:$D$1000,'03'!$G$48,'絞線Twisting wire'!$F$7:$F$1000,'03'!$A$44)</f>
        <v>23142</v>
      </c>
      <c r="K50" s="188"/>
      <c r="L50" s="186">
        <f>SUMIFS('絞線Twisting wire'!$K$7:$K$1000,'絞線Twisting wire'!$A$7:$A$1000,'03'!L$2,'絞線Twisting wire'!$D$7:$D$1000,'03'!$G$48,'絞線Twisting wire'!$F$7:$F$1000,'03'!$A$44)</f>
        <v>35292</v>
      </c>
      <c r="M50" s="186">
        <f>SUMIFS('絞線Twisting wire'!$K$7:$K$1000,'絞線Twisting wire'!$A$7:$A$1000,'03'!M$2,'絞線Twisting wire'!$D$7:$D$1000,'03'!$G$48,'絞線Twisting wire'!$F$7:$F$1000,'03'!$A$44)</f>
        <v>36750</v>
      </c>
      <c r="N50" s="186">
        <f>SUMIFS('絞線Twisting wire'!$K$7:$K$1000,'絞線Twisting wire'!$A$7:$A$1000,'03'!N$2,'絞線Twisting wire'!$D$7:$D$1000,'03'!$G$48,'絞線Twisting wire'!$F$7:$F$1000,'03'!$A$44)</f>
        <v>33429</v>
      </c>
      <c r="O50" s="186">
        <f>SUMIFS('絞線Twisting wire'!$K$7:$K$1000,'絞線Twisting wire'!$A$7:$A$1000,'03'!O$2,'絞線Twisting wire'!$D$7:$D$1000,'03'!$G$48,'絞線Twisting wire'!$F$7:$F$1000,'03'!$A$44)</f>
        <v>31744</v>
      </c>
      <c r="P50" s="186">
        <f>SUMIFS('絞線Twisting wire'!$K$7:$K$1000,'絞線Twisting wire'!$A$7:$A$1000,'03'!P$2,'絞線Twisting wire'!$D$7:$D$1000,'03'!$G$48,'絞線Twisting wire'!$F$7:$F$1000,'03'!$A$44)</f>
        <v>32317</v>
      </c>
      <c r="Q50" s="187">
        <f>SUMIFS('絞線Twisting wire'!$K$7:$K$1000,'絞線Twisting wire'!$A$7:$A$1000,'03'!Q$2,'絞線Twisting wire'!$D$7:$D$1000,'03'!$G$48,'絞線Twisting wire'!$F$7:$F$1000,'03'!$A$44)</f>
        <v>20041</v>
      </c>
      <c r="R50" s="188"/>
      <c r="S50" s="189"/>
      <c r="T50" s="186">
        <f>SUMIFS('絞線Twisting wire'!$K$7:$K$1000,'絞線Twisting wire'!$A$7:$A$1000,'03'!T$2,'絞線Twisting wire'!$D$7:$D$1000,'03'!$G$48,'絞線Twisting wire'!$F$7:$F$1000,'03'!$A$44)</f>
        <v>33105</v>
      </c>
      <c r="U50" s="186">
        <f>SUMIFS('絞線Twisting wire'!$K$7:$K$1000,'絞線Twisting wire'!$A$7:$A$1000,'03'!U$2,'絞線Twisting wire'!$D$7:$D$1000,'03'!$G$48,'絞線Twisting wire'!$F$7:$F$1000,'03'!$A$44)</f>
        <v>0</v>
      </c>
      <c r="V50" s="186">
        <f>SUMIFS('絞線Twisting wire'!$K$7:$K$1000,'絞線Twisting wire'!$A$7:$A$1000,'03'!V$2,'絞線Twisting wire'!$D$7:$D$1000,'03'!$G$48,'絞線Twisting wire'!$F$7:$F$1000,'03'!$A$44)</f>
        <v>0</v>
      </c>
      <c r="W50" s="186">
        <f>SUMIFS('絞線Twisting wire'!$K$7:$K$1000,'絞線Twisting wire'!$A$7:$A$1000,'03'!W$2,'絞線Twisting wire'!$D$7:$D$1000,'03'!$G$48,'絞線Twisting wire'!$F$7:$F$1000,'03'!$A$44)</f>
        <v>0</v>
      </c>
      <c r="X50" s="187">
        <f>SUMIFS('絞線Twisting wire'!$K$7:$K$1000,'絞線Twisting wire'!$A$7:$A$1000,'03'!X$2,'絞線Twisting wire'!$D$7:$D$1000,'03'!$G$48,'絞線Twisting wire'!$F$7:$F$1000,'03'!$A$44)</f>
        <v>0</v>
      </c>
      <c r="Y50" s="188"/>
      <c r="Z50" s="186">
        <f>SUMIFS('絞線Twisting wire'!$K$7:$K$1000,'絞線Twisting wire'!$A$7:$A$1000,'03'!Z$2,'絞線Twisting wire'!$D$7:$D$1000,'03'!$G$48,'絞線Twisting wire'!$F$7:$F$1000,'03'!$A$44)</f>
        <v>0</v>
      </c>
      <c r="AA50" s="186">
        <f>SUMIFS('絞線Twisting wire'!$K$7:$K$1000,'絞線Twisting wire'!$A$7:$A$1000,'03'!AA$2,'絞線Twisting wire'!$D$7:$D$1000,'03'!$G$48,'絞線Twisting wire'!$F$7:$F$1000,'03'!$A$44)</f>
        <v>0</v>
      </c>
      <c r="AB50" s="186">
        <f>SUMIFS('絞線Twisting wire'!$K$7:$K$1000,'絞線Twisting wire'!$A$7:$A$1000,'03'!AB$2,'絞線Twisting wire'!$D$7:$D$1000,'03'!$G$48,'絞線Twisting wire'!$F$7:$F$1000,'03'!$A$44)</f>
        <v>0</v>
      </c>
      <c r="AC50" s="186">
        <f>SUMIFS('絞線Twisting wire'!$K$7:$K$1000,'絞線Twisting wire'!$A$7:$A$1000,'03'!AC$2,'絞線Twisting wire'!$D$7:$D$1000,'03'!$G$48,'絞線Twisting wire'!$F$7:$F$1000,'03'!$A$44)</f>
        <v>0</v>
      </c>
      <c r="AD50" s="186">
        <f>SUMIFS('絞線Twisting wire'!$K$7:$K$1000,'絞線Twisting wire'!$A$7:$A$1000,'03'!AD$2,'絞線Twisting wire'!$D$7:$D$1000,'03'!$G$48,'絞線Twisting wire'!$F$7:$F$1000,'03'!$A$44)</f>
        <v>0</v>
      </c>
      <c r="AE50" s="187">
        <f>SUMIFS('絞線Twisting wire'!$K$7:$K$1000,'絞線Twisting wire'!$A$7:$A$1000,'03'!AE$2,'絞線Twisting wire'!$D$7:$D$1000,'03'!$G$48,'絞線Twisting wire'!$F$7:$F$1000,'03'!$A$44)</f>
        <v>0</v>
      </c>
      <c r="AF50" s="188"/>
      <c r="AG50" s="186">
        <f>SUMIFS('絞線Twisting wire'!$K$7:$K$1000,'絞線Twisting wire'!$A$7:$A$1000,'03'!AG$2,'絞線Twisting wire'!$D$7:$D$1000,'03'!$G$48,'絞線Twisting wire'!$F$7:$F$1000,'03'!$A$44)</f>
        <v>0</v>
      </c>
      <c r="AH50" s="186">
        <f>SUMIFS('絞線Twisting wire'!$K$7:$K$1000,'絞線Twisting wire'!$A$7:$A$1000,'03'!AH$2,'絞線Twisting wire'!$D$7:$D$1000,'03'!$G$48,'絞線Twisting wire'!$F$7:$F$1000,'03'!$A$44)</f>
        <v>0</v>
      </c>
      <c r="AI50" s="186">
        <f>SUMIFS('絞線Twisting wire'!$K$7:$K$1000,'絞線Twisting wire'!$A$7:$A$1000,'03'!AI$2,'絞線Twisting wire'!$D$7:$D$1000,'03'!$G$48,'絞線Twisting wire'!$F$7:$F$1000,'03'!$A$44)</f>
        <v>0</v>
      </c>
      <c r="AJ50" s="186">
        <f>SUMIFS('絞線Twisting wire'!$K$7:$K$1000,'絞線Twisting wire'!$A$7:$A$1000,'03'!AJ$2,'絞線Twisting wire'!$D$7:$D$1000,'03'!$G$48,'絞線Twisting wire'!$F$7:$F$1000,'03'!$A$44)</f>
        <v>0</v>
      </c>
      <c r="AK50" s="190"/>
      <c r="AL50" s="217"/>
      <c r="AM50" s="171"/>
      <c r="AN50" s="21"/>
      <c r="AO50" s="21"/>
      <c r="AP50" s="21"/>
      <c r="AQ50" s="21"/>
      <c r="AR50" s="21"/>
      <c r="AS50" s="21"/>
      <c r="AT50" s="22"/>
      <c r="AU50" s="22"/>
      <c r="AV50" s="22"/>
      <c r="AW50" s="22"/>
    </row>
    <row r="51" spans="1:49">
      <c r="A51" s="528"/>
      <c r="B51" s="531"/>
      <c r="C51" s="534"/>
      <c r="D51" s="537"/>
      <c r="E51" s="218"/>
      <c r="F51" s="534"/>
      <c r="G51" s="172"/>
      <c r="H51" s="173" t="s">
        <v>113</v>
      </c>
      <c r="I51" s="31">
        <f>I50-I48</f>
        <v>20141.000000000004</v>
      </c>
      <c r="J51" s="192">
        <f>I51+(J50-J48)</f>
        <v>43283</v>
      </c>
      <c r="K51" s="188"/>
      <c r="L51" s="31">
        <f>J51+(L50-L48)</f>
        <v>47975</v>
      </c>
      <c r="M51" s="31">
        <f>L51+(M50-M48)</f>
        <v>54125</v>
      </c>
      <c r="N51" s="186"/>
      <c r="O51" s="186"/>
      <c r="P51" s="186"/>
      <c r="Q51" s="187"/>
      <c r="R51" s="188"/>
      <c r="S51" s="189"/>
      <c r="T51" s="186"/>
      <c r="U51" s="186"/>
      <c r="V51" s="186"/>
      <c r="W51" s="186"/>
      <c r="X51" s="187"/>
      <c r="Y51" s="188"/>
      <c r="Z51" s="186"/>
      <c r="AA51" s="186"/>
      <c r="AB51" s="186"/>
      <c r="AC51" s="186"/>
      <c r="AD51" s="186"/>
      <c r="AE51" s="187"/>
      <c r="AF51" s="188"/>
      <c r="AG51" s="186"/>
      <c r="AH51" s="186"/>
      <c r="AI51" s="186"/>
      <c r="AJ51" s="186"/>
      <c r="AK51" s="190"/>
      <c r="AL51" s="217"/>
      <c r="AM51" s="171"/>
      <c r="AN51" s="21"/>
      <c r="AO51" s="21"/>
      <c r="AP51" s="21"/>
      <c r="AQ51" s="21"/>
      <c r="AR51" s="21"/>
      <c r="AS51" s="21"/>
      <c r="AT51" s="22"/>
      <c r="AU51" s="22"/>
      <c r="AV51" s="22"/>
      <c r="AW51" s="22"/>
    </row>
    <row r="52" spans="1:49">
      <c r="A52" s="528"/>
      <c r="B52" s="531"/>
      <c r="C52" s="534"/>
      <c r="D52" s="537"/>
      <c r="E52" s="218"/>
      <c r="F52" s="534"/>
      <c r="G52" s="191" t="s">
        <v>472</v>
      </c>
      <c r="H52" s="168" t="s">
        <v>21</v>
      </c>
      <c r="I52" s="186">
        <f>$L$70*$D$38/2</f>
        <v>15299.999999999998</v>
      </c>
      <c r="J52" s="187"/>
      <c r="K52" s="188"/>
      <c r="L52" s="186">
        <f>$L$70*$D$38/2</f>
        <v>15299.999999999998</v>
      </c>
      <c r="M52" s="186">
        <f>$L$70*$D$38/2</f>
        <v>15299.999999999998</v>
      </c>
      <c r="N52" s="186">
        <f>$L$70*$D$38/2</f>
        <v>15299.999999999998</v>
      </c>
      <c r="O52" s="186">
        <f>$L$70*$D$38/2</f>
        <v>15299.999999999998</v>
      </c>
      <c r="P52" s="186">
        <f>$L$70*$D$38/2</f>
        <v>15299.999999999998</v>
      </c>
      <c r="Q52" s="187"/>
      <c r="R52" s="188"/>
      <c r="S52" s="189"/>
      <c r="T52" s="186">
        <f>$L$70*$D$38/2</f>
        <v>15299.999999999998</v>
      </c>
      <c r="U52" s="186">
        <f>$L$70*$D$38/2</f>
        <v>15299.999999999998</v>
      </c>
      <c r="V52" s="186">
        <f>$L$70*$D$38/2</f>
        <v>15299.999999999998</v>
      </c>
      <c r="W52" s="186">
        <f>$L$70*$D$38/2</f>
        <v>15299.999999999998</v>
      </c>
      <c r="X52" s="187"/>
      <c r="Y52" s="188"/>
      <c r="Z52" s="186">
        <f>$L$70*$D$38/2</f>
        <v>15299.999999999998</v>
      </c>
      <c r="AA52" s="186">
        <f>$L$70*$D$38/2</f>
        <v>15299.999999999998</v>
      </c>
      <c r="AB52" s="186">
        <f>$L$70*$D$38/2</f>
        <v>15299.999999999998</v>
      </c>
      <c r="AC52" s="186">
        <f>$L$70*$D$38/2</f>
        <v>15299.999999999998</v>
      </c>
      <c r="AD52" s="186">
        <f>$L$70*$D$38/2</f>
        <v>15299.999999999998</v>
      </c>
      <c r="AE52" s="187"/>
      <c r="AF52" s="188"/>
      <c r="AG52" s="186">
        <f>$L$70*$D$38/2</f>
        <v>15299.999999999998</v>
      </c>
      <c r="AH52" s="186">
        <f>$L$70*$D$38/2</f>
        <v>15299.999999999998</v>
      </c>
      <c r="AI52" s="186">
        <f>$L$70*$D$38/2</f>
        <v>15299.999999999998</v>
      </c>
      <c r="AJ52" s="186">
        <f>$L$70*$D$38/2</f>
        <v>15299.999999999998</v>
      </c>
      <c r="AK52" s="190"/>
      <c r="AL52" s="217"/>
      <c r="AM52" s="171"/>
      <c r="AN52" s="21"/>
      <c r="AO52" s="21"/>
      <c r="AP52" s="21"/>
      <c r="AQ52" s="21"/>
      <c r="AR52" s="21"/>
      <c r="AS52" s="21"/>
      <c r="AT52" s="22"/>
      <c r="AU52" s="22"/>
      <c r="AV52" s="22"/>
      <c r="AW52" s="22"/>
    </row>
    <row r="53" spans="1:49">
      <c r="A53" s="528"/>
      <c r="B53" s="531"/>
      <c r="C53" s="534"/>
      <c r="D53" s="537"/>
      <c r="E53" s="218"/>
      <c r="F53" s="534"/>
      <c r="G53" s="172"/>
      <c r="H53" s="173" t="s">
        <v>16</v>
      </c>
      <c r="I53" s="186">
        <f>43467</f>
        <v>43467</v>
      </c>
      <c r="J53" s="187"/>
      <c r="K53" s="188"/>
      <c r="L53" s="186"/>
      <c r="M53" s="186"/>
      <c r="N53" s="186"/>
      <c r="O53" s="186"/>
      <c r="P53" s="186"/>
      <c r="Q53" s="187"/>
      <c r="R53" s="188"/>
      <c r="S53" s="189"/>
      <c r="T53" s="186"/>
      <c r="U53" s="186"/>
      <c r="V53" s="186"/>
      <c r="W53" s="186"/>
      <c r="X53" s="187"/>
      <c r="Y53" s="188"/>
      <c r="Z53" s="186"/>
      <c r="AA53" s="186"/>
      <c r="AB53" s="186"/>
      <c r="AC53" s="186"/>
      <c r="AD53" s="186"/>
      <c r="AE53" s="187"/>
      <c r="AF53" s="188"/>
      <c r="AG53" s="186"/>
      <c r="AH53" s="186"/>
      <c r="AI53" s="186"/>
      <c r="AJ53" s="186"/>
      <c r="AK53" s="190"/>
      <c r="AL53" s="217"/>
      <c r="AM53" s="171"/>
      <c r="AN53" s="21"/>
      <c r="AO53" s="21"/>
      <c r="AP53" s="21"/>
      <c r="AQ53" s="21"/>
      <c r="AR53" s="21"/>
      <c r="AS53" s="21"/>
      <c r="AT53" s="22"/>
      <c r="AU53" s="22"/>
      <c r="AV53" s="22"/>
      <c r="AW53" s="22"/>
    </row>
    <row r="54" spans="1:49">
      <c r="A54" s="528"/>
      <c r="B54" s="531"/>
      <c r="C54" s="534"/>
      <c r="D54" s="537"/>
      <c r="E54" s="218"/>
      <c r="F54" s="534"/>
      <c r="G54" s="172"/>
      <c r="H54" s="173" t="s">
        <v>113</v>
      </c>
      <c r="I54" s="31">
        <f>I53-I52</f>
        <v>28167</v>
      </c>
      <c r="J54" s="187"/>
      <c r="K54" s="188"/>
      <c r="L54" s="186"/>
      <c r="M54" s="186"/>
      <c r="N54" s="186"/>
      <c r="O54" s="186"/>
      <c r="P54" s="186"/>
      <c r="Q54" s="187"/>
      <c r="R54" s="188"/>
      <c r="S54" s="189"/>
      <c r="T54" s="186"/>
      <c r="U54" s="186"/>
      <c r="V54" s="186"/>
      <c r="W54" s="186"/>
      <c r="X54" s="187"/>
      <c r="Y54" s="188"/>
      <c r="Z54" s="186"/>
      <c r="AA54" s="186"/>
      <c r="AB54" s="186"/>
      <c r="AC54" s="186"/>
      <c r="AD54" s="186"/>
      <c r="AE54" s="187"/>
      <c r="AF54" s="188"/>
      <c r="AG54" s="186"/>
      <c r="AH54" s="186"/>
      <c r="AI54" s="186"/>
      <c r="AJ54" s="186"/>
      <c r="AK54" s="190"/>
      <c r="AL54" s="217"/>
      <c r="AM54" s="171"/>
      <c r="AN54" s="21"/>
      <c r="AO54" s="21"/>
      <c r="AP54" s="21"/>
      <c r="AQ54" s="21"/>
      <c r="AR54" s="21"/>
      <c r="AS54" s="21"/>
      <c r="AT54" s="22"/>
      <c r="AU54" s="22"/>
      <c r="AV54" s="22"/>
      <c r="AW54" s="22"/>
    </row>
    <row r="55" spans="1:49">
      <c r="A55" s="528"/>
      <c r="B55" s="531"/>
      <c r="C55" s="534"/>
      <c r="D55" s="537"/>
      <c r="E55" s="218"/>
      <c r="F55" s="534"/>
      <c r="G55" s="191" t="s">
        <v>473</v>
      </c>
      <c r="H55" s="168" t="s">
        <v>23</v>
      </c>
      <c r="I55" s="186">
        <f>$L$70*$D$38/2</f>
        <v>15299.999999999998</v>
      </c>
      <c r="J55" s="187"/>
      <c r="K55" s="188"/>
      <c r="L55" s="186">
        <f>$L$70*$D$38/2</f>
        <v>15299.999999999998</v>
      </c>
      <c r="M55" s="186">
        <f>$L$70*$D$38/2</f>
        <v>15299.999999999998</v>
      </c>
      <c r="N55" s="186">
        <f>$L$70*$D$38/2</f>
        <v>15299.999999999998</v>
      </c>
      <c r="O55" s="186">
        <f>$L$70*$D$38/2</f>
        <v>15299.999999999998</v>
      </c>
      <c r="P55" s="186">
        <f>$L$70*$D$38/2</f>
        <v>15299.999999999998</v>
      </c>
      <c r="Q55" s="187"/>
      <c r="R55" s="188"/>
      <c r="S55" s="189"/>
      <c r="T55" s="186">
        <f>$L$70*$D$38/2</f>
        <v>15299.999999999998</v>
      </c>
      <c r="U55" s="186">
        <f>$L$70*$D$38/2</f>
        <v>15299.999999999998</v>
      </c>
      <c r="V55" s="186">
        <f>$L$70*$D$38/2</f>
        <v>15299.999999999998</v>
      </c>
      <c r="W55" s="186">
        <f>$L$70*$D$38/2</f>
        <v>15299.999999999998</v>
      </c>
      <c r="X55" s="187"/>
      <c r="Y55" s="188"/>
      <c r="Z55" s="186">
        <f>$L$70*$D$38/2</f>
        <v>15299.999999999998</v>
      </c>
      <c r="AA55" s="186">
        <f>$L$70*$D$38/2</f>
        <v>15299.999999999998</v>
      </c>
      <c r="AB55" s="186">
        <f>$L$70*$D$38/2</f>
        <v>15299.999999999998</v>
      </c>
      <c r="AC55" s="186">
        <f>$L$70*$D$38/2</f>
        <v>15299.999999999998</v>
      </c>
      <c r="AD55" s="186">
        <f>$L$70*$D$38/2</f>
        <v>15299.999999999998</v>
      </c>
      <c r="AE55" s="187"/>
      <c r="AF55" s="188"/>
      <c r="AG55" s="186">
        <f>$L$70*$D$38/2</f>
        <v>15299.999999999998</v>
      </c>
      <c r="AH55" s="186">
        <f>$L$70*$D$38/2</f>
        <v>15299.999999999998</v>
      </c>
      <c r="AI55" s="186">
        <f>$L$70*$D$38/2</f>
        <v>15299.999999999998</v>
      </c>
      <c r="AJ55" s="186">
        <f>$L$70*$D$38/2</f>
        <v>15299.999999999998</v>
      </c>
      <c r="AK55" s="190"/>
      <c r="AL55" s="217"/>
      <c r="AM55" s="171"/>
      <c r="AN55" s="21"/>
      <c r="AO55" s="21"/>
      <c r="AP55" s="21"/>
      <c r="AQ55" s="21"/>
      <c r="AR55" s="21"/>
      <c r="AS55" s="21"/>
      <c r="AT55" s="22"/>
      <c r="AU55" s="22"/>
      <c r="AV55" s="22"/>
      <c r="AW55" s="22"/>
    </row>
    <row r="56" spans="1:49">
      <c r="A56" s="528"/>
      <c r="B56" s="531"/>
      <c r="C56" s="534"/>
      <c r="D56" s="537"/>
      <c r="E56" s="218"/>
      <c r="F56" s="534"/>
      <c r="G56" s="191"/>
      <c r="H56" s="168" t="s">
        <v>24</v>
      </c>
      <c r="I56" s="186">
        <v>1</v>
      </c>
      <c r="J56" s="187"/>
      <c r="K56" s="188"/>
      <c r="L56" s="186">
        <v>1</v>
      </c>
      <c r="M56" s="186">
        <v>1</v>
      </c>
      <c r="N56" s="186">
        <v>1</v>
      </c>
      <c r="O56" s="186">
        <v>1</v>
      </c>
      <c r="P56" s="186">
        <v>1</v>
      </c>
      <c r="Q56" s="187"/>
      <c r="R56" s="188"/>
      <c r="S56" s="189"/>
      <c r="T56" s="186">
        <v>1</v>
      </c>
      <c r="U56" s="186">
        <v>1</v>
      </c>
      <c r="V56" s="186">
        <v>1</v>
      </c>
      <c r="W56" s="186">
        <v>1</v>
      </c>
      <c r="X56" s="187"/>
      <c r="Y56" s="188"/>
      <c r="Z56" s="186">
        <v>1</v>
      </c>
      <c r="AA56" s="186">
        <v>1</v>
      </c>
      <c r="AB56" s="186">
        <v>1</v>
      </c>
      <c r="AC56" s="186">
        <v>1</v>
      </c>
      <c r="AD56" s="186">
        <v>1</v>
      </c>
      <c r="AE56" s="187"/>
      <c r="AF56" s="188"/>
      <c r="AG56" s="186">
        <v>1</v>
      </c>
      <c r="AH56" s="186">
        <v>1</v>
      </c>
      <c r="AI56" s="186">
        <v>1</v>
      </c>
      <c r="AJ56" s="186">
        <v>1</v>
      </c>
      <c r="AK56" s="190"/>
      <c r="AL56" s="217"/>
      <c r="AM56" s="171"/>
      <c r="AN56" s="21"/>
      <c r="AO56" s="21"/>
      <c r="AP56" s="21"/>
      <c r="AQ56" s="21"/>
      <c r="AR56" s="21"/>
      <c r="AS56" s="21"/>
      <c r="AT56" s="22"/>
      <c r="AU56" s="22"/>
      <c r="AV56" s="22"/>
      <c r="AW56" s="22"/>
    </row>
    <row r="57" spans="1:49">
      <c r="A57" s="528"/>
      <c r="B57" s="531"/>
      <c r="C57" s="534"/>
      <c r="D57" s="537"/>
      <c r="E57" s="218"/>
      <c r="F57" s="534"/>
      <c r="G57" s="227"/>
      <c r="H57" s="173" t="s">
        <v>16</v>
      </c>
      <c r="I57" s="186">
        <f>43902+17553</f>
        <v>61455</v>
      </c>
      <c r="J57" s="187"/>
      <c r="K57" s="188"/>
      <c r="L57" s="186"/>
      <c r="M57" s="186"/>
      <c r="N57" s="186"/>
      <c r="O57" s="186"/>
      <c r="P57" s="186"/>
      <c r="Q57" s="187"/>
      <c r="R57" s="188"/>
      <c r="S57" s="189"/>
      <c r="T57" s="186"/>
      <c r="U57" s="186"/>
      <c r="V57" s="186"/>
      <c r="W57" s="186"/>
      <c r="X57" s="187"/>
      <c r="Y57" s="188"/>
      <c r="Z57" s="186"/>
      <c r="AA57" s="186"/>
      <c r="AB57" s="186"/>
      <c r="AC57" s="186"/>
      <c r="AD57" s="186"/>
      <c r="AE57" s="187"/>
      <c r="AF57" s="188"/>
      <c r="AG57" s="186"/>
      <c r="AH57" s="186"/>
      <c r="AI57" s="186"/>
      <c r="AJ57" s="186"/>
      <c r="AK57" s="190"/>
      <c r="AL57" s="217"/>
      <c r="AM57" s="171"/>
      <c r="AN57" s="21"/>
      <c r="AO57" s="21"/>
      <c r="AP57" s="21"/>
      <c r="AQ57" s="21"/>
      <c r="AR57" s="21"/>
      <c r="AS57" s="21"/>
      <c r="AT57" s="22"/>
      <c r="AU57" s="22"/>
      <c r="AV57" s="22"/>
      <c r="AW57" s="22"/>
    </row>
    <row r="58" spans="1:49">
      <c r="A58" s="528"/>
      <c r="B58" s="531"/>
      <c r="C58" s="534"/>
      <c r="D58" s="537"/>
      <c r="E58" s="218"/>
      <c r="F58" s="534"/>
      <c r="G58" s="228"/>
      <c r="H58" s="173" t="s">
        <v>113</v>
      </c>
      <c r="I58" s="31">
        <f>I57-I55</f>
        <v>46155</v>
      </c>
      <c r="J58" s="187"/>
      <c r="K58" s="188"/>
      <c r="L58" s="186"/>
      <c r="M58" s="186"/>
      <c r="N58" s="186"/>
      <c r="O58" s="186"/>
      <c r="P58" s="186"/>
      <c r="Q58" s="187"/>
      <c r="R58" s="188"/>
      <c r="S58" s="189"/>
      <c r="T58" s="186"/>
      <c r="U58" s="186"/>
      <c r="V58" s="186"/>
      <c r="W58" s="186"/>
      <c r="X58" s="187"/>
      <c r="Y58" s="188"/>
      <c r="Z58" s="186"/>
      <c r="AA58" s="186"/>
      <c r="AB58" s="186"/>
      <c r="AC58" s="186"/>
      <c r="AD58" s="186"/>
      <c r="AE58" s="187"/>
      <c r="AF58" s="188"/>
      <c r="AG58" s="186"/>
      <c r="AH58" s="186"/>
      <c r="AI58" s="186"/>
      <c r="AJ58" s="186"/>
      <c r="AK58" s="190"/>
      <c r="AL58" s="217"/>
      <c r="AM58" s="171"/>
      <c r="AN58" s="21"/>
      <c r="AO58" s="21"/>
      <c r="AP58" s="21"/>
      <c r="AQ58" s="21"/>
      <c r="AR58" s="21"/>
      <c r="AS58" s="21"/>
      <c r="AT58" s="22"/>
      <c r="AU58" s="22"/>
      <c r="AV58" s="22"/>
      <c r="AW58" s="22"/>
    </row>
    <row r="59" spans="1:49">
      <c r="A59" s="528"/>
      <c r="B59" s="531"/>
      <c r="C59" s="534"/>
      <c r="D59" s="537"/>
      <c r="E59" s="218"/>
      <c r="F59" s="534"/>
      <c r="G59" s="191" t="s">
        <v>474</v>
      </c>
      <c r="H59" s="168" t="s">
        <v>26</v>
      </c>
      <c r="I59" s="186">
        <f>$L$70*$D$38/2</f>
        <v>15299.999999999998</v>
      </c>
      <c r="J59" s="187"/>
      <c r="K59" s="188"/>
      <c r="L59" s="186">
        <f>$L$70*$D$38/2</f>
        <v>15299.999999999998</v>
      </c>
      <c r="M59" s="186">
        <f>$L$70*$D$38/2</f>
        <v>15299.999999999998</v>
      </c>
      <c r="N59" s="186">
        <f>$L$70*$D$38/2</f>
        <v>15299.999999999998</v>
      </c>
      <c r="O59" s="186">
        <f>$L$70*$D$38/2</f>
        <v>15299.999999999998</v>
      </c>
      <c r="P59" s="186">
        <f>$L$70*$D$38/2</f>
        <v>15299.999999999998</v>
      </c>
      <c r="Q59" s="187"/>
      <c r="R59" s="188"/>
      <c r="S59" s="189"/>
      <c r="T59" s="186">
        <f>$L$70*$D$38/2</f>
        <v>15299.999999999998</v>
      </c>
      <c r="U59" s="186">
        <f>$L$70*$D$38/2</f>
        <v>15299.999999999998</v>
      </c>
      <c r="V59" s="186">
        <f>$L$70*$D$38/2</f>
        <v>15299.999999999998</v>
      </c>
      <c r="W59" s="186">
        <f>$L$70*$D$38/2</f>
        <v>15299.999999999998</v>
      </c>
      <c r="X59" s="187"/>
      <c r="Y59" s="188"/>
      <c r="Z59" s="186">
        <f>$L$70*$D$38/2</f>
        <v>15299.999999999998</v>
      </c>
      <c r="AA59" s="186">
        <f>$L$70*$D$38/2</f>
        <v>15299.999999999998</v>
      </c>
      <c r="AB59" s="186">
        <f>$L$70*$D$38/2</f>
        <v>15299.999999999998</v>
      </c>
      <c r="AC59" s="186">
        <f>$L$70*$D$38/2</f>
        <v>15299.999999999998</v>
      </c>
      <c r="AD59" s="186">
        <f>$L$70*$D$38/2</f>
        <v>15299.999999999998</v>
      </c>
      <c r="AE59" s="187"/>
      <c r="AF59" s="188"/>
      <c r="AG59" s="186">
        <f>$L$70*$D$38/2</f>
        <v>15299.999999999998</v>
      </c>
      <c r="AH59" s="186">
        <f>$L$70*$D$38/2</f>
        <v>15299.999999999998</v>
      </c>
      <c r="AI59" s="186">
        <f>$L$70*$D$38/2</f>
        <v>15299.999999999998</v>
      </c>
      <c r="AJ59" s="186">
        <f>$L$70*$D$38/2</f>
        <v>15299.999999999998</v>
      </c>
      <c r="AK59" s="190"/>
      <c r="AL59" s="217"/>
      <c r="AM59" s="171"/>
      <c r="AN59" s="21"/>
      <c r="AO59" s="21"/>
      <c r="AP59" s="21"/>
      <c r="AQ59" s="21"/>
      <c r="AR59" s="21"/>
      <c r="AS59" s="21"/>
      <c r="AT59" s="22"/>
      <c r="AU59" s="22"/>
      <c r="AV59" s="22"/>
      <c r="AW59" s="22"/>
    </row>
    <row r="60" spans="1:49">
      <c r="A60" s="528"/>
      <c r="B60" s="531"/>
      <c r="C60" s="534"/>
      <c r="D60" s="537"/>
      <c r="E60" s="218"/>
      <c r="F60" s="534"/>
      <c r="G60" s="172"/>
      <c r="H60" s="173" t="s">
        <v>16</v>
      </c>
      <c r="I60" s="186"/>
      <c r="J60" s="187"/>
      <c r="K60" s="188"/>
      <c r="L60" s="186"/>
      <c r="M60" s="186"/>
      <c r="N60" s="186"/>
      <c r="O60" s="186"/>
      <c r="P60" s="186"/>
      <c r="Q60" s="187"/>
      <c r="R60" s="188"/>
      <c r="S60" s="189"/>
      <c r="T60" s="186"/>
      <c r="U60" s="186"/>
      <c r="V60" s="186"/>
      <c r="W60" s="186"/>
      <c r="X60" s="187"/>
      <c r="Y60" s="188"/>
      <c r="Z60" s="186"/>
      <c r="AA60" s="186"/>
      <c r="AB60" s="186"/>
      <c r="AC60" s="186"/>
      <c r="AD60" s="186"/>
      <c r="AE60" s="187"/>
      <c r="AF60" s="188"/>
      <c r="AG60" s="186"/>
      <c r="AH60" s="186"/>
      <c r="AI60" s="186"/>
      <c r="AJ60" s="186"/>
      <c r="AK60" s="190"/>
      <c r="AL60" s="217"/>
      <c r="AM60" s="171"/>
      <c r="AN60" s="21"/>
      <c r="AO60" s="21"/>
      <c r="AP60" s="21"/>
      <c r="AQ60" s="21"/>
      <c r="AR60" s="21"/>
      <c r="AS60" s="21"/>
      <c r="AT60" s="22"/>
      <c r="AU60" s="22"/>
      <c r="AV60" s="22"/>
      <c r="AW60" s="22"/>
    </row>
    <row r="61" spans="1:49">
      <c r="A61" s="528"/>
      <c r="B61" s="531"/>
      <c r="C61" s="534"/>
      <c r="D61" s="537"/>
      <c r="E61" s="218"/>
      <c r="F61" s="534"/>
      <c r="G61" s="172"/>
      <c r="H61" s="173" t="s">
        <v>113</v>
      </c>
      <c r="I61" s="186"/>
      <c r="J61" s="187"/>
      <c r="K61" s="188"/>
      <c r="L61" s="186"/>
      <c r="M61" s="186"/>
      <c r="N61" s="186"/>
      <c r="O61" s="186"/>
      <c r="P61" s="186"/>
      <c r="Q61" s="187"/>
      <c r="R61" s="188"/>
      <c r="S61" s="189"/>
      <c r="T61" s="186"/>
      <c r="U61" s="186"/>
      <c r="V61" s="186"/>
      <c r="W61" s="186"/>
      <c r="X61" s="187"/>
      <c r="Y61" s="188"/>
      <c r="Z61" s="186"/>
      <c r="AA61" s="186"/>
      <c r="AB61" s="186"/>
      <c r="AC61" s="186"/>
      <c r="AD61" s="186"/>
      <c r="AE61" s="187"/>
      <c r="AF61" s="188"/>
      <c r="AG61" s="186"/>
      <c r="AH61" s="186"/>
      <c r="AI61" s="186"/>
      <c r="AJ61" s="186"/>
      <c r="AK61" s="190"/>
      <c r="AL61" s="217"/>
      <c r="AM61" s="171"/>
      <c r="AN61" s="21"/>
      <c r="AO61" s="21"/>
      <c r="AP61" s="21"/>
      <c r="AQ61" s="21"/>
      <c r="AR61" s="21"/>
      <c r="AS61" s="21"/>
      <c r="AT61" s="22"/>
      <c r="AU61" s="22"/>
      <c r="AV61" s="22"/>
      <c r="AW61" s="22"/>
    </row>
    <row r="62" spans="1:49">
      <c r="A62" s="528"/>
      <c r="B62" s="531"/>
      <c r="C62" s="534"/>
      <c r="D62" s="537"/>
      <c r="E62" s="218"/>
      <c r="F62" s="534"/>
      <c r="G62" s="191" t="s">
        <v>475</v>
      </c>
      <c r="H62" s="168" t="s">
        <v>37</v>
      </c>
      <c r="I62" s="186">
        <f>$L$70*$D$38/2</f>
        <v>15299.999999999998</v>
      </c>
      <c r="J62" s="187"/>
      <c r="K62" s="188"/>
      <c r="L62" s="186">
        <f>$L$70*$D$38/2</f>
        <v>15299.999999999998</v>
      </c>
      <c r="M62" s="186">
        <f>$L$70*$D$38/2</f>
        <v>15299.999999999998</v>
      </c>
      <c r="N62" s="186">
        <f>$L$70*$D$38/2</f>
        <v>15299.999999999998</v>
      </c>
      <c r="O62" s="186">
        <f>$L$70*$D$38/2</f>
        <v>15299.999999999998</v>
      </c>
      <c r="P62" s="186">
        <f>$L$70*$D$38/2</f>
        <v>15299.999999999998</v>
      </c>
      <c r="Q62" s="187"/>
      <c r="R62" s="188"/>
      <c r="S62" s="189"/>
      <c r="T62" s="186">
        <f>$L$70*$D$38/2</f>
        <v>15299.999999999998</v>
      </c>
      <c r="U62" s="186">
        <f>$L$70*$D$38/2</f>
        <v>15299.999999999998</v>
      </c>
      <c r="V62" s="186">
        <f>$L$70*$D$38/2</f>
        <v>15299.999999999998</v>
      </c>
      <c r="W62" s="186">
        <f>$L$70*$D$38/2</f>
        <v>15299.999999999998</v>
      </c>
      <c r="X62" s="187"/>
      <c r="Y62" s="188"/>
      <c r="Z62" s="186">
        <f>$L$70*$D$38/2</f>
        <v>15299.999999999998</v>
      </c>
      <c r="AA62" s="186">
        <f>$L$70*$D$38/2</f>
        <v>15299.999999999998</v>
      </c>
      <c r="AB62" s="186">
        <f>$L$70*$D$38/2</f>
        <v>15299.999999999998</v>
      </c>
      <c r="AC62" s="186">
        <f>$L$70*$D$38/2</f>
        <v>15299.999999999998</v>
      </c>
      <c r="AD62" s="186">
        <f>$L$70*$D$38/2</f>
        <v>15299.999999999998</v>
      </c>
      <c r="AE62" s="187"/>
      <c r="AF62" s="188"/>
      <c r="AG62" s="186">
        <f>$L$70*$D$38/2</f>
        <v>15299.999999999998</v>
      </c>
      <c r="AH62" s="186">
        <f>$L$70*$D$38/2</f>
        <v>15299.999999999998</v>
      </c>
      <c r="AI62" s="186">
        <f>$L$70*$D$38/2</f>
        <v>15299.999999999998</v>
      </c>
      <c r="AJ62" s="186">
        <f>$L$70*$D$38/2</f>
        <v>15299.999999999998</v>
      </c>
      <c r="AK62" s="190"/>
      <c r="AL62" s="217"/>
      <c r="AM62" s="171"/>
      <c r="AN62" s="21"/>
      <c r="AO62" s="21"/>
      <c r="AP62" s="21"/>
      <c r="AQ62" s="21"/>
      <c r="AR62" s="21"/>
      <c r="AS62" s="21"/>
      <c r="AT62" s="22"/>
      <c r="AU62" s="22"/>
      <c r="AV62" s="22"/>
      <c r="AW62" s="22"/>
    </row>
    <row r="63" spans="1:49">
      <c r="A63" s="528"/>
      <c r="B63" s="531"/>
      <c r="C63" s="534"/>
      <c r="D63" s="537"/>
      <c r="E63" s="218"/>
      <c r="F63" s="534"/>
      <c r="G63" s="191"/>
      <c r="H63" s="168" t="s">
        <v>24</v>
      </c>
      <c r="I63" s="186">
        <v>1</v>
      </c>
      <c r="J63" s="187"/>
      <c r="K63" s="188"/>
      <c r="L63" s="186">
        <v>1</v>
      </c>
      <c r="M63" s="186">
        <v>1</v>
      </c>
      <c r="N63" s="186">
        <v>1</v>
      </c>
      <c r="O63" s="186">
        <v>1</v>
      </c>
      <c r="P63" s="186">
        <v>1</v>
      </c>
      <c r="Q63" s="187"/>
      <c r="R63" s="188"/>
      <c r="S63" s="189"/>
      <c r="T63" s="186">
        <v>1</v>
      </c>
      <c r="U63" s="186">
        <v>1</v>
      </c>
      <c r="V63" s="186">
        <v>1</v>
      </c>
      <c r="W63" s="186">
        <v>1</v>
      </c>
      <c r="X63" s="187"/>
      <c r="Y63" s="188"/>
      <c r="Z63" s="186">
        <v>1</v>
      </c>
      <c r="AA63" s="186">
        <v>1</v>
      </c>
      <c r="AB63" s="186">
        <v>1</v>
      </c>
      <c r="AC63" s="186">
        <v>1</v>
      </c>
      <c r="AD63" s="186">
        <v>1</v>
      </c>
      <c r="AE63" s="187"/>
      <c r="AF63" s="188"/>
      <c r="AG63" s="186">
        <v>1</v>
      </c>
      <c r="AH63" s="186">
        <v>1</v>
      </c>
      <c r="AI63" s="186">
        <v>1</v>
      </c>
      <c r="AJ63" s="186">
        <v>1</v>
      </c>
      <c r="AK63" s="190"/>
      <c r="AL63" s="217"/>
      <c r="AM63" s="171"/>
      <c r="AN63" s="229"/>
      <c r="AO63" s="229"/>
      <c r="AP63" s="229"/>
      <c r="AQ63" s="22"/>
      <c r="AR63" s="196"/>
      <c r="AS63" s="196"/>
      <c r="AT63" s="22"/>
      <c r="AU63" s="22"/>
      <c r="AV63" s="22"/>
      <c r="AW63" s="22"/>
    </row>
    <row r="64" spans="1:49">
      <c r="A64" s="528"/>
      <c r="B64" s="531"/>
      <c r="C64" s="534"/>
      <c r="D64" s="537"/>
      <c r="E64" s="218"/>
      <c r="F64" s="534"/>
      <c r="G64" s="172"/>
      <c r="H64" s="173" t="s">
        <v>16</v>
      </c>
      <c r="I64" s="186"/>
      <c r="J64" s="187">
        <f>29860+11480</f>
        <v>41340</v>
      </c>
      <c r="K64" s="188"/>
      <c r="L64" s="186"/>
      <c r="M64" s="186"/>
      <c r="N64" s="186"/>
      <c r="O64" s="186"/>
      <c r="P64" s="186"/>
      <c r="Q64" s="187"/>
      <c r="R64" s="188"/>
      <c r="S64" s="189"/>
      <c r="T64" s="186"/>
      <c r="U64" s="186"/>
      <c r="V64" s="186"/>
      <c r="W64" s="186"/>
      <c r="X64" s="187"/>
      <c r="Y64" s="188"/>
      <c r="Z64" s="186"/>
      <c r="AA64" s="186"/>
      <c r="AB64" s="186"/>
      <c r="AC64" s="186"/>
      <c r="AD64" s="186"/>
      <c r="AE64" s="187"/>
      <c r="AF64" s="188"/>
      <c r="AG64" s="186"/>
      <c r="AH64" s="186"/>
      <c r="AI64" s="186"/>
      <c r="AJ64" s="186"/>
      <c r="AK64" s="190"/>
      <c r="AL64" s="217"/>
      <c r="AM64" s="171"/>
      <c r="AN64" s="229"/>
      <c r="AO64" s="229"/>
      <c r="AP64" s="229"/>
      <c r="AQ64" s="22"/>
      <c r="AR64" s="196"/>
      <c r="AS64" s="196"/>
      <c r="AT64" s="22"/>
      <c r="AU64" s="22"/>
      <c r="AV64" s="22"/>
      <c r="AW64" s="22"/>
    </row>
    <row r="65" spans="1:49">
      <c r="A65" s="528"/>
      <c r="B65" s="531"/>
      <c r="C65" s="534"/>
      <c r="D65" s="537"/>
      <c r="E65" s="218"/>
      <c r="F65" s="534"/>
      <c r="G65" s="172"/>
      <c r="H65" s="173" t="s">
        <v>113</v>
      </c>
      <c r="I65" s="31">
        <f>I64-I62</f>
        <v>-15299.999999999998</v>
      </c>
      <c r="J65" s="192">
        <f>I65+(J64-J62)</f>
        <v>26040</v>
      </c>
      <c r="K65" s="188"/>
      <c r="L65" s="186"/>
      <c r="M65" s="186"/>
      <c r="N65" s="186"/>
      <c r="O65" s="186"/>
      <c r="P65" s="186"/>
      <c r="Q65" s="187"/>
      <c r="R65" s="188"/>
      <c r="S65" s="189"/>
      <c r="T65" s="186"/>
      <c r="U65" s="186"/>
      <c r="V65" s="186"/>
      <c r="W65" s="186"/>
      <c r="X65" s="187"/>
      <c r="Y65" s="188"/>
      <c r="Z65" s="186"/>
      <c r="AA65" s="186"/>
      <c r="AB65" s="186"/>
      <c r="AC65" s="186"/>
      <c r="AD65" s="186"/>
      <c r="AE65" s="187"/>
      <c r="AF65" s="188"/>
      <c r="AG65" s="186"/>
      <c r="AH65" s="186"/>
      <c r="AI65" s="186"/>
      <c r="AJ65" s="186"/>
      <c r="AK65" s="190"/>
      <c r="AL65" s="217"/>
      <c r="AM65" s="171"/>
      <c r="AN65" s="229"/>
      <c r="AO65" s="229"/>
      <c r="AP65" s="229"/>
      <c r="AQ65" s="22"/>
      <c r="AR65" s="196"/>
      <c r="AS65" s="196"/>
      <c r="AT65" s="22"/>
      <c r="AU65" s="22"/>
      <c r="AV65" s="22"/>
      <c r="AW65" s="22"/>
    </row>
    <row r="66" spans="1:49">
      <c r="A66" s="528"/>
      <c r="B66" s="531"/>
      <c r="C66" s="534"/>
      <c r="D66" s="537"/>
      <c r="E66" s="218"/>
      <c r="F66" s="534"/>
      <c r="G66" s="191"/>
      <c r="H66" s="168" t="s">
        <v>27</v>
      </c>
      <c r="I66" s="186">
        <f>$L$70*$D$38/2</f>
        <v>15299.999999999998</v>
      </c>
      <c r="J66" s="187"/>
      <c r="K66" s="188"/>
      <c r="L66" s="186">
        <f>$L$70*$D$38/2</f>
        <v>15299.999999999998</v>
      </c>
      <c r="M66" s="186">
        <f>$L$70*$D$38/2</f>
        <v>15299.999999999998</v>
      </c>
      <c r="N66" s="186">
        <f>$L$70*$D$38/2</f>
        <v>15299.999999999998</v>
      </c>
      <c r="O66" s="186">
        <f>$L$70*$D$38/2</f>
        <v>15299.999999999998</v>
      </c>
      <c r="P66" s="186">
        <f>$L$70*$D$38/2</f>
        <v>15299.999999999998</v>
      </c>
      <c r="Q66" s="187"/>
      <c r="R66" s="188"/>
      <c r="S66" s="189"/>
      <c r="T66" s="186">
        <f>$L$70*$D$38/2</f>
        <v>15299.999999999998</v>
      </c>
      <c r="U66" s="186">
        <f>$L$70*$D$38/2</f>
        <v>15299.999999999998</v>
      </c>
      <c r="V66" s="186">
        <f>$L$70*$D$38/2</f>
        <v>15299.999999999998</v>
      </c>
      <c r="W66" s="186">
        <f>$L$70*$D$38/2</f>
        <v>15299.999999999998</v>
      </c>
      <c r="X66" s="187"/>
      <c r="Y66" s="188"/>
      <c r="Z66" s="186">
        <f>$L$70*$D$38/2</f>
        <v>15299.999999999998</v>
      </c>
      <c r="AA66" s="186">
        <f>$L$70*$D$38/2</f>
        <v>15299.999999999998</v>
      </c>
      <c r="AB66" s="186">
        <f>$L$70*$D$38/2</f>
        <v>15299.999999999998</v>
      </c>
      <c r="AC66" s="186">
        <f>$L$70*$D$38/2</f>
        <v>15299.999999999998</v>
      </c>
      <c r="AD66" s="186">
        <f>$L$70*$D$38/2</f>
        <v>15299.999999999998</v>
      </c>
      <c r="AE66" s="187"/>
      <c r="AF66" s="188"/>
      <c r="AG66" s="186">
        <f>$L$70*$D$38/2</f>
        <v>15299.999999999998</v>
      </c>
      <c r="AH66" s="186">
        <f>$L$70*$D$38/2</f>
        <v>15299.999999999998</v>
      </c>
      <c r="AI66" s="186">
        <f>$L$70*$D$38/2</f>
        <v>15299.999999999998</v>
      </c>
      <c r="AJ66" s="186">
        <f>$L$70*$D$38/2</f>
        <v>15299.999999999998</v>
      </c>
      <c r="AK66" s="190"/>
      <c r="AL66" s="217"/>
      <c r="AM66" s="171"/>
      <c r="AN66" s="229"/>
      <c r="AO66" s="229"/>
      <c r="AP66" s="229"/>
      <c r="AQ66" s="22"/>
      <c r="AR66" s="196"/>
      <c r="AS66" s="196"/>
      <c r="AT66" s="22"/>
      <c r="AU66" s="22"/>
      <c r="AV66" s="22"/>
      <c r="AW66" s="22"/>
    </row>
    <row r="67" spans="1:49">
      <c r="A67" s="528"/>
      <c r="B67" s="531"/>
      <c r="C67" s="534"/>
      <c r="D67" s="537"/>
      <c r="E67" s="218"/>
      <c r="F67" s="534"/>
      <c r="G67" s="191"/>
      <c r="H67" s="168" t="s">
        <v>28</v>
      </c>
      <c r="I67" s="186">
        <v>1</v>
      </c>
      <c r="J67" s="187"/>
      <c r="K67" s="188"/>
      <c r="L67" s="186">
        <v>1</v>
      </c>
      <c r="M67" s="186">
        <v>1</v>
      </c>
      <c r="N67" s="186">
        <v>1</v>
      </c>
      <c r="O67" s="186">
        <v>1</v>
      </c>
      <c r="P67" s="186">
        <v>1</v>
      </c>
      <c r="Q67" s="187"/>
      <c r="R67" s="188"/>
      <c r="S67" s="189"/>
      <c r="T67" s="186">
        <v>1</v>
      </c>
      <c r="U67" s="186">
        <v>1</v>
      </c>
      <c r="V67" s="186">
        <v>1</v>
      </c>
      <c r="W67" s="186">
        <v>1</v>
      </c>
      <c r="X67" s="187"/>
      <c r="Y67" s="188"/>
      <c r="Z67" s="186">
        <v>1</v>
      </c>
      <c r="AA67" s="186">
        <v>1</v>
      </c>
      <c r="AB67" s="186">
        <v>1</v>
      </c>
      <c r="AC67" s="186">
        <v>1</v>
      </c>
      <c r="AD67" s="186">
        <v>1</v>
      </c>
      <c r="AE67" s="187"/>
      <c r="AF67" s="188"/>
      <c r="AG67" s="186">
        <v>1</v>
      </c>
      <c r="AH67" s="186">
        <v>1</v>
      </c>
      <c r="AI67" s="186">
        <v>1</v>
      </c>
      <c r="AJ67" s="186">
        <v>1</v>
      </c>
      <c r="AK67" s="190"/>
      <c r="AL67" s="217"/>
      <c r="AM67" s="171"/>
      <c r="AN67" s="229"/>
      <c r="AO67" s="229"/>
      <c r="AP67" s="229"/>
      <c r="AQ67" s="22"/>
      <c r="AR67" s="196"/>
      <c r="AS67" s="196"/>
      <c r="AT67" s="22"/>
      <c r="AU67" s="22"/>
      <c r="AV67" s="22"/>
      <c r="AW67" s="22"/>
    </row>
    <row r="68" spans="1:49">
      <c r="A68" s="528"/>
      <c r="B68" s="531"/>
      <c r="C68" s="534"/>
      <c r="D68" s="537"/>
      <c r="E68" s="218"/>
      <c r="F68" s="534"/>
      <c r="G68" s="172"/>
      <c r="H68" s="173" t="s">
        <v>16</v>
      </c>
      <c r="I68" s="186">
        <f>SUMIFS('總絞Twisting core'!$K$7:$K$1000,'總絞Twisting core'!$A$7:$A$1000,'03'!I$2,'總絞Twisting core'!$D$7:$D$1000,'03'!$A$44)</f>
        <v>16057</v>
      </c>
      <c r="J68" s="187">
        <f>SUMIFS('總絞Twisting core'!$K$7:$K$1000,'總絞Twisting core'!$A$7:$A$1000,'03'!J$2,'總絞Twisting core'!$D$7:$D$1000,'03'!$A$44)</f>
        <v>10356</v>
      </c>
      <c r="K68" s="188"/>
      <c r="L68" s="186">
        <f>SUMIFS('總絞Twisting core'!$K$7:$K$1000,'總絞Twisting core'!$A$7:$A$1000,'03'!L$2,'總絞Twisting core'!$D$7:$D$1000,'03'!$A$44)</f>
        <v>21701</v>
      </c>
      <c r="M68" s="186">
        <f>SUMIFS('總絞Twisting core'!$K$7:$K$1000,'總絞Twisting core'!$A$7:$A$1000,'03'!M$2,'總絞Twisting core'!$D$7:$D$1000,'03'!$A$44)</f>
        <v>17437</v>
      </c>
      <c r="N68" s="186">
        <f>SUMIFS('總絞Twisting core'!$K$7:$K$1000,'總絞Twisting core'!$A$7:$A$1000,'03'!N$2,'總絞Twisting core'!$D$7:$D$1000,'03'!$A$44)</f>
        <v>14068</v>
      </c>
      <c r="O68" s="186">
        <f>SUMIFS('總絞Twisting core'!$K$7:$K$1000,'總絞Twisting core'!$A$7:$A$1000,'03'!O$2,'總絞Twisting core'!$D$7:$D$1000,'03'!$A$44)</f>
        <v>20534</v>
      </c>
      <c r="P68" s="186">
        <f>SUMIFS('總絞Twisting core'!$K$7:$K$1000,'總絞Twisting core'!$A$7:$A$1000,'03'!P$2,'總絞Twisting core'!$D$7:$D$1000,'03'!$A$44)</f>
        <v>20619</v>
      </c>
      <c r="Q68" s="187">
        <f>SUMIFS('總絞Twisting core'!$K$7:$K$1000,'總絞Twisting core'!$A$7:$A$1000,'03'!Q$2,'總絞Twisting core'!$D$7:$D$1000,'03'!$A$44)</f>
        <v>12823</v>
      </c>
      <c r="R68" s="188"/>
      <c r="S68" s="189"/>
      <c r="T68" s="186">
        <f>SUMIFS('總絞Twisting core'!$K$7:$K$1000,'總絞Twisting core'!$A$7:$A$1000,'03'!T$2,'總絞Twisting core'!$D$7:$D$1000,'03'!$A$44)</f>
        <v>20920</v>
      </c>
      <c r="U68" s="186">
        <f>SUMIFS('總絞Twisting core'!$K$7:$K$1000,'總絞Twisting core'!$A$7:$A$1000,'03'!U$2,'總絞Twisting core'!$D$7:$D$1000,'03'!$A$44)</f>
        <v>20355</v>
      </c>
      <c r="V68" s="186">
        <f>SUMIFS('總絞Twisting core'!$K$7:$K$1000,'總絞Twisting core'!$A$7:$A$1000,'03'!V$2,'總絞Twisting core'!$D$7:$D$1000,'03'!$A$44)</f>
        <v>0</v>
      </c>
      <c r="W68" s="186">
        <f>SUMIFS('總絞Twisting core'!$K$7:$K$1000,'總絞Twisting core'!$A$7:$A$1000,'03'!W$2,'總絞Twisting core'!$D$7:$D$1000,'03'!$A$44)</f>
        <v>0</v>
      </c>
      <c r="X68" s="187">
        <f>SUMIFS('總絞Twisting core'!$K$7:$K$1000,'總絞Twisting core'!$A$7:$A$1000,'03'!X$2,'總絞Twisting core'!$D$7:$D$1000,'03'!$A$44)</f>
        <v>0</v>
      </c>
      <c r="Y68" s="188"/>
      <c r="Z68" s="186">
        <f>SUMIFS('總絞Twisting core'!$K$7:$K$1000,'總絞Twisting core'!$A$7:$A$1000,'03'!Z$2,'總絞Twisting core'!$D$7:$D$1000,'03'!$A$44)</f>
        <v>0</v>
      </c>
      <c r="AA68" s="186">
        <f>SUMIFS('總絞Twisting core'!$K$7:$K$1000,'總絞Twisting core'!$A$7:$A$1000,'03'!AA$2,'總絞Twisting core'!$D$7:$D$1000,'03'!$A$44)</f>
        <v>0</v>
      </c>
      <c r="AB68" s="186">
        <f>SUMIFS('總絞Twisting core'!$K$7:$K$1000,'總絞Twisting core'!$A$7:$A$1000,'03'!AB$2,'總絞Twisting core'!$D$7:$D$1000,'03'!$A$44)</f>
        <v>0</v>
      </c>
      <c r="AC68" s="186">
        <f>SUMIFS('總絞Twisting core'!$K$7:$K$1000,'總絞Twisting core'!$A$7:$A$1000,'03'!AC$2,'總絞Twisting core'!$D$7:$D$1000,'03'!$A$44)</f>
        <v>0</v>
      </c>
      <c r="AD68" s="186">
        <f>SUMIFS('總絞Twisting core'!$K$7:$K$1000,'總絞Twisting core'!$A$7:$A$1000,'03'!AD$2,'總絞Twisting core'!$D$7:$D$1000,'03'!$A$44)</f>
        <v>0</v>
      </c>
      <c r="AE68" s="187">
        <f>SUMIFS('總絞Twisting core'!$K$7:$K$1000,'總絞Twisting core'!$A$7:$A$1000,'03'!AE$2,'總絞Twisting core'!$D$7:$D$1000,'03'!$A$44)</f>
        <v>0</v>
      </c>
      <c r="AF68" s="188"/>
      <c r="AG68" s="186">
        <f>SUMIFS('總絞Twisting core'!$K$7:$K$1000,'總絞Twisting core'!$A$7:$A$1000,'03'!AG$2,'總絞Twisting core'!$D$7:$D$1000,'03'!$A$44)</f>
        <v>0</v>
      </c>
      <c r="AH68" s="186">
        <f>SUMIFS('總絞Twisting core'!$K$7:$K$1000,'總絞Twisting core'!$A$7:$A$1000,'03'!AH$2,'總絞Twisting core'!$D$7:$D$1000,'03'!$A$44)</f>
        <v>0</v>
      </c>
      <c r="AI68" s="186">
        <f>SUMIFS('總絞Twisting core'!$K$7:$K$1000,'總絞Twisting core'!$A$7:$A$1000,'03'!AI$2,'總絞Twisting core'!$D$7:$D$1000,'03'!$A$44)</f>
        <v>0</v>
      </c>
      <c r="AJ68" s="186">
        <f>SUMIFS('總絞Twisting core'!$K$7:$K$1000,'總絞Twisting core'!$A$7:$A$1000,'03'!AJ$2,'總絞Twisting core'!$D$7:$D$1000,'03'!$A$44)</f>
        <v>0</v>
      </c>
      <c r="AK68" s="190"/>
      <c r="AL68" s="217"/>
      <c r="AM68" s="171"/>
      <c r="AN68" s="229"/>
      <c r="AO68" s="229"/>
      <c r="AP68" s="229"/>
      <c r="AQ68" s="22"/>
      <c r="AR68" s="196"/>
      <c r="AS68" s="196"/>
      <c r="AT68" s="22"/>
      <c r="AU68" s="22"/>
      <c r="AV68" s="22"/>
      <c r="AW68" s="22"/>
    </row>
    <row r="69" spans="1:49">
      <c r="A69" s="528"/>
      <c r="B69" s="531"/>
      <c r="C69" s="534"/>
      <c r="D69" s="537"/>
      <c r="E69" s="218"/>
      <c r="F69" s="534"/>
      <c r="G69" s="172"/>
      <c r="H69" s="173" t="s">
        <v>113</v>
      </c>
      <c r="I69" s="31">
        <f>I68-I66</f>
        <v>757.00000000000182</v>
      </c>
      <c r="J69" s="192">
        <f>I69+(J68-J66)</f>
        <v>11113.000000000002</v>
      </c>
      <c r="K69" s="188"/>
      <c r="L69" s="186"/>
      <c r="M69" s="198"/>
      <c r="N69" s="227"/>
      <c r="O69" s="186"/>
      <c r="P69" s="186"/>
      <c r="Q69" s="187"/>
      <c r="R69" s="188"/>
      <c r="S69" s="189"/>
      <c r="T69" s="186"/>
      <c r="U69" s="186"/>
      <c r="V69" s="186"/>
      <c r="W69" s="186"/>
      <c r="X69" s="187"/>
      <c r="Y69" s="188"/>
      <c r="Z69" s="186"/>
      <c r="AA69" s="186"/>
      <c r="AB69" s="186"/>
      <c r="AC69" s="186"/>
      <c r="AD69" s="186"/>
      <c r="AE69" s="187"/>
      <c r="AF69" s="188"/>
      <c r="AG69" s="186"/>
      <c r="AH69" s="186"/>
      <c r="AI69" s="186"/>
      <c r="AJ69" s="186"/>
      <c r="AK69" s="190"/>
      <c r="AL69" s="217"/>
      <c r="AM69" s="171"/>
      <c r="AN69" s="229"/>
      <c r="AO69" s="229"/>
      <c r="AP69" s="229"/>
      <c r="AQ69" s="22"/>
      <c r="AR69" s="196"/>
      <c r="AS69" s="196"/>
      <c r="AT69" s="22"/>
      <c r="AU69" s="22"/>
      <c r="AV69" s="22"/>
      <c r="AW69" s="22"/>
    </row>
    <row r="70" spans="1:49">
      <c r="A70" s="528"/>
      <c r="B70" s="531"/>
      <c r="C70" s="534"/>
      <c r="D70" s="537"/>
      <c r="E70" s="218"/>
      <c r="F70" s="534"/>
      <c r="G70" s="191"/>
      <c r="H70" s="168" t="s">
        <v>29</v>
      </c>
      <c r="I70" s="186"/>
      <c r="J70" s="187"/>
      <c r="K70" s="194"/>
      <c r="L70" s="186">
        <f>($C$38*2)</f>
        <v>24000</v>
      </c>
      <c r="M70" s="228"/>
      <c r="N70" s="186">
        <f>($C$38*2)</f>
        <v>24000</v>
      </c>
      <c r="O70" s="186"/>
      <c r="P70" s="186">
        <f>($C$38*2)</f>
        <v>24000</v>
      </c>
      <c r="Q70" s="187"/>
      <c r="R70" s="188"/>
      <c r="S70" s="189"/>
      <c r="T70" s="186"/>
      <c r="U70" s="186">
        <f>($C$38*2)</f>
        <v>24000</v>
      </c>
      <c r="V70" s="186"/>
      <c r="W70" s="186">
        <f>($C$38*2)</f>
        <v>24000</v>
      </c>
      <c r="X70" s="193"/>
      <c r="Y70" s="188"/>
      <c r="Z70" s="186"/>
      <c r="AA70" s="186">
        <f>($C$38*2)</f>
        <v>24000</v>
      </c>
      <c r="AB70" s="186"/>
      <c r="AC70" s="186">
        <f>($C$38*2)</f>
        <v>24000</v>
      </c>
      <c r="AD70" s="186"/>
      <c r="AE70" s="193"/>
      <c r="AF70" s="188"/>
      <c r="AG70" s="186">
        <f>($C$38*2)</f>
        <v>24000</v>
      </c>
      <c r="AH70" s="186"/>
      <c r="AI70" s="186">
        <f>($C$38*2)</f>
        <v>24000</v>
      </c>
      <c r="AJ70" s="186"/>
      <c r="AK70" s="190"/>
      <c r="AL70" s="217"/>
      <c r="AM70" s="171"/>
      <c r="AN70" s="229"/>
      <c r="AO70" s="229"/>
      <c r="AP70" s="229"/>
      <c r="AQ70" s="22"/>
      <c r="AR70" s="196"/>
      <c r="AS70" s="196"/>
      <c r="AT70" s="22"/>
      <c r="AU70" s="22"/>
      <c r="AV70" s="22"/>
      <c r="AW70" s="22"/>
    </row>
    <row r="71" spans="1:49">
      <c r="A71" s="528"/>
      <c r="B71" s="531"/>
      <c r="C71" s="534"/>
      <c r="D71" s="537"/>
      <c r="E71" s="218"/>
      <c r="F71" s="534"/>
      <c r="G71" s="191"/>
      <c r="H71" s="168" t="s">
        <v>30</v>
      </c>
      <c r="I71" s="186"/>
      <c r="J71" s="187"/>
      <c r="K71" s="188"/>
      <c r="L71" s="230">
        <v>1</v>
      </c>
      <c r="M71" s="228"/>
      <c r="N71" s="230">
        <v>1</v>
      </c>
      <c r="O71" s="186"/>
      <c r="P71" s="230">
        <v>1</v>
      </c>
      <c r="Q71" s="187"/>
      <c r="R71" s="188"/>
      <c r="S71" s="189"/>
      <c r="T71" s="230"/>
      <c r="U71" s="230">
        <v>1</v>
      </c>
      <c r="V71" s="186"/>
      <c r="W71" s="230">
        <v>1</v>
      </c>
      <c r="X71" s="193"/>
      <c r="Y71" s="231"/>
      <c r="Z71" s="186"/>
      <c r="AA71" s="230">
        <v>1</v>
      </c>
      <c r="AB71" s="230"/>
      <c r="AC71" s="230">
        <v>1</v>
      </c>
      <c r="AD71" s="230"/>
      <c r="AE71" s="193"/>
      <c r="AF71" s="231"/>
      <c r="AG71" s="230">
        <v>1</v>
      </c>
      <c r="AH71" s="186"/>
      <c r="AI71" s="230">
        <v>1</v>
      </c>
      <c r="AJ71" s="186"/>
      <c r="AK71" s="232"/>
      <c r="AL71" s="217"/>
      <c r="AM71" s="171"/>
      <c r="AN71" s="229"/>
      <c r="AO71" s="229"/>
      <c r="AP71" s="229"/>
      <c r="AQ71" s="22"/>
      <c r="AR71" s="196"/>
      <c r="AS71" s="196"/>
      <c r="AT71" s="22"/>
      <c r="AU71" s="22"/>
      <c r="AV71" s="22"/>
      <c r="AW71" s="22"/>
    </row>
    <row r="72" spans="1:49">
      <c r="A72" s="528"/>
      <c r="B72" s="531"/>
      <c r="C72" s="534"/>
      <c r="D72" s="537"/>
      <c r="E72" s="218"/>
      <c r="F72" s="534"/>
      <c r="G72" s="172"/>
      <c r="H72" s="173" t="s">
        <v>16</v>
      </c>
      <c r="I72" s="198"/>
      <c r="J72" s="221"/>
      <c r="K72" s="222"/>
      <c r="L72" s="233"/>
      <c r="M72" s="234"/>
      <c r="N72" s="233"/>
      <c r="O72" s="198"/>
      <c r="P72" s="233"/>
      <c r="Q72" s="221"/>
      <c r="R72" s="222"/>
      <c r="S72" s="235"/>
      <c r="T72" s="233"/>
      <c r="U72" s="233"/>
      <c r="V72" s="198"/>
      <c r="W72" s="233"/>
      <c r="X72" s="199"/>
      <c r="Y72" s="236"/>
      <c r="Z72" s="198"/>
      <c r="AA72" s="233"/>
      <c r="AB72" s="233"/>
      <c r="AC72" s="233"/>
      <c r="AD72" s="233"/>
      <c r="AE72" s="199"/>
      <c r="AF72" s="236"/>
      <c r="AG72" s="233"/>
      <c r="AH72" s="198"/>
      <c r="AI72" s="233"/>
      <c r="AJ72" s="198"/>
      <c r="AK72" s="237"/>
      <c r="AL72" s="217"/>
      <c r="AM72" s="171"/>
      <c r="AN72" s="229"/>
      <c r="AO72" s="229"/>
      <c r="AP72" s="229"/>
      <c r="AQ72" s="22"/>
      <c r="AR72" s="196"/>
      <c r="AS72" s="196"/>
      <c r="AT72" s="22"/>
      <c r="AU72" s="22"/>
      <c r="AV72" s="22"/>
      <c r="AW72" s="22"/>
    </row>
    <row r="73" spans="1:49" ht="15.75" thickBot="1">
      <c r="A73" s="529"/>
      <c r="B73" s="532"/>
      <c r="C73" s="535"/>
      <c r="D73" s="538"/>
      <c r="E73" s="238"/>
      <c r="F73" s="535"/>
      <c r="G73" s="203"/>
      <c r="H73" s="204" t="s">
        <v>113</v>
      </c>
      <c r="I73" s="239"/>
      <c r="J73" s="240"/>
      <c r="K73" s="206"/>
      <c r="L73" s="239"/>
      <c r="M73" s="239"/>
      <c r="N73" s="239"/>
      <c r="O73" s="239"/>
      <c r="P73" s="239"/>
      <c r="Q73" s="240"/>
      <c r="R73" s="241"/>
      <c r="S73" s="242"/>
      <c r="T73" s="239"/>
      <c r="U73" s="239"/>
      <c r="V73" s="239"/>
      <c r="W73" s="239"/>
      <c r="X73" s="240"/>
      <c r="Y73" s="241"/>
      <c r="Z73" s="239"/>
      <c r="AA73" s="239"/>
      <c r="AB73" s="239"/>
      <c r="AC73" s="239"/>
      <c r="AD73" s="239"/>
      <c r="AE73" s="240"/>
      <c r="AF73" s="241"/>
      <c r="AG73" s="239"/>
      <c r="AH73" s="239"/>
      <c r="AI73" s="239"/>
      <c r="AJ73" s="239"/>
      <c r="AK73" s="243"/>
      <c r="AL73" s="217"/>
      <c r="AM73" s="171"/>
      <c r="AN73" s="229"/>
      <c r="AO73" s="229"/>
      <c r="AP73" s="229"/>
      <c r="AQ73" s="22"/>
      <c r="AR73" s="196"/>
      <c r="AS73" s="196"/>
      <c r="AT73" s="22"/>
      <c r="AU73" s="22"/>
      <c r="AV73" s="22"/>
      <c r="AW73" s="22"/>
    </row>
    <row r="74" spans="1:49" ht="15" hidden="1" customHeight="1">
      <c r="A74" s="527" t="s">
        <v>237</v>
      </c>
      <c r="B74" s="530" t="s">
        <v>39</v>
      </c>
      <c r="C74" s="533">
        <v>2500</v>
      </c>
      <c r="D74" s="560">
        <v>1.59</v>
      </c>
      <c r="E74" s="563"/>
      <c r="F74" s="533" t="s">
        <v>40</v>
      </c>
      <c r="G74" s="244">
        <v>0.08</v>
      </c>
      <c r="H74" s="157" t="s">
        <v>111</v>
      </c>
      <c r="I74" s="210">
        <v>43.82</v>
      </c>
      <c r="J74" s="211"/>
      <c r="K74" s="212"/>
      <c r="L74" s="210">
        <v>43.82</v>
      </c>
      <c r="M74" s="210">
        <v>43.82</v>
      </c>
      <c r="N74" s="210">
        <v>43.82</v>
      </c>
      <c r="O74" s="210">
        <v>43.82</v>
      </c>
      <c r="P74" s="210">
        <v>43.82</v>
      </c>
      <c r="Q74" s="213"/>
      <c r="R74" s="214"/>
      <c r="S74" s="215"/>
      <c r="T74" s="210">
        <v>43.82</v>
      </c>
      <c r="U74" s="210">
        <v>43.82</v>
      </c>
      <c r="V74" s="210">
        <v>43.82</v>
      </c>
      <c r="W74" s="210">
        <v>43.82</v>
      </c>
      <c r="X74" s="211"/>
      <c r="Y74" s="212"/>
      <c r="Z74" s="210">
        <v>43.82</v>
      </c>
      <c r="AA74" s="210">
        <v>43.82</v>
      </c>
      <c r="AB74" s="210">
        <v>43.82</v>
      </c>
      <c r="AC74" s="210">
        <v>43.82</v>
      </c>
      <c r="AD74" s="210">
        <v>43.82</v>
      </c>
      <c r="AE74" s="211"/>
      <c r="AF74" s="212"/>
      <c r="AG74" s="210">
        <v>43.82</v>
      </c>
      <c r="AH74" s="210">
        <v>43.82</v>
      </c>
      <c r="AI74" s="210">
        <v>43.82</v>
      </c>
      <c r="AJ74" s="210">
        <v>43.82</v>
      </c>
      <c r="AK74" s="216"/>
      <c r="AL74" s="217"/>
      <c r="AM74" s="171"/>
      <c r="AN74" s="525"/>
      <c r="AO74" s="22"/>
      <c r="AP74" s="21"/>
      <c r="AQ74" s="21"/>
      <c r="AR74" s="21"/>
      <c r="AS74" s="21"/>
      <c r="AT74" s="22"/>
      <c r="AU74" s="22"/>
      <c r="AV74" s="22"/>
      <c r="AW74" s="22"/>
    </row>
    <row r="75" spans="1:49" ht="15" hidden="1" customHeight="1">
      <c r="A75" s="528"/>
      <c r="B75" s="531"/>
      <c r="C75" s="534"/>
      <c r="D75" s="561"/>
      <c r="E75" s="564"/>
      <c r="F75" s="534"/>
      <c r="G75" s="172"/>
      <c r="H75" s="168" t="s">
        <v>112</v>
      </c>
      <c r="I75" s="186">
        <v>0.5</v>
      </c>
      <c r="J75" s="187"/>
      <c r="K75" s="188"/>
      <c r="L75" s="186">
        <v>0.5</v>
      </c>
      <c r="M75" s="186">
        <v>0.5</v>
      </c>
      <c r="N75" s="186">
        <v>0.5</v>
      </c>
      <c r="O75" s="186">
        <v>0.5</v>
      </c>
      <c r="P75" s="186">
        <v>0.5</v>
      </c>
      <c r="Q75" s="187"/>
      <c r="R75" s="188"/>
      <c r="S75" s="189"/>
      <c r="T75" s="186">
        <v>0.5</v>
      </c>
      <c r="U75" s="186">
        <v>0.5</v>
      </c>
      <c r="V75" s="186">
        <v>0.5</v>
      </c>
      <c r="W75" s="186">
        <v>0.5</v>
      </c>
      <c r="X75" s="187"/>
      <c r="Y75" s="188"/>
      <c r="Z75" s="186">
        <v>0.5</v>
      </c>
      <c r="AA75" s="186">
        <v>0.5</v>
      </c>
      <c r="AB75" s="186">
        <v>0.5</v>
      </c>
      <c r="AC75" s="186">
        <v>0.5</v>
      </c>
      <c r="AD75" s="186">
        <v>0.5</v>
      </c>
      <c r="AE75" s="187"/>
      <c r="AF75" s="188"/>
      <c r="AG75" s="186">
        <v>0.5</v>
      </c>
      <c r="AH75" s="186">
        <v>0.5</v>
      </c>
      <c r="AI75" s="186">
        <v>0.5</v>
      </c>
      <c r="AJ75" s="186">
        <v>0.5</v>
      </c>
      <c r="AK75" s="190"/>
      <c r="AL75" s="217"/>
      <c r="AM75" s="171"/>
      <c r="AN75" s="525"/>
      <c r="AO75" s="22"/>
      <c r="AP75" s="21"/>
      <c r="AQ75" s="21"/>
      <c r="AR75" s="21"/>
      <c r="AS75" s="21"/>
      <c r="AT75" s="22"/>
      <c r="AU75" s="22"/>
      <c r="AV75" s="22"/>
      <c r="AW75" s="22"/>
    </row>
    <row r="76" spans="1:49" ht="15" hidden="1" customHeight="1">
      <c r="A76" s="528"/>
      <c r="B76" s="531"/>
      <c r="C76" s="534"/>
      <c r="D76" s="561"/>
      <c r="E76" s="564"/>
      <c r="F76" s="534"/>
      <c r="G76" s="172"/>
      <c r="H76" s="173" t="s">
        <v>16</v>
      </c>
      <c r="I76" s="198"/>
      <c r="J76" s="187"/>
      <c r="K76" s="188"/>
      <c r="L76" s="186"/>
      <c r="M76" s="186"/>
      <c r="N76" s="186"/>
      <c r="O76" s="186"/>
      <c r="P76" s="186"/>
      <c r="Q76" s="187"/>
      <c r="R76" s="188"/>
      <c r="S76" s="189"/>
      <c r="T76" s="186"/>
      <c r="U76" s="186"/>
      <c r="V76" s="186"/>
      <c r="W76" s="186"/>
      <c r="X76" s="187"/>
      <c r="Y76" s="188"/>
      <c r="Z76" s="186"/>
      <c r="AA76" s="186"/>
      <c r="AB76" s="186"/>
      <c r="AC76" s="186"/>
      <c r="AD76" s="186"/>
      <c r="AE76" s="187"/>
      <c r="AF76" s="188"/>
      <c r="AG76" s="186"/>
      <c r="AH76" s="186"/>
      <c r="AI76" s="186"/>
      <c r="AJ76" s="186"/>
      <c r="AK76" s="190"/>
      <c r="AL76" s="217"/>
      <c r="AM76" s="171"/>
      <c r="AN76" s="229"/>
      <c r="AO76" s="229"/>
      <c r="AP76" s="229"/>
      <c r="AQ76" s="22"/>
      <c r="AR76" s="196"/>
      <c r="AS76" s="196"/>
      <c r="AT76" s="22"/>
      <c r="AU76" s="22"/>
      <c r="AV76" s="22"/>
      <c r="AW76" s="22"/>
    </row>
    <row r="77" spans="1:49" ht="15" hidden="1" customHeight="1">
      <c r="A77" s="528"/>
      <c r="B77" s="531"/>
      <c r="C77" s="534"/>
      <c r="D77" s="561"/>
      <c r="E77" s="564"/>
      <c r="F77" s="534"/>
      <c r="G77" s="179" t="s">
        <v>105</v>
      </c>
      <c r="H77" s="181" t="s">
        <v>114</v>
      </c>
      <c r="I77" s="223">
        <v>43.82</v>
      </c>
      <c r="J77" s="224"/>
      <c r="K77" s="225"/>
      <c r="L77" s="223">
        <v>43.82</v>
      </c>
      <c r="M77" s="223">
        <v>43.82</v>
      </c>
      <c r="N77" s="223">
        <v>43.82</v>
      </c>
      <c r="O77" s="223">
        <v>43.82</v>
      </c>
      <c r="P77" s="223">
        <v>43.82</v>
      </c>
      <c r="Q77" s="187"/>
      <c r="R77" s="188"/>
      <c r="S77" s="189"/>
      <c r="T77" s="223">
        <v>43.82</v>
      </c>
      <c r="U77" s="223">
        <v>43.82</v>
      </c>
      <c r="V77" s="223">
        <v>43.82</v>
      </c>
      <c r="W77" s="223">
        <v>43.82</v>
      </c>
      <c r="X77" s="224"/>
      <c r="Y77" s="225"/>
      <c r="Z77" s="223">
        <v>43.82</v>
      </c>
      <c r="AA77" s="223">
        <v>43.82</v>
      </c>
      <c r="AB77" s="223">
        <v>43.82</v>
      </c>
      <c r="AC77" s="223">
        <v>43.82</v>
      </c>
      <c r="AD77" s="223">
        <v>43.82</v>
      </c>
      <c r="AE77" s="224"/>
      <c r="AF77" s="225"/>
      <c r="AG77" s="223">
        <v>43.82</v>
      </c>
      <c r="AH77" s="223">
        <v>43.82</v>
      </c>
      <c r="AI77" s="223">
        <v>43.82</v>
      </c>
      <c r="AJ77" s="223">
        <v>43.82</v>
      </c>
      <c r="AK77" s="226"/>
      <c r="AL77" s="217"/>
      <c r="AM77" s="171"/>
      <c r="AN77" s="229"/>
      <c r="AO77" s="229"/>
      <c r="AP77" s="229"/>
      <c r="AQ77" s="22"/>
      <c r="AR77" s="196"/>
      <c r="AS77" s="196"/>
      <c r="AT77" s="22"/>
      <c r="AU77" s="22"/>
      <c r="AV77" s="22"/>
      <c r="AW77" s="22"/>
    </row>
    <row r="78" spans="1:49" ht="15" hidden="1" customHeight="1">
      <c r="A78" s="528"/>
      <c r="B78" s="531"/>
      <c r="C78" s="534"/>
      <c r="D78" s="561"/>
      <c r="E78" s="564"/>
      <c r="F78" s="534"/>
      <c r="G78" s="172"/>
      <c r="H78" s="168" t="s">
        <v>112</v>
      </c>
      <c r="I78" s="186">
        <v>0.2</v>
      </c>
      <c r="J78" s="187"/>
      <c r="K78" s="188"/>
      <c r="L78" s="186">
        <v>0.2</v>
      </c>
      <c r="M78" s="186">
        <v>0.2</v>
      </c>
      <c r="N78" s="186">
        <v>0.2</v>
      </c>
      <c r="O78" s="186">
        <v>0.2</v>
      </c>
      <c r="P78" s="186">
        <v>0.2</v>
      </c>
      <c r="Q78" s="187"/>
      <c r="R78" s="188"/>
      <c r="S78" s="189"/>
      <c r="T78" s="186">
        <v>0.2</v>
      </c>
      <c r="U78" s="186">
        <v>0.2</v>
      </c>
      <c r="V78" s="186">
        <v>0.2</v>
      </c>
      <c r="W78" s="186">
        <v>0.2</v>
      </c>
      <c r="X78" s="187"/>
      <c r="Y78" s="188"/>
      <c r="Z78" s="186">
        <v>0.2</v>
      </c>
      <c r="AA78" s="186">
        <v>0.2</v>
      </c>
      <c r="AB78" s="186">
        <v>0.2</v>
      </c>
      <c r="AC78" s="186">
        <v>0.2</v>
      </c>
      <c r="AD78" s="186">
        <v>0.2</v>
      </c>
      <c r="AE78" s="187"/>
      <c r="AF78" s="188"/>
      <c r="AG78" s="186">
        <v>0.2</v>
      </c>
      <c r="AH78" s="186">
        <v>0.2</v>
      </c>
      <c r="AI78" s="186">
        <v>0.2</v>
      </c>
      <c r="AJ78" s="186">
        <v>0.2</v>
      </c>
      <c r="AK78" s="190"/>
      <c r="AL78" s="217"/>
      <c r="AM78" s="171"/>
      <c r="AN78" s="229"/>
      <c r="AO78" s="229"/>
      <c r="AP78" s="229"/>
      <c r="AQ78" s="22"/>
      <c r="AR78" s="196"/>
      <c r="AS78" s="196"/>
      <c r="AT78" s="22"/>
      <c r="AU78" s="22"/>
      <c r="AV78" s="22"/>
      <c r="AW78" s="22"/>
    </row>
    <row r="79" spans="1:49" ht="15" hidden="1" customHeight="1">
      <c r="A79" s="528"/>
      <c r="B79" s="531"/>
      <c r="C79" s="534"/>
      <c r="D79" s="561"/>
      <c r="E79" s="564"/>
      <c r="F79" s="534"/>
      <c r="G79" s="219"/>
      <c r="H79" s="173" t="s">
        <v>16</v>
      </c>
      <c r="I79" s="186"/>
      <c r="J79" s="187"/>
      <c r="K79" s="188"/>
      <c r="L79" s="186"/>
      <c r="M79" s="186"/>
      <c r="N79" s="186"/>
      <c r="O79" s="186"/>
      <c r="P79" s="186"/>
      <c r="Q79" s="187"/>
      <c r="R79" s="188"/>
      <c r="S79" s="189"/>
      <c r="T79" s="186"/>
      <c r="U79" s="186"/>
      <c r="V79" s="186"/>
      <c r="W79" s="186"/>
      <c r="X79" s="187"/>
      <c r="Y79" s="188"/>
      <c r="Z79" s="186"/>
      <c r="AA79" s="186"/>
      <c r="AB79" s="186"/>
      <c r="AC79" s="186"/>
      <c r="AD79" s="186"/>
      <c r="AE79" s="187"/>
      <c r="AF79" s="188"/>
      <c r="AG79" s="186"/>
      <c r="AH79" s="186"/>
      <c r="AI79" s="186"/>
      <c r="AJ79" s="186"/>
      <c r="AK79" s="190"/>
      <c r="AL79" s="217"/>
      <c r="AM79" s="171"/>
      <c r="AN79" s="229"/>
      <c r="AO79" s="229"/>
      <c r="AP79" s="229"/>
      <c r="AQ79" s="22"/>
      <c r="AR79" s="196"/>
      <c r="AS79" s="196"/>
      <c r="AT79" s="22"/>
      <c r="AU79" s="22"/>
      <c r="AV79" s="22"/>
      <c r="AW79" s="22"/>
    </row>
    <row r="80" spans="1:49">
      <c r="A80" s="528"/>
      <c r="B80" s="531"/>
      <c r="C80" s="534"/>
      <c r="D80" s="561"/>
      <c r="E80" s="564"/>
      <c r="F80" s="534"/>
      <c r="G80" s="172" t="s">
        <v>41</v>
      </c>
      <c r="H80" s="168" t="s">
        <v>42</v>
      </c>
      <c r="I80" s="245"/>
      <c r="J80" s="246"/>
      <c r="K80" s="247"/>
      <c r="L80" s="245"/>
      <c r="M80" s="245"/>
      <c r="N80" s="245"/>
      <c r="O80" s="245">
        <f>$W$107*$D$74/5</f>
        <v>3975</v>
      </c>
      <c r="P80" s="245">
        <f>$W$107*$D$74/5</f>
        <v>3975</v>
      </c>
      <c r="Q80" s="187"/>
      <c r="R80" s="188"/>
      <c r="S80" s="189"/>
      <c r="T80" s="245">
        <f>$W$107*$D$74/5</f>
        <v>3975</v>
      </c>
      <c r="U80" s="245">
        <f>$W$107*$D$74/5</f>
        <v>3975</v>
      </c>
      <c r="V80" s="245">
        <f>$W$107*$D$74/5</f>
        <v>3975</v>
      </c>
      <c r="W80" s="245">
        <f>$W$107*$D$74/5</f>
        <v>3975</v>
      </c>
      <c r="X80" s="246"/>
      <c r="Y80" s="247"/>
      <c r="Z80" s="245">
        <f>$W$107*$D$74/5</f>
        <v>3975</v>
      </c>
      <c r="AA80" s="245">
        <f>$W$107*$D$74/5</f>
        <v>3975</v>
      </c>
      <c r="AB80" s="245">
        <f>$W$107*$D$74/5</f>
        <v>3975</v>
      </c>
      <c r="AC80" s="245">
        <f>$W$107*$D$74/5</f>
        <v>3975</v>
      </c>
      <c r="AD80" s="245">
        <f>$W$107*$D$74/5</f>
        <v>3975</v>
      </c>
      <c r="AE80" s="246"/>
      <c r="AF80" s="247"/>
      <c r="AG80" s="245">
        <f>$W$107*$D$74/5</f>
        <v>3975</v>
      </c>
      <c r="AH80" s="245">
        <f>$W$107*$D$74/5</f>
        <v>3975</v>
      </c>
      <c r="AI80" s="245">
        <f>$W$107*$D$74/5</f>
        <v>3975</v>
      </c>
      <c r="AJ80" s="245">
        <f>$W$107*$D$74/5</f>
        <v>3975</v>
      </c>
      <c r="AK80" s="248"/>
      <c r="AL80" s="217"/>
      <c r="AM80" s="171"/>
      <c r="AN80" s="229"/>
      <c r="AO80" s="229"/>
      <c r="AP80" s="229"/>
      <c r="AQ80" s="22"/>
      <c r="AR80" s="196"/>
      <c r="AS80" s="196"/>
      <c r="AT80" s="22"/>
      <c r="AU80" s="22"/>
      <c r="AV80" s="22"/>
      <c r="AW80" s="22"/>
    </row>
    <row r="81" spans="1:49">
      <c r="A81" s="528"/>
      <c r="B81" s="531"/>
      <c r="C81" s="534"/>
      <c r="D81" s="561"/>
      <c r="E81" s="564"/>
      <c r="F81" s="534"/>
      <c r="G81" s="179"/>
      <c r="H81" s="168" t="s">
        <v>15</v>
      </c>
      <c r="I81" s="186"/>
      <c r="J81" s="187"/>
      <c r="K81" s="188"/>
      <c r="L81" s="186"/>
      <c r="M81" s="186"/>
      <c r="N81" s="186"/>
      <c r="O81" s="186">
        <v>1</v>
      </c>
      <c r="P81" s="186"/>
      <c r="Q81" s="187"/>
      <c r="R81" s="188"/>
      <c r="S81" s="189"/>
      <c r="T81" s="186"/>
      <c r="U81" s="186">
        <v>1</v>
      </c>
      <c r="V81" s="186"/>
      <c r="W81" s="186"/>
      <c r="X81" s="187"/>
      <c r="Y81" s="188"/>
      <c r="Z81" s="186"/>
      <c r="AA81" s="186"/>
      <c r="AB81" s="186">
        <v>1</v>
      </c>
      <c r="AC81" s="186"/>
      <c r="AD81" s="186"/>
      <c r="AE81" s="187"/>
      <c r="AF81" s="188"/>
      <c r="AG81" s="186"/>
      <c r="AH81" s="186">
        <v>1</v>
      </c>
      <c r="AI81" s="186"/>
      <c r="AJ81" s="186"/>
      <c r="AK81" s="190"/>
      <c r="AL81" s="217"/>
      <c r="AM81" s="171"/>
      <c r="AN81" s="229"/>
      <c r="AO81" s="229"/>
      <c r="AP81" s="229"/>
      <c r="AQ81" s="22"/>
      <c r="AR81" s="196"/>
      <c r="AS81" s="196"/>
      <c r="AT81" s="22"/>
      <c r="AU81" s="22"/>
      <c r="AV81" s="22"/>
      <c r="AW81" s="22"/>
    </row>
    <row r="82" spans="1:49">
      <c r="A82" s="528"/>
      <c r="B82" s="531"/>
      <c r="C82" s="534"/>
      <c r="D82" s="561"/>
      <c r="E82" s="564"/>
      <c r="F82" s="534"/>
      <c r="G82" s="172"/>
      <c r="H82" s="173" t="s">
        <v>16</v>
      </c>
      <c r="I82" s="186">
        <f>SUMIFS('絞線Twisting wire'!$K$7:$K$1000,'絞線Twisting wire'!$A$7:$A$1000,'03'!I$2,'絞線Twisting wire'!$D$7:$D$1000,'03'!$G$80,'絞線Twisting wire'!$F$7:$F$1000,'03'!$A$74)</f>
        <v>0</v>
      </c>
      <c r="J82" s="187">
        <f>SUMIFS('絞線Twisting wire'!$K$7:$K$1000,'絞線Twisting wire'!$A$7:$A$1000,'03'!J$2,'絞線Twisting wire'!$D$7:$D$1000,'03'!$G$80,'絞線Twisting wire'!$F$7:$F$1000,'03'!$A$74)</f>
        <v>0</v>
      </c>
      <c r="K82" s="188"/>
      <c r="L82" s="186">
        <f>SUMIFS('絞線Twisting wire'!$K$7:$K$1000,'絞線Twisting wire'!$A$7:$A$1000,'03'!L$2,'絞線Twisting wire'!$D$7:$D$1000,'03'!$G$80,'絞線Twisting wire'!$F$7:$F$1000,'03'!$A$74)</f>
        <v>0</v>
      </c>
      <c r="M82" s="186">
        <f>SUMIFS('絞線Twisting wire'!$K$7:$K$1000,'絞線Twisting wire'!$A$7:$A$1000,'03'!M$2,'絞線Twisting wire'!$D$7:$D$1000,'03'!$G$80,'絞線Twisting wire'!$F$7:$F$1000,'03'!$A$74)</f>
        <v>0</v>
      </c>
      <c r="N82" s="186">
        <f>SUMIFS('絞線Twisting wire'!$K$7:$K$1000,'絞線Twisting wire'!$A$7:$A$1000,'03'!N$2,'絞線Twisting wire'!$D$7:$D$1000,'03'!$G$80,'絞線Twisting wire'!$F$7:$F$1000,'03'!$A$74)</f>
        <v>0</v>
      </c>
      <c r="O82" s="186">
        <f>SUMIFS('絞線Twisting wire'!$K$7:$K$1000,'絞線Twisting wire'!$A$7:$A$1000,'03'!O$2,'絞線Twisting wire'!$D$7:$D$1000,'03'!$G$80,'絞線Twisting wire'!$F$7:$F$1000,'03'!$A$74)</f>
        <v>0</v>
      </c>
      <c r="P82" s="186">
        <f>SUMIFS('絞線Twisting wire'!$K$7:$K$1000,'絞線Twisting wire'!$A$7:$A$1000,'03'!P$2,'絞線Twisting wire'!$D$7:$D$1000,'03'!$G$80,'絞線Twisting wire'!$F$7:$F$1000,'03'!$A$74)</f>
        <v>0</v>
      </c>
      <c r="Q82" s="187">
        <f>SUMIFS('絞線Twisting wire'!$K$7:$K$1000,'絞線Twisting wire'!$A$7:$A$1000,'03'!Q$2,'絞線Twisting wire'!$D$7:$D$1000,'03'!$G$80,'絞線Twisting wire'!$F$7:$F$1000,'03'!$A$74)</f>
        <v>0</v>
      </c>
      <c r="R82" s="188"/>
      <c r="S82" s="189"/>
      <c r="T82" s="186">
        <f>SUMIFS('絞線Twisting wire'!$K$7:$K$1000,'絞線Twisting wire'!$A$7:$A$1000,'03'!T$2,'絞線Twisting wire'!$D$7:$D$1000,'03'!$G$80,'絞線Twisting wire'!$F$7:$F$1000,'03'!$A$74)</f>
        <v>0</v>
      </c>
      <c r="U82" s="186">
        <f>SUMIFS('絞線Twisting wire'!$K$7:$K$1000,'絞線Twisting wire'!$A$7:$A$1000,'03'!U$2,'絞線Twisting wire'!$D$7:$D$1000,'03'!$G$80,'絞線Twisting wire'!$F$7:$F$1000,'03'!$A$74)</f>
        <v>0</v>
      </c>
      <c r="V82" s="186">
        <f>SUMIFS('絞線Twisting wire'!$K$7:$K$1000,'絞線Twisting wire'!$A$7:$A$1000,'03'!V$2,'絞線Twisting wire'!$D$7:$D$1000,'03'!$G$80,'絞線Twisting wire'!$F$7:$F$1000,'03'!$A$74)</f>
        <v>0</v>
      </c>
      <c r="W82" s="186">
        <f>SUMIFS('絞線Twisting wire'!$K$7:$K$1000,'絞線Twisting wire'!$A$7:$A$1000,'03'!W$2,'絞線Twisting wire'!$D$7:$D$1000,'03'!$G$80,'絞線Twisting wire'!$F$7:$F$1000,'03'!$A$74)</f>
        <v>0</v>
      </c>
      <c r="X82" s="187">
        <f>SUMIFS('絞線Twisting wire'!$K$7:$K$1000,'絞線Twisting wire'!$A$7:$A$1000,'03'!X$2,'絞線Twisting wire'!$D$7:$D$1000,'03'!$G$80,'絞線Twisting wire'!$F$7:$F$1000,'03'!$A$74)</f>
        <v>0</v>
      </c>
      <c r="Y82" s="188"/>
      <c r="Z82" s="186">
        <f>SUMIFS('絞線Twisting wire'!$K$7:$K$1000,'絞線Twisting wire'!$A$7:$A$1000,'03'!Z$2,'絞線Twisting wire'!$D$7:$D$1000,'03'!$G$80,'絞線Twisting wire'!$F$7:$F$1000,'03'!$A$74)</f>
        <v>0</v>
      </c>
      <c r="AA82" s="186">
        <f>SUMIFS('絞線Twisting wire'!$K$7:$K$1000,'絞線Twisting wire'!$A$7:$A$1000,'03'!AA$2,'絞線Twisting wire'!$D$7:$D$1000,'03'!$G$80,'絞線Twisting wire'!$F$7:$F$1000,'03'!$A$74)</f>
        <v>0</v>
      </c>
      <c r="AB82" s="186">
        <f>SUMIFS('絞線Twisting wire'!$K$7:$K$1000,'絞線Twisting wire'!$A$7:$A$1000,'03'!AB$2,'絞線Twisting wire'!$D$7:$D$1000,'03'!$G$80,'絞線Twisting wire'!$F$7:$F$1000,'03'!$A$74)</f>
        <v>0</v>
      </c>
      <c r="AC82" s="186">
        <f>SUMIFS('絞線Twisting wire'!$K$7:$K$1000,'絞線Twisting wire'!$A$7:$A$1000,'03'!AC$2,'絞線Twisting wire'!$D$7:$D$1000,'03'!$G$80,'絞線Twisting wire'!$F$7:$F$1000,'03'!$A$74)</f>
        <v>0</v>
      </c>
      <c r="AD82" s="186">
        <f>SUMIFS('絞線Twisting wire'!$K$7:$K$1000,'絞線Twisting wire'!$A$7:$A$1000,'03'!AD$2,'絞線Twisting wire'!$D$7:$D$1000,'03'!$G$80,'絞線Twisting wire'!$F$7:$F$1000,'03'!$A$74)</f>
        <v>0</v>
      </c>
      <c r="AE82" s="187">
        <f>SUMIFS('絞線Twisting wire'!$K$7:$K$1000,'絞線Twisting wire'!$A$7:$A$1000,'03'!AE$2,'絞線Twisting wire'!$D$7:$D$1000,'03'!$G$80,'絞線Twisting wire'!$F$7:$F$1000,'03'!$A$74)</f>
        <v>0</v>
      </c>
      <c r="AF82" s="188"/>
      <c r="AG82" s="186">
        <f>SUMIFS('絞線Twisting wire'!$K$7:$K$1000,'絞線Twisting wire'!$A$7:$A$1000,'03'!AG$2,'絞線Twisting wire'!$D$7:$D$1000,'03'!$G$80,'絞線Twisting wire'!$F$7:$F$1000,'03'!$A$74)</f>
        <v>0</v>
      </c>
      <c r="AH82" s="186">
        <f>SUMIFS('絞線Twisting wire'!$K$7:$K$1000,'絞線Twisting wire'!$A$7:$A$1000,'03'!AH$2,'絞線Twisting wire'!$D$7:$D$1000,'03'!$G$80,'絞線Twisting wire'!$F$7:$F$1000,'03'!$A$74)</f>
        <v>0</v>
      </c>
      <c r="AI82" s="186">
        <f>SUMIFS('絞線Twisting wire'!$K$7:$K$1000,'絞線Twisting wire'!$A$7:$A$1000,'03'!AI$2,'絞線Twisting wire'!$D$7:$D$1000,'03'!$G$80,'絞線Twisting wire'!$F$7:$F$1000,'03'!$A$74)</f>
        <v>0</v>
      </c>
      <c r="AJ82" s="186">
        <f>SUMIFS('絞線Twisting wire'!$K$7:$K$1000,'絞線Twisting wire'!$A$7:$A$1000,'03'!AJ$2,'絞線Twisting wire'!$D$7:$D$1000,'03'!$G$80,'絞線Twisting wire'!$F$7:$F$1000,'03'!$A$74)</f>
        <v>0</v>
      </c>
      <c r="AK82" s="190"/>
      <c r="AL82" s="217"/>
      <c r="AM82" s="171"/>
      <c r="AN82" s="229"/>
      <c r="AO82" s="229"/>
      <c r="AP82" s="229"/>
      <c r="AQ82" s="22"/>
      <c r="AR82" s="196"/>
      <c r="AS82" s="196"/>
      <c r="AT82" s="22"/>
      <c r="AU82" s="22"/>
      <c r="AV82" s="22"/>
      <c r="AW82" s="22"/>
    </row>
    <row r="83" spans="1:49">
      <c r="A83" s="528"/>
      <c r="B83" s="531"/>
      <c r="C83" s="534"/>
      <c r="D83" s="561"/>
      <c r="E83" s="564"/>
      <c r="F83" s="534"/>
      <c r="G83" s="172"/>
      <c r="H83" s="173" t="s">
        <v>113</v>
      </c>
      <c r="I83" s="186"/>
      <c r="J83" s="187"/>
      <c r="K83" s="188"/>
      <c r="L83" s="186"/>
      <c r="M83" s="186"/>
      <c r="N83" s="186"/>
      <c r="O83" s="186"/>
      <c r="P83" s="186"/>
      <c r="Q83" s="187"/>
      <c r="R83" s="188"/>
      <c r="S83" s="189"/>
      <c r="T83" s="186"/>
      <c r="U83" s="186"/>
      <c r="V83" s="186"/>
      <c r="W83" s="186"/>
      <c r="X83" s="187"/>
      <c r="Y83" s="188"/>
      <c r="Z83" s="186"/>
      <c r="AA83" s="186"/>
      <c r="AB83" s="186"/>
      <c r="AC83" s="186"/>
      <c r="AD83" s="186"/>
      <c r="AE83" s="187"/>
      <c r="AF83" s="188"/>
      <c r="AG83" s="186"/>
      <c r="AH83" s="186"/>
      <c r="AI83" s="186"/>
      <c r="AJ83" s="186"/>
      <c r="AK83" s="190"/>
      <c r="AL83" s="217"/>
      <c r="AM83" s="171"/>
      <c r="AN83" s="229"/>
      <c r="AO83" s="229"/>
      <c r="AP83" s="229"/>
      <c r="AQ83" s="22"/>
      <c r="AR83" s="196"/>
      <c r="AS83" s="196"/>
      <c r="AT83" s="22"/>
      <c r="AU83" s="22"/>
      <c r="AV83" s="22"/>
      <c r="AW83" s="22"/>
    </row>
    <row r="84" spans="1:49">
      <c r="A84" s="528"/>
      <c r="B84" s="531"/>
      <c r="C84" s="534"/>
      <c r="D84" s="561"/>
      <c r="E84" s="564"/>
      <c r="F84" s="534"/>
      <c r="G84" s="172" t="s">
        <v>213</v>
      </c>
      <c r="H84" s="168" t="s">
        <v>43</v>
      </c>
      <c r="I84" s="186"/>
      <c r="J84" s="187"/>
      <c r="K84" s="188"/>
      <c r="L84" s="186"/>
      <c r="M84" s="186"/>
      <c r="N84" s="186"/>
      <c r="O84" s="186">
        <f>($W$107*$D$74/5)*2</f>
        <v>7950</v>
      </c>
      <c r="P84" s="186">
        <f>($W$107*$D$74/5)*2</f>
        <v>7950</v>
      </c>
      <c r="Q84" s="187"/>
      <c r="R84" s="188"/>
      <c r="S84" s="189"/>
      <c r="T84" s="186">
        <f>($W$107*$D$74/5)*2</f>
        <v>7950</v>
      </c>
      <c r="U84" s="186">
        <f>($W$107*$D$74/5)*2</f>
        <v>7950</v>
      </c>
      <c r="V84" s="186">
        <f>($W$107*$D$74/5)*2</f>
        <v>7950</v>
      </c>
      <c r="W84" s="186">
        <f>($W$107*$D$74/5)*2</f>
        <v>7950</v>
      </c>
      <c r="X84" s="187"/>
      <c r="Y84" s="188"/>
      <c r="Z84" s="186">
        <f>($W$107*$D$74/5)*2</f>
        <v>7950</v>
      </c>
      <c r="AA84" s="186">
        <f>($W$107*$D$74/5)*2</f>
        <v>7950</v>
      </c>
      <c r="AB84" s="186">
        <f>($W$107*$D$74/5)*2</f>
        <v>7950</v>
      </c>
      <c r="AC84" s="186">
        <f>($W$107*$D$74/5)*2</f>
        <v>7950</v>
      </c>
      <c r="AD84" s="186">
        <f>($W$107*$D$74/5)*2</f>
        <v>7950</v>
      </c>
      <c r="AE84" s="187"/>
      <c r="AF84" s="188"/>
      <c r="AG84" s="186">
        <f>($W$107*$D$74/5)*2</f>
        <v>7950</v>
      </c>
      <c r="AH84" s="186">
        <f>($W$107*$D$74/5)*2</f>
        <v>7950</v>
      </c>
      <c r="AI84" s="186">
        <f>($W$107*$D$74/5)*2</f>
        <v>7950</v>
      </c>
      <c r="AJ84" s="186">
        <f>($W$107*$D$74/5)*2</f>
        <v>7950</v>
      </c>
      <c r="AK84" s="190"/>
      <c r="AL84" s="217"/>
      <c r="AM84" s="171"/>
      <c r="AN84" s="229"/>
      <c r="AO84" s="229"/>
      <c r="AP84" s="229"/>
      <c r="AQ84" s="22"/>
      <c r="AR84" s="196"/>
      <c r="AS84" s="196"/>
      <c r="AT84" s="22"/>
      <c r="AU84" s="22"/>
      <c r="AV84" s="22"/>
      <c r="AW84" s="22"/>
    </row>
    <row r="85" spans="1:49">
      <c r="A85" s="528"/>
      <c r="B85" s="531"/>
      <c r="C85" s="534"/>
      <c r="D85" s="561"/>
      <c r="E85" s="564"/>
      <c r="F85" s="534"/>
      <c r="G85" s="172"/>
      <c r="H85" s="168" t="s">
        <v>15</v>
      </c>
      <c r="I85" s="186"/>
      <c r="J85" s="187"/>
      <c r="K85" s="188"/>
      <c r="L85" s="186"/>
      <c r="M85" s="186"/>
      <c r="N85" s="186"/>
      <c r="O85" s="186">
        <v>1</v>
      </c>
      <c r="P85" s="186">
        <v>1</v>
      </c>
      <c r="Q85" s="187"/>
      <c r="R85" s="188"/>
      <c r="S85" s="189"/>
      <c r="T85" s="186">
        <v>1</v>
      </c>
      <c r="U85" s="186">
        <v>1</v>
      </c>
      <c r="V85" s="186">
        <v>1</v>
      </c>
      <c r="W85" s="186">
        <v>1</v>
      </c>
      <c r="X85" s="187"/>
      <c r="Y85" s="188"/>
      <c r="Z85" s="186">
        <v>1</v>
      </c>
      <c r="AA85" s="186">
        <v>1</v>
      </c>
      <c r="AB85" s="186">
        <v>1</v>
      </c>
      <c r="AC85" s="186">
        <v>1</v>
      </c>
      <c r="AD85" s="186">
        <v>1</v>
      </c>
      <c r="AE85" s="187"/>
      <c r="AF85" s="188"/>
      <c r="AG85" s="186">
        <v>1</v>
      </c>
      <c r="AH85" s="186">
        <v>1</v>
      </c>
      <c r="AI85" s="186">
        <v>1</v>
      </c>
      <c r="AJ85" s="186">
        <v>1</v>
      </c>
      <c r="AK85" s="190"/>
      <c r="AL85" s="217"/>
      <c r="AM85" s="171"/>
      <c r="AN85" s="229"/>
      <c r="AO85" s="229"/>
      <c r="AP85" s="229"/>
      <c r="AQ85" s="22"/>
      <c r="AR85" s="196"/>
      <c r="AS85" s="196"/>
      <c r="AT85" s="22"/>
      <c r="AU85" s="22"/>
      <c r="AV85" s="22"/>
      <c r="AW85" s="22"/>
    </row>
    <row r="86" spans="1:49">
      <c r="A86" s="528"/>
      <c r="B86" s="531"/>
      <c r="C86" s="534"/>
      <c r="D86" s="561"/>
      <c r="E86" s="564"/>
      <c r="F86" s="534"/>
      <c r="G86" s="172"/>
      <c r="H86" s="173" t="s">
        <v>16</v>
      </c>
      <c r="I86" s="186">
        <f>SUMIFS('絞線Twisting wire'!$K$7:$K$1000,'絞線Twisting wire'!$A$7:$A$1000,'03'!I$2,'絞線Twisting wire'!$D$7:$D$1000,'03'!$G$84,'絞線Twisting wire'!$F$7:$F$1000,'03'!$A$74)</f>
        <v>0</v>
      </c>
      <c r="J86" s="187">
        <f>SUMIFS('絞線Twisting wire'!$K$7:$K$1000,'絞線Twisting wire'!$A$7:$A$1000,'03'!J$2,'絞線Twisting wire'!$D$7:$D$1000,'03'!$G$84,'絞線Twisting wire'!$F$7:$F$1000,'03'!$A$74)</f>
        <v>0</v>
      </c>
      <c r="K86" s="188"/>
      <c r="L86" s="186">
        <f>SUMIFS('絞線Twisting wire'!$K$7:$K$1000,'絞線Twisting wire'!$A$7:$A$1000,'03'!L$2,'絞線Twisting wire'!$D$7:$D$1000,'03'!$G$84,'絞線Twisting wire'!$F$7:$F$1000,'03'!$A$74)</f>
        <v>0</v>
      </c>
      <c r="M86" s="186">
        <f>SUMIFS('絞線Twisting wire'!$K$7:$K$1000,'絞線Twisting wire'!$A$7:$A$1000,'03'!M$2,'絞線Twisting wire'!$D$7:$D$1000,'03'!$G$84,'絞線Twisting wire'!$F$7:$F$1000,'03'!$A$74)</f>
        <v>0</v>
      </c>
      <c r="N86" s="186">
        <f>SUMIFS('絞線Twisting wire'!$K$7:$K$1000,'絞線Twisting wire'!$A$7:$A$1000,'03'!N$2,'絞線Twisting wire'!$D$7:$D$1000,'03'!$G$84,'絞線Twisting wire'!$F$7:$F$1000,'03'!$A$74)</f>
        <v>11389</v>
      </c>
      <c r="O86" s="186">
        <f>SUMIFS('絞線Twisting wire'!$K$7:$K$1000,'絞線Twisting wire'!$A$7:$A$1000,'03'!O$2,'絞線Twisting wire'!$D$7:$D$1000,'03'!$G$84,'絞線Twisting wire'!$F$7:$F$1000,'03'!$A$74)</f>
        <v>36995</v>
      </c>
      <c r="P86" s="186">
        <f>SUMIFS('絞線Twisting wire'!$K$7:$K$1000,'絞線Twisting wire'!$A$7:$A$1000,'03'!P$2,'絞線Twisting wire'!$D$7:$D$1000,'03'!$G$84,'絞線Twisting wire'!$F$7:$F$1000,'03'!$A$74)</f>
        <v>38393</v>
      </c>
      <c r="Q86" s="187">
        <f>SUMIFS('絞線Twisting wire'!$K$7:$K$1000,'絞線Twisting wire'!$A$7:$A$1000,'03'!Q$2,'絞線Twisting wire'!$D$7:$D$1000,'03'!$G$84,'絞線Twisting wire'!$F$7:$F$1000,'03'!$A$74)</f>
        <v>19131</v>
      </c>
      <c r="R86" s="188"/>
      <c r="S86" s="189"/>
      <c r="T86" s="186">
        <f>SUMIFS('絞線Twisting wire'!$K$7:$K$1000,'絞線Twisting wire'!$A$7:$A$1000,'03'!T$2,'絞線Twisting wire'!$D$7:$D$1000,'03'!$G$84,'絞線Twisting wire'!$F$7:$F$1000,'03'!$A$74)</f>
        <v>20283</v>
      </c>
      <c r="U86" s="186">
        <f>SUMIFS('絞線Twisting wire'!$K$7:$K$1000,'絞線Twisting wire'!$A$7:$A$1000,'03'!U$2,'絞線Twisting wire'!$D$7:$D$1000,'03'!$G$84,'絞線Twisting wire'!$F$7:$F$1000,'03'!$A$74)</f>
        <v>0</v>
      </c>
      <c r="V86" s="186">
        <f>SUMIFS('絞線Twisting wire'!$K$7:$K$1000,'絞線Twisting wire'!$A$7:$A$1000,'03'!V$2,'絞線Twisting wire'!$D$7:$D$1000,'03'!$G$84,'絞線Twisting wire'!$F$7:$F$1000,'03'!$A$74)</f>
        <v>0</v>
      </c>
      <c r="W86" s="186">
        <f>SUMIFS('絞線Twisting wire'!$K$7:$K$1000,'絞線Twisting wire'!$A$7:$A$1000,'03'!W$2,'絞線Twisting wire'!$D$7:$D$1000,'03'!$G$84,'絞線Twisting wire'!$F$7:$F$1000,'03'!$A$74)</f>
        <v>0</v>
      </c>
      <c r="X86" s="187">
        <f>SUMIFS('絞線Twisting wire'!$K$7:$K$1000,'絞線Twisting wire'!$A$7:$A$1000,'03'!X$2,'絞線Twisting wire'!$D$7:$D$1000,'03'!$G$84,'絞線Twisting wire'!$F$7:$F$1000,'03'!$A$74)</f>
        <v>0</v>
      </c>
      <c r="Y86" s="188"/>
      <c r="Z86" s="186">
        <f>SUMIFS('絞線Twisting wire'!$K$7:$K$1000,'絞線Twisting wire'!$A$7:$A$1000,'03'!Z$2,'絞線Twisting wire'!$D$7:$D$1000,'03'!$G$84,'絞線Twisting wire'!$F$7:$F$1000,'03'!$A$74)</f>
        <v>0</v>
      </c>
      <c r="AA86" s="186">
        <f>SUMIFS('絞線Twisting wire'!$K$7:$K$1000,'絞線Twisting wire'!$A$7:$A$1000,'03'!AA$2,'絞線Twisting wire'!$D$7:$D$1000,'03'!$G$84,'絞線Twisting wire'!$F$7:$F$1000,'03'!$A$74)</f>
        <v>0</v>
      </c>
      <c r="AB86" s="186">
        <f>SUMIFS('絞線Twisting wire'!$K$7:$K$1000,'絞線Twisting wire'!$A$7:$A$1000,'03'!AB$2,'絞線Twisting wire'!$D$7:$D$1000,'03'!$G$84,'絞線Twisting wire'!$F$7:$F$1000,'03'!$A$74)</f>
        <v>0</v>
      </c>
      <c r="AC86" s="186">
        <f>SUMIFS('絞線Twisting wire'!$K$7:$K$1000,'絞線Twisting wire'!$A$7:$A$1000,'03'!AC$2,'絞線Twisting wire'!$D$7:$D$1000,'03'!$G$84,'絞線Twisting wire'!$F$7:$F$1000,'03'!$A$74)</f>
        <v>0</v>
      </c>
      <c r="AD86" s="186">
        <f>SUMIFS('絞線Twisting wire'!$K$7:$K$1000,'絞線Twisting wire'!$A$7:$A$1000,'03'!AD$2,'絞線Twisting wire'!$D$7:$D$1000,'03'!$G$84,'絞線Twisting wire'!$F$7:$F$1000,'03'!$A$74)</f>
        <v>0</v>
      </c>
      <c r="AE86" s="187">
        <f>SUMIFS('絞線Twisting wire'!$K$7:$K$1000,'絞線Twisting wire'!$A$7:$A$1000,'03'!AE$2,'絞線Twisting wire'!$D$7:$D$1000,'03'!$G$84,'絞線Twisting wire'!$F$7:$F$1000,'03'!$A$74)</f>
        <v>0</v>
      </c>
      <c r="AF86" s="188"/>
      <c r="AG86" s="186">
        <f>SUMIFS('絞線Twisting wire'!$K$7:$K$1000,'絞線Twisting wire'!$A$7:$A$1000,'03'!AG$2,'絞線Twisting wire'!$D$7:$D$1000,'03'!$G$84,'絞線Twisting wire'!$F$7:$F$1000,'03'!$A$74)</f>
        <v>0</v>
      </c>
      <c r="AH86" s="186">
        <f>SUMIFS('絞線Twisting wire'!$K$7:$K$1000,'絞線Twisting wire'!$A$7:$A$1000,'03'!AH$2,'絞線Twisting wire'!$D$7:$D$1000,'03'!$G$84,'絞線Twisting wire'!$F$7:$F$1000,'03'!$A$74)</f>
        <v>0</v>
      </c>
      <c r="AI86" s="186">
        <f>SUMIFS('絞線Twisting wire'!$K$7:$K$1000,'絞線Twisting wire'!$A$7:$A$1000,'03'!AI$2,'絞線Twisting wire'!$D$7:$D$1000,'03'!$G$84,'絞線Twisting wire'!$F$7:$F$1000,'03'!$A$74)</f>
        <v>0</v>
      </c>
      <c r="AJ86" s="186">
        <f>SUMIFS('絞線Twisting wire'!$K$7:$K$1000,'絞線Twisting wire'!$A$7:$A$1000,'03'!AJ$2,'絞線Twisting wire'!$D$7:$D$1000,'03'!$G$84,'絞線Twisting wire'!$F$7:$F$1000,'03'!$A$74)</f>
        <v>0</v>
      </c>
      <c r="AK86" s="190"/>
      <c r="AL86" s="217"/>
      <c r="AM86" s="171"/>
      <c r="AN86" s="229"/>
      <c r="AO86" s="229"/>
      <c r="AP86" s="229"/>
      <c r="AQ86" s="22"/>
      <c r="AR86" s="196"/>
      <c r="AS86" s="196"/>
      <c r="AT86" s="22"/>
      <c r="AU86" s="22"/>
      <c r="AV86" s="22"/>
      <c r="AW86" s="22"/>
    </row>
    <row r="87" spans="1:49">
      <c r="A87" s="528"/>
      <c r="B87" s="531"/>
      <c r="C87" s="534"/>
      <c r="D87" s="561"/>
      <c r="E87" s="564"/>
      <c r="F87" s="534"/>
      <c r="G87" s="172"/>
      <c r="H87" s="173" t="s">
        <v>113</v>
      </c>
      <c r="I87" s="186"/>
      <c r="J87" s="187"/>
      <c r="K87" s="188"/>
      <c r="L87" s="186"/>
      <c r="M87" s="186"/>
      <c r="N87" s="186"/>
      <c r="O87" s="186"/>
      <c r="P87" s="186"/>
      <c r="Q87" s="187"/>
      <c r="R87" s="188"/>
      <c r="S87" s="189"/>
      <c r="T87" s="186"/>
      <c r="U87" s="186"/>
      <c r="V87" s="186"/>
      <c r="W87" s="186"/>
      <c r="X87" s="187"/>
      <c r="Y87" s="188"/>
      <c r="Z87" s="186"/>
      <c r="AA87" s="186"/>
      <c r="AB87" s="186"/>
      <c r="AC87" s="186"/>
      <c r="AD87" s="186"/>
      <c r="AE87" s="187"/>
      <c r="AF87" s="188"/>
      <c r="AG87" s="186"/>
      <c r="AH87" s="186"/>
      <c r="AI87" s="186"/>
      <c r="AJ87" s="186"/>
      <c r="AK87" s="190"/>
      <c r="AL87" s="217"/>
      <c r="AM87" s="171"/>
      <c r="AN87" s="229"/>
      <c r="AO87" s="229"/>
      <c r="AP87" s="229"/>
      <c r="AQ87" s="22"/>
      <c r="AR87" s="196"/>
      <c r="AS87" s="196"/>
      <c r="AT87" s="22"/>
      <c r="AU87" s="22"/>
      <c r="AV87" s="22"/>
      <c r="AW87" s="22"/>
    </row>
    <row r="88" spans="1:49">
      <c r="A88" s="528"/>
      <c r="B88" s="531"/>
      <c r="C88" s="534"/>
      <c r="D88" s="561"/>
      <c r="E88" s="564"/>
      <c r="F88" s="534"/>
      <c r="G88" s="172" t="s">
        <v>472</v>
      </c>
      <c r="H88" s="168" t="s">
        <v>21</v>
      </c>
      <c r="I88" s="245"/>
      <c r="J88" s="246"/>
      <c r="K88" s="247"/>
      <c r="L88" s="245"/>
      <c r="M88" s="245"/>
      <c r="N88" s="245"/>
      <c r="O88" s="245">
        <f>$W$107*$D$74/5</f>
        <v>3975</v>
      </c>
      <c r="P88" s="245">
        <f>$W$107*$D$74/5</f>
        <v>3975</v>
      </c>
      <c r="Q88" s="187"/>
      <c r="R88" s="188"/>
      <c r="S88" s="189"/>
      <c r="T88" s="245">
        <f>$W$107*$D$74/5</f>
        <v>3975</v>
      </c>
      <c r="U88" s="245">
        <f>$W$107*$D$74/5</f>
        <v>3975</v>
      </c>
      <c r="V88" s="245">
        <f>$W$107*$D$74/5</f>
        <v>3975</v>
      </c>
      <c r="W88" s="245">
        <f>$W$107*$D$74/5</f>
        <v>3975</v>
      </c>
      <c r="X88" s="246"/>
      <c r="Y88" s="247"/>
      <c r="Z88" s="245">
        <f>$W$107*$D$74/5</f>
        <v>3975</v>
      </c>
      <c r="AA88" s="245">
        <f>$W$107*$D$74/5</f>
        <v>3975</v>
      </c>
      <c r="AB88" s="245">
        <f>$W$107*$D$74/5</f>
        <v>3975</v>
      </c>
      <c r="AC88" s="245">
        <f>$W$107*$D$74/5</f>
        <v>3975</v>
      </c>
      <c r="AD88" s="245">
        <f>$W$107*$D$74/5</f>
        <v>3975</v>
      </c>
      <c r="AE88" s="246"/>
      <c r="AF88" s="247"/>
      <c r="AG88" s="245">
        <f>$W$107*$D$74/5</f>
        <v>3975</v>
      </c>
      <c r="AH88" s="245">
        <f>$W$107*$D$74/5</f>
        <v>3975</v>
      </c>
      <c r="AI88" s="245">
        <f>$W$107*$D$74/5</f>
        <v>3975</v>
      </c>
      <c r="AJ88" s="245">
        <f>$W$107*$D$74/5</f>
        <v>3975</v>
      </c>
      <c r="AK88" s="248"/>
      <c r="AL88" s="217"/>
      <c r="AM88" s="171"/>
      <c r="AN88" s="229"/>
      <c r="AO88" s="229"/>
      <c r="AP88" s="229"/>
      <c r="AQ88" s="22"/>
      <c r="AR88" s="196"/>
      <c r="AS88" s="196"/>
      <c r="AT88" s="22"/>
      <c r="AU88" s="22"/>
      <c r="AV88" s="22"/>
      <c r="AW88" s="22"/>
    </row>
    <row r="89" spans="1:49">
      <c r="A89" s="528"/>
      <c r="B89" s="531"/>
      <c r="C89" s="534"/>
      <c r="D89" s="561"/>
      <c r="E89" s="564"/>
      <c r="F89" s="534"/>
      <c r="G89" s="172"/>
      <c r="H89" s="168" t="s">
        <v>24</v>
      </c>
      <c r="I89" s="186"/>
      <c r="J89" s="187"/>
      <c r="K89" s="188"/>
      <c r="L89" s="186"/>
      <c r="M89" s="186"/>
      <c r="N89" s="186"/>
      <c r="O89" s="186"/>
      <c r="P89" s="186">
        <v>1</v>
      </c>
      <c r="Q89" s="187"/>
      <c r="R89" s="188"/>
      <c r="S89" s="189"/>
      <c r="T89" s="186">
        <v>1</v>
      </c>
      <c r="U89" s="186"/>
      <c r="V89" s="186">
        <v>1</v>
      </c>
      <c r="W89" s="186">
        <v>1</v>
      </c>
      <c r="X89" s="187"/>
      <c r="Y89" s="188"/>
      <c r="Z89" s="186">
        <v>1</v>
      </c>
      <c r="AA89" s="186">
        <v>1</v>
      </c>
      <c r="AB89" s="186"/>
      <c r="AC89" s="186">
        <v>1</v>
      </c>
      <c r="AD89" s="186"/>
      <c r="AE89" s="187"/>
      <c r="AF89" s="188"/>
      <c r="AG89" s="186">
        <v>1</v>
      </c>
      <c r="AH89" s="186"/>
      <c r="AI89" s="186">
        <v>1</v>
      </c>
      <c r="AJ89" s="186"/>
      <c r="AK89" s="190"/>
      <c r="AL89" s="217"/>
      <c r="AM89" s="171"/>
      <c r="AN89" s="229"/>
      <c r="AO89" s="229"/>
      <c r="AP89" s="229"/>
      <c r="AQ89" s="22"/>
      <c r="AR89" s="196"/>
      <c r="AS89" s="196"/>
      <c r="AT89" s="22"/>
      <c r="AU89" s="22"/>
      <c r="AV89" s="22"/>
      <c r="AW89" s="22"/>
    </row>
    <row r="90" spans="1:49">
      <c r="A90" s="528"/>
      <c r="B90" s="531"/>
      <c r="C90" s="534"/>
      <c r="D90" s="561"/>
      <c r="E90" s="564"/>
      <c r="F90" s="534"/>
      <c r="G90" s="172"/>
      <c r="H90" s="173" t="s">
        <v>16</v>
      </c>
      <c r="I90" s="186"/>
      <c r="J90" s="187"/>
      <c r="K90" s="188"/>
      <c r="L90" s="186"/>
      <c r="M90" s="186"/>
      <c r="N90" s="186"/>
      <c r="O90" s="186"/>
      <c r="P90" s="186"/>
      <c r="Q90" s="187"/>
      <c r="R90" s="188"/>
      <c r="S90" s="189"/>
      <c r="T90" s="186"/>
      <c r="U90" s="186"/>
      <c r="V90" s="186"/>
      <c r="W90" s="186"/>
      <c r="X90" s="187"/>
      <c r="Y90" s="188"/>
      <c r="Z90" s="186"/>
      <c r="AA90" s="186"/>
      <c r="AB90" s="186"/>
      <c r="AC90" s="186"/>
      <c r="AD90" s="186"/>
      <c r="AE90" s="187"/>
      <c r="AF90" s="188"/>
      <c r="AG90" s="186"/>
      <c r="AH90" s="186"/>
      <c r="AI90" s="186"/>
      <c r="AJ90" s="186"/>
      <c r="AK90" s="190"/>
      <c r="AL90" s="217"/>
      <c r="AM90" s="171"/>
      <c r="AN90" s="229"/>
      <c r="AO90" s="229"/>
      <c r="AP90" s="229"/>
      <c r="AQ90" s="22"/>
      <c r="AR90" s="196"/>
      <c r="AS90" s="196"/>
      <c r="AT90" s="22"/>
      <c r="AU90" s="22"/>
      <c r="AV90" s="22"/>
      <c r="AW90" s="22"/>
    </row>
    <row r="91" spans="1:49">
      <c r="A91" s="528"/>
      <c r="B91" s="531"/>
      <c r="C91" s="534"/>
      <c r="D91" s="561"/>
      <c r="E91" s="564"/>
      <c r="F91" s="534"/>
      <c r="G91" s="172"/>
      <c r="H91" s="173" t="s">
        <v>113</v>
      </c>
      <c r="I91" s="186"/>
      <c r="J91" s="187"/>
      <c r="K91" s="188"/>
      <c r="L91" s="186"/>
      <c r="M91" s="186"/>
      <c r="N91" s="186"/>
      <c r="O91" s="186"/>
      <c r="P91" s="186"/>
      <c r="Q91" s="187"/>
      <c r="R91" s="188"/>
      <c r="S91" s="189"/>
      <c r="T91" s="186"/>
      <c r="U91" s="186"/>
      <c r="V91" s="186"/>
      <c r="W91" s="186"/>
      <c r="X91" s="187"/>
      <c r="Y91" s="188"/>
      <c r="Z91" s="186"/>
      <c r="AA91" s="186"/>
      <c r="AB91" s="186"/>
      <c r="AC91" s="186"/>
      <c r="AD91" s="186"/>
      <c r="AE91" s="187"/>
      <c r="AF91" s="188"/>
      <c r="AG91" s="186"/>
      <c r="AH91" s="186"/>
      <c r="AI91" s="186"/>
      <c r="AJ91" s="186"/>
      <c r="AK91" s="190"/>
      <c r="AL91" s="217"/>
      <c r="AM91" s="171"/>
      <c r="AN91" s="229"/>
      <c r="AO91" s="229"/>
      <c r="AP91" s="229"/>
      <c r="AQ91" s="22"/>
      <c r="AR91" s="196"/>
      <c r="AS91" s="196"/>
      <c r="AT91" s="22"/>
      <c r="AU91" s="22"/>
      <c r="AV91" s="22"/>
      <c r="AW91" s="22"/>
    </row>
    <row r="92" spans="1:49">
      <c r="A92" s="528"/>
      <c r="B92" s="531"/>
      <c r="C92" s="534"/>
      <c r="D92" s="561"/>
      <c r="E92" s="564"/>
      <c r="F92" s="534"/>
      <c r="G92" s="172" t="s">
        <v>474</v>
      </c>
      <c r="H92" s="168" t="s">
        <v>26</v>
      </c>
      <c r="I92" s="245"/>
      <c r="J92" s="246"/>
      <c r="K92" s="247"/>
      <c r="L92" s="245"/>
      <c r="M92" s="245"/>
      <c r="N92" s="245"/>
      <c r="O92" s="245">
        <f>$W$107*$D$74/5</f>
        <v>3975</v>
      </c>
      <c r="P92" s="245">
        <f>$W$107*$D$74/5</f>
        <v>3975</v>
      </c>
      <c r="Q92" s="187"/>
      <c r="R92" s="188"/>
      <c r="S92" s="189"/>
      <c r="T92" s="245">
        <f>$W$107*$D$74/5</f>
        <v>3975</v>
      </c>
      <c r="U92" s="245">
        <f>$W$107*$D$74/5</f>
        <v>3975</v>
      </c>
      <c r="V92" s="245">
        <f>$W$107*$D$74/5</f>
        <v>3975</v>
      </c>
      <c r="W92" s="245">
        <f>$W$107*$D$74/5</f>
        <v>3975</v>
      </c>
      <c r="X92" s="246"/>
      <c r="Y92" s="247"/>
      <c r="Z92" s="245">
        <f>$W$107*$D$74/5</f>
        <v>3975</v>
      </c>
      <c r="AA92" s="245">
        <f>$W$107*$D$74/5</f>
        <v>3975</v>
      </c>
      <c r="AB92" s="245">
        <f>$W$107*$D$74/5</f>
        <v>3975</v>
      </c>
      <c r="AC92" s="245">
        <f>$W$107*$D$74/5</f>
        <v>3975</v>
      </c>
      <c r="AD92" s="245">
        <f>$W$107*$D$74/5</f>
        <v>3975</v>
      </c>
      <c r="AE92" s="246"/>
      <c r="AF92" s="247"/>
      <c r="AG92" s="245">
        <f>$W$107*$D$74/5</f>
        <v>3975</v>
      </c>
      <c r="AH92" s="245">
        <f>$W$107*$D$74/5</f>
        <v>3975</v>
      </c>
      <c r="AI92" s="245">
        <f>$W$107*$D$74/5</f>
        <v>3975</v>
      </c>
      <c r="AJ92" s="245">
        <f>$W$107*$D$74/5</f>
        <v>3975</v>
      </c>
      <c r="AK92" s="248"/>
      <c r="AL92" s="217"/>
      <c r="AM92" s="171"/>
      <c r="AN92" s="229"/>
      <c r="AO92" s="229"/>
      <c r="AP92" s="229"/>
      <c r="AQ92" s="22"/>
      <c r="AR92" s="196"/>
      <c r="AS92" s="196"/>
      <c r="AT92" s="22"/>
      <c r="AU92" s="22"/>
      <c r="AV92" s="22"/>
      <c r="AW92" s="22"/>
    </row>
    <row r="93" spans="1:49">
      <c r="A93" s="528"/>
      <c r="B93" s="531"/>
      <c r="C93" s="534"/>
      <c r="D93" s="561"/>
      <c r="E93" s="564"/>
      <c r="F93" s="534"/>
      <c r="G93" s="172"/>
      <c r="H93" s="173" t="s">
        <v>16</v>
      </c>
      <c r="I93" s="245"/>
      <c r="J93" s="246"/>
      <c r="K93" s="247"/>
      <c r="L93" s="245"/>
      <c r="M93" s="245"/>
      <c r="N93" s="245"/>
      <c r="O93" s="245"/>
      <c r="P93" s="245"/>
      <c r="Q93" s="187"/>
      <c r="R93" s="188"/>
      <c r="S93" s="189"/>
      <c r="T93" s="245"/>
      <c r="U93" s="245"/>
      <c r="V93" s="245"/>
      <c r="W93" s="245"/>
      <c r="X93" s="246"/>
      <c r="Y93" s="247"/>
      <c r="Z93" s="245"/>
      <c r="AA93" s="245"/>
      <c r="AB93" s="245"/>
      <c r="AC93" s="245"/>
      <c r="AD93" s="245"/>
      <c r="AE93" s="246"/>
      <c r="AF93" s="247"/>
      <c r="AG93" s="245"/>
      <c r="AH93" s="245"/>
      <c r="AI93" s="245"/>
      <c r="AJ93" s="245"/>
      <c r="AK93" s="248"/>
      <c r="AL93" s="217"/>
      <c r="AM93" s="171"/>
      <c r="AN93" s="229"/>
      <c r="AO93" s="229"/>
      <c r="AP93" s="229"/>
      <c r="AQ93" s="22"/>
      <c r="AR93" s="196"/>
      <c r="AS93" s="196"/>
      <c r="AT93" s="22"/>
      <c r="AU93" s="22"/>
      <c r="AV93" s="22"/>
      <c r="AW93" s="22"/>
    </row>
    <row r="94" spans="1:49">
      <c r="A94" s="528"/>
      <c r="B94" s="531"/>
      <c r="C94" s="534"/>
      <c r="D94" s="561"/>
      <c r="E94" s="564"/>
      <c r="F94" s="534"/>
      <c r="G94" s="172"/>
      <c r="H94" s="173" t="s">
        <v>113</v>
      </c>
      <c r="I94" s="245"/>
      <c r="J94" s="246"/>
      <c r="K94" s="247"/>
      <c r="L94" s="245"/>
      <c r="M94" s="245"/>
      <c r="N94" s="245"/>
      <c r="O94" s="245"/>
      <c r="P94" s="245"/>
      <c r="Q94" s="187"/>
      <c r="R94" s="188"/>
      <c r="S94" s="189"/>
      <c r="T94" s="245"/>
      <c r="U94" s="245"/>
      <c r="V94" s="245"/>
      <c r="W94" s="245"/>
      <c r="X94" s="246"/>
      <c r="Y94" s="247"/>
      <c r="Z94" s="245"/>
      <c r="AA94" s="245"/>
      <c r="AB94" s="245"/>
      <c r="AC94" s="245"/>
      <c r="AD94" s="245"/>
      <c r="AE94" s="246"/>
      <c r="AF94" s="247"/>
      <c r="AG94" s="245"/>
      <c r="AH94" s="245"/>
      <c r="AI94" s="245"/>
      <c r="AJ94" s="245"/>
      <c r="AK94" s="248"/>
      <c r="AL94" s="217"/>
      <c r="AM94" s="171"/>
      <c r="AN94" s="229"/>
      <c r="AO94" s="229"/>
      <c r="AP94" s="229"/>
      <c r="AQ94" s="22"/>
      <c r="AR94" s="196"/>
      <c r="AS94" s="196"/>
      <c r="AT94" s="22"/>
      <c r="AU94" s="22"/>
      <c r="AV94" s="22"/>
      <c r="AW94" s="22"/>
    </row>
    <row r="95" spans="1:49">
      <c r="A95" s="528"/>
      <c r="B95" s="531"/>
      <c r="C95" s="534"/>
      <c r="D95" s="561"/>
      <c r="E95" s="564"/>
      <c r="F95" s="534"/>
      <c r="G95" s="172" t="s">
        <v>476</v>
      </c>
      <c r="H95" s="168" t="s">
        <v>45</v>
      </c>
      <c r="I95" s="245"/>
      <c r="J95" s="246"/>
      <c r="K95" s="247"/>
      <c r="L95" s="245"/>
      <c r="M95" s="245"/>
      <c r="N95" s="245"/>
      <c r="O95" s="245">
        <f>$W$107*$D$74/5</f>
        <v>3975</v>
      </c>
      <c r="P95" s="245">
        <f>$W$107*$D$74/5</f>
        <v>3975</v>
      </c>
      <c r="Q95" s="187"/>
      <c r="R95" s="188"/>
      <c r="S95" s="189"/>
      <c r="T95" s="245">
        <f>$W$107*$D$74/5</f>
        <v>3975</v>
      </c>
      <c r="U95" s="245">
        <f>$W$107*$D$74/5</f>
        <v>3975</v>
      </c>
      <c r="V95" s="245">
        <f>$W$107*$D$74/5</f>
        <v>3975</v>
      </c>
      <c r="W95" s="245">
        <f>$W$107*$D$74/5</f>
        <v>3975</v>
      </c>
      <c r="X95" s="246"/>
      <c r="Y95" s="247"/>
      <c r="Z95" s="245">
        <f>$W$107*$D$74/5</f>
        <v>3975</v>
      </c>
      <c r="AA95" s="245">
        <f>$W$107*$D$74/5</f>
        <v>3975</v>
      </c>
      <c r="AB95" s="245">
        <f>$W$107*$D$74/5</f>
        <v>3975</v>
      </c>
      <c r="AC95" s="245">
        <f>$W$107*$D$74/5</f>
        <v>3975</v>
      </c>
      <c r="AD95" s="245">
        <f>$W$107*$D$74/5</f>
        <v>3975</v>
      </c>
      <c r="AE95" s="246"/>
      <c r="AF95" s="247"/>
      <c r="AG95" s="245">
        <f>$W$107*$D$74/5</f>
        <v>3975</v>
      </c>
      <c r="AH95" s="245">
        <f>$W$107*$D$74/5</f>
        <v>3975</v>
      </c>
      <c r="AI95" s="245">
        <f>$W$107*$D$74/5</f>
        <v>3975</v>
      </c>
      <c r="AJ95" s="245">
        <f>$W$107*$D$74/5</f>
        <v>3975</v>
      </c>
      <c r="AK95" s="248"/>
      <c r="AL95" s="217"/>
      <c r="AM95" s="171"/>
      <c r="AN95" s="229"/>
      <c r="AO95" s="229"/>
      <c r="AP95" s="229"/>
      <c r="AQ95" s="22"/>
      <c r="AR95" s="196"/>
      <c r="AS95" s="196"/>
      <c r="AT95" s="22"/>
      <c r="AU95" s="22"/>
      <c r="AV95" s="22"/>
      <c r="AW95" s="22"/>
    </row>
    <row r="96" spans="1:49">
      <c r="A96" s="528"/>
      <c r="B96" s="531"/>
      <c r="C96" s="534"/>
      <c r="D96" s="561"/>
      <c r="E96" s="564"/>
      <c r="F96" s="534"/>
      <c r="G96" s="172"/>
      <c r="H96" s="168" t="s">
        <v>24</v>
      </c>
      <c r="I96" s="186"/>
      <c r="J96" s="187"/>
      <c r="K96" s="188"/>
      <c r="L96" s="186"/>
      <c r="M96" s="186"/>
      <c r="N96" s="186"/>
      <c r="O96" s="186"/>
      <c r="P96" s="186">
        <v>1</v>
      </c>
      <c r="Q96" s="187"/>
      <c r="R96" s="188"/>
      <c r="S96" s="189"/>
      <c r="T96" s="186">
        <v>1</v>
      </c>
      <c r="U96" s="186"/>
      <c r="V96" s="186">
        <v>1</v>
      </c>
      <c r="W96" s="186">
        <v>1</v>
      </c>
      <c r="X96" s="187"/>
      <c r="Y96" s="188"/>
      <c r="Z96" s="186">
        <v>1</v>
      </c>
      <c r="AA96" s="186">
        <v>1</v>
      </c>
      <c r="AB96" s="186"/>
      <c r="AC96" s="186">
        <v>1</v>
      </c>
      <c r="AD96" s="186"/>
      <c r="AE96" s="187"/>
      <c r="AF96" s="188"/>
      <c r="AG96" s="186">
        <v>1</v>
      </c>
      <c r="AH96" s="186"/>
      <c r="AI96" s="186">
        <v>1</v>
      </c>
      <c r="AJ96" s="186"/>
      <c r="AK96" s="190"/>
      <c r="AL96" s="217"/>
      <c r="AM96" s="171"/>
      <c r="AN96" s="229"/>
      <c r="AO96" s="229"/>
      <c r="AP96" s="229"/>
      <c r="AQ96" s="22"/>
      <c r="AR96" s="196"/>
      <c r="AS96" s="196"/>
      <c r="AT96" s="22"/>
      <c r="AU96" s="22"/>
      <c r="AV96" s="22"/>
      <c r="AW96" s="22"/>
    </row>
    <row r="97" spans="1:49">
      <c r="A97" s="528"/>
      <c r="B97" s="531"/>
      <c r="C97" s="534"/>
      <c r="D97" s="561"/>
      <c r="E97" s="564"/>
      <c r="F97" s="534"/>
      <c r="G97" s="172"/>
      <c r="H97" s="173" t="s">
        <v>16</v>
      </c>
      <c r="I97" s="186"/>
      <c r="J97" s="187"/>
      <c r="K97" s="188"/>
      <c r="L97" s="186"/>
      <c r="M97" s="186"/>
      <c r="N97" s="186"/>
      <c r="O97" s="186"/>
      <c r="P97" s="186"/>
      <c r="Q97" s="187"/>
      <c r="R97" s="188"/>
      <c r="S97" s="189"/>
      <c r="T97" s="186"/>
      <c r="U97" s="186"/>
      <c r="V97" s="186"/>
      <c r="W97" s="186"/>
      <c r="X97" s="187"/>
      <c r="Y97" s="188"/>
      <c r="Z97" s="186"/>
      <c r="AA97" s="186"/>
      <c r="AB97" s="186"/>
      <c r="AC97" s="186"/>
      <c r="AD97" s="186"/>
      <c r="AE97" s="187"/>
      <c r="AF97" s="188"/>
      <c r="AG97" s="186"/>
      <c r="AH97" s="186"/>
      <c r="AI97" s="186"/>
      <c r="AJ97" s="186"/>
      <c r="AK97" s="190"/>
      <c r="AL97" s="217"/>
      <c r="AM97" s="171"/>
      <c r="AN97" s="229"/>
      <c r="AO97" s="229"/>
      <c r="AP97" s="229"/>
      <c r="AQ97" s="22"/>
      <c r="AR97" s="196"/>
      <c r="AS97" s="196"/>
      <c r="AT97" s="22"/>
      <c r="AU97" s="22"/>
      <c r="AV97" s="22"/>
      <c r="AW97" s="22"/>
    </row>
    <row r="98" spans="1:49">
      <c r="A98" s="528"/>
      <c r="B98" s="531"/>
      <c r="C98" s="534"/>
      <c r="D98" s="561"/>
      <c r="E98" s="564"/>
      <c r="F98" s="534"/>
      <c r="G98" s="172"/>
      <c r="H98" s="173" t="s">
        <v>113</v>
      </c>
      <c r="I98" s="186"/>
      <c r="J98" s="187"/>
      <c r="K98" s="188"/>
      <c r="L98" s="186"/>
      <c r="M98" s="186"/>
      <c r="N98" s="186"/>
      <c r="O98" s="186"/>
      <c r="P98" s="186"/>
      <c r="Q98" s="187"/>
      <c r="R98" s="188"/>
      <c r="S98" s="189"/>
      <c r="T98" s="186"/>
      <c r="U98" s="186"/>
      <c r="V98" s="186"/>
      <c r="W98" s="186"/>
      <c r="X98" s="187"/>
      <c r="Y98" s="188"/>
      <c r="Z98" s="186"/>
      <c r="AA98" s="186"/>
      <c r="AB98" s="186"/>
      <c r="AC98" s="186"/>
      <c r="AD98" s="186"/>
      <c r="AE98" s="187"/>
      <c r="AF98" s="188"/>
      <c r="AG98" s="186"/>
      <c r="AH98" s="186"/>
      <c r="AI98" s="186"/>
      <c r="AJ98" s="186"/>
      <c r="AK98" s="190"/>
      <c r="AL98" s="217"/>
      <c r="AM98" s="171"/>
      <c r="AN98" s="229"/>
      <c r="AO98" s="229"/>
      <c r="AP98" s="229"/>
      <c r="AQ98" s="22"/>
      <c r="AR98" s="196"/>
      <c r="AS98" s="196"/>
      <c r="AT98" s="22"/>
      <c r="AU98" s="22"/>
      <c r="AV98" s="22"/>
      <c r="AW98" s="22"/>
    </row>
    <row r="99" spans="1:49">
      <c r="A99" s="528"/>
      <c r="B99" s="531"/>
      <c r="C99" s="534"/>
      <c r="D99" s="561"/>
      <c r="E99" s="564"/>
      <c r="F99" s="534"/>
      <c r="G99" s="172"/>
      <c r="H99" s="168" t="s">
        <v>27</v>
      </c>
      <c r="I99" s="186"/>
      <c r="J99" s="187"/>
      <c r="K99" s="188"/>
      <c r="L99" s="186"/>
      <c r="M99" s="186"/>
      <c r="N99" s="186"/>
      <c r="O99" s="186">
        <f>$W$107*$D$74/5</f>
        <v>3975</v>
      </c>
      <c r="P99" s="186">
        <f>$W$107*$D$74/5</f>
        <v>3975</v>
      </c>
      <c r="Q99" s="187"/>
      <c r="R99" s="188"/>
      <c r="S99" s="189"/>
      <c r="T99" s="186">
        <f>$W$107*$D$74/5</f>
        <v>3975</v>
      </c>
      <c r="U99" s="186">
        <f>$W$107*$D$74/5</f>
        <v>3975</v>
      </c>
      <c r="V99" s="186">
        <f>$W$107*$D$74/5</f>
        <v>3975</v>
      </c>
      <c r="W99" s="186">
        <f>$W$107*$D$74/5</f>
        <v>3975</v>
      </c>
      <c r="X99" s="187"/>
      <c r="Y99" s="188"/>
      <c r="Z99" s="186">
        <f>$W$107*$D$74/5</f>
        <v>3975</v>
      </c>
      <c r="AA99" s="186">
        <f>$W$107*$D$74/5</f>
        <v>3975</v>
      </c>
      <c r="AB99" s="186">
        <f>$W$107*$D$74/5</f>
        <v>3975</v>
      </c>
      <c r="AC99" s="186">
        <f>$W$107*$D$74/5</f>
        <v>3975</v>
      </c>
      <c r="AD99" s="186">
        <f>$W$107*$D$74/5</f>
        <v>3975</v>
      </c>
      <c r="AE99" s="187"/>
      <c r="AF99" s="188"/>
      <c r="AG99" s="186">
        <f>$W$107*$D$74/5</f>
        <v>3975</v>
      </c>
      <c r="AH99" s="186">
        <f>$W$107*$D$74/5</f>
        <v>3975</v>
      </c>
      <c r="AI99" s="186">
        <f>$W$107*$D$74/5</f>
        <v>3975</v>
      </c>
      <c r="AJ99" s="186">
        <f>$W$107*$D$74/5</f>
        <v>3975</v>
      </c>
      <c r="AK99" s="190"/>
      <c r="AL99" s="217"/>
      <c r="AM99" s="171"/>
      <c r="AN99" s="229"/>
      <c r="AO99" s="229"/>
      <c r="AP99" s="229"/>
      <c r="AQ99" s="22"/>
      <c r="AR99" s="196"/>
      <c r="AS99" s="196"/>
      <c r="AT99" s="22"/>
      <c r="AU99" s="22"/>
      <c r="AV99" s="22"/>
      <c r="AW99" s="22"/>
    </row>
    <row r="100" spans="1:49">
      <c r="A100" s="528"/>
      <c r="B100" s="531"/>
      <c r="C100" s="534"/>
      <c r="D100" s="561"/>
      <c r="E100" s="564"/>
      <c r="F100" s="534"/>
      <c r="G100" s="172"/>
      <c r="H100" s="168" t="s">
        <v>28</v>
      </c>
      <c r="I100" s="186"/>
      <c r="J100" s="187"/>
      <c r="K100" s="188"/>
      <c r="L100" s="186"/>
      <c r="M100" s="186"/>
      <c r="N100" s="186"/>
      <c r="O100" s="186"/>
      <c r="P100" s="186">
        <v>1</v>
      </c>
      <c r="Q100" s="187"/>
      <c r="R100" s="188"/>
      <c r="S100" s="189"/>
      <c r="T100" s="186"/>
      <c r="U100" s="186">
        <v>1</v>
      </c>
      <c r="V100" s="186">
        <v>1</v>
      </c>
      <c r="W100" s="186">
        <v>1</v>
      </c>
      <c r="X100" s="187"/>
      <c r="Y100" s="188"/>
      <c r="Z100" s="186">
        <v>1</v>
      </c>
      <c r="AA100" s="186"/>
      <c r="AB100" s="186">
        <v>1</v>
      </c>
      <c r="AC100" s="186">
        <v>1</v>
      </c>
      <c r="AD100" s="186">
        <v>1</v>
      </c>
      <c r="AE100" s="187"/>
      <c r="AF100" s="188"/>
      <c r="AG100" s="186">
        <v>1</v>
      </c>
      <c r="AH100" s="186">
        <v>1</v>
      </c>
      <c r="AI100" s="186">
        <v>1</v>
      </c>
      <c r="AJ100" s="186">
        <v>1</v>
      </c>
      <c r="AK100" s="190"/>
      <c r="AL100" s="217"/>
      <c r="AM100" s="171"/>
      <c r="AN100" s="229"/>
      <c r="AO100" s="229"/>
      <c r="AP100" s="229"/>
      <c r="AQ100" s="22"/>
      <c r="AR100" s="196"/>
      <c r="AS100" s="196"/>
      <c r="AT100" s="22"/>
      <c r="AU100" s="22"/>
      <c r="AV100" s="22"/>
      <c r="AW100" s="22"/>
    </row>
    <row r="101" spans="1:49">
      <c r="A101" s="528"/>
      <c r="B101" s="531"/>
      <c r="C101" s="534"/>
      <c r="D101" s="561"/>
      <c r="E101" s="564"/>
      <c r="F101" s="534"/>
      <c r="G101" s="228"/>
      <c r="H101" s="173" t="s">
        <v>16</v>
      </c>
      <c r="I101" s="186">
        <f>SUMIFS('總絞Twisting core'!$K$7:$K$1000,'總絞Twisting core'!$A$7:$A$1000,'03'!I$2,'總絞Twisting core'!$D$7:$D$1000,'03'!$A$74)</f>
        <v>0</v>
      </c>
      <c r="J101" s="187">
        <f>SUMIFS('總絞Twisting core'!$K$7:$K$1000,'總絞Twisting core'!$A$7:$A$1000,'03'!J$2,'總絞Twisting core'!$D$7:$D$1000,'03'!$A$74)</f>
        <v>0</v>
      </c>
      <c r="K101" s="188"/>
      <c r="L101" s="186">
        <f>SUMIFS('總絞Twisting core'!$K$7:$K$1000,'總絞Twisting core'!$A$7:$A$1000,'03'!L$2,'總絞Twisting core'!$D$7:$D$1000,'03'!$A$74)</f>
        <v>0</v>
      </c>
      <c r="M101" s="186">
        <f>SUMIFS('總絞Twisting core'!$K$7:$K$1000,'總絞Twisting core'!$A$7:$A$1000,'03'!M$2,'總絞Twisting core'!$D$7:$D$1000,'03'!$A$74)</f>
        <v>0</v>
      </c>
      <c r="N101" s="186">
        <f>SUMIFS('總絞Twisting core'!$K$7:$K$1000,'總絞Twisting core'!$A$7:$A$1000,'03'!N$2,'總絞Twisting core'!$D$7:$D$1000,'03'!$A$74)</f>
        <v>0</v>
      </c>
      <c r="O101" s="186">
        <f>SUMIFS('總絞Twisting core'!$K$7:$K$1000,'總絞Twisting core'!$A$7:$A$1000,'03'!O$2,'總絞Twisting core'!$D$7:$D$1000,'03'!$A$74)</f>
        <v>0</v>
      </c>
      <c r="P101" s="186">
        <f>SUMIFS('總絞Twisting core'!$K$7:$K$1000,'總絞Twisting core'!$A$7:$A$1000,'03'!P$2,'總絞Twisting core'!$D$7:$D$1000,'03'!$A$74)</f>
        <v>0</v>
      </c>
      <c r="Q101" s="187">
        <f>SUMIFS('總絞Twisting core'!$K$7:$K$1000,'總絞Twisting core'!$A$7:$A$1000,'03'!Q$2,'總絞Twisting core'!$D$7:$D$1000,'03'!$A$74)</f>
        <v>0</v>
      </c>
      <c r="R101" s="188"/>
      <c r="S101" s="189"/>
      <c r="T101" s="186">
        <f>SUMIFS('總絞Twisting core'!$K$7:$K$1000,'總絞Twisting core'!$A$7:$A$1000,'03'!T$2,'總絞Twisting core'!$D$7:$D$1000,'03'!$A$74)</f>
        <v>0</v>
      </c>
      <c r="U101" s="186">
        <f>SUMIFS('總絞Twisting core'!$K$7:$K$1000,'總絞Twisting core'!$A$7:$A$1000,'03'!U$2,'總絞Twisting core'!$D$7:$D$1000,'03'!$A$74)</f>
        <v>0</v>
      </c>
      <c r="V101" s="186">
        <f>SUMIFS('總絞Twisting core'!$K$7:$K$1000,'總絞Twisting core'!$A$7:$A$1000,'03'!V$2,'總絞Twisting core'!$D$7:$D$1000,'03'!$A$74)</f>
        <v>0</v>
      </c>
      <c r="W101" s="186">
        <f>SUMIFS('總絞Twisting core'!$K$7:$K$1000,'總絞Twisting core'!$A$7:$A$1000,'03'!W$2,'總絞Twisting core'!$D$7:$D$1000,'03'!$A$74)</f>
        <v>0</v>
      </c>
      <c r="X101" s="187">
        <f>SUMIFS('總絞Twisting core'!$K$7:$K$1000,'總絞Twisting core'!$A$7:$A$1000,'03'!X$2,'總絞Twisting core'!$D$7:$D$1000,'03'!$A$74)</f>
        <v>0</v>
      </c>
      <c r="Y101" s="188"/>
      <c r="Z101" s="186">
        <f>SUMIFS('總絞Twisting core'!$K$7:$K$1000,'總絞Twisting core'!$A$7:$A$1000,'03'!Z$2,'總絞Twisting core'!$D$7:$D$1000,'03'!$A$74)</f>
        <v>0</v>
      </c>
      <c r="AA101" s="186">
        <f>SUMIFS('總絞Twisting core'!$K$7:$K$1000,'總絞Twisting core'!$A$7:$A$1000,'03'!AA$2,'總絞Twisting core'!$D$7:$D$1000,'03'!$A$74)</f>
        <v>0</v>
      </c>
      <c r="AB101" s="186">
        <f>SUMIFS('總絞Twisting core'!$K$7:$K$1000,'總絞Twisting core'!$A$7:$A$1000,'03'!AB$2,'總絞Twisting core'!$D$7:$D$1000,'03'!$A$74)</f>
        <v>0</v>
      </c>
      <c r="AC101" s="186">
        <f>SUMIFS('總絞Twisting core'!$K$7:$K$1000,'總絞Twisting core'!$A$7:$A$1000,'03'!AC$2,'總絞Twisting core'!$D$7:$D$1000,'03'!$A$74)</f>
        <v>0</v>
      </c>
      <c r="AD101" s="186">
        <f>SUMIFS('總絞Twisting core'!$K$7:$K$1000,'總絞Twisting core'!$A$7:$A$1000,'03'!AD$2,'總絞Twisting core'!$D$7:$D$1000,'03'!$A$74)</f>
        <v>0</v>
      </c>
      <c r="AE101" s="187">
        <f>SUMIFS('總絞Twisting core'!$K$7:$K$1000,'總絞Twisting core'!$A$7:$A$1000,'03'!AE$2,'總絞Twisting core'!$D$7:$D$1000,'03'!$A$74)</f>
        <v>0</v>
      </c>
      <c r="AF101" s="188"/>
      <c r="AG101" s="186">
        <f>SUMIFS('總絞Twisting core'!$K$7:$K$1000,'總絞Twisting core'!$A$7:$A$1000,'03'!AG$2,'總絞Twisting core'!$D$7:$D$1000,'03'!$A$74)</f>
        <v>0</v>
      </c>
      <c r="AH101" s="186">
        <f>SUMIFS('總絞Twisting core'!$K$7:$K$1000,'總絞Twisting core'!$A$7:$A$1000,'03'!AH$2,'總絞Twisting core'!$D$7:$D$1000,'03'!$A$74)</f>
        <v>0</v>
      </c>
      <c r="AI101" s="186">
        <f>SUMIFS('總絞Twisting core'!$K$7:$K$1000,'總絞Twisting core'!$A$7:$A$1000,'03'!AI$2,'總絞Twisting core'!$D$7:$D$1000,'03'!$A$74)</f>
        <v>0</v>
      </c>
      <c r="AJ101" s="186">
        <f>SUMIFS('總絞Twisting core'!$K$7:$K$1000,'總絞Twisting core'!$A$7:$A$1000,'03'!AJ$2,'總絞Twisting core'!$D$7:$D$1000,'03'!$A$74)</f>
        <v>0</v>
      </c>
      <c r="AK101" s="190"/>
      <c r="AL101" s="217"/>
      <c r="AM101" s="171"/>
      <c r="AN101" s="229"/>
      <c r="AO101" s="229"/>
      <c r="AP101" s="229"/>
      <c r="AQ101" s="22"/>
      <c r="AR101" s="196"/>
      <c r="AS101" s="196"/>
      <c r="AT101" s="22"/>
      <c r="AU101" s="22"/>
      <c r="AV101" s="22"/>
      <c r="AW101" s="22"/>
    </row>
    <row r="102" spans="1:49">
      <c r="A102" s="528"/>
      <c r="B102" s="531"/>
      <c r="C102" s="534"/>
      <c r="D102" s="561"/>
      <c r="E102" s="564"/>
      <c r="F102" s="534"/>
      <c r="G102" s="228"/>
      <c r="H102" s="173" t="s">
        <v>113</v>
      </c>
      <c r="I102" s="186"/>
      <c r="J102" s="187"/>
      <c r="K102" s="188"/>
      <c r="L102" s="186"/>
      <c r="M102" s="186"/>
      <c r="N102" s="186"/>
      <c r="O102" s="186"/>
      <c r="P102" s="186"/>
      <c r="Q102" s="187"/>
      <c r="R102" s="188"/>
      <c r="S102" s="189"/>
      <c r="T102" s="186"/>
      <c r="U102" s="186"/>
      <c r="V102" s="186"/>
      <c r="W102" s="186"/>
      <c r="X102" s="187"/>
      <c r="Y102" s="188"/>
      <c r="Z102" s="186"/>
      <c r="AA102" s="186"/>
      <c r="AB102" s="186"/>
      <c r="AC102" s="186"/>
      <c r="AD102" s="186"/>
      <c r="AE102" s="187"/>
      <c r="AF102" s="188"/>
      <c r="AG102" s="186"/>
      <c r="AH102" s="186"/>
      <c r="AI102" s="186"/>
      <c r="AJ102" s="186"/>
      <c r="AK102" s="190"/>
      <c r="AL102" s="217"/>
      <c r="AM102" s="171"/>
      <c r="AN102" s="229"/>
      <c r="AO102" s="229"/>
      <c r="AP102" s="229"/>
      <c r="AQ102" s="21"/>
      <c r="AR102" s="196"/>
      <c r="AS102" s="196"/>
      <c r="AT102" s="21"/>
      <c r="AU102" s="22"/>
      <c r="AV102" s="21"/>
      <c r="AW102" s="21"/>
    </row>
    <row r="103" spans="1:49">
      <c r="A103" s="528"/>
      <c r="B103" s="531"/>
      <c r="C103" s="534"/>
      <c r="D103" s="561"/>
      <c r="E103" s="564"/>
      <c r="F103" s="534"/>
      <c r="G103" s="228"/>
      <c r="H103" s="168" t="s">
        <v>46</v>
      </c>
      <c r="I103" s="186"/>
      <c r="J103" s="187"/>
      <c r="K103" s="188"/>
      <c r="L103" s="186">
        <f>$W$107*$D$74/5</f>
        <v>3975</v>
      </c>
      <c r="M103" s="186">
        <f>$W$107*$D$74/5</f>
        <v>3975</v>
      </c>
      <c r="N103" s="186"/>
      <c r="O103" s="186">
        <f>$W$107*$D$74/5</f>
        <v>3975</v>
      </c>
      <c r="P103" s="186">
        <f>$W$107*$D$74/5</f>
        <v>3975</v>
      </c>
      <c r="Q103" s="187"/>
      <c r="R103" s="188"/>
      <c r="S103" s="189"/>
      <c r="T103" s="186">
        <f>$W$107*$D$74/5</f>
        <v>3975</v>
      </c>
      <c r="U103" s="186">
        <f>$W$107*$D$74/5</f>
        <v>3975</v>
      </c>
      <c r="V103" s="186">
        <f>$W$107*$D$74/5</f>
        <v>3975</v>
      </c>
      <c r="W103" s="186">
        <f>$W$107*$D$74/5</f>
        <v>3975</v>
      </c>
      <c r="X103" s="187"/>
      <c r="Y103" s="188"/>
      <c r="Z103" s="186">
        <f>$W$107*$D$74/5</f>
        <v>3975</v>
      </c>
      <c r="AA103" s="186">
        <f>$W$107*$D$74/5</f>
        <v>3975</v>
      </c>
      <c r="AB103" s="186">
        <f>$W$107*$D$74/5</f>
        <v>3975</v>
      </c>
      <c r="AC103" s="186">
        <f>$W$107*$D$74/5</f>
        <v>3975</v>
      </c>
      <c r="AD103" s="186">
        <f>$W$107*$D$74/5</f>
        <v>3975</v>
      </c>
      <c r="AE103" s="187"/>
      <c r="AF103" s="188"/>
      <c r="AG103" s="186">
        <f>$W$107*$D$74/5</f>
        <v>3975</v>
      </c>
      <c r="AH103" s="186">
        <f>$W$107*$D$74/5</f>
        <v>3975</v>
      </c>
      <c r="AI103" s="186">
        <f>$W$107*$D$74/5</f>
        <v>3975</v>
      </c>
      <c r="AJ103" s="186">
        <f>$W$107*$D$74/5</f>
        <v>3975</v>
      </c>
      <c r="AK103" s="190"/>
      <c r="AL103" s="217"/>
      <c r="AM103" s="171"/>
      <c r="AN103" s="229"/>
      <c r="AO103" s="229"/>
      <c r="AP103" s="229"/>
      <c r="AQ103" s="21"/>
      <c r="AR103" s="196"/>
      <c r="AS103" s="196"/>
      <c r="AT103" s="21"/>
      <c r="AU103" s="22"/>
      <c r="AV103" s="21"/>
      <c r="AW103" s="21"/>
    </row>
    <row r="104" spans="1:49">
      <c r="A104" s="528"/>
      <c r="B104" s="531"/>
      <c r="C104" s="534"/>
      <c r="D104" s="561"/>
      <c r="E104" s="564"/>
      <c r="F104" s="534"/>
      <c r="G104" s="228"/>
      <c r="H104" s="168" t="s">
        <v>47</v>
      </c>
      <c r="I104" s="186"/>
      <c r="J104" s="187"/>
      <c r="K104" s="188"/>
      <c r="L104" s="186">
        <v>2</v>
      </c>
      <c r="M104" s="186">
        <v>2</v>
      </c>
      <c r="N104" s="186"/>
      <c r="O104" s="186">
        <v>2</v>
      </c>
      <c r="P104" s="186">
        <v>2</v>
      </c>
      <c r="Q104" s="187"/>
      <c r="R104" s="188"/>
      <c r="S104" s="189"/>
      <c r="T104" s="186"/>
      <c r="U104" s="186"/>
      <c r="V104" s="186">
        <v>2</v>
      </c>
      <c r="W104" s="186">
        <v>2</v>
      </c>
      <c r="X104" s="187"/>
      <c r="Y104" s="188"/>
      <c r="Z104" s="186">
        <v>2</v>
      </c>
      <c r="AA104" s="186"/>
      <c r="AB104" s="186"/>
      <c r="AC104" s="186">
        <v>2</v>
      </c>
      <c r="AD104" s="186">
        <v>2</v>
      </c>
      <c r="AE104" s="187"/>
      <c r="AF104" s="188"/>
      <c r="AG104" s="186">
        <v>2</v>
      </c>
      <c r="AH104" s="186"/>
      <c r="AI104" s="186">
        <v>2</v>
      </c>
      <c r="AJ104" s="186">
        <v>2</v>
      </c>
      <c r="AK104" s="190"/>
      <c r="AL104" s="217"/>
      <c r="AM104" s="171"/>
      <c r="AN104" s="229"/>
      <c r="AO104" s="229"/>
      <c r="AP104" s="229"/>
      <c r="AQ104" s="21"/>
      <c r="AR104" s="196"/>
      <c r="AS104" s="196"/>
      <c r="AT104" s="21"/>
      <c r="AU104" s="22"/>
      <c r="AV104" s="21"/>
      <c r="AW104" s="21"/>
    </row>
    <row r="105" spans="1:49">
      <c r="A105" s="528"/>
      <c r="B105" s="531"/>
      <c r="C105" s="534"/>
      <c r="D105" s="561"/>
      <c r="E105" s="564"/>
      <c r="F105" s="534"/>
      <c r="G105" s="228"/>
      <c r="H105" s="173" t="s">
        <v>16</v>
      </c>
      <c r="I105" s="186">
        <f>SUMIFS('编织 缠绕 Winding, Braiding,'!$K$7:$K$1000,'编织 缠绕 Winding, Braiding,'!$A$7:$A$1000,'03'!I$2,'编织 缠绕 Winding, Braiding,'!$D$7:$D$1000,'03'!$A$74)</f>
        <v>8998</v>
      </c>
      <c r="J105" s="187">
        <f>SUMIFS('编织 缠绕 Winding, Braiding,'!$K$7:$K$1000,'编织 缠绕 Winding, Braiding,'!$A$7:$A$1000,'03'!J$2,'编织 缠绕 Winding, Braiding,'!$D$7:$D$1000,'03'!$A$74)</f>
        <v>4130</v>
      </c>
      <c r="K105" s="188"/>
      <c r="L105" s="186">
        <f>SUMIFS('编织 缠绕 Winding, Braiding,'!$K$7:$K$1000,'编织 缠绕 Winding, Braiding,'!$A$7:$A$1000,'03'!L$2,'编织 缠绕 Winding, Braiding,'!$D$7:$D$1000,'03'!$A$74)</f>
        <v>3924</v>
      </c>
      <c r="M105" s="186">
        <f>SUMIFS('编织 缠绕 Winding, Braiding,'!$K$7:$K$1000,'编织 缠绕 Winding, Braiding,'!$A$7:$A$1000,'03'!M$2,'编织 缠绕 Winding, Braiding,'!$D$7:$D$1000,'03'!$A$74)</f>
        <v>7975</v>
      </c>
      <c r="N105" s="186">
        <f>SUMIFS('编织 缠绕 Winding, Braiding,'!$K$7:$K$1000,'编织 缠绕 Winding, Braiding,'!$A$7:$A$1000,'03'!N$2,'编织 缠绕 Winding, Braiding,'!$D$7:$D$1000,'03'!$A$74)</f>
        <v>0</v>
      </c>
      <c r="O105" s="186">
        <f>SUMIFS('编织 缠绕 Winding, Braiding,'!$K$7:$K$1000,'编织 缠绕 Winding, Braiding,'!$A$7:$A$1000,'03'!O$2,'编织 缠绕 Winding, Braiding,'!$D$7:$D$1000,'03'!$A$74)</f>
        <v>3632</v>
      </c>
      <c r="P105" s="186">
        <f>SUMIFS('编织 缠绕 Winding, Braiding,'!$K$7:$K$1000,'编织 缠绕 Winding, Braiding,'!$A$7:$A$1000,'03'!P$2,'编织 缠绕 Winding, Braiding,'!$D$7:$D$1000,'03'!$A$74)</f>
        <v>10000</v>
      </c>
      <c r="Q105" s="187">
        <f>SUMIFS('编织 缠绕 Winding, Braiding,'!$K$7:$K$1000,'编织 缠绕 Winding, Braiding,'!$A$7:$A$1000,'03'!Q$2,'编织 缠绕 Winding, Braiding,'!$D$7:$D$1000,'03'!$A$74)</f>
        <v>0</v>
      </c>
      <c r="R105" s="188"/>
      <c r="S105" s="189"/>
      <c r="T105" s="186">
        <f>SUMIFS('编织 缠绕 Winding, Braiding,'!$K$7:$K$1000,'编织 缠绕 Winding, Braiding,'!$A$7:$A$1000,'03'!T$2,'编织 缠绕 Winding, Braiding,'!$D$7:$D$1000,'03'!$A$74)</f>
        <v>0</v>
      </c>
      <c r="U105" s="186">
        <f>SUMIFS('编织 缠绕 Winding, Braiding,'!$K$7:$K$1000,'编织 缠绕 Winding, Braiding,'!$A$7:$A$1000,'03'!U$2,'编织 缠绕 Winding, Braiding,'!$D$7:$D$1000,'03'!$A$74)</f>
        <v>0</v>
      </c>
      <c r="V105" s="186">
        <f>SUMIFS('编织 缠绕 Winding, Braiding,'!$K$7:$K$1000,'编织 缠绕 Winding, Braiding,'!$A$7:$A$1000,'03'!V$2,'编织 缠绕 Winding, Braiding,'!$D$7:$D$1000,'03'!$A$74)</f>
        <v>0</v>
      </c>
      <c r="W105" s="186">
        <f>SUMIFS('编织 缠绕 Winding, Braiding,'!$K$7:$K$1000,'编织 缠绕 Winding, Braiding,'!$A$7:$A$1000,'03'!W$2,'编织 缠绕 Winding, Braiding,'!$D$7:$D$1000,'03'!$A$74)</f>
        <v>0</v>
      </c>
      <c r="X105" s="187">
        <f>SUMIFS('编织 缠绕 Winding, Braiding,'!$K$7:$K$1000,'编织 缠绕 Winding, Braiding,'!$A$7:$A$1000,'03'!X$2,'编织 缠绕 Winding, Braiding,'!$D$7:$D$1000,'03'!$A$74)</f>
        <v>0</v>
      </c>
      <c r="Y105" s="188"/>
      <c r="Z105" s="186">
        <f>SUMIFS('编织 缠绕 Winding, Braiding,'!$K$7:$K$1000,'编织 缠绕 Winding, Braiding,'!$A$7:$A$1000,'03'!Z$2,'编织 缠绕 Winding, Braiding,'!$D$7:$D$1000,'03'!$A$74)</f>
        <v>0</v>
      </c>
      <c r="AA105" s="186">
        <f>SUMIFS('编织 缠绕 Winding, Braiding,'!$K$7:$K$1000,'编织 缠绕 Winding, Braiding,'!$A$7:$A$1000,'03'!AA$2,'编织 缠绕 Winding, Braiding,'!$D$7:$D$1000,'03'!$A$74)</f>
        <v>0</v>
      </c>
      <c r="AB105" s="186">
        <f>SUMIFS('编织 缠绕 Winding, Braiding,'!$K$7:$K$1000,'编织 缠绕 Winding, Braiding,'!$A$7:$A$1000,'03'!AB$2,'编织 缠绕 Winding, Braiding,'!$D$7:$D$1000,'03'!$A$74)</f>
        <v>0</v>
      </c>
      <c r="AC105" s="186">
        <f>SUMIFS('编织 缠绕 Winding, Braiding,'!$K$7:$K$1000,'编织 缠绕 Winding, Braiding,'!$A$7:$A$1000,'03'!AC$2,'编织 缠绕 Winding, Braiding,'!$D$7:$D$1000,'03'!$A$74)</f>
        <v>0</v>
      </c>
      <c r="AD105" s="186">
        <f>SUMIFS('编织 缠绕 Winding, Braiding,'!$K$7:$K$1000,'编织 缠绕 Winding, Braiding,'!$A$7:$A$1000,'03'!AD$2,'编织 缠绕 Winding, Braiding,'!$D$7:$D$1000,'03'!$A$74)</f>
        <v>0</v>
      </c>
      <c r="AE105" s="187">
        <f>SUMIFS('编织 缠绕 Winding, Braiding,'!$K$7:$K$1000,'编织 缠绕 Winding, Braiding,'!$A$7:$A$1000,'03'!AE$2,'编织 缠绕 Winding, Braiding,'!$D$7:$D$1000,'03'!$A$74)</f>
        <v>0</v>
      </c>
      <c r="AF105" s="188"/>
      <c r="AG105" s="186">
        <f>SUMIFS('编织 缠绕 Winding, Braiding,'!$K$7:$K$1000,'编织 缠绕 Winding, Braiding,'!$A$7:$A$1000,'03'!AG$2,'编织 缠绕 Winding, Braiding,'!$D$7:$D$1000,'03'!$A$74)</f>
        <v>0</v>
      </c>
      <c r="AH105" s="186">
        <f>SUMIFS('编织 缠绕 Winding, Braiding,'!$K$7:$K$1000,'编织 缠绕 Winding, Braiding,'!$A$7:$A$1000,'03'!AH$2,'编织 缠绕 Winding, Braiding,'!$D$7:$D$1000,'03'!$A$74)</f>
        <v>0</v>
      </c>
      <c r="AI105" s="186">
        <f>SUMIFS('编织 缠绕 Winding, Braiding,'!$K$7:$K$1000,'编织 缠绕 Winding, Braiding,'!$A$7:$A$1000,'03'!AI$2,'编织 缠绕 Winding, Braiding,'!$D$7:$D$1000,'03'!$A$74)</f>
        <v>0</v>
      </c>
      <c r="AJ105" s="186">
        <f>SUMIFS('编织 缠绕 Winding, Braiding,'!$K$7:$K$1000,'编织 缠绕 Winding, Braiding,'!$A$7:$A$1000,'03'!AJ$2,'编织 缠绕 Winding, Braiding,'!$D$7:$D$1000,'03'!$A$74)</f>
        <v>0</v>
      </c>
      <c r="AK105" s="190"/>
      <c r="AL105" s="217"/>
      <c r="AM105" s="171"/>
      <c r="AN105" s="229"/>
      <c r="AO105" s="229"/>
      <c r="AP105" s="229"/>
      <c r="AQ105" s="21"/>
      <c r="AR105" s="196"/>
      <c r="AS105" s="196"/>
      <c r="AT105" s="21"/>
      <c r="AU105" s="22"/>
      <c r="AV105" s="21"/>
      <c r="AW105" s="21"/>
    </row>
    <row r="106" spans="1:49">
      <c r="A106" s="528"/>
      <c r="B106" s="531"/>
      <c r="C106" s="534"/>
      <c r="D106" s="561"/>
      <c r="E106" s="564"/>
      <c r="F106" s="534"/>
      <c r="G106" s="228"/>
      <c r="H106" s="173" t="s">
        <v>113</v>
      </c>
      <c r="I106" s="31"/>
      <c r="J106" s="192"/>
      <c r="K106" s="188"/>
      <c r="L106" s="31">
        <f>J106+(L105-L103)</f>
        <v>-51</v>
      </c>
      <c r="M106" s="31">
        <f>L106+(M105-M103)</f>
        <v>3949</v>
      </c>
      <c r="N106" s="186"/>
      <c r="O106" s="186"/>
      <c r="P106" s="186"/>
      <c r="Q106" s="187"/>
      <c r="R106" s="188"/>
      <c r="S106" s="189"/>
      <c r="T106" s="186"/>
      <c r="U106" s="186"/>
      <c r="V106" s="186"/>
      <c r="W106" s="186"/>
      <c r="X106" s="187"/>
      <c r="Y106" s="188"/>
      <c r="Z106" s="186"/>
      <c r="AA106" s="186"/>
      <c r="AB106" s="186"/>
      <c r="AC106" s="186"/>
      <c r="AD106" s="186"/>
      <c r="AE106" s="187"/>
      <c r="AF106" s="188"/>
      <c r="AG106" s="186"/>
      <c r="AH106" s="186"/>
      <c r="AI106" s="186"/>
      <c r="AJ106" s="186"/>
      <c r="AK106" s="190"/>
      <c r="AL106" s="217"/>
      <c r="AM106" s="171"/>
      <c r="AN106" s="229"/>
      <c r="AO106" s="229"/>
      <c r="AP106" s="229"/>
      <c r="AQ106" s="21"/>
      <c r="AR106" s="196"/>
      <c r="AS106" s="196"/>
      <c r="AT106" s="21"/>
      <c r="AU106" s="22"/>
      <c r="AV106" s="21"/>
      <c r="AW106" s="21"/>
    </row>
    <row r="107" spans="1:49">
      <c r="A107" s="528"/>
      <c r="B107" s="531"/>
      <c r="C107" s="534"/>
      <c r="D107" s="561"/>
      <c r="E107" s="564"/>
      <c r="F107" s="534"/>
      <c r="G107" s="172"/>
      <c r="H107" s="168" t="s">
        <v>29</v>
      </c>
      <c r="I107" s="186"/>
      <c r="J107" s="187"/>
      <c r="K107" s="188"/>
      <c r="L107" s="186"/>
      <c r="M107" s="186"/>
      <c r="N107" s="186">
        <f>($C$74*5)</f>
        <v>12500</v>
      </c>
      <c r="O107" s="228"/>
      <c r="P107" s="186"/>
      <c r="Q107" s="187"/>
      <c r="R107" s="188"/>
      <c r="S107" s="189"/>
      <c r="T107" s="186"/>
      <c r="U107" s="186"/>
      <c r="V107" s="186"/>
      <c r="W107" s="186">
        <f>($C$74*5)</f>
        <v>12500</v>
      </c>
      <c r="X107" s="187"/>
      <c r="Y107" s="188"/>
      <c r="Z107" s="186"/>
      <c r="AA107" s="186"/>
      <c r="AB107" s="186"/>
      <c r="AC107" s="186"/>
      <c r="AD107" s="186">
        <f>($C$74*5)+($C$74*5*10%)</f>
        <v>13750</v>
      </c>
      <c r="AE107" s="187"/>
      <c r="AF107" s="188"/>
      <c r="AG107" s="186"/>
      <c r="AH107" s="186"/>
      <c r="AI107" s="186"/>
      <c r="AJ107" s="186"/>
      <c r="AK107" s="190"/>
      <c r="AL107" s="217"/>
      <c r="AM107" s="171"/>
      <c r="AN107" s="229"/>
      <c r="AO107" s="229"/>
      <c r="AP107" s="229"/>
      <c r="AQ107" s="21"/>
      <c r="AR107" s="196"/>
      <c r="AS107" s="196"/>
      <c r="AT107" s="21"/>
      <c r="AU107" s="22"/>
      <c r="AV107" s="21"/>
      <c r="AW107" s="21"/>
    </row>
    <row r="108" spans="1:49">
      <c r="A108" s="528"/>
      <c r="B108" s="531"/>
      <c r="C108" s="534"/>
      <c r="D108" s="561"/>
      <c r="E108" s="564"/>
      <c r="F108" s="534"/>
      <c r="G108" s="172"/>
      <c r="H108" s="168" t="s">
        <v>48</v>
      </c>
      <c r="I108" s="186"/>
      <c r="J108" s="187"/>
      <c r="K108" s="188"/>
      <c r="L108" s="186"/>
      <c r="M108" s="186"/>
      <c r="N108" s="186">
        <v>1</v>
      </c>
      <c r="O108" s="228"/>
      <c r="P108" s="186"/>
      <c r="Q108" s="187"/>
      <c r="R108" s="188"/>
      <c r="S108" s="189"/>
      <c r="T108" s="186"/>
      <c r="U108" s="186"/>
      <c r="V108" s="186"/>
      <c r="W108" s="186">
        <v>1</v>
      </c>
      <c r="X108" s="187"/>
      <c r="Y108" s="188"/>
      <c r="Z108" s="186"/>
      <c r="AA108" s="186"/>
      <c r="AB108" s="186"/>
      <c r="AC108" s="186"/>
      <c r="AD108" s="186">
        <v>1</v>
      </c>
      <c r="AE108" s="187"/>
      <c r="AF108" s="188"/>
      <c r="AG108" s="186"/>
      <c r="AH108" s="186"/>
      <c r="AI108" s="186"/>
      <c r="AJ108" s="186"/>
      <c r="AK108" s="190"/>
      <c r="AL108" s="217"/>
      <c r="AM108" s="171"/>
      <c r="AN108" s="229"/>
      <c r="AO108" s="229"/>
      <c r="AP108" s="229"/>
      <c r="AQ108" s="21"/>
      <c r="AR108" s="196"/>
      <c r="AS108" s="196"/>
      <c r="AT108" s="21"/>
      <c r="AU108" s="22"/>
      <c r="AV108" s="21"/>
      <c r="AW108" s="21"/>
    </row>
    <row r="109" spans="1:49">
      <c r="A109" s="528"/>
      <c r="B109" s="531"/>
      <c r="C109" s="534"/>
      <c r="D109" s="561"/>
      <c r="E109" s="564"/>
      <c r="F109" s="534"/>
      <c r="G109" s="219"/>
      <c r="H109" s="173" t="s">
        <v>16</v>
      </c>
      <c r="I109" s="198"/>
      <c r="J109" s="221"/>
      <c r="K109" s="222"/>
      <c r="L109" s="198"/>
      <c r="M109" s="198"/>
      <c r="N109" s="198"/>
      <c r="O109" s="198"/>
      <c r="P109" s="198"/>
      <c r="Q109" s="221"/>
      <c r="R109" s="222"/>
      <c r="S109" s="235"/>
      <c r="T109" s="198"/>
      <c r="U109" s="198"/>
      <c r="V109" s="198"/>
      <c r="W109" s="198"/>
      <c r="X109" s="221"/>
      <c r="Y109" s="222"/>
      <c r="Z109" s="198"/>
      <c r="AA109" s="198"/>
      <c r="AB109" s="198"/>
      <c r="AC109" s="198"/>
      <c r="AD109" s="198"/>
      <c r="AE109" s="221"/>
      <c r="AF109" s="222"/>
      <c r="AG109" s="198"/>
      <c r="AH109" s="198"/>
      <c r="AI109" s="198"/>
      <c r="AJ109" s="198"/>
      <c r="AK109" s="249"/>
      <c r="AL109" s="217"/>
      <c r="AM109" s="171"/>
      <c r="AN109" s="229"/>
      <c r="AO109" s="229"/>
      <c r="AP109" s="229"/>
      <c r="AQ109" s="21"/>
      <c r="AR109" s="196"/>
      <c r="AS109" s="196"/>
      <c r="AT109" s="21"/>
      <c r="AU109" s="22"/>
      <c r="AV109" s="21"/>
      <c r="AW109" s="21"/>
    </row>
    <row r="110" spans="1:49" ht="15.75" thickBot="1">
      <c r="A110" s="529"/>
      <c r="B110" s="532"/>
      <c r="C110" s="535"/>
      <c r="D110" s="562"/>
      <c r="E110" s="565"/>
      <c r="F110" s="535"/>
      <c r="G110" s="207"/>
      <c r="H110" s="204" t="s">
        <v>113</v>
      </c>
      <c r="I110" s="239"/>
      <c r="J110" s="240"/>
      <c r="K110" s="241"/>
      <c r="L110" s="239"/>
      <c r="M110" s="239"/>
      <c r="N110" s="239"/>
      <c r="O110" s="239"/>
      <c r="P110" s="239"/>
      <c r="Q110" s="240"/>
      <c r="R110" s="241"/>
      <c r="S110" s="242"/>
      <c r="T110" s="239"/>
      <c r="U110" s="239"/>
      <c r="V110" s="239"/>
      <c r="W110" s="239"/>
      <c r="X110" s="240"/>
      <c r="Y110" s="241"/>
      <c r="Z110" s="239"/>
      <c r="AA110" s="239"/>
      <c r="AB110" s="239"/>
      <c r="AC110" s="239"/>
      <c r="AD110" s="239"/>
      <c r="AE110" s="240"/>
      <c r="AF110" s="241"/>
      <c r="AG110" s="239"/>
      <c r="AH110" s="239"/>
      <c r="AI110" s="239"/>
      <c r="AJ110" s="239"/>
      <c r="AK110" s="243"/>
      <c r="AL110" s="217"/>
      <c r="AM110" s="171"/>
      <c r="AN110" s="229"/>
      <c r="AO110" s="229"/>
      <c r="AP110" s="229"/>
      <c r="AQ110" s="21"/>
      <c r="AR110" s="196"/>
      <c r="AS110" s="196"/>
      <c r="AT110" s="21"/>
      <c r="AU110" s="22"/>
      <c r="AV110" s="21"/>
      <c r="AW110" s="21"/>
    </row>
    <row r="111" spans="1:49" ht="15" customHeight="1">
      <c r="A111" s="606" t="s">
        <v>226</v>
      </c>
      <c r="B111" s="568" t="s">
        <v>50</v>
      </c>
      <c r="C111" s="570">
        <v>2000</v>
      </c>
      <c r="D111" s="572">
        <v>1.56</v>
      </c>
      <c r="E111" s="563"/>
      <c r="F111" s="533" t="s">
        <v>51</v>
      </c>
      <c r="G111" s="489" t="s">
        <v>225</v>
      </c>
      <c r="H111" s="17" t="s">
        <v>19</v>
      </c>
      <c r="I111" s="31">
        <f>($O$123*$D$111)+($O$127*$D$121)</f>
        <v>21050</v>
      </c>
      <c r="J111" s="250"/>
      <c r="K111" s="19"/>
      <c r="L111" s="251"/>
      <c r="M111" s="251"/>
      <c r="N111" s="251"/>
      <c r="O111" s="31">
        <f>($O$123*$D$111)+($O$127*$D$121)</f>
        <v>21050</v>
      </c>
      <c r="P111" s="251"/>
      <c r="Q111" s="250"/>
      <c r="R111" s="19"/>
      <c r="S111" s="252"/>
      <c r="T111" s="251"/>
      <c r="U111" s="251"/>
      <c r="V111" s="31">
        <f>($O$123*$D$111)+($O$127*$D$121)</f>
        <v>21050</v>
      </c>
      <c r="W111" s="251"/>
      <c r="X111" s="250"/>
      <c r="Y111" s="19"/>
      <c r="Z111" s="251"/>
      <c r="AA111" s="251"/>
      <c r="AB111" s="31">
        <f>($O$123*$D$111)+($O$127*$D$121)</f>
        <v>21050</v>
      </c>
      <c r="AC111" s="251"/>
      <c r="AD111" s="251"/>
      <c r="AE111" s="250"/>
      <c r="AF111" s="19"/>
      <c r="AG111" s="251"/>
      <c r="AH111" s="31">
        <f>($O$123*$D$111)+($O$127*$D$121)</f>
        <v>21050</v>
      </c>
      <c r="AI111" s="251"/>
      <c r="AJ111" s="251"/>
      <c r="AK111" s="253"/>
      <c r="AL111" s="217"/>
      <c r="AM111" s="171"/>
      <c r="AN111" s="196"/>
      <c r="AO111" s="196"/>
      <c r="AP111" s="196"/>
      <c r="AQ111" s="196"/>
      <c r="AR111" s="196"/>
      <c r="AS111" s="196"/>
      <c r="AT111" s="196"/>
      <c r="AU111" s="196"/>
      <c r="AV111" s="22"/>
      <c r="AW111" s="22"/>
    </row>
    <row r="112" spans="1:49" ht="15" customHeight="1">
      <c r="A112" s="607"/>
      <c r="B112" s="569"/>
      <c r="C112" s="571"/>
      <c r="D112" s="573"/>
      <c r="E112" s="564"/>
      <c r="F112" s="534"/>
      <c r="G112" s="29"/>
      <c r="H112" s="24" t="s">
        <v>15</v>
      </c>
      <c r="I112" s="31"/>
      <c r="J112" s="192"/>
      <c r="K112" s="26"/>
      <c r="L112" s="31"/>
      <c r="M112" s="31"/>
      <c r="N112" s="31"/>
      <c r="O112" s="31"/>
      <c r="P112" s="31"/>
      <c r="Q112" s="192"/>
      <c r="R112" s="26"/>
      <c r="S112" s="254"/>
      <c r="T112" s="31"/>
      <c r="U112" s="31"/>
      <c r="V112" s="31"/>
      <c r="W112" s="31"/>
      <c r="X112" s="192"/>
      <c r="Y112" s="26"/>
      <c r="Z112" s="31"/>
      <c r="AA112" s="31"/>
      <c r="AB112" s="31"/>
      <c r="AC112" s="31"/>
      <c r="AD112" s="31"/>
      <c r="AE112" s="192"/>
      <c r="AF112" s="26"/>
      <c r="AG112" s="31"/>
      <c r="AH112" s="31"/>
      <c r="AI112" s="31"/>
      <c r="AJ112" s="31"/>
      <c r="AK112" s="255"/>
      <c r="AL112" s="217"/>
      <c r="AM112" s="171"/>
      <c r="AN112" s="196"/>
      <c r="AO112" s="196"/>
      <c r="AP112" s="196"/>
      <c r="AQ112" s="196"/>
      <c r="AR112" s="196"/>
      <c r="AS112" s="196"/>
      <c r="AT112" s="196"/>
      <c r="AU112" s="196"/>
      <c r="AV112" s="22"/>
      <c r="AW112" s="22"/>
    </row>
    <row r="113" spans="1:49" ht="15" customHeight="1">
      <c r="A113" s="607"/>
      <c r="B113" s="569"/>
      <c r="C113" s="571"/>
      <c r="D113" s="573"/>
      <c r="E113" s="564"/>
      <c r="F113" s="534"/>
      <c r="G113" s="29"/>
      <c r="H113" s="30" t="s">
        <v>16</v>
      </c>
      <c r="I113" s="186">
        <f>SUMIFS('絞線Twisting wire'!$K$7:$K$1000,'絞線Twisting wire'!$A$7:$A$1000,'03'!I$2,'絞線Twisting wire'!$D$7:$D$1000,'03'!$G$111,'絞線Twisting wire'!$F$7:$F$1000,'03'!$A$111)</f>
        <v>0</v>
      </c>
      <c r="J113" s="187">
        <f>SUMIFS('絞線Twisting wire'!$K$7:$K$1000,'絞線Twisting wire'!$A$7:$A$1000,'03'!J$2,'絞線Twisting wire'!$D$7:$D$1000,'03'!$G$111,'絞線Twisting wire'!$F$7:$F$1000,'03'!$A$111)</f>
        <v>0</v>
      </c>
      <c r="K113" s="26"/>
      <c r="L113" s="186">
        <f>SUMIFS('絞線Twisting wire'!$K$7:$K$1000,'絞線Twisting wire'!$A$7:$A$1000,'03'!L$2,'絞線Twisting wire'!$D$7:$D$1000,'03'!$G$111,'絞線Twisting wire'!$F$7:$F$1000,'03'!$A$111)</f>
        <v>14896</v>
      </c>
      <c r="M113" s="186">
        <f>SUMIFS('絞線Twisting wire'!$K$7:$K$1000,'絞線Twisting wire'!$A$7:$A$1000,'03'!M$2,'絞線Twisting wire'!$D$7:$D$1000,'03'!$G$111,'絞線Twisting wire'!$F$7:$F$1000,'03'!$A$111)</f>
        <v>23513</v>
      </c>
      <c r="N113" s="186">
        <f>SUMIFS('絞線Twisting wire'!$K$7:$K$1000,'絞線Twisting wire'!$A$7:$A$1000,'03'!N$2,'絞線Twisting wire'!$D$7:$D$1000,'03'!$G$111,'絞線Twisting wire'!$F$7:$F$1000,'03'!$A$111)</f>
        <v>0</v>
      </c>
      <c r="O113" s="186">
        <f>SUMIFS('絞線Twisting wire'!$K$7:$K$1000,'絞線Twisting wire'!$A$7:$A$1000,'03'!O$2,'絞線Twisting wire'!$D$7:$D$1000,'03'!$G$111,'絞線Twisting wire'!$F$7:$F$1000,'03'!$A$111)</f>
        <v>0</v>
      </c>
      <c r="P113" s="186">
        <f>SUMIFS('絞線Twisting wire'!$K$7:$K$1000,'絞線Twisting wire'!$A$7:$A$1000,'03'!P$2,'絞線Twisting wire'!$D$7:$D$1000,'03'!$G$111,'絞線Twisting wire'!$F$7:$F$1000,'03'!$A$111)</f>
        <v>0</v>
      </c>
      <c r="Q113" s="187">
        <f>SUMIFS('絞線Twisting wire'!$K$7:$K$1000,'絞線Twisting wire'!$A$7:$A$1000,'03'!Q$2,'絞線Twisting wire'!$D$7:$D$1000,'03'!$G$111,'絞線Twisting wire'!$F$7:$F$1000,'03'!$A$111)</f>
        <v>0</v>
      </c>
      <c r="R113" s="26"/>
      <c r="S113" s="254"/>
      <c r="T113" s="186">
        <f>SUMIFS('絞線Twisting wire'!$K$7:$K$1000,'絞線Twisting wire'!$A$7:$A$1000,'03'!T$2,'絞線Twisting wire'!$D$7:$D$1000,'03'!$G$111,'絞線Twisting wire'!$F$7:$F$1000,'03'!$A$111)</f>
        <v>0</v>
      </c>
      <c r="U113" s="186">
        <f>SUMIFS('絞線Twisting wire'!$K$7:$K$1000,'絞線Twisting wire'!$A$7:$A$1000,'03'!U$2,'絞線Twisting wire'!$D$7:$D$1000,'03'!$G$111,'絞線Twisting wire'!$F$7:$F$1000,'03'!$A$111)</f>
        <v>0</v>
      </c>
      <c r="V113" s="186">
        <f>SUMIFS('絞線Twisting wire'!$K$7:$K$1000,'絞線Twisting wire'!$A$7:$A$1000,'03'!V$2,'絞線Twisting wire'!$D$7:$D$1000,'03'!$G$111,'絞線Twisting wire'!$F$7:$F$1000,'03'!$A$111)</f>
        <v>0</v>
      </c>
      <c r="W113" s="186">
        <f>SUMIFS('絞線Twisting wire'!$K$7:$K$1000,'絞線Twisting wire'!$A$7:$A$1000,'03'!W$2,'絞線Twisting wire'!$D$7:$D$1000,'03'!$G$111,'絞線Twisting wire'!$F$7:$F$1000,'03'!$A$111)</f>
        <v>0</v>
      </c>
      <c r="X113" s="187">
        <f>SUMIFS('絞線Twisting wire'!$K$7:$K$1000,'絞線Twisting wire'!$A$7:$A$1000,'03'!X$2,'絞線Twisting wire'!$D$7:$D$1000,'03'!$G$111,'絞線Twisting wire'!$F$7:$F$1000,'03'!$A$111)</f>
        <v>0</v>
      </c>
      <c r="Y113" s="26"/>
      <c r="Z113" s="186">
        <f>SUMIFS('絞線Twisting wire'!$K$7:$K$1000,'絞線Twisting wire'!$A$7:$A$1000,'03'!Z$2,'絞線Twisting wire'!$D$7:$D$1000,'03'!$G$111,'絞線Twisting wire'!$F$7:$F$1000,'03'!$A$111)</f>
        <v>0</v>
      </c>
      <c r="AA113" s="186">
        <f>SUMIFS('絞線Twisting wire'!$K$7:$K$1000,'絞線Twisting wire'!$A$7:$A$1000,'03'!AA$2,'絞線Twisting wire'!$D$7:$D$1000,'03'!$G$111,'絞線Twisting wire'!$F$7:$F$1000,'03'!$A$111)</f>
        <v>0</v>
      </c>
      <c r="AB113" s="186">
        <f>SUMIFS('絞線Twisting wire'!$K$7:$K$1000,'絞線Twisting wire'!$A$7:$A$1000,'03'!AB$2,'絞線Twisting wire'!$D$7:$D$1000,'03'!$G$111,'絞線Twisting wire'!$F$7:$F$1000,'03'!$A$111)</f>
        <v>0</v>
      </c>
      <c r="AC113" s="186">
        <f>SUMIFS('絞線Twisting wire'!$K$7:$K$1000,'絞線Twisting wire'!$A$7:$A$1000,'03'!AC$2,'絞線Twisting wire'!$D$7:$D$1000,'03'!$G$111,'絞線Twisting wire'!$F$7:$F$1000,'03'!$A$111)</f>
        <v>0</v>
      </c>
      <c r="AD113" s="186">
        <f>SUMIFS('絞線Twisting wire'!$K$7:$K$1000,'絞線Twisting wire'!$A$7:$A$1000,'03'!AD$2,'絞線Twisting wire'!$D$7:$D$1000,'03'!$G$111,'絞線Twisting wire'!$F$7:$F$1000,'03'!$A$111)</f>
        <v>0</v>
      </c>
      <c r="AE113" s="187">
        <f>SUMIFS('絞線Twisting wire'!$K$7:$K$1000,'絞線Twisting wire'!$A$7:$A$1000,'03'!AE$2,'絞線Twisting wire'!$D$7:$D$1000,'03'!$G$111,'絞線Twisting wire'!$F$7:$F$1000,'03'!$A$111)</f>
        <v>0</v>
      </c>
      <c r="AF113" s="26"/>
      <c r="AG113" s="186">
        <f>SUMIFS('絞線Twisting wire'!$K$7:$K$1000,'絞線Twisting wire'!$A$7:$A$1000,'03'!AG$2,'絞線Twisting wire'!$D$7:$D$1000,'03'!$G$111,'絞線Twisting wire'!$F$7:$F$1000,'03'!$A$111)</f>
        <v>0</v>
      </c>
      <c r="AH113" s="186">
        <f>SUMIFS('絞線Twisting wire'!$K$7:$K$1000,'絞線Twisting wire'!$A$7:$A$1000,'03'!AH$2,'絞線Twisting wire'!$D$7:$D$1000,'03'!$G$111,'絞線Twisting wire'!$F$7:$F$1000,'03'!$A$111)</f>
        <v>0</v>
      </c>
      <c r="AI113" s="186">
        <f>SUMIFS('絞線Twisting wire'!$K$7:$K$1000,'絞線Twisting wire'!$A$7:$A$1000,'03'!AI$2,'絞線Twisting wire'!$D$7:$D$1000,'03'!$G$111,'絞線Twisting wire'!$F$7:$F$1000,'03'!$A$111)</f>
        <v>0</v>
      </c>
      <c r="AJ113" s="186">
        <f>SUMIFS('絞線Twisting wire'!$K$7:$K$1000,'絞線Twisting wire'!$A$7:$A$1000,'03'!AJ$2,'絞線Twisting wire'!$D$7:$D$1000,'03'!$G$111,'絞線Twisting wire'!$F$7:$F$1000,'03'!$A$111)</f>
        <v>0</v>
      </c>
      <c r="AK113" s="255"/>
      <c r="AL113" s="217"/>
      <c r="AM113" s="171"/>
      <c r="AN113" s="196"/>
      <c r="AO113" s="196"/>
      <c r="AP113" s="196"/>
      <c r="AQ113" s="196"/>
      <c r="AR113" s="196"/>
      <c r="AS113" s="196"/>
      <c r="AT113" s="196"/>
      <c r="AU113" s="196"/>
      <c r="AV113" s="22"/>
      <c r="AW113" s="22"/>
    </row>
    <row r="114" spans="1:49" ht="15" customHeight="1">
      <c r="A114" s="607"/>
      <c r="B114" s="569"/>
      <c r="C114" s="571"/>
      <c r="D114" s="573"/>
      <c r="E114" s="564"/>
      <c r="F114" s="534"/>
      <c r="G114" s="29"/>
      <c r="H114" s="30" t="s">
        <v>17</v>
      </c>
      <c r="I114" s="31">
        <f>I113-I111</f>
        <v>-21050</v>
      </c>
      <c r="J114" s="192">
        <f>I114+(J113-J111)</f>
        <v>-21050</v>
      </c>
      <c r="K114" s="188"/>
      <c r="L114" s="31">
        <f>J114+(L113-L111)</f>
        <v>-6154</v>
      </c>
      <c r="M114" s="31">
        <f>L114+(M113-M111)</f>
        <v>17359</v>
      </c>
      <c r="N114" s="31"/>
      <c r="O114" s="31"/>
      <c r="P114" s="31"/>
      <c r="Q114" s="192"/>
      <c r="R114" s="26"/>
      <c r="S114" s="254"/>
      <c r="T114" s="31"/>
      <c r="U114" s="31"/>
      <c r="V114" s="31"/>
      <c r="W114" s="31"/>
      <c r="X114" s="192"/>
      <c r="Y114" s="26"/>
      <c r="Z114" s="31"/>
      <c r="AA114" s="31"/>
      <c r="AB114" s="31"/>
      <c r="AC114" s="31"/>
      <c r="AD114" s="31"/>
      <c r="AE114" s="192"/>
      <c r="AF114" s="26"/>
      <c r="AG114" s="31"/>
      <c r="AH114" s="31"/>
      <c r="AI114" s="31"/>
      <c r="AJ114" s="31"/>
      <c r="AK114" s="255"/>
      <c r="AL114" s="217"/>
      <c r="AM114" s="171"/>
      <c r="AN114" s="196"/>
      <c r="AO114" s="196"/>
      <c r="AP114" s="196"/>
      <c r="AQ114" s="196"/>
      <c r="AR114" s="196"/>
      <c r="AS114" s="196"/>
      <c r="AT114" s="196"/>
      <c r="AU114" s="196"/>
      <c r="AV114" s="22"/>
      <c r="AW114" s="22"/>
    </row>
    <row r="115" spans="1:49" ht="15" customHeight="1">
      <c r="A115" s="607"/>
      <c r="B115" s="569"/>
      <c r="C115" s="571"/>
      <c r="D115" s="573"/>
      <c r="E115" s="564"/>
      <c r="F115" s="534"/>
      <c r="G115" s="29" t="s">
        <v>474</v>
      </c>
      <c r="H115" s="24" t="s">
        <v>26</v>
      </c>
      <c r="I115" s="31"/>
      <c r="J115" s="192"/>
      <c r="K115" s="26"/>
      <c r="L115" s="31">
        <f>($O$123*$D$111)+($O$127*$D$121)</f>
        <v>21050</v>
      </c>
      <c r="M115" s="31"/>
      <c r="N115" s="31"/>
      <c r="O115" s="31"/>
      <c r="P115" s="31">
        <f>($O$123*$D$111)+($O$127*$D$121)</f>
        <v>21050</v>
      </c>
      <c r="Q115" s="192"/>
      <c r="R115" s="26"/>
      <c r="S115" s="254"/>
      <c r="T115" s="31"/>
      <c r="U115" s="31"/>
      <c r="V115" s="31"/>
      <c r="W115" s="31">
        <f>($O$123*$D$111)+($O$127*$D$121)</f>
        <v>21050</v>
      </c>
      <c r="X115" s="192"/>
      <c r="Y115" s="26"/>
      <c r="Z115" s="31"/>
      <c r="AA115" s="31"/>
      <c r="AB115" s="31"/>
      <c r="AC115" s="31">
        <f>($O$123*$D$111)+($O$127*$D$121)</f>
        <v>21050</v>
      </c>
      <c r="AD115" s="31"/>
      <c r="AE115" s="192"/>
      <c r="AF115" s="26"/>
      <c r="AG115" s="31"/>
      <c r="AH115" s="31"/>
      <c r="AI115" s="31">
        <f>($O$123*$D$111)+($O$127*$D$121)</f>
        <v>21050</v>
      </c>
      <c r="AJ115" s="31"/>
      <c r="AK115" s="255"/>
      <c r="AL115" s="217"/>
      <c r="AM115" s="171"/>
      <c r="AN115" s="229"/>
      <c r="AO115" s="229"/>
      <c r="AP115" s="229"/>
      <c r="AQ115" s="196"/>
      <c r="AR115" s="196"/>
      <c r="AS115" s="196"/>
      <c r="AT115" s="196"/>
      <c r="AU115" s="196"/>
      <c r="AV115" s="22"/>
      <c r="AW115" s="22"/>
    </row>
    <row r="116" spans="1:49">
      <c r="A116" s="607"/>
      <c r="B116" s="569"/>
      <c r="C116" s="571"/>
      <c r="D116" s="573"/>
      <c r="E116" s="564"/>
      <c r="F116" s="534"/>
      <c r="G116" s="29"/>
      <c r="H116" s="24" t="s">
        <v>24</v>
      </c>
      <c r="I116" s="31"/>
      <c r="J116" s="192"/>
      <c r="K116" s="26"/>
      <c r="L116" s="31"/>
      <c r="M116" s="31"/>
      <c r="N116" s="31"/>
      <c r="O116" s="31"/>
      <c r="P116" s="31"/>
      <c r="Q116" s="192"/>
      <c r="R116" s="26"/>
      <c r="S116" s="254"/>
      <c r="T116" s="31"/>
      <c r="U116" s="31"/>
      <c r="V116" s="31"/>
      <c r="W116" s="31"/>
      <c r="X116" s="192"/>
      <c r="Y116" s="26"/>
      <c r="Z116" s="31"/>
      <c r="AA116" s="31"/>
      <c r="AB116" s="31"/>
      <c r="AC116" s="31"/>
      <c r="AD116" s="31"/>
      <c r="AE116" s="192"/>
      <c r="AF116" s="26"/>
      <c r="AG116" s="31"/>
      <c r="AH116" s="31"/>
      <c r="AI116" s="31"/>
      <c r="AJ116" s="31"/>
      <c r="AK116" s="255"/>
      <c r="AL116" s="217"/>
      <c r="AM116" s="171"/>
      <c r="AN116" s="196"/>
      <c r="AO116" s="196"/>
      <c r="AP116" s="196"/>
      <c r="AQ116" s="196"/>
      <c r="AR116" s="196"/>
      <c r="AS116" s="196"/>
      <c r="AT116" s="196"/>
      <c r="AU116" s="196"/>
      <c r="AV116" s="22"/>
      <c r="AW116" s="22"/>
    </row>
    <row r="117" spans="1:49">
      <c r="A117" s="607"/>
      <c r="B117" s="569"/>
      <c r="C117" s="571"/>
      <c r="D117" s="573"/>
      <c r="E117" s="564"/>
      <c r="F117" s="534"/>
      <c r="G117" s="29"/>
      <c r="H117" s="30" t="s">
        <v>16</v>
      </c>
      <c r="I117" s="31"/>
      <c r="J117" s="192">
        <f>34090+24829</f>
        <v>58919</v>
      </c>
      <c r="K117" s="26"/>
      <c r="L117" s="31"/>
      <c r="M117" s="31"/>
      <c r="N117" s="31"/>
      <c r="O117" s="58"/>
      <c r="P117" s="31"/>
      <c r="Q117" s="192"/>
      <c r="R117" s="26"/>
      <c r="S117" s="254"/>
      <c r="T117" s="31"/>
      <c r="U117" s="31"/>
      <c r="V117" s="58"/>
      <c r="W117" s="31"/>
      <c r="X117" s="192"/>
      <c r="Y117" s="26"/>
      <c r="Z117" s="31"/>
      <c r="AA117" s="31"/>
      <c r="AB117" s="58"/>
      <c r="AC117" s="31"/>
      <c r="AD117" s="31"/>
      <c r="AE117" s="192"/>
      <c r="AF117" s="26"/>
      <c r="AG117" s="31"/>
      <c r="AH117" s="58"/>
      <c r="AI117" s="31"/>
      <c r="AJ117" s="31"/>
      <c r="AK117" s="255"/>
      <c r="AL117" s="217"/>
      <c r="AM117" s="171"/>
      <c r="AN117" s="196"/>
      <c r="AO117" s="196"/>
      <c r="AP117" s="196"/>
      <c r="AQ117" s="196"/>
      <c r="AR117" s="196"/>
      <c r="AS117" s="196"/>
      <c r="AT117" s="196"/>
      <c r="AU117" s="196"/>
      <c r="AV117" s="21"/>
      <c r="AW117" s="22"/>
    </row>
    <row r="118" spans="1:49">
      <c r="A118" s="607"/>
      <c r="B118" s="569"/>
      <c r="C118" s="571"/>
      <c r="D118" s="573"/>
      <c r="E118" s="564"/>
      <c r="F118" s="534"/>
      <c r="G118" s="29"/>
      <c r="H118" s="30" t="s">
        <v>17</v>
      </c>
      <c r="I118" s="31"/>
      <c r="J118" s="192"/>
      <c r="K118" s="26"/>
      <c r="L118" s="31"/>
      <c r="M118" s="31"/>
      <c r="N118" s="31"/>
      <c r="O118" s="31"/>
      <c r="P118" s="31"/>
      <c r="Q118" s="192"/>
      <c r="R118" s="26"/>
      <c r="S118" s="254"/>
      <c r="T118" s="31"/>
      <c r="U118" s="31"/>
      <c r="V118" s="31"/>
      <c r="W118" s="31"/>
      <c r="X118" s="192"/>
      <c r="Y118" s="26"/>
      <c r="Z118" s="31"/>
      <c r="AA118" s="31"/>
      <c r="AB118" s="31"/>
      <c r="AC118" s="31"/>
      <c r="AD118" s="58">
        <f>(($O$123*$D$111)/3)+(($O$127*$D$121)/3)</f>
        <v>7016.666666666667</v>
      </c>
      <c r="AE118" s="192"/>
      <c r="AF118" s="26"/>
      <c r="AG118" s="31"/>
      <c r="AH118" s="31"/>
      <c r="AI118" s="31"/>
      <c r="AJ118" s="58">
        <f>(($O$123*$D$111)/3)+(($O$127*$D$121)/3)</f>
        <v>7016.666666666667</v>
      </c>
      <c r="AK118" s="255"/>
      <c r="AL118" s="217"/>
      <c r="AM118" s="171"/>
      <c r="AN118" s="196"/>
      <c r="AO118" s="196"/>
      <c r="AP118" s="196"/>
      <c r="AQ118" s="196"/>
      <c r="AR118" s="196"/>
      <c r="AS118" s="196"/>
      <c r="AT118" s="196"/>
      <c r="AU118" s="196"/>
      <c r="AV118" s="21"/>
      <c r="AW118" s="22"/>
    </row>
    <row r="119" spans="1:49">
      <c r="A119" s="607"/>
      <c r="B119" s="569"/>
      <c r="C119" s="571"/>
      <c r="D119" s="573"/>
      <c r="E119" s="564"/>
      <c r="F119" s="534"/>
      <c r="G119" s="29"/>
      <c r="H119" s="24" t="s">
        <v>46</v>
      </c>
      <c r="I119" s="31"/>
      <c r="J119" s="192"/>
      <c r="K119" s="56"/>
      <c r="L119" s="58">
        <f>(($O$123*$D$111)/3)+(($O$127*$D$121)/3)</f>
        <v>7016.666666666667</v>
      </c>
      <c r="M119" s="58">
        <f>(($O$123*$D$111)/3)+(($O$127*$D$121)/3)</f>
        <v>7016.666666666667</v>
      </c>
      <c r="N119" s="58">
        <f>(($O$123*$D$111)/3)+(($O$127*$D$121)/3)</f>
        <v>7016.666666666667</v>
      </c>
      <c r="O119" s="58"/>
      <c r="P119" s="58">
        <f>(($O$123*$D$111)/3)+(($O$127*$D$121)/3)</f>
        <v>7016.666666666667</v>
      </c>
      <c r="Q119" s="192"/>
      <c r="R119" s="26"/>
      <c r="S119" s="254"/>
      <c r="T119" s="58">
        <f>(($O$123*$D$111)/3)+(($O$127*$D$121)/3)</f>
        <v>7016.666666666667</v>
      </c>
      <c r="U119" s="58">
        <f>(($O$123*$D$111)/3)+(($O$127*$D$121)/3)</f>
        <v>7016.666666666667</v>
      </c>
      <c r="V119" s="58"/>
      <c r="W119" s="58">
        <f>(($O$123*$D$111)/3)+(($O$127*$D$121)/3)</f>
        <v>7016.666666666667</v>
      </c>
      <c r="X119" s="256"/>
      <c r="Y119" s="26"/>
      <c r="Z119" s="58">
        <f>(($O$123*$D$111)/3)+(($O$127*$D$121)/3)</f>
        <v>7016.666666666667</v>
      </c>
      <c r="AA119" s="58">
        <f>(($O$123*$D$111)/3)+(($O$127*$D$121)/3)</f>
        <v>7016.666666666667</v>
      </c>
      <c r="AB119" s="58"/>
      <c r="AC119" s="58">
        <f>(($O$123*$D$111)/3)+(($O$127*$D$121)/3)</f>
        <v>7016.666666666667</v>
      </c>
      <c r="AD119" s="31"/>
      <c r="AE119" s="256"/>
      <c r="AF119" s="26"/>
      <c r="AG119" s="58">
        <f>(($O$123*$D$111)/3)+(($O$127*$D$121)/3)</f>
        <v>7016.666666666667</v>
      </c>
      <c r="AH119" s="58"/>
      <c r="AI119" s="58">
        <f>(($O$123*$D$111)/3)+(($O$127*$D$121)/3)</f>
        <v>7016.666666666667</v>
      </c>
      <c r="AJ119" s="31"/>
      <c r="AK119" s="255"/>
      <c r="AL119" s="217"/>
      <c r="AM119" s="171"/>
      <c r="AN119" s="196"/>
      <c r="AO119" s="196"/>
      <c r="AP119" s="196"/>
      <c r="AQ119" s="196"/>
      <c r="AR119" s="196"/>
      <c r="AS119" s="196"/>
      <c r="AT119" s="196"/>
      <c r="AU119" s="196"/>
      <c r="AV119" s="21"/>
      <c r="AW119" s="22"/>
    </row>
    <row r="120" spans="1:49">
      <c r="A120" s="607"/>
      <c r="B120" s="569"/>
      <c r="C120" s="571"/>
      <c r="D120" s="573"/>
      <c r="E120" s="564"/>
      <c r="F120" s="570"/>
      <c r="G120" s="29"/>
      <c r="H120" s="24" t="s">
        <v>47</v>
      </c>
      <c r="I120" s="31"/>
      <c r="J120" s="192"/>
      <c r="K120" s="26"/>
      <c r="L120" s="31"/>
      <c r="M120" s="31"/>
      <c r="N120" s="31"/>
      <c r="O120" s="31"/>
      <c r="P120" s="31"/>
      <c r="Q120" s="192"/>
      <c r="R120" s="26"/>
      <c r="S120" s="254"/>
      <c r="T120" s="31"/>
      <c r="U120" s="31"/>
      <c r="V120" s="31"/>
      <c r="W120" s="31"/>
      <c r="X120" s="192"/>
      <c r="Y120" s="26"/>
      <c r="Z120" s="31"/>
      <c r="AA120" s="31"/>
      <c r="AB120" s="31"/>
      <c r="AC120" s="31"/>
      <c r="AD120" s="31"/>
      <c r="AE120" s="192"/>
      <c r="AF120" s="26"/>
      <c r="AG120" s="31"/>
      <c r="AH120" s="31"/>
      <c r="AI120" s="31"/>
      <c r="AJ120" s="31"/>
      <c r="AK120" s="255"/>
      <c r="AL120" s="217"/>
      <c r="AM120" s="171"/>
      <c r="AN120" s="196"/>
      <c r="AO120" s="196"/>
      <c r="AP120" s="196"/>
      <c r="AQ120" s="196"/>
      <c r="AR120" s="196"/>
      <c r="AS120" s="196"/>
      <c r="AT120" s="196"/>
      <c r="AU120" s="196"/>
      <c r="AV120" s="21"/>
      <c r="AW120" s="22"/>
    </row>
    <row r="121" spans="1:49">
      <c r="A121" s="607"/>
      <c r="B121" s="575" t="s">
        <v>54</v>
      </c>
      <c r="C121" s="578">
        <v>1000</v>
      </c>
      <c r="D121" s="579">
        <v>1.0900000000000001</v>
      </c>
      <c r="E121" s="564"/>
      <c r="F121" s="578" t="s">
        <v>55</v>
      </c>
      <c r="G121" s="29"/>
      <c r="H121" s="30" t="s">
        <v>16</v>
      </c>
      <c r="I121" s="186">
        <f>SUMIFS('编织 缠绕 Winding, Braiding,'!$K$7:$K$1000,'编织 缠绕 Winding, Braiding,'!$A$7:$A$1000,'03'!I$2,'编织 缠绕 Winding, Braiding,'!$D$7:$D$1000,'03'!$A$111)</f>
        <v>0</v>
      </c>
      <c r="J121" s="187">
        <f>SUMIFS('编织 缠绕 Winding, Braiding,'!$K$7:$K$1000,'编织 缠绕 Winding, Braiding,'!$A$7:$A$1000,'03'!J$2,'编织 缠绕 Winding, Braiding,'!$D$7:$D$1000,'03'!$A$111)</f>
        <v>3022</v>
      </c>
      <c r="K121" s="34"/>
      <c r="L121" s="186">
        <f>SUMIFS('编织 缠绕 Winding, Braiding,'!$K$7:$K$1000,'编织 缠绕 Winding, Braiding,'!$A$7:$A$1000,'03'!L$2,'编织 缠绕 Winding, Braiding,'!$D$7:$D$1000,'03'!$A$111)</f>
        <v>11666</v>
      </c>
      <c r="M121" s="186">
        <f>SUMIFS('编织 缠绕 Winding, Braiding,'!$K$7:$K$1000,'编织 缠绕 Winding, Braiding,'!$A$7:$A$1000,'03'!M$2,'编织 缠绕 Winding, Braiding,'!$D$7:$D$1000,'03'!$A$111)</f>
        <v>14600</v>
      </c>
      <c r="N121" s="186">
        <f>SUMIFS('编织 缠绕 Winding, Braiding,'!$K$7:$K$1000,'编织 缠绕 Winding, Braiding,'!$A$7:$A$1000,'03'!N$2,'编织 缠绕 Winding, Braiding,'!$D$7:$D$1000,'03'!$A$111)</f>
        <v>14521</v>
      </c>
      <c r="O121" s="186">
        <f>SUMIFS('编织 缠绕 Winding, Braiding,'!$K$7:$K$1000,'编织 缠绕 Winding, Braiding,'!$A$7:$A$1000,'03'!O$2,'编织 缠绕 Winding, Braiding,'!$D$7:$D$1000,'03'!$A$111)</f>
        <v>12411</v>
      </c>
      <c r="P121" s="186">
        <f>SUMIFS('编织 缠绕 Winding, Braiding,'!$K$7:$K$1000,'编织 缠绕 Winding, Braiding,'!$A$7:$A$1000,'03'!P$2,'编织 缠绕 Winding, Braiding,'!$D$7:$D$1000,'03'!$A$111)</f>
        <v>0</v>
      </c>
      <c r="Q121" s="187">
        <f>SUMIFS('编织 缠绕 Winding, Braiding,'!$K$7:$K$1000,'编织 缠绕 Winding, Braiding,'!$A$7:$A$1000,'03'!Q$2,'编织 缠绕 Winding, Braiding,'!$D$7:$D$1000,'03'!$A$111)</f>
        <v>1690</v>
      </c>
      <c r="R121" s="26"/>
      <c r="S121" s="254"/>
      <c r="T121" s="186">
        <f>SUMIFS('编织 缠绕 Winding, Braiding,'!$K$7:$K$1000,'编织 缠绕 Winding, Braiding,'!$A$7:$A$1000,'03'!T$2,'编织 缠绕 Winding, Braiding,'!$D$7:$D$1000,'03'!$A$111)</f>
        <v>3164</v>
      </c>
      <c r="U121" s="186">
        <f>SUMIFS('编织 缠绕 Winding, Braiding,'!$K$7:$K$1000,'编织 缠绕 Winding, Braiding,'!$A$7:$A$1000,'03'!U$2,'编织 缠绕 Winding, Braiding,'!$D$7:$D$1000,'03'!$A$111)</f>
        <v>0</v>
      </c>
      <c r="V121" s="186">
        <f>SUMIFS('编织 缠绕 Winding, Braiding,'!$K$7:$K$1000,'编织 缠绕 Winding, Braiding,'!$A$7:$A$1000,'03'!V$2,'编织 缠绕 Winding, Braiding,'!$D$7:$D$1000,'03'!$A$111)</f>
        <v>0</v>
      </c>
      <c r="W121" s="186">
        <f>SUMIFS('编织 缠绕 Winding, Braiding,'!$K$7:$K$1000,'编织 缠绕 Winding, Braiding,'!$A$7:$A$1000,'03'!W$2,'编织 缠绕 Winding, Braiding,'!$D$7:$D$1000,'03'!$A$111)</f>
        <v>0</v>
      </c>
      <c r="X121" s="187">
        <f>SUMIFS('编织 缠绕 Winding, Braiding,'!$K$7:$K$1000,'编织 缠绕 Winding, Braiding,'!$A$7:$A$1000,'03'!X$2,'编织 缠绕 Winding, Braiding,'!$D$7:$D$1000,'03'!$A$111)</f>
        <v>0</v>
      </c>
      <c r="Y121" s="26"/>
      <c r="Z121" s="186">
        <f>SUMIFS('编织 缠绕 Winding, Braiding,'!$K$7:$K$1000,'编织 缠绕 Winding, Braiding,'!$A$7:$A$1000,'03'!Z$2,'编织 缠绕 Winding, Braiding,'!$D$7:$D$1000,'03'!$A$111)</f>
        <v>0</v>
      </c>
      <c r="AA121" s="186">
        <f>SUMIFS('编织 缠绕 Winding, Braiding,'!$K$7:$K$1000,'编织 缠绕 Winding, Braiding,'!$A$7:$A$1000,'03'!AA$2,'编织 缠绕 Winding, Braiding,'!$D$7:$D$1000,'03'!$A$111)</f>
        <v>0</v>
      </c>
      <c r="AB121" s="186">
        <f>SUMIFS('编织 缠绕 Winding, Braiding,'!$K$7:$K$1000,'编织 缠绕 Winding, Braiding,'!$A$7:$A$1000,'03'!AB$2,'编织 缠绕 Winding, Braiding,'!$D$7:$D$1000,'03'!$A$111)</f>
        <v>0</v>
      </c>
      <c r="AC121" s="186">
        <f>SUMIFS('编织 缠绕 Winding, Braiding,'!$K$7:$K$1000,'编织 缠绕 Winding, Braiding,'!$A$7:$A$1000,'03'!AC$2,'编织 缠绕 Winding, Braiding,'!$D$7:$D$1000,'03'!$A$111)</f>
        <v>0</v>
      </c>
      <c r="AD121" s="186">
        <f>SUMIFS('编织 缠绕 Winding, Braiding,'!$K$7:$K$1000,'编织 缠绕 Winding, Braiding,'!$A$7:$A$1000,'03'!AD$2,'编织 缠绕 Winding, Braiding,'!$D$7:$D$1000,'03'!$A$111)</f>
        <v>0</v>
      </c>
      <c r="AE121" s="187">
        <f>SUMIFS('编织 缠绕 Winding, Braiding,'!$K$7:$K$1000,'编织 缠绕 Winding, Braiding,'!$A$7:$A$1000,'03'!AE$2,'编织 缠绕 Winding, Braiding,'!$D$7:$D$1000,'03'!$A$111)</f>
        <v>0</v>
      </c>
      <c r="AF121" s="26"/>
      <c r="AG121" s="186">
        <f>SUMIFS('编织 缠绕 Winding, Braiding,'!$K$7:$K$1000,'编织 缠绕 Winding, Braiding,'!$A$7:$A$1000,'03'!AG$2,'编织 缠绕 Winding, Braiding,'!$D$7:$D$1000,'03'!$A$111)</f>
        <v>0</v>
      </c>
      <c r="AH121" s="186">
        <f>SUMIFS('编织 缠绕 Winding, Braiding,'!$K$7:$K$1000,'编织 缠绕 Winding, Braiding,'!$A$7:$A$1000,'03'!AH$2,'编织 缠绕 Winding, Braiding,'!$D$7:$D$1000,'03'!$A$111)</f>
        <v>0</v>
      </c>
      <c r="AI121" s="186">
        <f>SUMIFS('编织 缠绕 Winding, Braiding,'!$K$7:$K$1000,'编织 缠绕 Winding, Braiding,'!$A$7:$A$1000,'03'!AI$2,'编织 缠绕 Winding, Braiding,'!$D$7:$D$1000,'03'!$A$111)</f>
        <v>0</v>
      </c>
      <c r="AJ121" s="186">
        <f>SUMIFS('编织 缠绕 Winding, Braiding,'!$K$7:$K$1000,'编织 缠绕 Winding, Braiding,'!$A$7:$A$1000,'03'!AJ$2,'编织 缠绕 Winding, Braiding,'!$D$7:$D$1000,'03'!$A$111)</f>
        <v>0</v>
      </c>
      <c r="AK121" s="255"/>
      <c r="AL121" s="217"/>
      <c r="AM121" s="171"/>
      <c r="AN121" s="196"/>
      <c r="AO121" s="196"/>
      <c r="AP121" s="196"/>
      <c r="AQ121" s="196"/>
      <c r="AR121" s="196"/>
      <c r="AS121" s="196"/>
      <c r="AT121" s="196"/>
      <c r="AU121" s="196"/>
      <c r="AV121" s="21"/>
      <c r="AW121" s="22"/>
    </row>
    <row r="122" spans="1:49">
      <c r="A122" s="607"/>
      <c r="B122" s="576"/>
      <c r="C122" s="534"/>
      <c r="D122" s="580"/>
      <c r="E122" s="564"/>
      <c r="F122" s="534"/>
      <c r="G122" s="29"/>
      <c r="H122" s="30" t="s">
        <v>17</v>
      </c>
      <c r="I122" s="58"/>
      <c r="J122" s="256"/>
      <c r="K122" s="56"/>
      <c r="L122" s="58"/>
      <c r="M122" s="58"/>
      <c r="N122" s="58"/>
      <c r="O122" s="58"/>
      <c r="P122" s="58"/>
      <c r="Q122" s="256"/>
      <c r="R122" s="56"/>
      <c r="S122" s="257"/>
      <c r="T122" s="58"/>
      <c r="U122" s="58"/>
      <c r="V122" s="58"/>
      <c r="W122" s="58"/>
      <c r="X122" s="256"/>
      <c r="Y122" s="56"/>
      <c r="Z122" s="58"/>
      <c r="AA122" s="58"/>
      <c r="AB122" s="58"/>
      <c r="AC122" s="58"/>
      <c r="AD122" s="58"/>
      <c r="AE122" s="256"/>
      <c r="AF122" s="26"/>
      <c r="AG122" s="58"/>
      <c r="AH122" s="58"/>
      <c r="AI122" s="58"/>
      <c r="AJ122" s="58"/>
      <c r="AK122" s="255"/>
      <c r="AL122" s="217"/>
      <c r="AM122" s="171"/>
      <c r="AN122" s="196"/>
      <c r="AO122" s="196"/>
      <c r="AP122" s="196"/>
      <c r="AQ122" s="196"/>
      <c r="AR122" s="196"/>
      <c r="AS122" s="196"/>
      <c r="AT122" s="196"/>
      <c r="AU122" s="196"/>
      <c r="AV122" s="21"/>
      <c r="AW122" s="22"/>
    </row>
    <row r="123" spans="1:49">
      <c r="A123" s="607"/>
      <c r="B123" s="576"/>
      <c r="C123" s="534"/>
      <c r="D123" s="580"/>
      <c r="E123" s="564"/>
      <c r="F123" s="534"/>
      <c r="G123" s="29" t="s">
        <v>49</v>
      </c>
      <c r="H123" s="24" t="s">
        <v>29</v>
      </c>
      <c r="I123" s="31"/>
      <c r="J123" s="192"/>
      <c r="K123" s="26"/>
      <c r="L123" s="31"/>
      <c r="M123" s="31"/>
      <c r="N123" s="31"/>
      <c r="O123" s="31">
        <f>$C$111*5</f>
        <v>10000</v>
      </c>
      <c r="P123" s="31"/>
      <c r="Q123" s="192"/>
      <c r="R123" s="26"/>
      <c r="S123" s="254"/>
      <c r="T123" s="31"/>
      <c r="U123" s="31"/>
      <c r="V123" s="31">
        <f>$C$111*5</f>
        <v>10000</v>
      </c>
      <c r="W123" s="31"/>
      <c r="X123" s="192"/>
      <c r="Y123" s="26"/>
      <c r="Z123" s="31"/>
      <c r="AA123" s="31"/>
      <c r="AB123" s="31">
        <f>$C$111*5</f>
        <v>10000</v>
      </c>
      <c r="AC123" s="31"/>
      <c r="AD123" s="31"/>
      <c r="AE123" s="192"/>
      <c r="AF123" s="26"/>
      <c r="AG123" s="31"/>
      <c r="AH123" s="31">
        <f>$C$111*5</f>
        <v>10000</v>
      </c>
      <c r="AI123" s="31"/>
      <c r="AJ123" s="31"/>
      <c r="AK123" s="255"/>
      <c r="AL123" s="217"/>
      <c r="AM123" s="171"/>
      <c r="AN123" s="196"/>
      <c r="AO123" s="196"/>
      <c r="AP123" s="196"/>
      <c r="AQ123" s="196"/>
      <c r="AR123" s="196"/>
      <c r="AS123" s="196"/>
      <c r="AT123" s="196"/>
      <c r="AU123" s="196"/>
      <c r="AV123" s="21"/>
      <c r="AW123" s="22"/>
    </row>
    <row r="124" spans="1:49">
      <c r="A124" s="607"/>
      <c r="B124" s="576"/>
      <c r="C124" s="534"/>
      <c r="D124" s="580"/>
      <c r="E124" s="564"/>
      <c r="F124" s="534"/>
      <c r="G124" s="29"/>
      <c r="H124" s="24" t="s">
        <v>48</v>
      </c>
      <c r="I124" s="31"/>
      <c r="J124" s="192"/>
      <c r="K124" s="26"/>
      <c r="L124" s="31"/>
      <c r="M124" s="31"/>
      <c r="N124" s="31"/>
      <c r="O124" s="31"/>
      <c r="P124" s="31"/>
      <c r="Q124" s="192"/>
      <c r="R124" s="26"/>
      <c r="S124" s="254"/>
      <c r="T124" s="31"/>
      <c r="U124" s="31"/>
      <c r="V124" s="31"/>
      <c r="W124" s="31"/>
      <c r="X124" s="192"/>
      <c r="Y124" s="26"/>
      <c r="Z124" s="31"/>
      <c r="AA124" s="31"/>
      <c r="AB124" s="31"/>
      <c r="AC124" s="31"/>
      <c r="AD124" s="31"/>
      <c r="AE124" s="192"/>
      <c r="AF124" s="26"/>
      <c r="AG124" s="31"/>
      <c r="AH124" s="31"/>
      <c r="AI124" s="31"/>
      <c r="AJ124" s="31"/>
      <c r="AK124" s="255"/>
      <c r="AL124" s="217"/>
      <c r="AM124" s="171"/>
      <c r="AN124" s="196"/>
      <c r="AO124" s="196"/>
      <c r="AP124" s="196"/>
      <c r="AQ124" s="196"/>
      <c r="AR124" s="196"/>
      <c r="AS124" s="196"/>
      <c r="AT124" s="196"/>
      <c r="AU124" s="196"/>
      <c r="AV124" s="21"/>
      <c r="AW124" s="22"/>
    </row>
    <row r="125" spans="1:49">
      <c r="A125" s="607"/>
      <c r="B125" s="576"/>
      <c r="C125" s="534"/>
      <c r="D125" s="580"/>
      <c r="E125" s="564"/>
      <c r="F125" s="534"/>
      <c r="G125" s="29"/>
      <c r="H125" s="30" t="s">
        <v>16</v>
      </c>
      <c r="I125" s="31"/>
      <c r="J125" s="192">
        <f>15894+3668</f>
        <v>19562</v>
      </c>
      <c r="K125" s="26"/>
      <c r="L125" s="31"/>
      <c r="M125" s="31"/>
      <c r="N125" s="31"/>
      <c r="O125" s="31"/>
      <c r="P125" s="31"/>
      <c r="Q125" s="192"/>
      <c r="R125" s="26"/>
      <c r="S125" s="254"/>
      <c r="T125" s="31"/>
      <c r="U125" s="31"/>
      <c r="V125" s="31"/>
      <c r="W125" s="31"/>
      <c r="X125" s="192"/>
      <c r="Y125" s="26"/>
      <c r="Z125" s="31"/>
      <c r="AA125" s="31"/>
      <c r="AB125" s="31"/>
      <c r="AC125" s="31"/>
      <c r="AD125" s="31"/>
      <c r="AE125" s="192"/>
      <c r="AF125" s="26"/>
      <c r="AG125" s="31"/>
      <c r="AH125" s="31"/>
      <c r="AI125" s="31"/>
      <c r="AJ125" s="31"/>
      <c r="AK125" s="255"/>
      <c r="AL125" s="217"/>
      <c r="AM125" s="171"/>
      <c r="AN125" s="196"/>
      <c r="AO125" s="196"/>
      <c r="AP125" s="196"/>
      <c r="AQ125" s="196"/>
      <c r="AR125" s="196"/>
      <c r="AS125" s="196"/>
      <c r="AT125" s="196"/>
      <c r="AU125" s="196"/>
      <c r="AV125" s="21"/>
      <c r="AW125" s="22"/>
    </row>
    <row r="126" spans="1:49">
      <c r="A126" s="607"/>
      <c r="B126" s="576"/>
      <c r="C126" s="534"/>
      <c r="D126" s="580"/>
      <c r="E126" s="564"/>
      <c r="F126" s="534"/>
      <c r="G126" s="29"/>
      <c r="H126" s="30" t="s">
        <v>17</v>
      </c>
      <c r="I126" s="58"/>
      <c r="J126" s="256"/>
      <c r="K126" s="56"/>
      <c r="L126" s="58"/>
      <c r="M126" s="58"/>
      <c r="N126" s="58"/>
      <c r="O126" s="58"/>
      <c r="P126" s="58"/>
      <c r="Q126" s="256"/>
      <c r="R126" s="56"/>
      <c r="S126" s="257"/>
      <c r="T126" s="58"/>
      <c r="U126" s="58"/>
      <c r="V126" s="58"/>
      <c r="W126" s="58"/>
      <c r="X126" s="256"/>
      <c r="Y126" s="56"/>
      <c r="Z126" s="58"/>
      <c r="AA126" s="58"/>
      <c r="AB126" s="58"/>
      <c r="AC126" s="58"/>
      <c r="AD126" s="31"/>
      <c r="AE126" s="192"/>
      <c r="AF126" s="26"/>
      <c r="AG126" s="58"/>
      <c r="AH126" s="58"/>
      <c r="AI126" s="58"/>
      <c r="AJ126" s="31"/>
      <c r="AK126" s="255"/>
      <c r="AL126" s="217"/>
      <c r="AM126" s="171"/>
      <c r="AN126" s="196"/>
      <c r="AO126" s="196"/>
      <c r="AP126" s="196"/>
      <c r="AQ126" s="196"/>
      <c r="AR126" s="196"/>
      <c r="AS126" s="196"/>
      <c r="AT126" s="196"/>
      <c r="AU126" s="196"/>
      <c r="AV126" s="21"/>
      <c r="AW126" s="22"/>
    </row>
    <row r="127" spans="1:49">
      <c r="A127" s="607"/>
      <c r="B127" s="576"/>
      <c r="C127" s="534"/>
      <c r="D127" s="580"/>
      <c r="E127" s="564"/>
      <c r="F127" s="534"/>
      <c r="G127" s="29" t="s">
        <v>53</v>
      </c>
      <c r="H127" s="24" t="s">
        <v>29</v>
      </c>
      <c r="I127" s="31"/>
      <c r="J127" s="192"/>
      <c r="K127" s="26"/>
      <c r="L127" s="31"/>
      <c r="M127" s="31"/>
      <c r="N127" s="31"/>
      <c r="O127" s="31">
        <f>$C$121*5</f>
        <v>5000</v>
      </c>
      <c r="P127" s="31"/>
      <c r="Q127" s="192"/>
      <c r="R127" s="26"/>
      <c r="S127" s="254"/>
      <c r="T127" s="31"/>
      <c r="U127" s="31"/>
      <c r="V127" s="31">
        <f>$C$121*5</f>
        <v>5000</v>
      </c>
      <c r="W127" s="31"/>
      <c r="X127" s="192"/>
      <c r="Y127" s="26"/>
      <c r="Z127" s="31"/>
      <c r="AA127" s="31"/>
      <c r="AB127" s="31">
        <f>$C$121*5</f>
        <v>5000</v>
      </c>
      <c r="AC127" s="31"/>
      <c r="AD127" s="31"/>
      <c r="AE127" s="192"/>
      <c r="AF127" s="26"/>
      <c r="AG127" s="31"/>
      <c r="AH127" s="31">
        <f>$C$121*5</f>
        <v>5000</v>
      </c>
      <c r="AI127" s="31"/>
      <c r="AJ127" s="31"/>
      <c r="AK127" s="255"/>
      <c r="AL127" s="217"/>
      <c r="AM127" s="171"/>
      <c r="AN127" s="196"/>
      <c r="AO127" s="196"/>
      <c r="AP127" s="196"/>
      <c r="AQ127" s="196"/>
      <c r="AR127" s="196"/>
      <c r="AS127" s="196"/>
      <c r="AT127" s="196"/>
      <c r="AU127" s="196"/>
      <c r="AV127" s="21"/>
      <c r="AW127" s="22"/>
    </row>
    <row r="128" spans="1:49">
      <c r="A128" s="607"/>
      <c r="B128" s="576"/>
      <c r="C128" s="534"/>
      <c r="D128" s="580"/>
      <c r="E128" s="564"/>
      <c r="F128" s="534"/>
      <c r="G128" s="29"/>
      <c r="H128" s="24" t="s">
        <v>48</v>
      </c>
      <c r="I128" s="31"/>
      <c r="J128" s="192"/>
      <c r="K128" s="26"/>
      <c r="L128" s="31"/>
      <c r="M128" s="31"/>
      <c r="N128" s="31"/>
      <c r="O128" s="31"/>
      <c r="P128" s="31"/>
      <c r="Q128" s="192"/>
      <c r="R128" s="26"/>
      <c r="S128" s="254"/>
      <c r="T128" s="31"/>
      <c r="U128" s="31"/>
      <c r="V128" s="31"/>
      <c r="W128" s="31"/>
      <c r="X128" s="192"/>
      <c r="Y128" s="26"/>
      <c r="Z128" s="31"/>
      <c r="AA128" s="31"/>
      <c r="AB128" s="31"/>
      <c r="AC128" s="31"/>
      <c r="AD128" s="31"/>
      <c r="AE128" s="192"/>
      <c r="AF128" s="26"/>
      <c r="AG128" s="31"/>
      <c r="AH128" s="31"/>
      <c r="AI128" s="31"/>
      <c r="AJ128" s="31"/>
      <c r="AK128" s="255"/>
      <c r="AL128" s="217"/>
      <c r="AM128" s="171"/>
      <c r="AN128" s="196"/>
      <c r="AO128" s="196"/>
      <c r="AP128" s="196"/>
      <c r="AQ128" s="196"/>
      <c r="AR128" s="196"/>
      <c r="AS128" s="196"/>
      <c r="AT128" s="196"/>
      <c r="AU128" s="196"/>
      <c r="AV128" s="21"/>
      <c r="AW128" s="22"/>
    </row>
    <row r="129" spans="1:49" ht="15" customHeight="1">
      <c r="A129" s="607"/>
      <c r="B129" s="576"/>
      <c r="C129" s="534"/>
      <c r="D129" s="580"/>
      <c r="E129" s="564"/>
      <c r="F129" s="534"/>
      <c r="G129" s="29"/>
      <c r="H129" s="30" t="s">
        <v>16</v>
      </c>
      <c r="I129" s="31"/>
      <c r="J129" s="192"/>
      <c r="K129" s="26"/>
      <c r="L129" s="31"/>
      <c r="M129" s="31"/>
      <c r="N129" s="31"/>
      <c r="O129" s="31"/>
      <c r="P129" s="31"/>
      <c r="Q129" s="192"/>
      <c r="R129" s="26"/>
      <c r="S129" s="254"/>
      <c r="T129" s="31"/>
      <c r="U129" s="31"/>
      <c r="V129" s="31"/>
      <c r="W129" s="31"/>
      <c r="X129" s="192"/>
      <c r="Y129" s="26"/>
      <c r="Z129" s="31"/>
      <c r="AA129" s="31"/>
      <c r="AB129" s="31"/>
      <c r="AC129" s="31"/>
      <c r="AD129" s="31"/>
      <c r="AE129" s="192"/>
      <c r="AF129" s="26"/>
      <c r="AG129" s="31"/>
      <c r="AH129" s="31"/>
      <c r="AI129" s="31"/>
      <c r="AJ129" s="31"/>
      <c r="AK129" s="255"/>
      <c r="AL129" s="217"/>
      <c r="AM129" s="171"/>
      <c r="AN129" s="196"/>
      <c r="AO129" s="196"/>
      <c r="AP129" s="196"/>
      <c r="AQ129" s="196"/>
      <c r="AR129" s="196"/>
      <c r="AS129" s="196"/>
      <c r="AT129" s="196"/>
      <c r="AU129" s="196"/>
      <c r="AV129" s="22"/>
      <c r="AW129" s="22"/>
    </row>
    <row r="130" spans="1:49" ht="15" customHeight="1" thickBot="1">
      <c r="A130" s="608"/>
      <c r="B130" s="577"/>
      <c r="C130" s="535"/>
      <c r="D130" s="581"/>
      <c r="E130" s="565"/>
      <c r="F130" s="535"/>
      <c r="G130" s="67"/>
      <c r="H130" s="68" t="s">
        <v>17</v>
      </c>
      <c r="I130" s="69"/>
      <c r="J130" s="258"/>
      <c r="K130" s="70"/>
      <c r="L130" s="69"/>
      <c r="M130" s="69"/>
      <c r="N130" s="69"/>
      <c r="O130" s="69"/>
      <c r="P130" s="69"/>
      <c r="Q130" s="258"/>
      <c r="R130" s="70"/>
      <c r="S130" s="259"/>
      <c r="T130" s="69"/>
      <c r="U130" s="69"/>
      <c r="V130" s="69"/>
      <c r="W130" s="69"/>
      <c r="X130" s="258"/>
      <c r="Y130" s="70"/>
      <c r="Z130" s="69"/>
      <c r="AA130" s="69"/>
      <c r="AB130" s="69"/>
      <c r="AC130" s="69"/>
      <c r="AD130" s="72"/>
      <c r="AE130" s="260"/>
      <c r="AF130" s="71"/>
      <c r="AG130" s="72"/>
      <c r="AH130" s="72"/>
      <c r="AI130" s="72"/>
      <c r="AJ130" s="72"/>
      <c r="AK130" s="261"/>
      <c r="AL130" s="262"/>
      <c r="AM130" s="263"/>
      <c r="AN130" s="196"/>
      <c r="AO130" s="196"/>
      <c r="AP130" s="196"/>
      <c r="AQ130" s="196"/>
      <c r="AR130" s="196"/>
      <c r="AS130" s="196"/>
      <c r="AT130" s="196"/>
      <c r="AU130" s="196"/>
      <c r="AV130" s="22"/>
      <c r="AW130" s="22"/>
    </row>
    <row r="131" spans="1:49" ht="15" hidden="1" customHeight="1">
      <c r="A131" s="604" t="s">
        <v>261</v>
      </c>
      <c r="B131" s="606" t="s">
        <v>57</v>
      </c>
      <c r="C131" s="533">
        <v>13000</v>
      </c>
      <c r="D131" s="582">
        <v>1.56</v>
      </c>
      <c r="E131" s="563"/>
      <c r="F131" s="533" t="s">
        <v>115</v>
      </c>
      <c r="G131" s="244">
        <v>0.08</v>
      </c>
      <c r="H131" s="157" t="s">
        <v>111</v>
      </c>
      <c r="I131" s="264">
        <v>60.71</v>
      </c>
      <c r="J131" s="213"/>
      <c r="K131" s="214"/>
      <c r="L131" s="264">
        <v>60.71</v>
      </c>
      <c r="M131" s="264">
        <v>60.71</v>
      </c>
      <c r="N131" s="264">
        <v>60.71</v>
      </c>
      <c r="O131" s="264">
        <v>60.71</v>
      </c>
      <c r="P131" s="264">
        <v>60.71</v>
      </c>
      <c r="Q131" s="213"/>
      <c r="R131" s="214"/>
      <c r="S131" s="215"/>
      <c r="T131" s="264">
        <v>60.71</v>
      </c>
      <c r="U131" s="264">
        <v>60.71</v>
      </c>
      <c r="V131" s="264">
        <v>60.71</v>
      </c>
      <c r="W131" s="264">
        <v>60.71</v>
      </c>
      <c r="X131" s="213"/>
      <c r="Y131" s="214"/>
      <c r="Z131" s="264">
        <v>60.71</v>
      </c>
      <c r="AA131" s="264">
        <v>60.71</v>
      </c>
      <c r="AB131" s="264">
        <v>60.71</v>
      </c>
      <c r="AC131" s="264">
        <v>60.71</v>
      </c>
      <c r="AD131" s="264">
        <v>60.71</v>
      </c>
      <c r="AE131" s="213"/>
      <c r="AF131" s="214"/>
      <c r="AG131" s="264">
        <v>60.71</v>
      </c>
      <c r="AH131" s="264">
        <v>60.71</v>
      </c>
      <c r="AI131" s="264">
        <v>60.71</v>
      </c>
      <c r="AJ131" s="264">
        <v>60.71</v>
      </c>
      <c r="AK131" s="265"/>
      <c r="AL131" s="266"/>
      <c r="AM131" s="267"/>
      <c r="AN131" s="196"/>
      <c r="AO131" s="196"/>
      <c r="AP131" s="196"/>
      <c r="AQ131" s="196"/>
      <c r="AR131" s="196"/>
      <c r="AS131" s="196"/>
      <c r="AT131" s="196"/>
      <c r="AU131" s="196"/>
      <c r="AV131" s="22"/>
      <c r="AW131" s="22"/>
    </row>
    <row r="132" spans="1:49" ht="15" hidden="1" customHeight="1">
      <c r="A132" s="605"/>
      <c r="B132" s="607"/>
      <c r="C132" s="534"/>
      <c r="D132" s="580"/>
      <c r="E132" s="564"/>
      <c r="F132" s="534"/>
      <c r="G132" s="179"/>
      <c r="H132" s="168" t="s">
        <v>112</v>
      </c>
      <c r="I132" s="230">
        <v>1</v>
      </c>
      <c r="J132" s="268"/>
      <c r="K132" s="231"/>
      <c r="L132" s="230">
        <v>1</v>
      </c>
      <c r="M132" s="230">
        <v>1</v>
      </c>
      <c r="N132" s="230">
        <v>1</v>
      </c>
      <c r="O132" s="230">
        <v>1</v>
      </c>
      <c r="P132" s="230">
        <v>1</v>
      </c>
      <c r="Q132" s="268"/>
      <c r="R132" s="231"/>
      <c r="S132" s="269"/>
      <c r="T132" s="230">
        <v>1</v>
      </c>
      <c r="U132" s="230">
        <v>1</v>
      </c>
      <c r="V132" s="230">
        <v>1</v>
      </c>
      <c r="W132" s="230">
        <v>1</v>
      </c>
      <c r="X132" s="268"/>
      <c r="Y132" s="231"/>
      <c r="Z132" s="230">
        <v>1</v>
      </c>
      <c r="AA132" s="230">
        <v>1</v>
      </c>
      <c r="AB132" s="230">
        <v>1</v>
      </c>
      <c r="AC132" s="230">
        <v>1</v>
      </c>
      <c r="AD132" s="230">
        <v>1</v>
      </c>
      <c r="AE132" s="268"/>
      <c r="AF132" s="231"/>
      <c r="AG132" s="230">
        <v>1</v>
      </c>
      <c r="AH132" s="230">
        <v>1</v>
      </c>
      <c r="AI132" s="230">
        <v>1</v>
      </c>
      <c r="AJ132" s="230">
        <v>1</v>
      </c>
      <c r="AK132" s="232"/>
      <c r="AL132" s="217"/>
      <c r="AM132" s="171"/>
      <c r="AN132" s="196"/>
      <c r="AO132" s="196"/>
      <c r="AP132" s="196"/>
      <c r="AQ132" s="196"/>
      <c r="AR132" s="196"/>
      <c r="AS132" s="196"/>
      <c r="AT132" s="196"/>
      <c r="AU132" s="196"/>
      <c r="AV132" s="22"/>
      <c r="AW132" s="22"/>
    </row>
    <row r="133" spans="1:49" ht="15" hidden="1" customHeight="1">
      <c r="A133" s="605"/>
      <c r="B133" s="607"/>
      <c r="C133" s="534"/>
      <c r="D133" s="580"/>
      <c r="E133" s="564"/>
      <c r="F133" s="534"/>
      <c r="G133" s="270"/>
      <c r="H133" s="220" t="s">
        <v>16</v>
      </c>
      <c r="I133" s="186"/>
      <c r="J133" s="187"/>
      <c r="K133" s="188"/>
      <c r="L133" s="186"/>
      <c r="M133" s="186"/>
      <c r="N133" s="186"/>
      <c r="O133" s="186"/>
      <c r="P133" s="186"/>
      <c r="Q133" s="187"/>
      <c r="R133" s="188"/>
      <c r="S133" s="189"/>
      <c r="T133" s="186"/>
      <c r="U133" s="186"/>
      <c r="V133" s="186"/>
      <c r="W133" s="186"/>
      <c r="X133" s="187"/>
      <c r="Y133" s="188"/>
      <c r="Z133" s="186"/>
      <c r="AA133" s="186"/>
      <c r="AB133" s="186"/>
      <c r="AC133" s="186"/>
      <c r="AD133" s="186"/>
      <c r="AE133" s="187"/>
      <c r="AF133" s="188"/>
      <c r="AG133" s="186"/>
      <c r="AH133" s="186"/>
      <c r="AI133" s="186"/>
      <c r="AJ133" s="186"/>
      <c r="AK133" s="189"/>
      <c r="AL133" s="217"/>
      <c r="AM133" s="171"/>
      <c r="AN133" s="196"/>
      <c r="AO133" s="196"/>
      <c r="AP133" s="196"/>
      <c r="AQ133" s="196"/>
      <c r="AR133" s="196"/>
      <c r="AS133" s="196"/>
      <c r="AT133" s="196"/>
      <c r="AU133" s="196"/>
      <c r="AV133" s="22"/>
      <c r="AW133" s="22"/>
    </row>
    <row r="134" spans="1:49" ht="15" hidden="1" customHeight="1">
      <c r="A134" s="605"/>
      <c r="B134" s="607"/>
      <c r="C134" s="534"/>
      <c r="D134" s="580"/>
      <c r="E134" s="564"/>
      <c r="F134" s="534"/>
      <c r="G134" s="172" t="s">
        <v>108</v>
      </c>
      <c r="H134" s="168" t="s">
        <v>116</v>
      </c>
      <c r="I134" s="186">
        <v>60.71</v>
      </c>
      <c r="J134" s="187"/>
      <c r="K134" s="188"/>
      <c r="L134" s="186">
        <v>60.71</v>
      </c>
      <c r="M134" s="186">
        <v>60.71</v>
      </c>
      <c r="N134" s="186">
        <v>60.71</v>
      </c>
      <c r="O134" s="186">
        <v>60.71</v>
      </c>
      <c r="P134" s="186">
        <v>60.71</v>
      </c>
      <c r="Q134" s="187"/>
      <c r="R134" s="188"/>
      <c r="S134" s="189"/>
      <c r="T134" s="186">
        <v>60.71</v>
      </c>
      <c r="U134" s="186">
        <v>60.71</v>
      </c>
      <c r="V134" s="186">
        <v>60.71</v>
      </c>
      <c r="W134" s="186">
        <v>60.71</v>
      </c>
      <c r="X134" s="187"/>
      <c r="Y134" s="188"/>
      <c r="Z134" s="186">
        <v>60.71</v>
      </c>
      <c r="AA134" s="186">
        <v>60.71</v>
      </c>
      <c r="AB134" s="186">
        <v>60.71</v>
      </c>
      <c r="AC134" s="186">
        <v>60.71</v>
      </c>
      <c r="AD134" s="186">
        <v>60.71</v>
      </c>
      <c r="AE134" s="187"/>
      <c r="AF134" s="188"/>
      <c r="AG134" s="186">
        <v>60.71</v>
      </c>
      <c r="AH134" s="186">
        <v>60.71</v>
      </c>
      <c r="AI134" s="186">
        <v>60.71</v>
      </c>
      <c r="AJ134" s="186">
        <v>60.71</v>
      </c>
      <c r="AK134" s="189"/>
      <c r="AL134" s="217"/>
      <c r="AM134" s="171"/>
      <c r="AN134" s="196"/>
      <c r="AO134" s="196"/>
      <c r="AP134" s="196"/>
      <c r="AQ134" s="196"/>
      <c r="AR134" s="196"/>
      <c r="AS134" s="196"/>
      <c r="AT134" s="196"/>
      <c r="AU134" s="196"/>
      <c r="AV134" s="22"/>
      <c r="AW134" s="22"/>
    </row>
    <row r="135" spans="1:49" ht="15" hidden="1" customHeight="1">
      <c r="A135" s="605"/>
      <c r="B135" s="607"/>
      <c r="C135" s="534"/>
      <c r="D135" s="580"/>
      <c r="E135" s="564"/>
      <c r="F135" s="534"/>
      <c r="G135" s="179"/>
      <c r="H135" s="168" t="s">
        <v>112</v>
      </c>
      <c r="I135" s="230">
        <v>0.5</v>
      </c>
      <c r="J135" s="268"/>
      <c r="K135" s="231"/>
      <c r="L135" s="230">
        <v>0.5</v>
      </c>
      <c r="M135" s="230">
        <v>0.5</v>
      </c>
      <c r="N135" s="230">
        <v>0.5</v>
      </c>
      <c r="O135" s="230">
        <v>0.5</v>
      </c>
      <c r="P135" s="230">
        <v>0.5</v>
      </c>
      <c r="Q135" s="268"/>
      <c r="R135" s="231"/>
      <c r="S135" s="269"/>
      <c r="T135" s="230">
        <v>0.5</v>
      </c>
      <c r="U135" s="230">
        <v>0.5</v>
      </c>
      <c r="V135" s="230">
        <v>0.5</v>
      </c>
      <c r="W135" s="230">
        <v>0.5</v>
      </c>
      <c r="X135" s="268"/>
      <c r="Y135" s="231"/>
      <c r="Z135" s="230">
        <v>0.5</v>
      </c>
      <c r="AA135" s="230">
        <v>0.5</v>
      </c>
      <c r="AB135" s="230">
        <v>0.5</v>
      </c>
      <c r="AC135" s="230">
        <v>0.5</v>
      </c>
      <c r="AD135" s="230">
        <v>0.5</v>
      </c>
      <c r="AE135" s="268"/>
      <c r="AF135" s="231"/>
      <c r="AG135" s="230">
        <v>0.5</v>
      </c>
      <c r="AH135" s="230">
        <v>0.5</v>
      </c>
      <c r="AI135" s="230">
        <v>0.5</v>
      </c>
      <c r="AJ135" s="230">
        <v>0.5</v>
      </c>
      <c r="AK135" s="232"/>
      <c r="AL135" s="217"/>
      <c r="AM135" s="171"/>
      <c r="AN135" s="196"/>
      <c r="AO135" s="196"/>
      <c r="AP135" s="196"/>
      <c r="AQ135" s="196"/>
      <c r="AR135" s="196"/>
      <c r="AS135" s="196"/>
      <c r="AT135" s="196"/>
      <c r="AU135" s="196"/>
      <c r="AV135" s="22"/>
      <c r="AW135" s="22"/>
    </row>
    <row r="136" spans="1:49" ht="15" hidden="1" customHeight="1">
      <c r="A136" s="605"/>
      <c r="B136" s="607"/>
      <c r="C136" s="534"/>
      <c r="D136" s="580"/>
      <c r="E136" s="564"/>
      <c r="F136" s="534"/>
      <c r="G136" s="179"/>
      <c r="H136" s="173" t="s">
        <v>16</v>
      </c>
      <c r="I136" s="230"/>
      <c r="J136" s="268"/>
      <c r="K136" s="231"/>
      <c r="L136" s="230"/>
      <c r="M136" s="230"/>
      <c r="N136" s="230"/>
      <c r="O136" s="230"/>
      <c r="P136" s="230"/>
      <c r="Q136" s="268"/>
      <c r="R136" s="231"/>
      <c r="S136" s="269"/>
      <c r="T136" s="230"/>
      <c r="U136" s="230"/>
      <c r="V136" s="230"/>
      <c r="W136" s="230"/>
      <c r="X136" s="268"/>
      <c r="Y136" s="231"/>
      <c r="Z136" s="230"/>
      <c r="AA136" s="230"/>
      <c r="AB136" s="230"/>
      <c r="AC136" s="230"/>
      <c r="AD136" s="230"/>
      <c r="AE136" s="268"/>
      <c r="AF136" s="231"/>
      <c r="AG136" s="230"/>
      <c r="AH136" s="230"/>
      <c r="AI136" s="230"/>
      <c r="AJ136" s="230"/>
      <c r="AK136" s="232"/>
      <c r="AL136" s="217"/>
      <c r="AM136" s="171"/>
      <c r="AN136" s="196"/>
      <c r="AO136" s="196"/>
      <c r="AP136" s="196"/>
      <c r="AQ136" s="196"/>
      <c r="AR136" s="196"/>
      <c r="AS136" s="196"/>
      <c r="AT136" s="196"/>
      <c r="AU136" s="196"/>
      <c r="AV136" s="22"/>
      <c r="AW136" s="22"/>
    </row>
    <row r="137" spans="1:49">
      <c r="A137" s="605"/>
      <c r="B137" s="607"/>
      <c r="C137" s="534"/>
      <c r="D137" s="580"/>
      <c r="E137" s="564"/>
      <c r="F137" s="534"/>
      <c r="G137" s="179" t="s">
        <v>450</v>
      </c>
      <c r="H137" s="168" t="s">
        <v>19</v>
      </c>
      <c r="I137" s="230">
        <f>$N$149*$D$131/4</f>
        <v>10140</v>
      </c>
      <c r="J137" s="268"/>
      <c r="K137" s="231"/>
      <c r="L137" s="230">
        <f>$N$149*$D$131/2</f>
        <v>20280</v>
      </c>
      <c r="M137" s="230">
        <f t="shared" ref="M137:P137" si="26">$N$149*$D$131/2</f>
        <v>20280</v>
      </c>
      <c r="N137" s="230">
        <f t="shared" si="26"/>
        <v>20280</v>
      </c>
      <c r="O137" s="230">
        <f t="shared" si="26"/>
        <v>20280</v>
      </c>
      <c r="P137" s="230">
        <f t="shared" si="26"/>
        <v>20280</v>
      </c>
      <c r="Q137" s="268"/>
      <c r="R137" s="231"/>
      <c r="S137" s="269"/>
      <c r="T137" s="230">
        <f t="shared" ref="T137:W137" si="27">$N$149*$D$131/2</f>
        <v>20280</v>
      </c>
      <c r="U137" s="230">
        <f t="shared" si="27"/>
        <v>20280</v>
      </c>
      <c r="V137" s="230">
        <f t="shared" si="27"/>
        <v>20280</v>
      </c>
      <c r="W137" s="230">
        <f t="shared" si="27"/>
        <v>20280</v>
      </c>
      <c r="X137" s="268"/>
      <c r="Y137" s="231"/>
      <c r="Z137" s="230">
        <f t="shared" ref="Z137:AD137" si="28">$N$149*$D$131/2</f>
        <v>20280</v>
      </c>
      <c r="AA137" s="230">
        <f t="shared" si="28"/>
        <v>20280</v>
      </c>
      <c r="AB137" s="230">
        <f t="shared" si="28"/>
        <v>20280</v>
      </c>
      <c r="AC137" s="230">
        <f t="shared" si="28"/>
        <v>20280</v>
      </c>
      <c r="AD137" s="230">
        <f t="shared" si="28"/>
        <v>20280</v>
      </c>
      <c r="AE137" s="268"/>
      <c r="AF137" s="231"/>
      <c r="AG137" s="230">
        <f t="shared" ref="AG137:AJ137" si="29">$N$149*$D$131/2</f>
        <v>20280</v>
      </c>
      <c r="AH137" s="230">
        <f t="shared" si="29"/>
        <v>20280</v>
      </c>
      <c r="AI137" s="230">
        <f t="shared" si="29"/>
        <v>20280</v>
      </c>
      <c r="AJ137" s="230">
        <f t="shared" si="29"/>
        <v>20280</v>
      </c>
      <c r="AK137" s="232"/>
      <c r="AL137" s="217"/>
      <c r="AM137" s="171"/>
      <c r="AN137" s="196"/>
      <c r="AO137" s="196"/>
      <c r="AP137" s="196"/>
      <c r="AQ137" s="196"/>
      <c r="AR137" s="196"/>
      <c r="AS137" s="196"/>
      <c r="AT137" s="196"/>
      <c r="AU137" s="196"/>
      <c r="AV137" s="22"/>
      <c r="AW137" s="22"/>
    </row>
    <row r="138" spans="1:49">
      <c r="A138" s="605"/>
      <c r="B138" s="607"/>
      <c r="C138" s="534"/>
      <c r="D138" s="580"/>
      <c r="E138" s="564"/>
      <c r="F138" s="534"/>
      <c r="G138" s="179"/>
      <c r="H138" s="168" t="s">
        <v>15</v>
      </c>
      <c r="I138" s="230">
        <v>1</v>
      </c>
      <c r="J138" s="268"/>
      <c r="K138" s="231"/>
      <c r="L138" s="230">
        <v>1</v>
      </c>
      <c r="M138" s="230">
        <v>1</v>
      </c>
      <c r="N138" s="230">
        <v>1</v>
      </c>
      <c r="O138" s="230">
        <v>1</v>
      </c>
      <c r="P138" s="230">
        <v>1</v>
      </c>
      <c r="Q138" s="268"/>
      <c r="R138" s="231"/>
      <c r="S138" s="269"/>
      <c r="T138" s="230">
        <v>1</v>
      </c>
      <c r="U138" s="230">
        <v>1</v>
      </c>
      <c r="V138" s="230">
        <v>1</v>
      </c>
      <c r="W138" s="230">
        <v>1</v>
      </c>
      <c r="X138" s="268"/>
      <c r="Y138" s="231"/>
      <c r="Z138" s="230"/>
      <c r="AA138" s="230">
        <v>1</v>
      </c>
      <c r="AB138" s="230">
        <v>1</v>
      </c>
      <c r="AC138" s="230">
        <v>1</v>
      </c>
      <c r="AD138" s="230">
        <v>1</v>
      </c>
      <c r="AE138" s="268"/>
      <c r="AF138" s="231"/>
      <c r="AG138" s="230"/>
      <c r="AH138" s="230">
        <v>1</v>
      </c>
      <c r="AI138" s="230">
        <v>1</v>
      </c>
      <c r="AJ138" s="230">
        <v>1</v>
      </c>
      <c r="AK138" s="232"/>
      <c r="AL138" s="217"/>
      <c r="AM138" s="171"/>
      <c r="AN138" s="196"/>
      <c r="AO138" s="196"/>
      <c r="AP138" s="196"/>
      <c r="AQ138" s="196"/>
      <c r="AR138" s="196"/>
      <c r="AS138" s="196"/>
      <c r="AT138" s="196"/>
      <c r="AU138" s="196"/>
      <c r="AV138" s="22"/>
      <c r="AW138" s="22"/>
    </row>
    <row r="139" spans="1:49">
      <c r="A139" s="605"/>
      <c r="B139" s="607"/>
      <c r="C139" s="534"/>
      <c r="D139" s="580"/>
      <c r="E139" s="564"/>
      <c r="F139" s="534"/>
      <c r="G139" s="179"/>
      <c r="H139" s="173" t="s">
        <v>16</v>
      </c>
      <c r="I139" s="186">
        <f>SUMIFS('絞線Twisting wire'!$K$7:$K$1000,'絞線Twisting wire'!$A$7:$A$1000,'03'!I$2,'絞線Twisting wire'!$D$7:$D$1000,'03'!$G$137,'絞線Twisting wire'!$F$7:$F$1000,'03'!$A$131)</f>
        <v>0</v>
      </c>
      <c r="J139" s="187">
        <f>SUMIFS('絞線Twisting wire'!$K$7:$K$1000,'絞線Twisting wire'!$A$7:$A$1000,'03'!J$2,'絞線Twisting wire'!$D$7:$D$1000,'03'!$G$137,'絞線Twisting wire'!$F$7:$F$1000,'03'!$A$131)</f>
        <v>0</v>
      </c>
      <c r="K139" s="231"/>
      <c r="L139" s="186">
        <f>SUMIFS('絞線Twisting wire'!$K$7:$K$1000,'絞線Twisting wire'!$A$7:$A$1000,'03'!L$2,'絞線Twisting wire'!$D$7:$D$1000,'03'!$G$137,'絞線Twisting wire'!$F$7:$F$1000,'03'!$A$131)</f>
        <v>0</v>
      </c>
      <c r="M139" s="186">
        <f>SUMIFS('絞線Twisting wire'!$K$7:$K$1000,'絞線Twisting wire'!$A$7:$A$1000,'03'!M$2,'絞線Twisting wire'!$D$7:$D$1000,'03'!$G$137,'絞線Twisting wire'!$F$7:$F$1000,'03'!$A$131)</f>
        <v>0</v>
      </c>
      <c r="N139" s="186">
        <f>SUMIFS('絞線Twisting wire'!$K$7:$K$1000,'絞線Twisting wire'!$A$7:$A$1000,'03'!N$2,'絞線Twisting wire'!$D$7:$D$1000,'03'!$G$137,'絞線Twisting wire'!$F$7:$F$1000,'03'!$A$131)</f>
        <v>0</v>
      </c>
      <c r="O139" s="186">
        <f>SUMIFS('絞線Twisting wire'!$K$7:$K$1000,'絞線Twisting wire'!$A$7:$A$1000,'03'!O$2,'絞線Twisting wire'!$D$7:$D$1000,'03'!$G$137,'絞線Twisting wire'!$F$7:$F$1000,'03'!$A$131)</f>
        <v>28431</v>
      </c>
      <c r="P139" s="186">
        <f>SUMIFS('絞線Twisting wire'!$K$7:$K$1000,'絞線Twisting wire'!$A$7:$A$1000,'03'!P$2,'絞線Twisting wire'!$D$7:$D$1000,'03'!$G$137,'絞線Twisting wire'!$F$7:$F$1000,'03'!$A$131)</f>
        <v>38492</v>
      </c>
      <c r="Q139" s="187">
        <f>SUMIFS('絞線Twisting wire'!$K$7:$K$1000,'絞線Twisting wire'!$A$7:$A$1000,'03'!Q$2,'絞線Twisting wire'!$D$7:$D$1000,'03'!$G$137,'絞線Twisting wire'!$F$7:$F$1000,'03'!$A$131)</f>
        <v>16837</v>
      </c>
      <c r="R139" s="231"/>
      <c r="S139" s="269"/>
      <c r="T139" s="186">
        <f>SUMIFS('絞線Twisting wire'!$K$7:$K$1000,'絞線Twisting wire'!$A$7:$A$1000,'03'!T$2,'絞線Twisting wire'!$D$7:$D$1000,'03'!$G$137,'絞線Twisting wire'!$F$7:$F$1000,'03'!$A$131)</f>
        <v>33198</v>
      </c>
      <c r="U139" s="186">
        <f>SUMIFS('絞線Twisting wire'!$K$7:$K$1000,'絞線Twisting wire'!$A$7:$A$1000,'03'!U$2,'絞線Twisting wire'!$D$7:$D$1000,'03'!$G$137,'絞線Twisting wire'!$F$7:$F$1000,'03'!$A$131)</f>
        <v>0</v>
      </c>
      <c r="V139" s="186">
        <f>SUMIFS('絞線Twisting wire'!$K$7:$K$1000,'絞線Twisting wire'!$A$7:$A$1000,'03'!V$2,'絞線Twisting wire'!$D$7:$D$1000,'03'!$G$137,'絞線Twisting wire'!$F$7:$F$1000,'03'!$A$131)</f>
        <v>0</v>
      </c>
      <c r="W139" s="186">
        <f>SUMIFS('絞線Twisting wire'!$K$7:$K$1000,'絞線Twisting wire'!$A$7:$A$1000,'03'!W$2,'絞線Twisting wire'!$D$7:$D$1000,'03'!$G$137,'絞線Twisting wire'!$F$7:$F$1000,'03'!$A$131)</f>
        <v>0</v>
      </c>
      <c r="X139" s="187">
        <f>SUMIFS('絞線Twisting wire'!$K$7:$K$1000,'絞線Twisting wire'!$A$7:$A$1000,'03'!X$2,'絞線Twisting wire'!$D$7:$D$1000,'03'!$G$137,'絞線Twisting wire'!$F$7:$F$1000,'03'!$A$131)</f>
        <v>0</v>
      </c>
      <c r="Y139" s="231"/>
      <c r="Z139" s="186">
        <f>SUMIFS('絞線Twisting wire'!$K$7:$K$1000,'絞線Twisting wire'!$A$7:$A$1000,'03'!Z$2,'絞線Twisting wire'!$D$7:$D$1000,'03'!$G$137,'絞線Twisting wire'!$F$7:$F$1000,'03'!$A$131)</f>
        <v>0</v>
      </c>
      <c r="AA139" s="186">
        <f>SUMIFS('絞線Twisting wire'!$K$7:$K$1000,'絞線Twisting wire'!$A$7:$A$1000,'03'!AA$2,'絞線Twisting wire'!$D$7:$D$1000,'03'!$G$137,'絞線Twisting wire'!$F$7:$F$1000,'03'!$A$131)</f>
        <v>0</v>
      </c>
      <c r="AB139" s="186">
        <f>SUMIFS('絞線Twisting wire'!$K$7:$K$1000,'絞線Twisting wire'!$A$7:$A$1000,'03'!AB$2,'絞線Twisting wire'!$D$7:$D$1000,'03'!$G$137,'絞線Twisting wire'!$F$7:$F$1000,'03'!$A$131)</f>
        <v>0</v>
      </c>
      <c r="AC139" s="186">
        <f>SUMIFS('絞線Twisting wire'!$K$7:$K$1000,'絞線Twisting wire'!$A$7:$A$1000,'03'!AC$2,'絞線Twisting wire'!$D$7:$D$1000,'03'!$G$137,'絞線Twisting wire'!$F$7:$F$1000,'03'!$A$131)</f>
        <v>0</v>
      </c>
      <c r="AD139" s="186">
        <f>SUMIFS('絞線Twisting wire'!$K$7:$K$1000,'絞線Twisting wire'!$A$7:$A$1000,'03'!AD$2,'絞線Twisting wire'!$D$7:$D$1000,'03'!$G$137,'絞線Twisting wire'!$F$7:$F$1000,'03'!$A$131)</f>
        <v>0</v>
      </c>
      <c r="AE139" s="187">
        <f>SUMIFS('絞線Twisting wire'!$K$7:$K$1000,'絞線Twisting wire'!$A$7:$A$1000,'03'!AE$2,'絞線Twisting wire'!$D$7:$D$1000,'03'!$G$137,'絞線Twisting wire'!$F$7:$F$1000,'03'!$A$131)</f>
        <v>0</v>
      </c>
      <c r="AF139" s="231"/>
      <c r="AG139" s="186">
        <f>SUMIFS('絞線Twisting wire'!$K$7:$K$1000,'絞線Twisting wire'!$A$7:$A$1000,'03'!AG$2,'絞線Twisting wire'!$D$7:$D$1000,'03'!$G$137,'絞線Twisting wire'!$F$7:$F$1000,'03'!$A$131)</f>
        <v>0</v>
      </c>
      <c r="AH139" s="186">
        <f>SUMIFS('絞線Twisting wire'!$K$7:$K$1000,'絞線Twisting wire'!$A$7:$A$1000,'03'!AH$2,'絞線Twisting wire'!$D$7:$D$1000,'03'!$G$137,'絞線Twisting wire'!$F$7:$F$1000,'03'!$A$131)</f>
        <v>0</v>
      </c>
      <c r="AI139" s="186">
        <f>SUMIFS('絞線Twisting wire'!$K$7:$K$1000,'絞線Twisting wire'!$A$7:$A$1000,'03'!AI$2,'絞線Twisting wire'!$D$7:$D$1000,'03'!$G$137,'絞線Twisting wire'!$F$7:$F$1000,'03'!$A$131)</f>
        <v>0</v>
      </c>
      <c r="AJ139" s="186">
        <f>SUMIFS('絞線Twisting wire'!$K$7:$K$1000,'絞線Twisting wire'!$A$7:$A$1000,'03'!AJ$2,'絞線Twisting wire'!$D$7:$D$1000,'03'!$G$137,'絞線Twisting wire'!$F$7:$F$1000,'03'!$A$131)</f>
        <v>0</v>
      </c>
      <c r="AK139" s="232"/>
      <c r="AL139" s="217"/>
      <c r="AM139" s="171"/>
      <c r="AN139" s="196"/>
      <c r="AO139" s="196"/>
      <c r="AP139" s="196"/>
      <c r="AQ139" s="196"/>
      <c r="AR139" s="196"/>
      <c r="AS139" s="196"/>
      <c r="AT139" s="196"/>
      <c r="AU139" s="196"/>
      <c r="AV139" s="22"/>
      <c r="AW139" s="22"/>
    </row>
    <row r="140" spans="1:49">
      <c r="A140" s="605"/>
      <c r="B140" s="607"/>
      <c r="C140" s="534"/>
      <c r="D140" s="580"/>
      <c r="E140" s="564"/>
      <c r="F140" s="534"/>
      <c r="G140" s="179"/>
      <c r="H140" s="173" t="s">
        <v>113</v>
      </c>
      <c r="I140" s="230"/>
      <c r="J140" s="268"/>
      <c r="K140" s="231"/>
      <c r="L140" s="230"/>
      <c r="M140" s="230"/>
      <c r="N140" s="230"/>
      <c r="O140" s="230"/>
      <c r="P140" s="230"/>
      <c r="Q140" s="268"/>
      <c r="R140" s="231"/>
      <c r="S140" s="269"/>
      <c r="T140" s="230"/>
      <c r="U140" s="230"/>
      <c r="V140" s="230"/>
      <c r="W140" s="230"/>
      <c r="X140" s="268"/>
      <c r="Y140" s="231"/>
      <c r="Z140" s="230"/>
      <c r="AA140" s="230"/>
      <c r="AB140" s="230"/>
      <c r="AC140" s="230"/>
      <c r="AD140" s="230"/>
      <c r="AE140" s="268"/>
      <c r="AF140" s="231"/>
      <c r="AG140" s="230"/>
      <c r="AH140" s="230"/>
      <c r="AI140" s="230"/>
      <c r="AJ140" s="230"/>
      <c r="AK140" s="232"/>
      <c r="AL140" s="217"/>
      <c r="AM140" s="171"/>
      <c r="AN140" s="196"/>
      <c r="AO140" s="196"/>
      <c r="AP140" s="196"/>
      <c r="AQ140" s="196"/>
      <c r="AR140" s="196"/>
      <c r="AS140" s="196"/>
      <c r="AT140" s="196"/>
      <c r="AU140" s="196"/>
      <c r="AV140" s="22"/>
      <c r="AW140" s="22"/>
    </row>
    <row r="141" spans="1:49">
      <c r="A141" s="605"/>
      <c r="B141" s="607"/>
      <c r="C141" s="534"/>
      <c r="D141" s="580"/>
      <c r="E141" s="564"/>
      <c r="F141" s="534"/>
      <c r="G141" s="179" t="s">
        <v>474</v>
      </c>
      <c r="H141" s="168" t="s">
        <v>26</v>
      </c>
      <c r="I141" s="230">
        <f>$N$149*$D$131/4</f>
        <v>10140</v>
      </c>
      <c r="J141" s="268"/>
      <c r="K141" s="231"/>
      <c r="L141" s="230">
        <f>$N$149*$D$131/2</f>
        <v>20280</v>
      </c>
      <c r="M141" s="230">
        <f t="shared" ref="M141:P141" si="30">$N$149*$D$131/2</f>
        <v>20280</v>
      </c>
      <c r="N141" s="230">
        <f t="shared" si="30"/>
        <v>20280</v>
      </c>
      <c r="O141" s="230">
        <f t="shared" si="30"/>
        <v>20280</v>
      </c>
      <c r="P141" s="230">
        <f t="shared" si="30"/>
        <v>20280</v>
      </c>
      <c r="Q141" s="268"/>
      <c r="R141" s="231"/>
      <c r="S141" s="269"/>
      <c r="T141" s="230">
        <f t="shared" ref="T141:W141" si="31">$N$149*$D$131/2</f>
        <v>20280</v>
      </c>
      <c r="U141" s="230">
        <f t="shared" si="31"/>
        <v>20280</v>
      </c>
      <c r="V141" s="230">
        <f t="shared" si="31"/>
        <v>20280</v>
      </c>
      <c r="W141" s="230">
        <f t="shared" si="31"/>
        <v>20280</v>
      </c>
      <c r="X141" s="268"/>
      <c r="Y141" s="231"/>
      <c r="Z141" s="230">
        <f t="shared" ref="Z141:AD141" si="32">$N$149*$D$131/2</f>
        <v>20280</v>
      </c>
      <c r="AA141" s="230">
        <f t="shared" si="32"/>
        <v>20280</v>
      </c>
      <c r="AB141" s="230">
        <f t="shared" si="32"/>
        <v>20280</v>
      </c>
      <c r="AC141" s="230">
        <f t="shared" si="32"/>
        <v>20280</v>
      </c>
      <c r="AD141" s="230">
        <f t="shared" si="32"/>
        <v>20280</v>
      </c>
      <c r="AE141" s="268"/>
      <c r="AF141" s="231"/>
      <c r="AG141" s="230">
        <f t="shared" ref="AG141:AJ141" si="33">$N$149*$D$131/2</f>
        <v>20280</v>
      </c>
      <c r="AH141" s="230">
        <f t="shared" si="33"/>
        <v>20280</v>
      </c>
      <c r="AI141" s="230">
        <f t="shared" si="33"/>
        <v>20280</v>
      </c>
      <c r="AJ141" s="230">
        <f t="shared" si="33"/>
        <v>20280</v>
      </c>
      <c r="AK141" s="232"/>
      <c r="AL141" s="217"/>
      <c r="AM141" s="171"/>
      <c r="AN141" s="196"/>
      <c r="AO141" s="196"/>
      <c r="AP141" s="196"/>
      <c r="AQ141" s="196"/>
      <c r="AR141" s="196"/>
      <c r="AS141" s="196"/>
      <c r="AT141" s="196"/>
      <c r="AU141" s="196"/>
      <c r="AV141" s="22"/>
      <c r="AW141" s="22"/>
    </row>
    <row r="142" spans="1:49">
      <c r="A142" s="605"/>
      <c r="B142" s="607"/>
      <c r="C142" s="534"/>
      <c r="D142" s="580"/>
      <c r="E142" s="564"/>
      <c r="F142" s="534"/>
      <c r="G142" s="179"/>
      <c r="H142" s="168" t="s">
        <v>24</v>
      </c>
      <c r="I142" s="230">
        <v>1</v>
      </c>
      <c r="J142" s="268"/>
      <c r="K142" s="231"/>
      <c r="L142" s="230">
        <v>1</v>
      </c>
      <c r="M142" s="230">
        <v>1</v>
      </c>
      <c r="N142" s="230">
        <v>1</v>
      </c>
      <c r="O142" s="230">
        <v>1</v>
      </c>
      <c r="P142" s="230">
        <v>1</v>
      </c>
      <c r="Q142" s="268"/>
      <c r="R142" s="231"/>
      <c r="S142" s="269"/>
      <c r="T142" s="230">
        <v>1</v>
      </c>
      <c r="U142" s="230">
        <v>1</v>
      </c>
      <c r="V142" s="230">
        <v>1</v>
      </c>
      <c r="W142" s="230">
        <v>1</v>
      </c>
      <c r="X142" s="268"/>
      <c r="Y142" s="231"/>
      <c r="Z142" s="230"/>
      <c r="AA142" s="230">
        <v>1</v>
      </c>
      <c r="AB142" s="230">
        <v>1</v>
      </c>
      <c r="AC142" s="230">
        <v>1</v>
      </c>
      <c r="AD142" s="230">
        <v>1</v>
      </c>
      <c r="AE142" s="268"/>
      <c r="AF142" s="231"/>
      <c r="AG142" s="230"/>
      <c r="AH142" s="230">
        <v>1</v>
      </c>
      <c r="AI142" s="230">
        <v>1</v>
      </c>
      <c r="AJ142" s="230">
        <v>1</v>
      </c>
      <c r="AK142" s="232"/>
      <c r="AL142" s="217"/>
      <c r="AM142" s="171"/>
      <c r="AN142" s="196"/>
      <c r="AO142" s="196"/>
      <c r="AP142" s="196"/>
      <c r="AQ142" s="196"/>
      <c r="AR142" s="196"/>
      <c r="AS142" s="196"/>
      <c r="AT142" s="196"/>
      <c r="AU142" s="196"/>
      <c r="AV142" s="22"/>
      <c r="AW142" s="22"/>
    </row>
    <row r="143" spans="1:49">
      <c r="A143" s="605"/>
      <c r="B143" s="607"/>
      <c r="C143" s="534"/>
      <c r="D143" s="580"/>
      <c r="E143" s="564"/>
      <c r="F143" s="534"/>
      <c r="G143" s="179"/>
      <c r="H143" s="173" t="s">
        <v>16</v>
      </c>
      <c r="I143" s="230"/>
      <c r="J143" s="268"/>
      <c r="K143" s="231"/>
      <c r="L143" s="230"/>
      <c r="M143" s="230"/>
      <c r="N143" s="230"/>
      <c r="O143" s="230"/>
      <c r="P143" s="230"/>
      <c r="Q143" s="268"/>
      <c r="R143" s="231"/>
      <c r="S143" s="269"/>
      <c r="T143" s="230"/>
      <c r="U143" s="230"/>
      <c r="V143" s="230"/>
      <c r="W143" s="230"/>
      <c r="X143" s="268"/>
      <c r="Y143" s="231"/>
      <c r="Z143" s="230"/>
      <c r="AA143" s="230"/>
      <c r="AB143" s="230"/>
      <c r="AC143" s="230"/>
      <c r="AD143" s="230"/>
      <c r="AE143" s="268"/>
      <c r="AF143" s="231"/>
      <c r="AG143" s="230"/>
      <c r="AH143" s="230"/>
      <c r="AI143" s="230"/>
      <c r="AJ143" s="230"/>
      <c r="AK143" s="232"/>
      <c r="AL143" s="217"/>
      <c r="AM143" s="171"/>
      <c r="AN143" s="196"/>
      <c r="AO143" s="196"/>
      <c r="AP143" s="196"/>
      <c r="AQ143" s="196"/>
      <c r="AR143" s="196"/>
      <c r="AS143" s="196"/>
      <c r="AT143" s="196"/>
      <c r="AU143" s="196"/>
      <c r="AV143" s="22"/>
      <c r="AW143" s="22"/>
    </row>
    <row r="144" spans="1:49">
      <c r="A144" s="605"/>
      <c r="B144" s="607"/>
      <c r="C144" s="534"/>
      <c r="D144" s="580"/>
      <c r="E144" s="564"/>
      <c r="F144" s="534"/>
      <c r="G144" s="179"/>
      <c r="H144" s="173" t="s">
        <v>113</v>
      </c>
      <c r="I144" s="230"/>
      <c r="J144" s="268"/>
      <c r="K144" s="231"/>
      <c r="L144" s="230"/>
      <c r="M144" s="230"/>
      <c r="N144" s="230"/>
      <c r="O144" s="230"/>
      <c r="P144" s="230"/>
      <c r="Q144" s="268"/>
      <c r="R144" s="231"/>
      <c r="S144" s="269"/>
      <c r="T144" s="230"/>
      <c r="U144" s="230"/>
      <c r="V144" s="230"/>
      <c r="W144" s="230"/>
      <c r="X144" s="268"/>
      <c r="Y144" s="231"/>
      <c r="Z144" s="230"/>
      <c r="AA144" s="230"/>
      <c r="AB144" s="230"/>
      <c r="AC144" s="230"/>
      <c r="AD144" s="230"/>
      <c r="AE144" s="268"/>
      <c r="AF144" s="231"/>
      <c r="AG144" s="230"/>
      <c r="AH144" s="230"/>
      <c r="AI144" s="230"/>
      <c r="AJ144" s="230"/>
      <c r="AK144" s="232"/>
      <c r="AL144" s="217"/>
      <c r="AM144" s="171"/>
      <c r="AN144" s="196"/>
      <c r="AO144" s="196"/>
      <c r="AP144" s="196"/>
      <c r="AQ144" s="196"/>
      <c r="AR144" s="196"/>
      <c r="AS144" s="196"/>
      <c r="AT144" s="196"/>
      <c r="AU144" s="196"/>
      <c r="AV144" s="22"/>
      <c r="AW144" s="22"/>
    </row>
    <row r="145" spans="1:49">
      <c r="A145" s="605"/>
      <c r="B145" s="607"/>
      <c r="C145" s="534"/>
      <c r="D145" s="580"/>
      <c r="E145" s="564"/>
      <c r="F145" s="534"/>
      <c r="G145" s="179"/>
      <c r="H145" s="168" t="s">
        <v>46</v>
      </c>
      <c r="I145" s="230">
        <f>$N$149*$D$131/2</f>
        <v>20280</v>
      </c>
      <c r="J145" s="268"/>
      <c r="K145" s="231"/>
      <c r="L145" s="230">
        <f>$N$149*$D$131/2</f>
        <v>20280</v>
      </c>
      <c r="M145" s="230">
        <f t="shared" ref="M145:P145" si="34">$N$149*$D$131/2</f>
        <v>20280</v>
      </c>
      <c r="N145" s="230">
        <f t="shared" si="34"/>
        <v>20280</v>
      </c>
      <c r="O145" s="230">
        <f t="shared" si="34"/>
        <v>20280</v>
      </c>
      <c r="P145" s="230">
        <f t="shared" si="34"/>
        <v>20280</v>
      </c>
      <c r="Q145" s="268"/>
      <c r="R145" s="231"/>
      <c r="S145" s="269"/>
      <c r="T145" s="230">
        <f t="shared" ref="T145:W145" si="35">$N$149*$D$131/2</f>
        <v>20280</v>
      </c>
      <c r="U145" s="230">
        <f t="shared" si="35"/>
        <v>20280</v>
      </c>
      <c r="V145" s="230">
        <f t="shared" si="35"/>
        <v>20280</v>
      </c>
      <c r="W145" s="230">
        <f t="shared" si="35"/>
        <v>20280</v>
      </c>
      <c r="X145" s="268"/>
      <c r="Y145" s="231"/>
      <c r="Z145" s="230">
        <f t="shared" ref="Z145:AD145" si="36">$N$149*$D$131/2</f>
        <v>20280</v>
      </c>
      <c r="AA145" s="230">
        <f t="shared" si="36"/>
        <v>20280</v>
      </c>
      <c r="AB145" s="230">
        <f t="shared" si="36"/>
        <v>20280</v>
      </c>
      <c r="AC145" s="230">
        <f t="shared" si="36"/>
        <v>20280</v>
      </c>
      <c r="AD145" s="230">
        <f t="shared" si="36"/>
        <v>20280</v>
      </c>
      <c r="AE145" s="268"/>
      <c r="AF145" s="231"/>
      <c r="AG145" s="230">
        <f t="shared" ref="AG145:AJ145" si="37">$N$149*$D$131/2</f>
        <v>20280</v>
      </c>
      <c r="AH145" s="230">
        <f t="shared" si="37"/>
        <v>20280</v>
      </c>
      <c r="AI145" s="230">
        <f t="shared" si="37"/>
        <v>20280</v>
      </c>
      <c r="AJ145" s="230">
        <f t="shared" si="37"/>
        <v>20280</v>
      </c>
      <c r="AK145" s="232"/>
      <c r="AL145" s="217"/>
      <c r="AM145" s="171"/>
      <c r="AN145" s="196"/>
      <c r="AO145" s="196"/>
      <c r="AP145" s="196"/>
      <c r="AQ145" s="196"/>
      <c r="AR145" s="196"/>
      <c r="AS145" s="196"/>
      <c r="AT145" s="196"/>
      <c r="AU145" s="196"/>
      <c r="AV145" s="22"/>
      <c r="AW145" s="22"/>
    </row>
    <row r="146" spans="1:49">
      <c r="A146" s="605"/>
      <c r="B146" s="607"/>
      <c r="C146" s="534"/>
      <c r="D146" s="580"/>
      <c r="E146" s="564"/>
      <c r="F146" s="534"/>
      <c r="G146" s="179"/>
      <c r="H146" s="168" t="s">
        <v>47</v>
      </c>
      <c r="I146" s="230">
        <v>2</v>
      </c>
      <c r="J146" s="268"/>
      <c r="K146" s="231"/>
      <c r="L146" s="230">
        <v>2</v>
      </c>
      <c r="M146" s="230">
        <v>2</v>
      </c>
      <c r="N146" s="230">
        <v>2</v>
      </c>
      <c r="O146" s="230">
        <v>2</v>
      </c>
      <c r="P146" s="230">
        <v>2</v>
      </c>
      <c r="Q146" s="268"/>
      <c r="R146" s="231"/>
      <c r="S146" s="269"/>
      <c r="T146" s="230">
        <v>2</v>
      </c>
      <c r="U146" s="230">
        <v>2</v>
      </c>
      <c r="V146" s="230">
        <v>2</v>
      </c>
      <c r="W146" s="230">
        <v>2</v>
      </c>
      <c r="X146" s="268"/>
      <c r="Y146" s="231"/>
      <c r="Z146" s="230"/>
      <c r="AA146" s="230">
        <v>2</v>
      </c>
      <c r="AB146" s="230">
        <v>2</v>
      </c>
      <c r="AC146" s="230">
        <v>2</v>
      </c>
      <c r="AD146" s="230">
        <v>2</v>
      </c>
      <c r="AE146" s="268"/>
      <c r="AF146" s="231"/>
      <c r="AG146" s="230"/>
      <c r="AH146" s="230">
        <v>2</v>
      </c>
      <c r="AI146" s="230">
        <v>2</v>
      </c>
      <c r="AJ146" s="230">
        <v>2</v>
      </c>
      <c r="AK146" s="232"/>
      <c r="AL146" s="217"/>
      <c r="AM146" s="171"/>
      <c r="AN146" s="196"/>
      <c r="AO146" s="196"/>
      <c r="AP146" s="196"/>
      <c r="AQ146" s="196"/>
      <c r="AR146" s="196"/>
      <c r="AS146" s="196"/>
      <c r="AT146" s="196"/>
      <c r="AU146" s="196"/>
      <c r="AV146" s="22"/>
      <c r="AW146" s="22"/>
    </row>
    <row r="147" spans="1:49">
      <c r="A147" s="605"/>
      <c r="B147" s="607"/>
      <c r="C147" s="534"/>
      <c r="D147" s="580"/>
      <c r="E147" s="564"/>
      <c r="F147" s="534"/>
      <c r="G147" s="179"/>
      <c r="H147" s="173" t="s">
        <v>16</v>
      </c>
      <c r="I147" s="186">
        <f>SUMIFS('编织 缠绕 Winding, Braiding,'!$K$7:$K$1000,'编织 缠绕 Winding, Braiding,'!$A$7:$A$1000,'03'!I$2,'编织 缠绕 Winding, Braiding,'!$D$7:$D$1000,'03'!$A$131)</f>
        <v>11116</v>
      </c>
      <c r="J147" s="187">
        <f>SUMIFS('编织 缠绕 Winding, Braiding,'!$K$7:$K$1000,'编织 缠绕 Winding, Braiding,'!$A$7:$A$1000,'03'!J$2,'编织 缠绕 Winding, Braiding,'!$D$7:$D$1000,'03'!$A$131)</f>
        <v>7020</v>
      </c>
      <c r="K147" s="231"/>
      <c r="L147" s="186">
        <f>SUMIFS('编织 缠绕 Winding, Braiding,'!$K$7:$K$1000,'编织 缠绕 Winding, Braiding,'!$A$7:$A$1000,'03'!L$2,'编织 缠绕 Winding, Braiding,'!$D$7:$D$1000,'03'!$A$131)</f>
        <v>12759</v>
      </c>
      <c r="M147" s="186">
        <f>SUMIFS('编织 缠绕 Winding, Braiding,'!$K$7:$K$1000,'编织 缠绕 Winding, Braiding,'!$A$7:$A$1000,'03'!M$2,'编织 缠绕 Winding, Braiding,'!$D$7:$D$1000,'03'!$A$131)</f>
        <v>11858</v>
      </c>
      <c r="N147" s="186">
        <f>SUMIFS('编织 缠绕 Winding, Braiding,'!$K$7:$K$1000,'编织 缠绕 Winding, Braiding,'!$A$7:$A$1000,'03'!N$2,'编织 缠绕 Winding, Braiding,'!$D$7:$D$1000,'03'!$A$131)</f>
        <v>12059</v>
      </c>
      <c r="O147" s="186">
        <f>SUMIFS('编织 缠绕 Winding, Braiding,'!$K$7:$K$1000,'编织 缠绕 Winding, Braiding,'!$A$7:$A$1000,'03'!O$2,'编织 缠绕 Winding, Braiding,'!$D$7:$D$1000,'03'!$A$131)</f>
        <v>10380</v>
      </c>
      <c r="P147" s="186">
        <f>SUMIFS('编织 缠绕 Winding, Braiding,'!$K$7:$K$1000,'编织 缠绕 Winding, Braiding,'!$A$7:$A$1000,'03'!P$2,'编织 缠绕 Winding, Braiding,'!$D$7:$D$1000,'03'!$A$131)</f>
        <v>3019</v>
      </c>
      <c r="Q147" s="187">
        <f>SUMIFS('编织 缠绕 Winding, Braiding,'!$K$7:$K$1000,'编织 缠绕 Winding, Braiding,'!$A$7:$A$1000,'03'!Q$2,'编织 缠绕 Winding, Braiding,'!$D$7:$D$1000,'03'!$A$131)</f>
        <v>4041</v>
      </c>
      <c r="R147" s="231"/>
      <c r="S147" s="269"/>
      <c r="T147" s="186">
        <f>SUMIFS('编织 缠绕 Winding, Braiding,'!$K$7:$K$1000,'编织 缠绕 Winding, Braiding,'!$A$7:$A$1000,'03'!T$2,'编织 缠绕 Winding, Braiding,'!$D$7:$D$1000,'03'!$A$131)</f>
        <v>12956</v>
      </c>
      <c r="U147" s="186">
        <f>SUMIFS('编织 缠绕 Winding, Braiding,'!$K$7:$K$1000,'编织 缠绕 Winding, Braiding,'!$A$7:$A$1000,'03'!U$2,'编织 缠绕 Winding, Braiding,'!$D$7:$D$1000,'03'!$A$131)</f>
        <v>0</v>
      </c>
      <c r="V147" s="186">
        <f>SUMIFS('编织 缠绕 Winding, Braiding,'!$K$7:$K$1000,'编织 缠绕 Winding, Braiding,'!$A$7:$A$1000,'03'!V$2,'编织 缠绕 Winding, Braiding,'!$D$7:$D$1000,'03'!$A$131)</f>
        <v>0</v>
      </c>
      <c r="W147" s="186">
        <f>SUMIFS('编织 缠绕 Winding, Braiding,'!$K$7:$K$1000,'编织 缠绕 Winding, Braiding,'!$A$7:$A$1000,'03'!W$2,'编织 缠绕 Winding, Braiding,'!$D$7:$D$1000,'03'!$A$131)</f>
        <v>0</v>
      </c>
      <c r="X147" s="187">
        <f>SUMIFS('编织 缠绕 Winding, Braiding,'!$K$7:$K$1000,'编织 缠绕 Winding, Braiding,'!$A$7:$A$1000,'03'!X$2,'编织 缠绕 Winding, Braiding,'!$D$7:$D$1000,'03'!$A$131)</f>
        <v>0</v>
      </c>
      <c r="Y147" s="231"/>
      <c r="Z147" s="186">
        <f>SUMIFS('编织 缠绕 Winding, Braiding,'!$K$7:$K$1000,'编织 缠绕 Winding, Braiding,'!$A$7:$A$1000,'03'!Z$2,'编织 缠绕 Winding, Braiding,'!$D$7:$D$1000,'03'!$A$131)</f>
        <v>0</v>
      </c>
      <c r="AA147" s="186">
        <f>SUMIFS('编织 缠绕 Winding, Braiding,'!$K$7:$K$1000,'编织 缠绕 Winding, Braiding,'!$A$7:$A$1000,'03'!AA$2,'编织 缠绕 Winding, Braiding,'!$D$7:$D$1000,'03'!$A$131)</f>
        <v>0</v>
      </c>
      <c r="AB147" s="186">
        <f>SUMIFS('编织 缠绕 Winding, Braiding,'!$K$7:$K$1000,'编织 缠绕 Winding, Braiding,'!$A$7:$A$1000,'03'!AB$2,'编织 缠绕 Winding, Braiding,'!$D$7:$D$1000,'03'!$A$131)</f>
        <v>0</v>
      </c>
      <c r="AC147" s="186">
        <f>SUMIFS('编织 缠绕 Winding, Braiding,'!$K$7:$K$1000,'编织 缠绕 Winding, Braiding,'!$A$7:$A$1000,'03'!AC$2,'编织 缠绕 Winding, Braiding,'!$D$7:$D$1000,'03'!$A$131)</f>
        <v>0</v>
      </c>
      <c r="AD147" s="186">
        <f>SUMIFS('编织 缠绕 Winding, Braiding,'!$K$7:$K$1000,'编织 缠绕 Winding, Braiding,'!$A$7:$A$1000,'03'!AD$2,'编织 缠绕 Winding, Braiding,'!$D$7:$D$1000,'03'!$A$131)</f>
        <v>0</v>
      </c>
      <c r="AE147" s="187">
        <f>SUMIFS('编织 缠绕 Winding, Braiding,'!$K$7:$K$1000,'编织 缠绕 Winding, Braiding,'!$A$7:$A$1000,'03'!AE$2,'编织 缠绕 Winding, Braiding,'!$D$7:$D$1000,'03'!$A$131)</f>
        <v>0</v>
      </c>
      <c r="AF147" s="231"/>
      <c r="AG147" s="186">
        <f>SUMIFS('编织 缠绕 Winding, Braiding,'!$K$7:$K$1000,'编织 缠绕 Winding, Braiding,'!$A$7:$A$1000,'03'!AG$2,'编织 缠绕 Winding, Braiding,'!$D$7:$D$1000,'03'!$A$131)</f>
        <v>0</v>
      </c>
      <c r="AH147" s="186">
        <f>SUMIFS('编织 缠绕 Winding, Braiding,'!$K$7:$K$1000,'编织 缠绕 Winding, Braiding,'!$A$7:$A$1000,'03'!AH$2,'编织 缠绕 Winding, Braiding,'!$D$7:$D$1000,'03'!$A$131)</f>
        <v>0</v>
      </c>
      <c r="AI147" s="186">
        <f>SUMIFS('编织 缠绕 Winding, Braiding,'!$K$7:$K$1000,'编织 缠绕 Winding, Braiding,'!$A$7:$A$1000,'03'!AI$2,'编织 缠绕 Winding, Braiding,'!$D$7:$D$1000,'03'!$A$131)</f>
        <v>0</v>
      </c>
      <c r="AJ147" s="186">
        <f>SUMIFS('编织 缠绕 Winding, Braiding,'!$K$7:$K$1000,'编织 缠绕 Winding, Braiding,'!$A$7:$A$1000,'03'!AJ$2,'编织 缠绕 Winding, Braiding,'!$D$7:$D$1000,'03'!$A$131)</f>
        <v>0</v>
      </c>
      <c r="AK147" s="232"/>
      <c r="AL147" s="217"/>
      <c r="AM147" s="171"/>
      <c r="AN147" s="196"/>
      <c r="AO147" s="196"/>
      <c r="AP147" s="196"/>
      <c r="AQ147" s="196"/>
      <c r="AR147" s="196"/>
      <c r="AS147" s="196"/>
      <c r="AT147" s="196"/>
      <c r="AU147" s="196"/>
      <c r="AV147" s="22"/>
      <c r="AW147" s="22"/>
    </row>
    <row r="148" spans="1:49">
      <c r="A148" s="605"/>
      <c r="B148" s="607"/>
      <c r="C148" s="534"/>
      <c r="D148" s="580"/>
      <c r="E148" s="564"/>
      <c r="F148" s="534"/>
      <c r="G148" s="179"/>
      <c r="H148" s="173" t="s">
        <v>113</v>
      </c>
      <c r="I148" s="31">
        <f>I147-I145</f>
        <v>-9164</v>
      </c>
      <c r="J148" s="192">
        <f>I148+(J147-J145)</f>
        <v>-2144</v>
      </c>
      <c r="K148" s="231"/>
      <c r="L148" s="31">
        <f>J148+(L147-L145)</f>
        <v>-9665</v>
      </c>
      <c r="M148" s="31">
        <f>L148+(M147-M145)</f>
        <v>-18087</v>
      </c>
      <c r="N148" s="230"/>
      <c r="O148" s="230"/>
      <c r="P148" s="230"/>
      <c r="Q148" s="268"/>
      <c r="R148" s="231"/>
      <c r="S148" s="269"/>
      <c r="T148" s="230"/>
      <c r="U148" s="230"/>
      <c r="V148" s="230"/>
      <c r="W148" s="230"/>
      <c r="X148" s="268"/>
      <c r="Y148" s="231"/>
      <c r="Z148" s="230"/>
      <c r="AA148" s="230"/>
      <c r="AB148" s="230"/>
      <c r="AC148" s="230"/>
      <c r="AD148" s="230"/>
      <c r="AE148" s="268"/>
      <c r="AF148" s="231"/>
      <c r="AG148" s="230"/>
      <c r="AH148" s="230"/>
      <c r="AI148" s="230"/>
      <c r="AJ148" s="230"/>
      <c r="AK148" s="232"/>
      <c r="AL148" s="217"/>
      <c r="AM148" s="171"/>
      <c r="AN148" s="196"/>
      <c r="AO148" s="196"/>
      <c r="AP148" s="196"/>
      <c r="AQ148" s="196"/>
      <c r="AR148" s="196"/>
      <c r="AS148" s="196"/>
      <c r="AT148" s="196"/>
      <c r="AU148" s="196"/>
      <c r="AV148" s="22"/>
      <c r="AW148" s="22"/>
    </row>
    <row r="149" spans="1:49">
      <c r="A149" s="605"/>
      <c r="B149" s="607"/>
      <c r="C149" s="534"/>
      <c r="D149" s="580"/>
      <c r="E149" s="564"/>
      <c r="F149" s="534"/>
      <c r="G149" s="179"/>
      <c r="H149" s="168" t="s">
        <v>29</v>
      </c>
      <c r="I149" s="230"/>
      <c r="J149" s="268"/>
      <c r="K149" s="231"/>
      <c r="L149" s="230">
        <f>($C$131*2)</f>
        <v>26000</v>
      </c>
      <c r="M149" s="230"/>
      <c r="N149" s="230">
        <f>($C$131*2)</f>
        <v>26000</v>
      </c>
      <c r="O149" s="230"/>
      <c r="P149" s="230">
        <f>($C$131*2)</f>
        <v>26000</v>
      </c>
      <c r="Q149" s="268"/>
      <c r="R149" s="231"/>
      <c r="S149" s="269"/>
      <c r="T149" s="230"/>
      <c r="U149" s="230">
        <f>($C$131*2)</f>
        <v>26000</v>
      </c>
      <c r="V149" s="230"/>
      <c r="W149" s="230">
        <f>($C$131*2)</f>
        <v>26000</v>
      </c>
      <c r="X149" s="268"/>
      <c r="Y149" s="231"/>
      <c r="Z149" s="230"/>
      <c r="AA149" s="230">
        <f>($C$131*2)</f>
        <v>26000</v>
      </c>
      <c r="AB149" s="230"/>
      <c r="AC149" s="230">
        <f>($C$131*2)</f>
        <v>26000</v>
      </c>
      <c r="AD149" s="230"/>
      <c r="AE149" s="268"/>
      <c r="AF149" s="231"/>
      <c r="AG149" s="230">
        <f>($C$131*2)</f>
        <v>26000</v>
      </c>
      <c r="AH149" s="230"/>
      <c r="AI149" s="230">
        <f>($C$131*2)</f>
        <v>26000</v>
      </c>
      <c r="AJ149" s="230"/>
      <c r="AK149" s="232"/>
      <c r="AL149" s="217"/>
      <c r="AM149" s="171"/>
      <c r="AN149" s="196"/>
      <c r="AO149" s="196"/>
      <c r="AP149" s="196"/>
      <c r="AQ149" s="196"/>
      <c r="AR149" s="196"/>
      <c r="AS149" s="196"/>
      <c r="AT149" s="196"/>
      <c r="AU149" s="196"/>
      <c r="AV149" s="22"/>
      <c r="AW149" s="22"/>
    </row>
    <row r="150" spans="1:49">
      <c r="A150" s="605"/>
      <c r="B150" s="607"/>
      <c r="C150" s="534"/>
      <c r="D150" s="580"/>
      <c r="E150" s="564"/>
      <c r="F150" s="534"/>
      <c r="G150" s="179"/>
      <c r="H150" s="168" t="s">
        <v>48</v>
      </c>
      <c r="I150" s="230"/>
      <c r="J150" s="268"/>
      <c r="K150" s="231"/>
      <c r="L150" s="230">
        <v>1</v>
      </c>
      <c r="M150" s="230"/>
      <c r="N150" s="230">
        <v>1</v>
      </c>
      <c r="O150" s="230"/>
      <c r="P150" s="230">
        <v>1</v>
      </c>
      <c r="Q150" s="268"/>
      <c r="R150" s="231"/>
      <c r="S150" s="269"/>
      <c r="T150" s="230"/>
      <c r="U150" s="230">
        <v>1</v>
      </c>
      <c r="V150" s="230"/>
      <c r="W150" s="230">
        <v>1</v>
      </c>
      <c r="X150" s="268"/>
      <c r="Y150" s="231"/>
      <c r="Z150" s="230"/>
      <c r="AA150" s="230">
        <v>1</v>
      </c>
      <c r="AB150" s="230"/>
      <c r="AC150" s="230">
        <v>1</v>
      </c>
      <c r="AD150" s="230"/>
      <c r="AE150" s="268"/>
      <c r="AF150" s="231"/>
      <c r="AG150" s="230">
        <v>1</v>
      </c>
      <c r="AH150" s="230"/>
      <c r="AI150" s="230">
        <v>1</v>
      </c>
      <c r="AJ150" s="230"/>
      <c r="AK150" s="232"/>
      <c r="AL150" s="217"/>
      <c r="AM150" s="171"/>
      <c r="AN150" s="196"/>
      <c r="AO150" s="196"/>
      <c r="AP150" s="196"/>
      <c r="AQ150" s="196"/>
      <c r="AR150" s="196"/>
      <c r="AS150" s="196"/>
      <c r="AT150" s="196"/>
      <c r="AU150" s="196"/>
      <c r="AV150" s="22"/>
      <c r="AW150" s="22"/>
    </row>
    <row r="151" spans="1:49">
      <c r="A151" s="528"/>
      <c r="B151" s="607"/>
      <c r="C151" s="534"/>
      <c r="D151" s="580"/>
      <c r="E151" s="564"/>
      <c r="F151" s="534"/>
      <c r="G151" s="172"/>
      <c r="H151" s="173" t="s">
        <v>16</v>
      </c>
      <c r="I151" s="186"/>
      <c r="J151" s="187"/>
      <c r="K151" s="188"/>
      <c r="L151" s="186"/>
      <c r="M151" s="186"/>
      <c r="N151" s="186"/>
      <c r="O151" s="186"/>
      <c r="P151" s="186"/>
      <c r="Q151" s="187"/>
      <c r="R151" s="188"/>
      <c r="S151" s="189"/>
      <c r="T151" s="186"/>
      <c r="U151" s="186"/>
      <c r="V151" s="186"/>
      <c r="W151" s="186"/>
      <c r="X151" s="187"/>
      <c r="Y151" s="188"/>
      <c r="Z151" s="186"/>
      <c r="AA151" s="186"/>
      <c r="AB151" s="186"/>
      <c r="AC151" s="186"/>
      <c r="AD151" s="186"/>
      <c r="AE151" s="187"/>
      <c r="AF151" s="188"/>
      <c r="AG151" s="186"/>
      <c r="AH151" s="186"/>
      <c r="AI151" s="186"/>
      <c r="AJ151" s="186"/>
      <c r="AK151" s="189"/>
      <c r="AL151" s="217"/>
      <c r="AM151" s="271"/>
      <c r="AN151" s="196"/>
      <c r="AO151" s="196"/>
      <c r="AP151" s="196"/>
      <c r="AQ151" s="196"/>
      <c r="AR151" s="196"/>
      <c r="AS151" s="196"/>
      <c r="AT151" s="196"/>
      <c r="AU151" s="196"/>
      <c r="AV151" s="22"/>
      <c r="AW151" s="22"/>
    </row>
    <row r="152" spans="1:49" ht="15.75" thickBot="1">
      <c r="A152" s="529"/>
      <c r="B152" s="608"/>
      <c r="C152" s="535"/>
      <c r="D152" s="581"/>
      <c r="E152" s="565"/>
      <c r="F152" s="535"/>
      <c r="G152" s="203"/>
      <c r="H152" s="272" t="s">
        <v>113</v>
      </c>
      <c r="I152" s="273"/>
      <c r="J152" s="274"/>
      <c r="K152" s="275"/>
      <c r="L152" s="273"/>
      <c r="M152" s="273"/>
      <c r="N152" s="273"/>
      <c r="O152" s="273"/>
      <c r="P152" s="273"/>
      <c r="Q152" s="274"/>
      <c r="R152" s="275"/>
      <c r="S152" s="276"/>
      <c r="T152" s="273"/>
      <c r="U152" s="273"/>
      <c r="V152" s="273"/>
      <c r="W152" s="273"/>
      <c r="X152" s="274"/>
      <c r="Y152" s="275"/>
      <c r="Z152" s="273"/>
      <c r="AA152" s="273"/>
      <c r="AB152" s="273"/>
      <c r="AC152" s="273"/>
      <c r="AD152" s="273"/>
      <c r="AE152" s="274"/>
      <c r="AF152" s="275"/>
      <c r="AG152" s="273"/>
      <c r="AH152" s="273"/>
      <c r="AI152" s="273"/>
      <c r="AJ152" s="273"/>
      <c r="AK152" s="277"/>
      <c r="AL152" s="278"/>
      <c r="AM152" s="279"/>
      <c r="AN152" s="196"/>
      <c r="AO152" s="196"/>
      <c r="AP152" s="196"/>
      <c r="AQ152" s="196"/>
      <c r="AR152" s="196"/>
      <c r="AS152" s="196"/>
      <c r="AT152" s="196"/>
      <c r="AU152" s="196"/>
      <c r="AV152" s="22"/>
      <c r="AW152" s="22"/>
    </row>
    <row r="153" spans="1:49" ht="15" hidden="1" customHeight="1">
      <c r="A153" s="604" t="s">
        <v>229</v>
      </c>
      <c r="B153" s="611" t="s">
        <v>61</v>
      </c>
      <c r="C153" s="533">
        <v>1500</v>
      </c>
      <c r="D153" s="560">
        <v>1.5249999999999999</v>
      </c>
      <c r="E153" s="280"/>
      <c r="F153" s="533" t="s">
        <v>62</v>
      </c>
      <c r="G153" s="244">
        <v>0.16</v>
      </c>
      <c r="H153" s="157" t="s">
        <v>111</v>
      </c>
      <c r="I153" s="264">
        <v>55</v>
      </c>
      <c r="J153" s="213"/>
      <c r="K153" s="214"/>
      <c r="L153" s="264">
        <v>55</v>
      </c>
      <c r="M153" s="264">
        <v>55</v>
      </c>
      <c r="N153" s="264">
        <v>55</v>
      </c>
      <c r="O153" s="264">
        <v>55</v>
      </c>
      <c r="P153" s="264">
        <v>55</v>
      </c>
      <c r="Q153" s="213"/>
      <c r="R153" s="214"/>
      <c r="S153" s="215"/>
      <c r="T153" s="264">
        <v>55</v>
      </c>
      <c r="U153" s="264">
        <v>55</v>
      </c>
      <c r="V153" s="264">
        <v>55</v>
      </c>
      <c r="W153" s="264">
        <v>55</v>
      </c>
      <c r="X153" s="213"/>
      <c r="Y153" s="214"/>
      <c r="Z153" s="264">
        <v>55</v>
      </c>
      <c r="AA153" s="264">
        <v>55</v>
      </c>
      <c r="AB153" s="264">
        <v>55</v>
      </c>
      <c r="AC153" s="264">
        <v>55</v>
      </c>
      <c r="AD153" s="264">
        <v>55</v>
      </c>
      <c r="AE153" s="213"/>
      <c r="AF153" s="214"/>
      <c r="AG153" s="264">
        <v>55</v>
      </c>
      <c r="AH153" s="264">
        <v>55</v>
      </c>
      <c r="AI153" s="264">
        <v>55</v>
      </c>
      <c r="AJ153" s="264">
        <v>55</v>
      </c>
      <c r="AK153" s="265"/>
      <c r="AL153" s="266"/>
      <c r="AM153" s="267"/>
      <c r="AN153" s="196"/>
      <c r="AO153" s="196"/>
      <c r="AP153" s="196"/>
      <c r="AQ153" s="196"/>
      <c r="AR153" s="196"/>
      <c r="AS153" s="196"/>
      <c r="AT153" s="196"/>
      <c r="AU153" s="196"/>
      <c r="AV153" s="22"/>
      <c r="AW153" s="22"/>
    </row>
    <row r="154" spans="1:49" ht="15" hidden="1" customHeight="1">
      <c r="A154" s="605"/>
      <c r="B154" s="566"/>
      <c r="C154" s="534"/>
      <c r="D154" s="561"/>
      <c r="E154" s="281"/>
      <c r="F154" s="534"/>
      <c r="G154" s="179"/>
      <c r="H154" s="168" t="s">
        <v>112</v>
      </c>
      <c r="I154" s="230">
        <v>0.5</v>
      </c>
      <c r="J154" s="268"/>
      <c r="K154" s="231"/>
      <c r="L154" s="230">
        <v>0.5</v>
      </c>
      <c r="M154" s="230">
        <v>0.5</v>
      </c>
      <c r="N154" s="230">
        <v>0.5</v>
      </c>
      <c r="O154" s="230">
        <v>0.5</v>
      </c>
      <c r="P154" s="230">
        <v>0.5</v>
      </c>
      <c r="Q154" s="268"/>
      <c r="R154" s="231"/>
      <c r="S154" s="269"/>
      <c r="T154" s="230">
        <v>0.5</v>
      </c>
      <c r="U154" s="230">
        <v>0.5</v>
      </c>
      <c r="V154" s="230">
        <v>0.5</v>
      </c>
      <c r="W154" s="230">
        <v>0.5</v>
      </c>
      <c r="X154" s="268"/>
      <c r="Y154" s="231"/>
      <c r="Z154" s="230">
        <v>0.5</v>
      </c>
      <c r="AA154" s="230">
        <v>0.5</v>
      </c>
      <c r="AB154" s="230">
        <v>0.5</v>
      </c>
      <c r="AC154" s="230">
        <v>0.5</v>
      </c>
      <c r="AD154" s="230">
        <v>0.5</v>
      </c>
      <c r="AE154" s="268"/>
      <c r="AF154" s="231"/>
      <c r="AG154" s="230">
        <v>0.5</v>
      </c>
      <c r="AH154" s="230">
        <v>0.5</v>
      </c>
      <c r="AI154" s="230">
        <v>0.5</v>
      </c>
      <c r="AJ154" s="230">
        <v>0.5</v>
      </c>
      <c r="AK154" s="232"/>
      <c r="AL154" s="217"/>
      <c r="AM154" s="171"/>
      <c r="AN154" s="196"/>
      <c r="AO154" s="196"/>
      <c r="AP154" s="196"/>
      <c r="AQ154" s="196"/>
      <c r="AR154" s="196"/>
      <c r="AS154" s="196"/>
      <c r="AT154" s="196"/>
      <c r="AU154" s="196"/>
      <c r="AV154" s="22"/>
      <c r="AW154" s="22"/>
    </row>
    <row r="155" spans="1:49" ht="15" hidden="1" customHeight="1">
      <c r="A155" s="605"/>
      <c r="B155" s="566"/>
      <c r="C155" s="534"/>
      <c r="D155" s="561"/>
      <c r="E155" s="281"/>
      <c r="F155" s="534"/>
      <c r="G155" s="270"/>
      <c r="H155" s="173" t="s">
        <v>16</v>
      </c>
      <c r="I155" s="230"/>
      <c r="J155" s="268"/>
      <c r="K155" s="231"/>
      <c r="L155" s="230"/>
      <c r="M155" s="230"/>
      <c r="N155" s="230"/>
      <c r="O155" s="230"/>
      <c r="P155" s="230"/>
      <c r="Q155" s="268"/>
      <c r="R155" s="231"/>
      <c r="S155" s="269"/>
      <c r="T155" s="230"/>
      <c r="U155" s="230"/>
      <c r="V155" s="230"/>
      <c r="W155" s="230"/>
      <c r="X155" s="268"/>
      <c r="Y155" s="231"/>
      <c r="Z155" s="230"/>
      <c r="AA155" s="230"/>
      <c r="AB155" s="230"/>
      <c r="AC155" s="230"/>
      <c r="AD155" s="230"/>
      <c r="AE155" s="268"/>
      <c r="AF155" s="231"/>
      <c r="AG155" s="230"/>
      <c r="AH155" s="230"/>
      <c r="AI155" s="230"/>
      <c r="AJ155" s="230"/>
      <c r="AK155" s="232"/>
      <c r="AL155" s="217"/>
      <c r="AM155" s="171"/>
      <c r="AN155" s="196"/>
      <c r="AO155" s="196"/>
      <c r="AP155" s="196"/>
      <c r="AQ155" s="196"/>
      <c r="AR155" s="196"/>
      <c r="AS155" s="196"/>
      <c r="AT155" s="196"/>
      <c r="AU155" s="196"/>
      <c r="AV155" s="22"/>
      <c r="AW155" s="22"/>
    </row>
    <row r="156" spans="1:49">
      <c r="A156" s="605"/>
      <c r="B156" s="566"/>
      <c r="C156" s="534"/>
      <c r="D156" s="561"/>
      <c r="E156" s="281"/>
      <c r="F156" s="534"/>
      <c r="G156" s="172" t="s">
        <v>228</v>
      </c>
      <c r="H156" s="168" t="s">
        <v>19</v>
      </c>
      <c r="I156" s="230">
        <f>$M$168*$D$153</f>
        <v>9150</v>
      </c>
      <c r="J156" s="268"/>
      <c r="K156" s="231"/>
      <c r="L156" s="230"/>
      <c r="M156" s="230"/>
      <c r="N156" s="230"/>
      <c r="O156" s="230">
        <f>$M$168*$D$153</f>
        <v>9150</v>
      </c>
      <c r="P156" s="230"/>
      <c r="Q156" s="268"/>
      <c r="R156" s="231"/>
      <c r="S156" s="269"/>
      <c r="T156" s="230"/>
      <c r="U156" s="230"/>
      <c r="V156" s="230">
        <f>$M$168*$D$153</f>
        <v>9150</v>
      </c>
      <c r="W156" s="230"/>
      <c r="X156" s="268"/>
      <c r="Y156" s="231"/>
      <c r="Z156" s="230"/>
      <c r="AA156" s="230"/>
      <c r="AB156" s="230">
        <f>$M$168*$D$153</f>
        <v>9150</v>
      </c>
      <c r="AC156" s="230"/>
      <c r="AD156" s="230"/>
      <c r="AE156" s="268"/>
      <c r="AF156" s="231"/>
      <c r="AG156" s="230"/>
      <c r="AH156" s="230">
        <f>$M$168*$D$153</f>
        <v>9150</v>
      </c>
      <c r="AI156" s="230"/>
      <c r="AJ156" s="230"/>
      <c r="AK156" s="232"/>
      <c r="AL156" s="217"/>
      <c r="AM156" s="171"/>
      <c r="AN156" s="196"/>
      <c r="AO156" s="196"/>
      <c r="AP156" s="196"/>
      <c r="AQ156" s="196"/>
      <c r="AR156" s="196"/>
      <c r="AS156" s="196"/>
      <c r="AT156" s="196"/>
      <c r="AU156" s="196"/>
      <c r="AV156" s="22"/>
      <c r="AW156" s="22"/>
    </row>
    <row r="157" spans="1:49">
      <c r="A157" s="605"/>
      <c r="B157" s="566"/>
      <c r="C157" s="534"/>
      <c r="D157" s="561"/>
      <c r="E157" s="281"/>
      <c r="F157" s="534"/>
      <c r="G157" s="179"/>
      <c r="H157" s="168" t="s">
        <v>15</v>
      </c>
      <c r="I157" s="230">
        <v>1</v>
      </c>
      <c r="J157" s="268"/>
      <c r="K157" s="231"/>
      <c r="L157" s="230"/>
      <c r="M157" s="230"/>
      <c r="N157" s="230"/>
      <c r="O157" s="230">
        <v>1</v>
      </c>
      <c r="P157" s="230"/>
      <c r="Q157" s="268"/>
      <c r="R157" s="231"/>
      <c r="S157" s="269"/>
      <c r="T157" s="230"/>
      <c r="U157" s="230"/>
      <c r="V157" s="230">
        <v>1</v>
      </c>
      <c r="W157" s="230"/>
      <c r="X157" s="268"/>
      <c r="Y157" s="231"/>
      <c r="Z157" s="230"/>
      <c r="AA157" s="230"/>
      <c r="AB157" s="230">
        <v>1</v>
      </c>
      <c r="AC157" s="230"/>
      <c r="AD157" s="230"/>
      <c r="AE157" s="268"/>
      <c r="AF157" s="231"/>
      <c r="AG157" s="230"/>
      <c r="AH157" s="230">
        <v>1</v>
      </c>
      <c r="AI157" s="230"/>
      <c r="AJ157" s="230"/>
      <c r="AK157" s="232"/>
      <c r="AL157" s="217"/>
      <c r="AM157" s="171"/>
      <c r="AN157" s="196"/>
      <c r="AO157" s="196"/>
      <c r="AP157" s="196"/>
      <c r="AQ157" s="196"/>
      <c r="AR157" s="196"/>
      <c r="AS157" s="196"/>
      <c r="AT157" s="196"/>
      <c r="AU157" s="196"/>
      <c r="AV157" s="22"/>
      <c r="AW157" s="22"/>
    </row>
    <row r="158" spans="1:49">
      <c r="A158" s="605"/>
      <c r="B158" s="566"/>
      <c r="C158" s="534"/>
      <c r="D158" s="561"/>
      <c r="E158" s="281"/>
      <c r="F158" s="534"/>
      <c r="G158" s="179"/>
      <c r="H158" s="173" t="s">
        <v>16</v>
      </c>
      <c r="I158" s="186">
        <f>SUMIFS('絞線Twisting wire'!$K$7:$K$1000,'絞線Twisting wire'!$A$7:$A$1000,'03'!I$2,'絞線Twisting wire'!$D$7:$D$1000,'03'!$G$156,'絞線Twisting wire'!$F$7:$F$1000,'03'!$A$153)</f>
        <v>0</v>
      </c>
      <c r="J158" s="187">
        <f>SUMIFS('絞線Twisting wire'!$K$7:$K$1000,'絞線Twisting wire'!$A$7:$A$1000,'03'!J$2,'絞線Twisting wire'!$D$7:$D$1000,'03'!$G$156,'絞線Twisting wire'!$F$7:$F$1000,'03'!$A$153)</f>
        <v>0</v>
      </c>
      <c r="K158" s="231"/>
      <c r="L158" s="186">
        <f>SUMIFS('絞線Twisting wire'!$K$7:$K$1000,'絞線Twisting wire'!$A$7:$A$1000,'03'!L$2,'絞線Twisting wire'!$D$7:$D$1000,'03'!$G$156,'絞線Twisting wire'!$F$7:$F$1000,'03'!$A$153)</f>
        <v>26566</v>
      </c>
      <c r="M158" s="186">
        <f>SUMIFS('絞線Twisting wire'!$K$7:$K$1000,'絞線Twisting wire'!$A$7:$A$1000,'03'!M$2,'絞線Twisting wire'!$D$7:$D$1000,'03'!$G$156,'絞線Twisting wire'!$F$7:$F$1000,'03'!$A$153)</f>
        <v>9396</v>
      </c>
      <c r="N158" s="186">
        <f>SUMIFS('絞線Twisting wire'!$K$7:$K$1000,'絞線Twisting wire'!$A$7:$A$1000,'03'!N$2,'絞線Twisting wire'!$D$7:$D$1000,'03'!$G$156,'絞線Twisting wire'!$F$7:$F$1000,'03'!$A$153)</f>
        <v>0</v>
      </c>
      <c r="O158" s="186">
        <f>SUMIFS('絞線Twisting wire'!$K$7:$K$1000,'絞線Twisting wire'!$A$7:$A$1000,'03'!O$2,'絞線Twisting wire'!$D$7:$D$1000,'03'!$G$156,'絞線Twisting wire'!$F$7:$F$1000,'03'!$A$153)</f>
        <v>0</v>
      </c>
      <c r="P158" s="186">
        <f>SUMIFS('絞線Twisting wire'!$K$7:$K$1000,'絞線Twisting wire'!$A$7:$A$1000,'03'!P$2,'絞線Twisting wire'!$D$7:$D$1000,'03'!$G$156,'絞線Twisting wire'!$F$7:$F$1000,'03'!$A$153)</f>
        <v>0</v>
      </c>
      <c r="Q158" s="187">
        <f>SUMIFS('絞線Twisting wire'!$K$7:$K$1000,'絞線Twisting wire'!$A$7:$A$1000,'03'!Q$2,'絞線Twisting wire'!$D$7:$D$1000,'03'!$G$156,'絞線Twisting wire'!$F$7:$F$1000,'03'!$A$153)</f>
        <v>0</v>
      </c>
      <c r="R158" s="231"/>
      <c r="S158" s="269"/>
      <c r="T158" s="186">
        <f>SUMIFS('絞線Twisting wire'!$K$7:$K$1000,'絞線Twisting wire'!$A$7:$A$1000,'03'!T$2,'絞線Twisting wire'!$D$7:$D$1000,'03'!$G$156,'絞線Twisting wire'!$F$7:$F$1000,'03'!$A$153)</f>
        <v>0</v>
      </c>
      <c r="U158" s="186">
        <f>SUMIFS('絞線Twisting wire'!$K$7:$K$1000,'絞線Twisting wire'!$A$7:$A$1000,'03'!U$2,'絞線Twisting wire'!$D$7:$D$1000,'03'!$G$156,'絞線Twisting wire'!$F$7:$F$1000,'03'!$A$153)</f>
        <v>0</v>
      </c>
      <c r="V158" s="186">
        <f>SUMIFS('絞線Twisting wire'!$K$7:$K$1000,'絞線Twisting wire'!$A$7:$A$1000,'03'!V$2,'絞線Twisting wire'!$D$7:$D$1000,'03'!$G$156,'絞線Twisting wire'!$F$7:$F$1000,'03'!$A$153)</f>
        <v>0</v>
      </c>
      <c r="W158" s="186">
        <f>SUMIFS('絞線Twisting wire'!$K$7:$K$1000,'絞線Twisting wire'!$A$7:$A$1000,'03'!W$2,'絞線Twisting wire'!$D$7:$D$1000,'03'!$G$156,'絞線Twisting wire'!$F$7:$F$1000,'03'!$A$153)</f>
        <v>0</v>
      </c>
      <c r="X158" s="187">
        <f>SUMIFS('絞線Twisting wire'!$K$7:$K$1000,'絞線Twisting wire'!$A$7:$A$1000,'03'!X$2,'絞線Twisting wire'!$D$7:$D$1000,'03'!$G$156,'絞線Twisting wire'!$F$7:$F$1000,'03'!$A$153)</f>
        <v>0</v>
      </c>
      <c r="Y158" s="231"/>
      <c r="Z158" s="186">
        <f>SUMIFS('絞線Twisting wire'!$K$7:$K$1000,'絞線Twisting wire'!$A$7:$A$1000,'03'!Z$2,'絞線Twisting wire'!$D$7:$D$1000,'03'!$G$156,'絞線Twisting wire'!$F$7:$F$1000,'03'!$A$153)</f>
        <v>0</v>
      </c>
      <c r="AA158" s="186">
        <f>SUMIFS('絞線Twisting wire'!$K$7:$K$1000,'絞線Twisting wire'!$A$7:$A$1000,'03'!AA$2,'絞線Twisting wire'!$D$7:$D$1000,'03'!$G$156,'絞線Twisting wire'!$F$7:$F$1000,'03'!$A$153)</f>
        <v>0</v>
      </c>
      <c r="AB158" s="186">
        <f>SUMIFS('絞線Twisting wire'!$K$7:$K$1000,'絞線Twisting wire'!$A$7:$A$1000,'03'!AB$2,'絞線Twisting wire'!$D$7:$D$1000,'03'!$G$156,'絞線Twisting wire'!$F$7:$F$1000,'03'!$A$153)</f>
        <v>0</v>
      </c>
      <c r="AC158" s="186">
        <f>SUMIFS('絞線Twisting wire'!$K$7:$K$1000,'絞線Twisting wire'!$A$7:$A$1000,'03'!AC$2,'絞線Twisting wire'!$D$7:$D$1000,'03'!$G$156,'絞線Twisting wire'!$F$7:$F$1000,'03'!$A$153)</f>
        <v>0</v>
      </c>
      <c r="AD158" s="186">
        <f>SUMIFS('絞線Twisting wire'!$K$7:$K$1000,'絞線Twisting wire'!$A$7:$A$1000,'03'!AD$2,'絞線Twisting wire'!$D$7:$D$1000,'03'!$G$156,'絞線Twisting wire'!$F$7:$F$1000,'03'!$A$153)</f>
        <v>0</v>
      </c>
      <c r="AE158" s="187">
        <f>SUMIFS('絞線Twisting wire'!$K$7:$K$1000,'絞線Twisting wire'!$A$7:$A$1000,'03'!AE$2,'絞線Twisting wire'!$D$7:$D$1000,'03'!$G$156,'絞線Twisting wire'!$F$7:$F$1000,'03'!$A$153)</f>
        <v>0</v>
      </c>
      <c r="AF158" s="231"/>
      <c r="AG158" s="186">
        <f>SUMIFS('絞線Twisting wire'!$K$7:$K$1000,'絞線Twisting wire'!$A$7:$A$1000,'03'!AG$2,'絞線Twisting wire'!$D$7:$D$1000,'03'!$G$156,'絞線Twisting wire'!$F$7:$F$1000,'03'!$A$153)</f>
        <v>0</v>
      </c>
      <c r="AH158" s="186">
        <f>SUMIFS('絞線Twisting wire'!$K$7:$K$1000,'絞線Twisting wire'!$A$7:$A$1000,'03'!AH$2,'絞線Twisting wire'!$D$7:$D$1000,'03'!$G$156,'絞線Twisting wire'!$F$7:$F$1000,'03'!$A$153)</f>
        <v>0</v>
      </c>
      <c r="AI158" s="186">
        <f>SUMIFS('絞線Twisting wire'!$K$7:$K$1000,'絞線Twisting wire'!$A$7:$A$1000,'03'!AI$2,'絞線Twisting wire'!$D$7:$D$1000,'03'!$G$156,'絞線Twisting wire'!$F$7:$F$1000,'03'!$A$153)</f>
        <v>0</v>
      </c>
      <c r="AJ158" s="186">
        <f>SUMIFS('絞線Twisting wire'!$K$7:$K$1000,'絞線Twisting wire'!$A$7:$A$1000,'03'!AJ$2,'絞線Twisting wire'!$D$7:$D$1000,'03'!$G$156,'絞線Twisting wire'!$F$7:$F$1000,'03'!$A$153)</f>
        <v>0</v>
      </c>
      <c r="AK158" s="232"/>
      <c r="AL158" s="217"/>
      <c r="AM158" s="171"/>
      <c r="AN158" s="196"/>
      <c r="AO158" s="196"/>
      <c r="AP158" s="196"/>
      <c r="AQ158" s="196"/>
      <c r="AR158" s="196"/>
      <c r="AS158" s="196"/>
      <c r="AT158" s="196"/>
      <c r="AU158" s="196"/>
      <c r="AV158" s="22"/>
      <c r="AW158" s="22"/>
    </row>
    <row r="159" spans="1:49">
      <c r="A159" s="605"/>
      <c r="B159" s="566"/>
      <c r="C159" s="534"/>
      <c r="D159" s="561"/>
      <c r="E159" s="281"/>
      <c r="F159" s="534"/>
      <c r="G159" s="179"/>
      <c r="H159" s="173" t="s">
        <v>113</v>
      </c>
      <c r="I159" s="31">
        <f>I158-I156</f>
        <v>-9150</v>
      </c>
      <c r="J159" s="192">
        <f>I159+(J158-J156)</f>
        <v>-9150</v>
      </c>
      <c r="K159" s="188"/>
      <c r="L159" s="31">
        <f>J159+(L158-L156)</f>
        <v>17416</v>
      </c>
      <c r="M159" s="31">
        <f>L159+(M158-M156)</f>
        <v>26812</v>
      </c>
      <c r="N159" s="230"/>
      <c r="O159" s="230"/>
      <c r="P159" s="230"/>
      <c r="Q159" s="268"/>
      <c r="R159" s="231"/>
      <c r="S159" s="269"/>
      <c r="T159" s="230"/>
      <c r="U159" s="230"/>
      <c r="V159" s="230"/>
      <c r="W159" s="230"/>
      <c r="X159" s="268"/>
      <c r="Y159" s="231"/>
      <c r="Z159" s="230"/>
      <c r="AA159" s="230"/>
      <c r="AB159" s="230"/>
      <c r="AC159" s="230"/>
      <c r="AD159" s="230"/>
      <c r="AE159" s="268"/>
      <c r="AF159" s="231"/>
      <c r="AG159" s="230"/>
      <c r="AH159" s="230"/>
      <c r="AI159" s="230"/>
      <c r="AJ159" s="230"/>
      <c r="AK159" s="232"/>
      <c r="AL159" s="217"/>
      <c r="AM159" s="171"/>
      <c r="AN159" s="196"/>
      <c r="AO159" s="196"/>
      <c r="AP159" s="196"/>
      <c r="AQ159" s="196"/>
      <c r="AR159" s="196"/>
      <c r="AS159" s="196"/>
      <c r="AT159" s="196"/>
      <c r="AU159" s="196"/>
      <c r="AV159" s="22"/>
      <c r="AW159" s="22"/>
    </row>
    <row r="160" spans="1:49">
      <c r="A160" s="605"/>
      <c r="B160" s="566"/>
      <c r="C160" s="534"/>
      <c r="D160" s="561"/>
      <c r="E160" s="281"/>
      <c r="F160" s="534"/>
      <c r="G160" s="172" t="s">
        <v>474</v>
      </c>
      <c r="H160" s="168" t="s">
        <v>26</v>
      </c>
      <c r="I160" s="230">
        <f>$M$168*$D$153</f>
        <v>9150</v>
      </c>
      <c r="J160" s="268"/>
      <c r="K160" s="231"/>
      <c r="L160" s="230"/>
      <c r="M160" s="230"/>
      <c r="N160" s="230"/>
      <c r="O160" s="230">
        <f>$M$168*$D$153</f>
        <v>9150</v>
      </c>
      <c r="P160" s="230"/>
      <c r="Q160" s="268"/>
      <c r="R160" s="231"/>
      <c r="S160" s="269"/>
      <c r="T160" s="230"/>
      <c r="U160" s="230"/>
      <c r="V160" s="230">
        <f>$M$168*$D$153</f>
        <v>9150</v>
      </c>
      <c r="W160" s="230"/>
      <c r="X160" s="268"/>
      <c r="Y160" s="231"/>
      <c r="Z160" s="230"/>
      <c r="AA160" s="230"/>
      <c r="AB160" s="230">
        <f>$M$168*$D$153</f>
        <v>9150</v>
      </c>
      <c r="AC160" s="230"/>
      <c r="AD160" s="230"/>
      <c r="AE160" s="268"/>
      <c r="AF160" s="231"/>
      <c r="AG160" s="230"/>
      <c r="AH160" s="230">
        <f>$M$168*$D$153</f>
        <v>9150</v>
      </c>
      <c r="AI160" s="230"/>
      <c r="AJ160" s="230"/>
      <c r="AK160" s="232"/>
      <c r="AL160" s="217"/>
      <c r="AM160" s="171"/>
      <c r="AN160" s="196"/>
      <c r="AO160" s="196"/>
      <c r="AP160" s="196"/>
      <c r="AQ160" s="196"/>
      <c r="AR160" s="196"/>
      <c r="AS160" s="196"/>
      <c r="AT160" s="196"/>
      <c r="AU160" s="196"/>
      <c r="AV160" s="22"/>
      <c r="AW160" s="22"/>
    </row>
    <row r="161" spans="1:49">
      <c r="A161" s="605"/>
      <c r="B161" s="566"/>
      <c r="C161" s="534"/>
      <c r="D161" s="561"/>
      <c r="E161" s="281"/>
      <c r="F161" s="534"/>
      <c r="G161" s="179"/>
      <c r="H161" s="168" t="s">
        <v>24</v>
      </c>
      <c r="I161" s="230">
        <v>1</v>
      </c>
      <c r="J161" s="268"/>
      <c r="K161" s="231"/>
      <c r="L161" s="230"/>
      <c r="M161" s="230"/>
      <c r="N161" s="230"/>
      <c r="O161" s="230">
        <v>1</v>
      </c>
      <c r="P161" s="230"/>
      <c r="Q161" s="268"/>
      <c r="R161" s="231"/>
      <c r="S161" s="269"/>
      <c r="T161" s="230"/>
      <c r="U161" s="230"/>
      <c r="V161" s="230">
        <v>1</v>
      </c>
      <c r="W161" s="230"/>
      <c r="X161" s="268"/>
      <c r="Y161" s="231"/>
      <c r="Z161" s="230"/>
      <c r="AA161" s="230"/>
      <c r="AB161" s="230">
        <v>1</v>
      </c>
      <c r="AC161" s="230"/>
      <c r="AD161" s="230"/>
      <c r="AE161" s="268"/>
      <c r="AF161" s="231"/>
      <c r="AG161" s="230"/>
      <c r="AH161" s="230">
        <v>1</v>
      </c>
      <c r="AI161" s="230"/>
      <c r="AJ161" s="230"/>
      <c r="AK161" s="232"/>
      <c r="AL161" s="217"/>
      <c r="AM161" s="171"/>
      <c r="AN161" s="196"/>
      <c r="AO161" s="196"/>
      <c r="AP161" s="196"/>
      <c r="AQ161" s="196"/>
      <c r="AR161" s="196"/>
      <c r="AS161" s="196"/>
      <c r="AT161" s="196"/>
      <c r="AU161" s="196"/>
      <c r="AV161" s="22"/>
      <c r="AW161" s="22"/>
    </row>
    <row r="162" spans="1:49">
      <c r="A162" s="605"/>
      <c r="B162" s="566"/>
      <c r="C162" s="534"/>
      <c r="D162" s="561"/>
      <c r="E162" s="281"/>
      <c r="F162" s="534"/>
      <c r="G162" s="179"/>
      <c r="H162" s="173" t="s">
        <v>16</v>
      </c>
      <c r="I162" s="230"/>
      <c r="J162" s="268"/>
      <c r="K162" s="231"/>
      <c r="L162" s="230"/>
      <c r="M162" s="230"/>
      <c r="N162" s="230"/>
      <c r="O162" s="230"/>
      <c r="P162" s="230"/>
      <c r="Q162" s="268"/>
      <c r="R162" s="231"/>
      <c r="S162" s="269"/>
      <c r="T162" s="230"/>
      <c r="U162" s="230"/>
      <c r="V162" s="230"/>
      <c r="W162" s="230"/>
      <c r="X162" s="268"/>
      <c r="Y162" s="231"/>
      <c r="Z162" s="230"/>
      <c r="AA162" s="230"/>
      <c r="AB162" s="230"/>
      <c r="AC162" s="230"/>
      <c r="AD162" s="230"/>
      <c r="AE162" s="268"/>
      <c r="AF162" s="231"/>
      <c r="AG162" s="230"/>
      <c r="AH162" s="230"/>
      <c r="AI162" s="230"/>
      <c r="AJ162" s="230"/>
      <c r="AK162" s="232"/>
      <c r="AL162" s="217"/>
      <c r="AM162" s="171"/>
      <c r="AN162" s="196"/>
      <c r="AO162" s="196"/>
      <c r="AP162" s="196"/>
      <c r="AQ162" s="196"/>
      <c r="AR162" s="196"/>
      <c r="AS162" s="196"/>
      <c r="AT162" s="196"/>
      <c r="AU162" s="196"/>
      <c r="AV162" s="22"/>
      <c r="AW162" s="22"/>
    </row>
    <row r="163" spans="1:49">
      <c r="A163" s="605"/>
      <c r="B163" s="566"/>
      <c r="C163" s="534"/>
      <c r="D163" s="561"/>
      <c r="E163" s="281"/>
      <c r="F163" s="534"/>
      <c r="G163" s="179"/>
      <c r="H163" s="173" t="s">
        <v>113</v>
      </c>
      <c r="I163" s="230"/>
      <c r="J163" s="268"/>
      <c r="K163" s="231"/>
      <c r="L163" s="230"/>
      <c r="M163" s="230"/>
      <c r="N163" s="230"/>
      <c r="O163" s="230"/>
      <c r="P163" s="230"/>
      <c r="Q163" s="268"/>
      <c r="R163" s="231"/>
      <c r="S163" s="269"/>
      <c r="T163" s="230"/>
      <c r="U163" s="230"/>
      <c r="V163" s="230"/>
      <c r="W163" s="230"/>
      <c r="X163" s="268"/>
      <c r="Y163" s="231"/>
      <c r="Z163" s="230"/>
      <c r="AA163" s="230"/>
      <c r="AB163" s="230"/>
      <c r="AC163" s="230"/>
      <c r="AD163" s="230"/>
      <c r="AE163" s="268"/>
      <c r="AF163" s="231"/>
      <c r="AG163" s="230"/>
      <c r="AH163" s="230"/>
      <c r="AI163" s="230"/>
      <c r="AJ163" s="230"/>
      <c r="AK163" s="232"/>
      <c r="AL163" s="217"/>
      <c r="AM163" s="171"/>
      <c r="AN163" s="196"/>
      <c r="AO163" s="196"/>
      <c r="AP163" s="196"/>
      <c r="AQ163" s="196"/>
      <c r="AR163" s="196"/>
      <c r="AS163" s="196"/>
      <c r="AT163" s="196"/>
      <c r="AU163" s="196"/>
      <c r="AV163" s="22"/>
      <c r="AW163" s="22"/>
    </row>
    <row r="164" spans="1:49">
      <c r="A164" s="605"/>
      <c r="B164" s="566"/>
      <c r="C164" s="534"/>
      <c r="D164" s="561"/>
      <c r="E164" s="281"/>
      <c r="F164" s="534"/>
      <c r="G164" s="179"/>
      <c r="H164" s="168" t="s">
        <v>46</v>
      </c>
      <c r="I164" s="230">
        <f>$M$168*$D$153/4</f>
        <v>2287.5</v>
      </c>
      <c r="J164" s="268"/>
      <c r="K164" s="231"/>
      <c r="L164" s="230">
        <f>$M$168*$D$153/4</f>
        <v>2287.5</v>
      </c>
      <c r="M164" s="230">
        <f>$M$168*$D$153/4</f>
        <v>2287.5</v>
      </c>
      <c r="N164" s="230">
        <f>$M$168*$D$153/4</f>
        <v>2287.5</v>
      </c>
      <c r="O164" s="230">
        <f>$M$168*$D$153/4</f>
        <v>2287.5</v>
      </c>
      <c r="P164" s="230">
        <f>$M$168*$D$153/4</f>
        <v>2287.5</v>
      </c>
      <c r="Q164" s="268"/>
      <c r="R164" s="231"/>
      <c r="S164" s="269"/>
      <c r="T164" s="230">
        <f>$M$168*$D$153/4</f>
        <v>2287.5</v>
      </c>
      <c r="U164" s="230">
        <f>$M$168*$D$153/4</f>
        <v>2287.5</v>
      </c>
      <c r="V164" s="230">
        <f>$M$168*$D$153/4</f>
        <v>2287.5</v>
      </c>
      <c r="W164" s="230">
        <f>$M$168*$D$153/4</f>
        <v>2287.5</v>
      </c>
      <c r="X164" s="268"/>
      <c r="Y164" s="231"/>
      <c r="Z164" s="230">
        <f>$M$168*$D$153/4</f>
        <v>2287.5</v>
      </c>
      <c r="AA164" s="230">
        <f>$M$168*$D$153/4</f>
        <v>2287.5</v>
      </c>
      <c r="AB164" s="230">
        <f>$M$168*$D$153/4</f>
        <v>2287.5</v>
      </c>
      <c r="AC164" s="230">
        <f>$M$168*$D$153/4</f>
        <v>2287.5</v>
      </c>
      <c r="AD164" s="230">
        <f>$M$168*$D$153/4</f>
        <v>2287.5</v>
      </c>
      <c r="AE164" s="268"/>
      <c r="AF164" s="231"/>
      <c r="AG164" s="230">
        <f>$M$168*$D$153/4</f>
        <v>2287.5</v>
      </c>
      <c r="AH164" s="230">
        <f>$M$168*$D$153/4</f>
        <v>2287.5</v>
      </c>
      <c r="AI164" s="230">
        <f>$M$168*$D$153/4</f>
        <v>2287.5</v>
      </c>
      <c r="AJ164" s="230">
        <f>$M$168*$D$153/4</f>
        <v>2287.5</v>
      </c>
      <c r="AK164" s="232"/>
      <c r="AL164" s="217"/>
      <c r="AM164" s="171"/>
      <c r="AN164" s="196"/>
      <c r="AO164" s="196"/>
      <c r="AP164" s="196"/>
      <c r="AQ164" s="196"/>
      <c r="AR164" s="196"/>
      <c r="AS164" s="196"/>
      <c r="AT164" s="196"/>
      <c r="AU164" s="196"/>
      <c r="AV164" s="22"/>
      <c r="AW164" s="22"/>
    </row>
    <row r="165" spans="1:49">
      <c r="A165" s="605"/>
      <c r="B165" s="566"/>
      <c r="C165" s="534"/>
      <c r="D165" s="561"/>
      <c r="E165" s="281"/>
      <c r="F165" s="534"/>
      <c r="G165" s="179"/>
      <c r="H165" s="168" t="s">
        <v>47</v>
      </c>
      <c r="I165" s="230">
        <v>1</v>
      </c>
      <c r="J165" s="268"/>
      <c r="K165" s="231"/>
      <c r="L165" s="230">
        <v>1</v>
      </c>
      <c r="M165" s="230">
        <v>1</v>
      </c>
      <c r="N165" s="230">
        <v>1</v>
      </c>
      <c r="O165" s="230">
        <v>1</v>
      </c>
      <c r="P165" s="230">
        <v>1</v>
      </c>
      <c r="Q165" s="268"/>
      <c r="R165" s="231"/>
      <c r="S165" s="269"/>
      <c r="T165" s="230">
        <v>1</v>
      </c>
      <c r="U165" s="230">
        <v>1</v>
      </c>
      <c r="V165" s="230">
        <v>1</v>
      </c>
      <c r="W165" s="230">
        <v>1</v>
      </c>
      <c r="X165" s="268"/>
      <c r="Y165" s="231"/>
      <c r="Z165" s="230">
        <v>1</v>
      </c>
      <c r="AA165" s="230">
        <v>1</v>
      </c>
      <c r="AB165" s="230">
        <v>1</v>
      </c>
      <c r="AC165" s="230">
        <v>1</v>
      </c>
      <c r="AD165" s="230">
        <v>1</v>
      </c>
      <c r="AE165" s="268"/>
      <c r="AF165" s="231"/>
      <c r="AG165" s="230">
        <v>1</v>
      </c>
      <c r="AH165" s="230">
        <v>1</v>
      </c>
      <c r="AI165" s="230">
        <v>1</v>
      </c>
      <c r="AJ165" s="230">
        <v>1</v>
      </c>
      <c r="AK165" s="232"/>
      <c r="AL165" s="217"/>
      <c r="AM165" s="171"/>
      <c r="AN165" s="196"/>
      <c r="AO165" s="196"/>
      <c r="AP165" s="196"/>
      <c r="AQ165" s="196"/>
      <c r="AR165" s="196"/>
      <c r="AS165" s="196"/>
      <c r="AT165" s="196"/>
      <c r="AU165" s="196"/>
      <c r="AV165" s="22"/>
      <c r="AW165" s="22"/>
    </row>
    <row r="166" spans="1:49">
      <c r="A166" s="605"/>
      <c r="B166" s="566"/>
      <c r="C166" s="534"/>
      <c r="D166" s="561"/>
      <c r="E166" s="281"/>
      <c r="F166" s="534"/>
      <c r="G166" s="179"/>
      <c r="H166" s="173" t="s">
        <v>16</v>
      </c>
      <c r="I166" s="186">
        <f>SUMIFS('编织 缠绕 Winding, Braiding,'!$K$7:$K$1000,'编织 缠绕 Winding, Braiding,'!$A$7:$A$1000,'03'!I$2,'编织 缠绕 Winding, Braiding,'!$D$7:$D$1000,'03'!$A$153)</f>
        <v>0</v>
      </c>
      <c r="J166" s="187">
        <f>SUMIFS('编织 缠绕 Winding, Braiding,'!$K$7:$K$1000,'编织 缠绕 Winding, Braiding,'!$A$7:$A$1000,'03'!J$2,'编织 缠绕 Winding, Braiding,'!$D$7:$D$1000,'03'!$A$153)</f>
        <v>0</v>
      </c>
      <c r="K166" s="231"/>
      <c r="L166" s="186">
        <f>SUMIFS('编织 缠绕 Winding, Braiding,'!$K$7:$K$1000,'编织 缠绕 Winding, Braiding,'!$A$7:$A$1000,'03'!L$2,'编织 缠绕 Winding, Braiding,'!$D$7:$D$1000,'03'!$A$153)</f>
        <v>0</v>
      </c>
      <c r="M166" s="186">
        <f>SUMIFS('编织 缠绕 Winding, Braiding,'!$K$7:$K$1000,'编织 缠绕 Winding, Braiding,'!$A$7:$A$1000,'03'!M$2,'编织 缠绕 Winding, Braiding,'!$D$7:$D$1000,'03'!$A$153)</f>
        <v>136</v>
      </c>
      <c r="N166" s="186">
        <f>SUMIFS('编织 缠绕 Winding, Braiding,'!$K$7:$K$1000,'编织 缠绕 Winding, Braiding,'!$A$7:$A$1000,'03'!N$2,'编织 缠绕 Winding, Braiding,'!$D$7:$D$1000,'03'!$A$153)</f>
        <v>4464</v>
      </c>
      <c r="O166" s="186">
        <f>SUMIFS('编织 缠绕 Winding, Braiding,'!$K$7:$K$1000,'编织 缠绕 Winding, Braiding,'!$A$7:$A$1000,'03'!O$2,'编织 缠绕 Winding, Braiding,'!$D$7:$D$1000,'03'!$A$153)</f>
        <v>3623</v>
      </c>
      <c r="P166" s="186">
        <f>SUMIFS('编织 缠绕 Winding, Braiding,'!$K$7:$K$1000,'编织 缠绕 Winding, Braiding,'!$A$7:$A$1000,'03'!P$2,'编织 缠绕 Winding, Braiding,'!$D$7:$D$1000,'03'!$A$153)</f>
        <v>0</v>
      </c>
      <c r="Q166" s="187">
        <f>SUMIFS('编织 缠绕 Winding, Braiding,'!$K$7:$K$1000,'编织 缠绕 Winding, Braiding,'!$A$7:$A$1000,'03'!Q$2,'编织 缠绕 Winding, Braiding,'!$D$7:$D$1000,'03'!$A$153)</f>
        <v>4301</v>
      </c>
      <c r="R166" s="231"/>
      <c r="S166" s="269"/>
      <c r="T166" s="186">
        <f>SUMIFS('编织 缠绕 Winding, Braiding,'!$K$7:$K$1000,'编织 缠绕 Winding, Braiding,'!$A$7:$A$1000,'03'!T$2,'编织 缠绕 Winding, Braiding,'!$D$7:$D$1000,'03'!$A$153)</f>
        <v>2810</v>
      </c>
      <c r="U166" s="186">
        <f>SUMIFS('编织 缠绕 Winding, Braiding,'!$K$7:$K$1000,'编织 缠绕 Winding, Braiding,'!$A$7:$A$1000,'03'!U$2,'编织 缠绕 Winding, Braiding,'!$D$7:$D$1000,'03'!$A$153)</f>
        <v>0</v>
      </c>
      <c r="V166" s="186">
        <f>SUMIFS('编织 缠绕 Winding, Braiding,'!$K$7:$K$1000,'编织 缠绕 Winding, Braiding,'!$A$7:$A$1000,'03'!V$2,'编织 缠绕 Winding, Braiding,'!$D$7:$D$1000,'03'!$A$153)</f>
        <v>0</v>
      </c>
      <c r="W166" s="186">
        <f>SUMIFS('编织 缠绕 Winding, Braiding,'!$K$7:$K$1000,'编织 缠绕 Winding, Braiding,'!$A$7:$A$1000,'03'!W$2,'编织 缠绕 Winding, Braiding,'!$D$7:$D$1000,'03'!$A$153)</f>
        <v>0</v>
      </c>
      <c r="X166" s="187">
        <f>SUMIFS('编织 缠绕 Winding, Braiding,'!$K$7:$K$1000,'编织 缠绕 Winding, Braiding,'!$A$7:$A$1000,'03'!X$2,'编织 缠绕 Winding, Braiding,'!$D$7:$D$1000,'03'!$A$153)</f>
        <v>0</v>
      </c>
      <c r="Y166" s="231"/>
      <c r="Z166" s="186">
        <f>SUMIFS('编织 缠绕 Winding, Braiding,'!$K$7:$K$1000,'编织 缠绕 Winding, Braiding,'!$A$7:$A$1000,'03'!Z$2,'编织 缠绕 Winding, Braiding,'!$D$7:$D$1000,'03'!$A$153)</f>
        <v>0</v>
      </c>
      <c r="AA166" s="186">
        <f>SUMIFS('编织 缠绕 Winding, Braiding,'!$K$7:$K$1000,'编织 缠绕 Winding, Braiding,'!$A$7:$A$1000,'03'!AA$2,'编织 缠绕 Winding, Braiding,'!$D$7:$D$1000,'03'!$A$153)</f>
        <v>0</v>
      </c>
      <c r="AB166" s="186">
        <f>SUMIFS('编织 缠绕 Winding, Braiding,'!$K$7:$K$1000,'编织 缠绕 Winding, Braiding,'!$A$7:$A$1000,'03'!AB$2,'编织 缠绕 Winding, Braiding,'!$D$7:$D$1000,'03'!$A$153)</f>
        <v>0</v>
      </c>
      <c r="AC166" s="186">
        <f>SUMIFS('编织 缠绕 Winding, Braiding,'!$K$7:$K$1000,'编织 缠绕 Winding, Braiding,'!$A$7:$A$1000,'03'!AC$2,'编织 缠绕 Winding, Braiding,'!$D$7:$D$1000,'03'!$A$153)</f>
        <v>0</v>
      </c>
      <c r="AD166" s="186">
        <f>SUMIFS('编织 缠绕 Winding, Braiding,'!$K$7:$K$1000,'编织 缠绕 Winding, Braiding,'!$A$7:$A$1000,'03'!AD$2,'编织 缠绕 Winding, Braiding,'!$D$7:$D$1000,'03'!$A$153)</f>
        <v>0</v>
      </c>
      <c r="AE166" s="187">
        <f>SUMIFS('编织 缠绕 Winding, Braiding,'!$K$7:$K$1000,'编织 缠绕 Winding, Braiding,'!$A$7:$A$1000,'03'!AE$2,'编织 缠绕 Winding, Braiding,'!$D$7:$D$1000,'03'!$A$153)</f>
        <v>0</v>
      </c>
      <c r="AF166" s="231"/>
      <c r="AG166" s="186">
        <f>SUMIFS('编织 缠绕 Winding, Braiding,'!$K$7:$K$1000,'编织 缠绕 Winding, Braiding,'!$A$7:$A$1000,'03'!AG$2,'编织 缠绕 Winding, Braiding,'!$D$7:$D$1000,'03'!$A$153)</f>
        <v>0</v>
      </c>
      <c r="AH166" s="186">
        <f>SUMIFS('编织 缠绕 Winding, Braiding,'!$K$7:$K$1000,'编织 缠绕 Winding, Braiding,'!$A$7:$A$1000,'03'!AH$2,'编织 缠绕 Winding, Braiding,'!$D$7:$D$1000,'03'!$A$153)</f>
        <v>0</v>
      </c>
      <c r="AI166" s="186">
        <f>SUMIFS('编织 缠绕 Winding, Braiding,'!$K$7:$K$1000,'编织 缠绕 Winding, Braiding,'!$A$7:$A$1000,'03'!AI$2,'编织 缠绕 Winding, Braiding,'!$D$7:$D$1000,'03'!$A$153)</f>
        <v>0</v>
      </c>
      <c r="AJ166" s="186">
        <f>SUMIFS('编织 缠绕 Winding, Braiding,'!$K$7:$K$1000,'编织 缠绕 Winding, Braiding,'!$A$7:$A$1000,'03'!AJ$2,'编织 缠绕 Winding, Braiding,'!$D$7:$D$1000,'03'!$A$153)</f>
        <v>0</v>
      </c>
      <c r="AK166" s="232"/>
      <c r="AL166" s="217"/>
      <c r="AM166" s="171"/>
      <c r="AN166" s="196"/>
      <c r="AO166" s="196"/>
      <c r="AP166" s="196"/>
      <c r="AQ166" s="196"/>
      <c r="AR166" s="196"/>
      <c r="AS166" s="196"/>
      <c r="AT166" s="196"/>
      <c r="AU166" s="196"/>
      <c r="AV166" s="22"/>
      <c r="AW166" s="22"/>
    </row>
    <row r="167" spans="1:49">
      <c r="A167" s="605"/>
      <c r="B167" s="566"/>
      <c r="C167" s="534"/>
      <c r="D167" s="561"/>
      <c r="E167" s="281"/>
      <c r="F167" s="534"/>
      <c r="G167" s="179"/>
      <c r="H167" s="173" t="s">
        <v>113</v>
      </c>
      <c r="I167" s="31">
        <f>I166-I164</f>
        <v>-2287.5</v>
      </c>
      <c r="J167" s="192">
        <f>I167+(J166-J164)</f>
        <v>-2287.5</v>
      </c>
      <c r="K167" s="188"/>
      <c r="L167" s="31">
        <f>J167+(L166-L164)</f>
        <v>-4575</v>
      </c>
      <c r="M167" s="31">
        <f>L167+(M166-M164)</f>
        <v>-6726.5</v>
      </c>
      <c r="N167" s="230"/>
      <c r="O167" s="230"/>
      <c r="P167" s="230"/>
      <c r="Q167" s="268"/>
      <c r="R167" s="231"/>
      <c r="S167" s="269"/>
      <c r="T167" s="230"/>
      <c r="U167" s="230"/>
      <c r="V167" s="230"/>
      <c r="W167" s="230"/>
      <c r="X167" s="268"/>
      <c r="Y167" s="231"/>
      <c r="Z167" s="230"/>
      <c r="AA167" s="230"/>
      <c r="AB167" s="230"/>
      <c r="AC167" s="230"/>
      <c r="AD167" s="230"/>
      <c r="AE167" s="268"/>
      <c r="AF167" s="231"/>
      <c r="AG167" s="230"/>
      <c r="AH167" s="230"/>
      <c r="AI167" s="230"/>
      <c r="AJ167" s="230"/>
      <c r="AK167" s="232"/>
      <c r="AL167" s="217"/>
      <c r="AM167" s="171"/>
      <c r="AN167" s="196"/>
      <c r="AO167" s="196"/>
      <c r="AP167" s="196"/>
      <c r="AQ167" s="196"/>
      <c r="AR167" s="196"/>
      <c r="AS167" s="196"/>
      <c r="AT167" s="196"/>
      <c r="AU167" s="196"/>
      <c r="AV167" s="22"/>
      <c r="AW167" s="22"/>
    </row>
    <row r="168" spans="1:49">
      <c r="A168" s="605"/>
      <c r="B168" s="566"/>
      <c r="C168" s="534"/>
      <c r="D168" s="561"/>
      <c r="E168" s="281"/>
      <c r="F168" s="534"/>
      <c r="G168" s="179"/>
      <c r="H168" s="168" t="s">
        <v>29</v>
      </c>
      <c r="I168" s="230"/>
      <c r="J168" s="268"/>
      <c r="K168" s="231"/>
      <c r="L168" s="230"/>
      <c r="M168" s="230">
        <f>($C$153*4)</f>
        <v>6000</v>
      </c>
      <c r="N168" s="230"/>
      <c r="O168" s="230"/>
      <c r="P168" s="230"/>
      <c r="Q168" s="268"/>
      <c r="R168" s="231"/>
      <c r="S168" s="269"/>
      <c r="T168" s="230">
        <f>($C$153*4)</f>
        <v>6000</v>
      </c>
      <c r="U168" s="230"/>
      <c r="V168" s="230"/>
      <c r="W168" s="230"/>
      <c r="X168" s="268"/>
      <c r="Y168" s="231"/>
      <c r="Z168" s="230">
        <f>($C$153*4)</f>
        <v>6000</v>
      </c>
      <c r="AA168" s="230"/>
      <c r="AB168" s="230"/>
      <c r="AC168" s="230"/>
      <c r="AD168" s="230">
        <f>($C$153*4)</f>
        <v>6000</v>
      </c>
      <c r="AE168" s="268"/>
      <c r="AF168" s="231"/>
      <c r="AG168" s="230"/>
      <c r="AH168" s="230"/>
      <c r="AI168" s="230"/>
      <c r="AJ168" s="230">
        <f>($C$153*4)</f>
        <v>6000</v>
      </c>
      <c r="AK168" s="232"/>
      <c r="AL168" s="217"/>
      <c r="AM168" s="171"/>
      <c r="AN168" s="196"/>
      <c r="AO168" s="196"/>
      <c r="AP168" s="196"/>
      <c r="AQ168" s="196"/>
      <c r="AR168" s="196"/>
      <c r="AS168" s="196"/>
      <c r="AT168" s="196"/>
      <c r="AU168" s="196"/>
      <c r="AV168" s="22"/>
      <c r="AW168" s="22"/>
    </row>
    <row r="169" spans="1:49">
      <c r="A169" s="609"/>
      <c r="B169" s="567"/>
      <c r="C169" s="534"/>
      <c r="D169" s="561"/>
      <c r="E169" s="281"/>
      <c r="F169" s="534"/>
      <c r="G169" s="172"/>
      <c r="H169" s="168" t="s">
        <v>48</v>
      </c>
      <c r="I169" s="186"/>
      <c r="J169" s="187"/>
      <c r="K169" s="188"/>
      <c r="L169" s="186"/>
      <c r="M169" s="186">
        <v>1</v>
      </c>
      <c r="N169" s="186"/>
      <c r="O169" s="186"/>
      <c r="P169" s="186"/>
      <c r="Q169" s="187"/>
      <c r="R169" s="188"/>
      <c r="S169" s="189"/>
      <c r="T169" s="186">
        <v>1</v>
      </c>
      <c r="U169" s="186"/>
      <c r="V169" s="186"/>
      <c r="W169" s="186"/>
      <c r="X169" s="268"/>
      <c r="Y169" s="188"/>
      <c r="Z169" s="186">
        <v>1</v>
      </c>
      <c r="AA169" s="186"/>
      <c r="AB169" s="186"/>
      <c r="AC169" s="186"/>
      <c r="AD169" s="186">
        <v>1</v>
      </c>
      <c r="AE169" s="268"/>
      <c r="AF169" s="188"/>
      <c r="AG169" s="186"/>
      <c r="AH169" s="186"/>
      <c r="AI169" s="186"/>
      <c r="AJ169" s="186">
        <v>1</v>
      </c>
      <c r="AK169" s="190"/>
      <c r="AL169" s="217"/>
      <c r="AM169" s="171"/>
      <c r="AN169" s="229"/>
      <c r="AO169" s="229"/>
      <c r="AP169" s="229"/>
      <c r="AQ169" s="196"/>
      <c r="AR169" s="196"/>
      <c r="AS169" s="196"/>
      <c r="AT169" s="196"/>
      <c r="AU169" s="196"/>
      <c r="AV169" s="22"/>
      <c r="AW169" s="22"/>
    </row>
    <row r="170" spans="1:49">
      <c r="A170" s="574"/>
      <c r="B170" s="612"/>
      <c r="C170" s="534"/>
      <c r="D170" s="561"/>
      <c r="E170" s="281"/>
      <c r="F170" s="534"/>
      <c r="G170" s="219"/>
      <c r="H170" s="173" t="s">
        <v>16</v>
      </c>
      <c r="I170" s="198"/>
      <c r="J170" s="221"/>
      <c r="K170" s="222"/>
      <c r="L170" s="198"/>
      <c r="M170" s="198"/>
      <c r="N170" s="198"/>
      <c r="O170" s="198"/>
      <c r="P170" s="198"/>
      <c r="Q170" s="221"/>
      <c r="R170" s="222"/>
      <c r="S170" s="235"/>
      <c r="T170" s="198"/>
      <c r="U170" s="198"/>
      <c r="V170" s="198"/>
      <c r="W170" s="198"/>
      <c r="X170" s="282"/>
      <c r="Y170" s="222"/>
      <c r="Z170" s="198"/>
      <c r="AA170" s="198"/>
      <c r="AB170" s="198"/>
      <c r="AC170" s="198"/>
      <c r="AD170" s="198"/>
      <c r="AE170" s="282"/>
      <c r="AF170" s="222"/>
      <c r="AG170" s="198"/>
      <c r="AH170" s="198"/>
      <c r="AI170" s="198"/>
      <c r="AJ170" s="198"/>
      <c r="AK170" s="249"/>
      <c r="AL170" s="283"/>
      <c r="AM170" s="284"/>
      <c r="AN170" s="229"/>
      <c r="AO170" s="229"/>
      <c r="AP170" s="229"/>
      <c r="AQ170" s="196"/>
      <c r="AR170" s="196"/>
      <c r="AS170" s="196"/>
      <c r="AT170" s="196"/>
      <c r="AU170" s="196"/>
      <c r="AV170" s="22"/>
      <c r="AW170" s="22"/>
    </row>
    <row r="171" spans="1:49" ht="15.75" thickBot="1">
      <c r="A171" s="610"/>
      <c r="B171" s="613"/>
      <c r="C171" s="535"/>
      <c r="D171" s="562"/>
      <c r="E171" s="285"/>
      <c r="F171" s="535"/>
      <c r="G171" s="207"/>
      <c r="H171" s="204" t="s">
        <v>113</v>
      </c>
      <c r="I171" s="239"/>
      <c r="J171" s="240"/>
      <c r="K171" s="241"/>
      <c r="L171" s="239"/>
      <c r="M171" s="239"/>
      <c r="N171" s="239"/>
      <c r="O171" s="239"/>
      <c r="P171" s="239"/>
      <c r="Q171" s="240"/>
      <c r="R171" s="241"/>
      <c r="S171" s="242"/>
      <c r="T171" s="239"/>
      <c r="U171" s="239"/>
      <c r="V171" s="239"/>
      <c r="W171" s="239"/>
      <c r="X171" s="240"/>
      <c r="Y171" s="241"/>
      <c r="Z171" s="239"/>
      <c r="AA171" s="239"/>
      <c r="AB171" s="239"/>
      <c r="AC171" s="239"/>
      <c r="AD171" s="239"/>
      <c r="AE171" s="240"/>
      <c r="AF171" s="241"/>
      <c r="AG171" s="239"/>
      <c r="AH171" s="239"/>
      <c r="AI171" s="239"/>
      <c r="AJ171" s="239"/>
      <c r="AK171" s="243"/>
      <c r="AL171" s="262"/>
      <c r="AM171" s="263"/>
      <c r="AN171" s="229"/>
      <c r="AO171" s="229"/>
      <c r="AP171" s="229"/>
      <c r="AQ171" s="196"/>
      <c r="AR171" s="196"/>
      <c r="AS171" s="196"/>
      <c r="AT171" s="196"/>
      <c r="AU171" s="196"/>
      <c r="AV171" s="22"/>
      <c r="AW171" s="22"/>
    </row>
    <row r="172" spans="1:49">
      <c r="A172" s="583" t="s">
        <v>64</v>
      </c>
      <c r="B172" s="530"/>
      <c r="C172" s="586"/>
      <c r="D172" s="586"/>
      <c r="E172" s="586"/>
      <c r="F172" s="586"/>
      <c r="G172" s="489" t="s">
        <v>243</v>
      </c>
      <c r="H172" s="17" t="s">
        <v>13</v>
      </c>
      <c r="I172" s="18">
        <f>($N$221*2)/4</f>
        <v>6700</v>
      </c>
      <c r="J172" s="250"/>
      <c r="K172" s="19"/>
      <c r="L172" s="18">
        <f t="shared" ref="L172:P172" si="38">($N$221*2)/4</f>
        <v>6700</v>
      </c>
      <c r="M172" s="18">
        <f t="shared" si="38"/>
        <v>6700</v>
      </c>
      <c r="N172" s="18">
        <f t="shared" si="38"/>
        <v>6700</v>
      </c>
      <c r="O172" s="18">
        <f t="shared" si="38"/>
        <v>6700</v>
      </c>
      <c r="P172" s="18">
        <f t="shared" si="38"/>
        <v>6700</v>
      </c>
      <c r="Q172" s="250"/>
      <c r="R172" s="19"/>
      <c r="S172" s="252"/>
      <c r="T172" s="18">
        <f t="shared" ref="T172:W172" si="39">($N$221*2)/4</f>
        <v>6700</v>
      </c>
      <c r="U172" s="18">
        <f t="shared" si="39"/>
        <v>6700</v>
      </c>
      <c r="V172" s="18">
        <f t="shared" si="39"/>
        <v>6700</v>
      </c>
      <c r="W172" s="18">
        <f t="shared" si="39"/>
        <v>6700</v>
      </c>
      <c r="X172" s="250"/>
      <c r="Y172" s="19"/>
      <c r="Z172" s="18">
        <f t="shared" ref="Z172:AD172" si="40">($N$221*2)/4</f>
        <v>6700</v>
      </c>
      <c r="AA172" s="18">
        <f t="shared" si="40"/>
        <v>6700</v>
      </c>
      <c r="AB172" s="18">
        <f t="shared" si="40"/>
        <v>6700</v>
      </c>
      <c r="AC172" s="18">
        <f t="shared" si="40"/>
        <v>6700</v>
      </c>
      <c r="AD172" s="18">
        <f t="shared" si="40"/>
        <v>6700</v>
      </c>
      <c r="AE172" s="250"/>
      <c r="AF172" s="19"/>
      <c r="AG172" s="18">
        <f t="shared" ref="AG172:AJ172" si="41">($N$221*2)/4</f>
        <v>6700</v>
      </c>
      <c r="AH172" s="18">
        <f t="shared" si="41"/>
        <v>6700</v>
      </c>
      <c r="AI172" s="18">
        <f t="shared" si="41"/>
        <v>6700</v>
      </c>
      <c r="AJ172" s="18">
        <f t="shared" si="41"/>
        <v>6700</v>
      </c>
      <c r="AK172" s="286"/>
      <c r="AL172" s="287"/>
      <c r="AM172" s="288"/>
      <c r="AN172" s="196"/>
      <c r="AO172" s="196"/>
      <c r="AP172" s="196"/>
      <c r="AQ172" s="196"/>
      <c r="AR172" s="196"/>
      <c r="AS172" s="196"/>
      <c r="AT172" s="22"/>
      <c r="AU172" s="22"/>
      <c r="AV172" s="22"/>
      <c r="AW172" s="22"/>
    </row>
    <row r="173" spans="1:49">
      <c r="A173" s="584"/>
      <c r="B173" s="531"/>
      <c r="C173" s="587"/>
      <c r="D173" s="587"/>
      <c r="E173" s="587"/>
      <c r="F173" s="587"/>
      <c r="G173" s="29"/>
      <c r="H173" s="24" t="s">
        <v>15</v>
      </c>
      <c r="I173" s="25">
        <v>1</v>
      </c>
      <c r="J173" s="192"/>
      <c r="K173" s="26"/>
      <c r="L173" s="25">
        <v>1</v>
      </c>
      <c r="M173" s="25">
        <v>1</v>
      </c>
      <c r="N173" s="25">
        <v>1</v>
      </c>
      <c r="O173" s="25">
        <v>1</v>
      </c>
      <c r="P173" s="25">
        <v>1</v>
      </c>
      <c r="Q173" s="192"/>
      <c r="R173" s="26"/>
      <c r="S173" s="254"/>
      <c r="T173" s="25">
        <v>1</v>
      </c>
      <c r="U173" s="25">
        <v>1</v>
      </c>
      <c r="V173" s="25">
        <v>1</v>
      </c>
      <c r="W173" s="25">
        <v>1</v>
      </c>
      <c r="X173" s="192"/>
      <c r="Y173" s="26"/>
      <c r="Z173" s="25">
        <v>1</v>
      </c>
      <c r="AA173" s="25">
        <v>1</v>
      </c>
      <c r="AB173" s="25">
        <v>1</v>
      </c>
      <c r="AC173" s="25">
        <v>1</v>
      </c>
      <c r="AD173" s="25">
        <v>1</v>
      </c>
      <c r="AE173" s="192"/>
      <c r="AF173" s="26"/>
      <c r="AG173" s="25">
        <v>1</v>
      </c>
      <c r="AH173" s="25">
        <v>1</v>
      </c>
      <c r="AI173" s="25">
        <v>1</v>
      </c>
      <c r="AJ173" s="25">
        <v>1</v>
      </c>
      <c r="AK173" s="254"/>
      <c r="AL173" s="289"/>
      <c r="AM173" s="290"/>
      <c r="AN173" s="196"/>
      <c r="AO173" s="196"/>
      <c r="AP173" s="196"/>
      <c r="AQ173" s="196"/>
      <c r="AR173" s="196"/>
      <c r="AS173" s="196"/>
      <c r="AT173" s="22"/>
      <c r="AU173" s="22"/>
      <c r="AV173" s="22"/>
      <c r="AW173" s="22"/>
    </row>
    <row r="174" spans="1:49">
      <c r="A174" s="584"/>
      <c r="B174" s="531"/>
      <c r="C174" s="587"/>
      <c r="D174" s="587"/>
      <c r="E174" s="587"/>
      <c r="F174" s="587"/>
      <c r="G174" s="29"/>
      <c r="H174" s="30" t="s">
        <v>16</v>
      </c>
      <c r="I174" s="186">
        <f>SUMIFS('絞線Twisting wire'!$K$7:$K$1000,'絞線Twisting wire'!$A$7:$A$1000,'03'!I$2,'絞線Twisting wire'!$D$7:$D$1000,'03'!$G$172)</f>
        <v>0</v>
      </c>
      <c r="J174" s="187">
        <f>SUMIFS('絞線Twisting wire'!$K$7:$K$1000,'絞線Twisting wire'!$A$7:$A$1000,'03'!J$2,'絞線Twisting wire'!$D$7:$D$1000,'03'!$G$172)</f>
        <v>0</v>
      </c>
      <c r="K174" s="26"/>
      <c r="L174" s="186">
        <f>SUMIFS('絞線Twisting wire'!$K$7:$K$1000,'絞線Twisting wire'!$A$7:$A$1000,'03'!L$2,'絞線Twisting wire'!$D$7:$D$1000,'03'!$G$172)</f>
        <v>0</v>
      </c>
      <c r="M174" s="186">
        <f>SUMIFS('絞線Twisting wire'!$K$7:$K$1000,'絞線Twisting wire'!$A$7:$A$1000,'03'!M$2,'絞線Twisting wire'!$D$7:$D$1000,'03'!$G$172)</f>
        <v>0</v>
      </c>
      <c r="N174" s="186">
        <f>SUMIFS('絞線Twisting wire'!$K$7:$K$1000,'絞線Twisting wire'!$A$7:$A$1000,'03'!N$2,'絞線Twisting wire'!$D$7:$D$1000,'03'!$G$172)</f>
        <v>38213</v>
      </c>
      <c r="O174" s="186">
        <f>SUMIFS('絞線Twisting wire'!$K$7:$K$1000,'絞線Twisting wire'!$A$7:$A$1000,'03'!O$2,'絞線Twisting wire'!$D$7:$D$1000,'03'!$G$172)</f>
        <v>40612</v>
      </c>
      <c r="P174" s="186">
        <f>SUMIFS('絞線Twisting wire'!$K$7:$K$1000,'絞線Twisting wire'!$A$7:$A$1000,'03'!P$2,'絞線Twisting wire'!$D$7:$D$1000,'03'!$G$172)</f>
        <v>40790</v>
      </c>
      <c r="Q174" s="187">
        <f>SUMIFS('絞線Twisting wire'!$K$7:$K$1000,'絞線Twisting wire'!$A$7:$A$1000,'03'!Q$2,'絞線Twisting wire'!$D$7:$D$1000,'03'!$G$172)</f>
        <v>23962</v>
      </c>
      <c r="R174" s="26"/>
      <c r="S174" s="254"/>
      <c r="T174" s="186">
        <f>SUMIFS('絞線Twisting wire'!$K$7:$K$1000,'絞線Twisting wire'!$A$7:$A$1000,'03'!T$2,'絞線Twisting wire'!$D$7:$D$1000,'03'!$G$172)</f>
        <v>0</v>
      </c>
      <c r="U174" s="186">
        <f>SUMIFS('絞線Twisting wire'!$K$7:$K$1000,'絞線Twisting wire'!$A$7:$A$1000,'03'!U$2,'絞線Twisting wire'!$D$7:$D$1000,'03'!$G$172)</f>
        <v>0</v>
      </c>
      <c r="V174" s="186">
        <f>SUMIFS('絞線Twisting wire'!$K$7:$K$1000,'絞線Twisting wire'!$A$7:$A$1000,'03'!V$2,'絞線Twisting wire'!$D$7:$D$1000,'03'!$G$172)</f>
        <v>0</v>
      </c>
      <c r="W174" s="186">
        <f>SUMIFS('絞線Twisting wire'!$K$7:$K$1000,'絞線Twisting wire'!$A$7:$A$1000,'03'!W$2,'絞線Twisting wire'!$D$7:$D$1000,'03'!$G$172)</f>
        <v>0</v>
      </c>
      <c r="X174" s="187">
        <f>SUMIFS('絞線Twisting wire'!$K$7:$K$1000,'絞線Twisting wire'!$A$7:$A$1000,'03'!X$2,'絞線Twisting wire'!$D$7:$D$1000,'03'!$G$172)</f>
        <v>0</v>
      </c>
      <c r="Y174" s="26"/>
      <c r="Z174" s="186">
        <f>SUMIFS('絞線Twisting wire'!$K$7:$K$1000,'絞線Twisting wire'!$A$7:$A$1000,'03'!Z$2,'絞線Twisting wire'!$D$7:$D$1000,'03'!$G$172)</f>
        <v>0</v>
      </c>
      <c r="AA174" s="186">
        <f>SUMIFS('絞線Twisting wire'!$K$7:$K$1000,'絞線Twisting wire'!$A$7:$A$1000,'03'!AA$2,'絞線Twisting wire'!$D$7:$D$1000,'03'!$G$172)</f>
        <v>0</v>
      </c>
      <c r="AB174" s="186">
        <f>SUMIFS('絞線Twisting wire'!$K$7:$K$1000,'絞線Twisting wire'!$A$7:$A$1000,'03'!AB$2,'絞線Twisting wire'!$D$7:$D$1000,'03'!$G$172)</f>
        <v>0</v>
      </c>
      <c r="AC174" s="186">
        <f>SUMIFS('絞線Twisting wire'!$K$7:$K$1000,'絞線Twisting wire'!$A$7:$A$1000,'03'!AC$2,'絞線Twisting wire'!$D$7:$D$1000,'03'!$G$172)</f>
        <v>0</v>
      </c>
      <c r="AD174" s="186">
        <f>SUMIFS('絞線Twisting wire'!$K$7:$K$1000,'絞線Twisting wire'!$A$7:$A$1000,'03'!AD$2,'絞線Twisting wire'!$D$7:$D$1000,'03'!$G$172)</f>
        <v>0</v>
      </c>
      <c r="AE174" s="187">
        <f>SUMIFS('絞線Twisting wire'!$K$7:$K$1000,'絞線Twisting wire'!$A$7:$A$1000,'03'!AE$2,'絞線Twisting wire'!$D$7:$D$1000,'03'!$G$172)</f>
        <v>0</v>
      </c>
      <c r="AF174" s="26"/>
      <c r="AG174" s="186">
        <f>SUMIFS('絞線Twisting wire'!$K$7:$K$1000,'絞線Twisting wire'!$A$7:$A$1000,'03'!AG$2,'絞線Twisting wire'!$D$7:$D$1000,'03'!$G$172)</f>
        <v>0</v>
      </c>
      <c r="AH174" s="186">
        <f>SUMIFS('絞線Twisting wire'!$K$7:$K$1000,'絞線Twisting wire'!$A$7:$A$1000,'03'!AH$2,'絞線Twisting wire'!$D$7:$D$1000,'03'!$G$172)</f>
        <v>0</v>
      </c>
      <c r="AI174" s="186">
        <f>SUMIFS('絞線Twisting wire'!$K$7:$K$1000,'絞線Twisting wire'!$A$7:$A$1000,'03'!AI$2,'絞線Twisting wire'!$D$7:$D$1000,'03'!$G$172)</f>
        <v>0</v>
      </c>
      <c r="AJ174" s="186">
        <f>SUMIFS('絞線Twisting wire'!$K$7:$K$1000,'絞線Twisting wire'!$A$7:$A$1000,'03'!AJ$2,'絞線Twisting wire'!$D$7:$D$1000,'03'!$G$172)</f>
        <v>0</v>
      </c>
      <c r="AK174" s="254"/>
      <c r="AL174" s="289"/>
      <c r="AM174" s="290"/>
      <c r="AN174" s="196"/>
      <c r="AO174" s="196"/>
      <c r="AP174" s="196"/>
      <c r="AQ174" s="196"/>
      <c r="AR174" s="196"/>
      <c r="AS174" s="196"/>
      <c r="AT174" s="22"/>
      <c r="AU174" s="22"/>
      <c r="AV174" s="22"/>
      <c r="AW174" s="22"/>
    </row>
    <row r="175" spans="1:49">
      <c r="A175" s="584"/>
      <c r="B175" s="531"/>
      <c r="C175" s="587"/>
      <c r="D175" s="587"/>
      <c r="E175" s="587"/>
      <c r="F175" s="587"/>
      <c r="G175" s="29"/>
      <c r="H175" s="30" t="s">
        <v>113</v>
      </c>
      <c r="I175" s="31">
        <f>I174-I172</f>
        <v>-6700</v>
      </c>
      <c r="J175" s="192"/>
      <c r="K175" s="26"/>
      <c r="L175" s="31"/>
      <c r="M175" s="31"/>
      <c r="N175" s="31"/>
      <c r="O175" s="31"/>
      <c r="P175" s="31"/>
      <c r="Q175" s="192"/>
      <c r="R175" s="26"/>
      <c r="S175" s="254"/>
      <c r="T175" s="31"/>
      <c r="U175" s="31"/>
      <c r="V175" s="31"/>
      <c r="W175" s="31"/>
      <c r="X175" s="192"/>
      <c r="Y175" s="26"/>
      <c r="Z175" s="31"/>
      <c r="AA175" s="31"/>
      <c r="AB175" s="31"/>
      <c r="AC175" s="31"/>
      <c r="AD175" s="31"/>
      <c r="AE175" s="192"/>
      <c r="AF175" s="26"/>
      <c r="AG175" s="31"/>
      <c r="AH175" s="31"/>
      <c r="AI175" s="31"/>
      <c r="AJ175" s="31"/>
      <c r="AK175" s="254"/>
      <c r="AL175" s="289"/>
      <c r="AM175" s="290"/>
      <c r="AN175" s="196"/>
      <c r="AO175" s="196"/>
      <c r="AP175" s="196"/>
      <c r="AQ175" s="196"/>
      <c r="AR175" s="196"/>
      <c r="AS175" s="196"/>
      <c r="AT175" s="22"/>
      <c r="AU175" s="22"/>
      <c r="AV175" s="22"/>
      <c r="AW175" s="22"/>
    </row>
    <row r="176" spans="1:49">
      <c r="A176" s="584"/>
      <c r="B176" s="531"/>
      <c r="C176" s="587"/>
      <c r="D176" s="587"/>
      <c r="E176" s="587"/>
      <c r="F176" s="587"/>
      <c r="G176" s="488" t="s">
        <v>66</v>
      </c>
      <c r="H176" s="24" t="s">
        <v>67</v>
      </c>
      <c r="I176" s="47">
        <f>(($N$221)/4)*2</f>
        <v>6700</v>
      </c>
      <c r="J176" s="765"/>
      <c r="K176" s="64"/>
      <c r="L176" s="47">
        <f t="shared" ref="L176:P176" si="42">(($N$221)/4)*2</f>
        <v>6700</v>
      </c>
      <c r="M176" s="47">
        <f t="shared" si="42"/>
        <v>6700</v>
      </c>
      <c r="N176" s="47">
        <f t="shared" si="42"/>
        <v>6700</v>
      </c>
      <c r="O176" s="47">
        <f t="shared" si="42"/>
        <v>6700</v>
      </c>
      <c r="P176" s="47">
        <f t="shared" si="42"/>
        <v>6700</v>
      </c>
      <c r="Q176" s="765"/>
      <c r="R176" s="64"/>
      <c r="S176" s="286"/>
      <c r="T176" s="47">
        <f t="shared" ref="T176:W176" si="43">(($N$221)/4)*2</f>
        <v>6700</v>
      </c>
      <c r="U176" s="47">
        <f t="shared" si="43"/>
        <v>6700</v>
      </c>
      <c r="V176" s="47">
        <f t="shared" si="43"/>
        <v>6700</v>
      </c>
      <c r="W176" s="47">
        <f t="shared" si="43"/>
        <v>6700</v>
      </c>
      <c r="X176" s="765"/>
      <c r="Y176" s="64"/>
      <c r="Z176" s="47">
        <f t="shared" ref="Z176:AD176" si="44">(($N$221)/4)*2</f>
        <v>6700</v>
      </c>
      <c r="AA176" s="47">
        <f t="shared" si="44"/>
        <v>6700</v>
      </c>
      <c r="AB176" s="47">
        <f t="shared" si="44"/>
        <v>6700</v>
      </c>
      <c r="AC176" s="47">
        <f t="shared" si="44"/>
        <v>6700</v>
      </c>
      <c r="AD176" s="47">
        <f t="shared" si="44"/>
        <v>6700</v>
      </c>
      <c r="AE176" s="765"/>
      <c r="AF176" s="766"/>
      <c r="AG176" s="47">
        <f t="shared" ref="AG176:AJ176" si="45">(($N$221)/4)*2</f>
        <v>6700</v>
      </c>
      <c r="AH176" s="47">
        <f t="shared" si="45"/>
        <v>6700</v>
      </c>
      <c r="AI176" s="47">
        <f t="shared" si="45"/>
        <v>6700</v>
      </c>
      <c r="AJ176" s="47">
        <f t="shared" si="45"/>
        <v>6700</v>
      </c>
      <c r="AK176" s="254"/>
      <c r="AL176" s="289"/>
      <c r="AM176" s="290"/>
      <c r="AN176" s="196"/>
      <c r="AO176" s="196"/>
      <c r="AP176" s="196"/>
      <c r="AQ176" s="196"/>
      <c r="AR176" s="196"/>
      <c r="AS176" s="196"/>
      <c r="AT176" s="22"/>
      <c r="AU176" s="22"/>
      <c r="AV176" s="22"/>
      <c r="AW176" s="22"/>
    </row>
    <row r="177" spans="1:49">
      <c r="A177" s="584"/>
      <c r="B177" s="531"/>
      <c r="C177" s="587"/>
      <c r="D177" s="587"/>
      <c r="E177" s="587"/>
      <c r="F177" s="587"/>
      <c r="G177" s="29"/>
      <c r="H177" s="24" t="s">
        <v>15</v>
      </c>
      <c r="I177" s="25">
        <v>1</v>
      </c>
      <c r="J177" s="192"/>
      <c r="K177" s="26"/>
      <c r="L177" s="25">
        <v>1</v>
      </c>
      <c r="M177" s="25">
        <v>1</v>
      </c>
      <c r="N177" s="25">
        <v>1</v>
      </c>
      <c r="O177" s="25">
        <v>1</v>
      </c>
      <c r="P177" s="25">
        <v>1</v>
      </c>
      <c r="Q177" s="192"/>
      <c r="R177" s="26"/>
      <c r="S177" s="254"/>
      <c r="T177" s="25">
        <v>1</v>
      </c>
      <c r="U177" s="25">
        <v>1</v>
      </c>
      <c r="V177" s="25">
        <v>1</v>
      </c>
      <c r="W177" s="25">
        <v>1</v>
      </c>
      <c r="X177" s="192"/>
      <c r="Y177" s="26"/>
      <c r="Z177" s="25">
        <v>1</v>
      </c>
      <c r="AA177" s="25">
        <v>1</v>
      </c>
      <c r="AB177" s="25">
        <v>1</v>
      </c>
      <c r="AC177" s="25">
        <v>1</v>
      </c>
      <c r="AD177" s="25">
        <v>1</v>
      </c>
      <c r="AE177" s="192"/>
      <c r="AF177" s="291"/>
      <c r="AG177" s="25">
        <v>1</v>
      </c>
      <c r="AH177" s="25">
        <v>1</v>
      </c>
      <c r="AI177" s="25">
        <v>1</v>
      </c>
      <c r="AJ177" s="25">
        <v>1</v>
      </c>
      <c r="AK177" s="254"/>
      <c r="AL177" s="289"/>
      <c r="AM177" s="290"/>
      <c r="AN177" s="196"/>
      <c r="AO177" s="196"/>
      <c r="AP177" s="196"/>
      <c r="AQ177" s="196"/>
      <c r="AR177" s="196"/>
      <c r="AS177" s="196"/>
      <c r="AT177" s="22"/>
      <c r="AU177" s="22"/>
      <c r="AV177" s="22"/>
      <c r="AW177" s="22"/>
    </row>
    <row r="178" spans="1:49">
      <c r="A178" s="584"/>
      <c r="B178" s="531"/>
      <c r="C178" s="587"/>
      <c r="D178" s="587"/>
      <c r="E178" s="587"/>
      <c r="F178" s="587"/>
      <c r="G178" s="29"/>
      <c r="H178" s="30" t="s">
        <v>16</v>
      </c>
      <c r="I178" s="186">
        <f>SUMIFS('絞線Twisting wire'!$K$7:$K$1000,'絞線Twisting wire'!$A$7:$A$1000,'03'!I$2,'絞線Twisting wire'!$D$7:$D$1000,'03'!$G$176)</f>
        <v>0</v>
      </c>
      <c r="J178" s="187">
        <f>SUMIFS('絞線Twisting wire'!$K$7:$K$1000,'絞線Twisting wire'!$A$7:$A$1000,'03'!J$2,'絞線Twisting wire'!$D$7:$D$1000,'03'!$G$176)</f>
        <v>0</v>
      </c>
      <c r="K178" s="26"/>
      <c r="L178" s="186">
        <f>SUMIFS('絞線Twisting wire'!$K$7:$K$1000,'絞線Twisting wire'!$A$7:$A$1000,'03'!L$2,'絞線Twisting wire'!$D$7:$D$1000,'03'!$G$176)</f>
        <v>0</v>
      </c>
      <c r="M178" s="186">
        <f>SUMIFS('絞線Twisting wire'!$K$7:$K$1000,'絞線Twisting wire'!$A$7:$A$1000,'03'!M$2,'絞線Twisting wire'!$D$7:$D$1000,'03'!$G$176)</f>
        <v>0</v>
      </c>
      <c r="N178" s="186">
        <f>SUMIFS('絞線Twisting wire'!$K$7:$K$1000,'絞線Twisting wire'!$A$7:$A$1000,'03'!N$2,'絞線Twisting wire'!$D$7:$D$1000,'03'!$G$176)</f>
        <v>0</v>
      </c>
      <c r="O178" s="186">
        <f>SUMIFS('絞線Twisting wire'!$K$7:$K$1000,'絞線Twisting wire'!$A$7:$A$1000,'03'!O$2,'絞線Twisting wire'!$D$7:$D$1000,'03'!$G$176)</f>
        <v>0</v>
      </c>
      <c r="P178" s="186">
        <f>SUMIFS('絞線Twisting wire'!$K$7:$K$1000,'絞線Twisting wire'!$A$7:$A$1000,'03'!P$2,'絞線Twisting wire'!$D$7:$D$1000,'03'!$G$176)</f>
        <v>0</v>
      </c>
      <c r="Q178" s="187">
        <f>SUMIFS('絞線Twisting wire'!$K$7:$K$1000,'絞線Twisting wire'!$A$7:$A$1000,'03'!Q$2,'絞線Twisting wire'!$D$7:$D$1000,'03'!$G$176)</f>
        <v>0</v>
      </c>
      <c r="R178" s="26"/>
      <c r="S178" s="254"/>
      <c r="T178" s="186">
        <f>SUMIFS('絞線Twisting wire'!$K$7:$K$1000,'絞線Twisting wire'!$A$7:$A$1000,'03'!T$2,'絞線Twisting wire'!$D$7:$D$1000,'03'!$G$176)</f>
        <v>0</v>
      </c>
      <c r="U178" s="186">
        <f>SUMIFS('絞線Twisting wire'!$K$7:$K$1000,'絞線Twisting wire'!$A$7:$A$1000,'03'!U$2,'絞線Twisting wire'!$D$7:$D$1000,'03'!$G$176)</f>
        <v>0</v>
      </c>
      <c r="V178" s="186">
        <f>SUMIFS('絞線Twisting wire'!$K$7:$K$1000,'絞線Twisting wire'!$A$7:$A$1000,'03'!V$2,'絞線Twisting wire'!$D$7:$D$1000,'03'!$G$176)</f>
        <v>0</v>
      </c>
      <c r="W178" s="186">
        <f>SUMIFS('絞線Twisting wire'!$K$7:$K$1000,'絞線Twisting wire'!$A$7:$A$1000,'03'!W$2,'絞線Twisting wire'!$D$7:$D$1000,'03'!$G$176)</f>
        <v>0</v>
      </c>
      <c r="X178" s="187">
        <f>SUMIFS('絞線Twisting wire'!$K$7:$K$1000,'絞線Twisting wire'!$A$7:$A$1000,'03'!X$2,'絞線Twisting wire'!$D$7:$D$1000,'03'!$G$176)</f>
        <v>0</v>
      </c>
      <c r="Y178" s="26"/>
      <c r="Z178" s="186">
        <f>SUMIFS('絞線Twisting wire'!$K$7:$K$1000,'絞線Twisting wire'!$A$7:$A$1000,'03'!Z$2,'絞線Twisting wire'!$D$7:$D$1000,'03'!$G$176)</f>
        <v>0</v>
      </c>
      <c r="AA178" s="186">
        <f>SUMIFS('絞線Twisting wire'!$K$7:$K$1000,'絞線Twisting wire'!$A$7:$A$1000,'03'!AA$2,'絞線Twisting wire'!$D$7:$D$1000,'03'!$G$176)</f>
        <v>0</v>
      </c>
      <c r="AB178" s="186">
        <f>SUMIFS('絞線Twisting wire'!$K$7:$K$1000,'絞線Twisting wire'!$A$7:$A$1000,'03'!AB$2,'絞線Twisting wire'!$D$7:$D$1000,'03'!$G$176)</f>
        <v>0</v>
      </c>
      <c r="AC178" s="186">
        <f>SUMIFS('絞線Twisting wire'!$K$7:$K$1000,'絞線Twisting wire'!$A$7:$A$1000,'03'!AC$2,'絞線Twisting wire'!$D$7:$D$1000,'03'!$G$176)</f>
        <v>0</v>
      </c>
      <c r="AD178" s="186">
        <f>SUMIFS('絞線Twisting wire'!$K$7:$K$1000,'絞線Twisting wire'!$A$7:$A$1000,'03'!AD$2,'絞線Twisting wire'!$D$7:$D$1000,'03'!$G$176)</f>
        <v>0</v>
      </c>
      <c r="AE178" s="187">
        <f>SUMIFS('絞線Twisting wire'!$K$7:$K$1000,'絞線Twisting wire'!$A$7:$A$1000,'03'!AE$2,'絞線Twisting wire'!$D$7:$D$1000,'03'!$G$176)</f>
        <v>0</v>
      </c>
      <c r="AF178" s="26"/>
      <c r="AG178" s="186">
        <f>SUMIFS('絞線Twisting wire'!$K$7:$K$1000,'絞線Twisting wire'!$A$7:$A$1000,'03'!AG$2,'絞線Twisting wire'!$D$7:$D$1000,'03'!$G$176)</f>
        <v>0</v>
      </c>
      <c r="AH178" s="186">
        <f>SUMIFS('絞線Twisting wire'!$K$7:$K$1000,'絞線Twisting wire'!$A$7:$A$1000,'03'!AH$2,'絞線Twisting wire'!$D$7:$D$1000,'03'!$G$176)</f>
        <v>0</v>
      </c>
      <c r="AI178" s="186">
        <f>SUMIFS('絞線Twisting wire'!$K$7:$K$1000,'絞線Twisting wire'!$A$7:$A$1000,'03'!AI$2,'絞線Twisting wire'!$D$7:$D$1000,'03'!$G$176)</f>
        <v>0</v>
      </c>
      <c r="AJ178" s="186">
        <f>SUMIFS('絞線Twisting wire'!$K$7:$K$1000,'絞線Twisting wire'!$A$7:$A$1000,'03'!AJ$2,'絞線Twisting wire'!$D$7:$D$1000,'03'!$G$176)</f>
        <v>0</v>
      </c>
      <c r="AK178" s="254"/>
      <c r="AL178" s="289"/>
      <c r="AM178" s="290"/>
      <c r="AN178" s="196"/>
      <c r="AO178" s="196"/>
      <c r="AP178" s="196"/>
      <c r="AQ178" s="196"/>
      <c r="AR178" s="196"/>
      <c r="AS178" s="196"/>
      <c r="AT178" s="22"/>
      <c r="AU178" s="22"/>
      <c r="AV178" s="22"/>
      <c r="AW178" s="22"/>
    </row>
    <row r="179" spans="1:49">
      <c r="A179" s="584"/>
      <c r="B179" s="531"/>
      <c r="C179" s="587"/>
      <c r="D179" s="587"/>
      <c r="E179" s="587"/>
      <c r="F179" s="587"/>
      <c r="G179" s="29"/>
      <c r="H179" s="30" t="s">
        <v>113</v>
      </c>
      <c r="I179" s="31">
        <f>I178-I176</f>
        <v>-6700</v>
      </c>
      <c r="J179" s="192"/>
      <c r="K179" s="26"/>
      <c r="L179" s="31"/>
      <c r="M179" s="31"/>
      <c r="N179" s="31"/>
      <c r="O179" s="31"/>
      <c r="P179" s="31"/>
      <c r="Q179" s="192"/>
      <c r="R179" s="26"/>
      <c r="S179" s="254"/>
      <c r="T179" s="31"/>
      <c r="U179" s="31"/>
      <c r="V179" s="31"/>
      <c r="W179" s="31"/>
      <c r="X179" s="192"/>
      <c r="Y179" s="26"/>
      <c r="Z179" s="31"/>
      <c r="AA179" s="31"/>
      <c r="AB179" s="31"/>
      <c r="AC179" s="31"/>
      <c r="AD179" s="31"/>
      <c r="AE179" s="192"/>
      <c r="AF179" s="26"/>
      <c r="AG179" s="31"/>
      <c r="AH179" s="31"/>
      <c r="AI179" s="31"/>
      <c r="AJ179" s="31"/>
      <c r="AK179" s="254"/>
      <c r="AL179" s="289"/>
      <c r="AM179" s="290"/>
      <c r="AN179" s="196"/>
      <c r="AO179" s="196"/>
      <c r="AP179" s="196"/>
      <c r="AQ179" s="196"/>
      <c r="AR179" s="196"/>
      <c r="AS179" s="196"/>
      <c r="AT179" s="22"/>
      <c r="AU179" s="22"/>
      <c r="AV179" s="22"/>
      <c r="AW179" s="22"/>
    </row>
    <row r="180" spans="1:49">
      <c r="A180" s="584"/>
      <c r="B180" s="531"/>
      <c r="C180" s="587"/>
      <c r="D180" s="587"/>
      <c r="E180" s="587"/>
      <c r="F180" s="587"/>
      <c r="G180" s="488" t="s">
        <v>68</v>
      </c>
      <c r="H180" s="24" t="s">
        <v>69</v>
      </c>
      <c r="I180" s="25">
        <f>(($N$221*2)/4)+$N$225</f>
        <v>20100</v>
      </c>
      <c r="J180" s="192"/>
      <c r="K180" s="26"/>
      <c r="L180" s="25">
        <f t="shared" ref="L180:P180" si="46">(($N$221*2)/4)+$N$225</f>
        <v>20100</v>
      </c>
      <c r="M180" s="25">
        <f t="shared" si="46"/>
        <v>20100</v>
      </c>
      <c r="N180" s="25">
        <f t="shared" si="46"/>
        <v>20100</v>
      </c>
      <c r="O180" s="25">
        <f t="shared" si="46"/>
        <v>20100</v>
      </c>
      <c r="P180" s="25">
        <f t="shared" si="46"/>
        <v>20100</v>
      </c>
      <c r="Q180" s="192"/>
      <c r="R180" s="26"/>
      <c r="S180" s="254"/>
      <c r="T180" s="25">
        <f t="shared" ref="T180:W180" si="47">(($N$221*2)/4)+$N$225</f>
        <v>20100</v>
      </c>
      <c r="U180" s="25">
        <f t="shared" si="47"/>
        <v>20100</v>
      </c>
      <c r="V180" s="25">
        <f t="shared" si="47"/>
        <v>20100</v>
      </c>
      <c r="W180" s="25">
        <f t="shared" si="47"/>
        <v>20100</v>
      </c>
      <c r="X180" s="192"/>
      <c r="Y180" s="26"/>
      <c r="Z180" s="25">
        <f t="shared" ref="Z180:AD180" si="48">(($N$221*2)/4)+$N$225</f>
        <v>20100</v>
      </c>
      <c r="AA180" s="25">
        <f t="shared" si="48"/>
        <v>20100</v>
      </c>
      <c r="AB180" s="25">
        <f t="shared" si="48"/>
        <v>20100</v>
      </c>
      <c r="AC180" s="25">
        <f t="shared" si="48"/>
        <v>20100</v>
      </c>
      <c r="AD180" s="25">
        <f t="shared" si="48"/>
        <v>20100</v>
      </c>
      <c r="AE180" s="192"/>
      <c r="AF180" s="26"/>
      <c r="AG180" s="25">
        <f t="shared" ref="AG180:AJ180" si="49">(($N$221*2)/4)+$N$225</f>
        <v>20100</v>
      </c>
      <c r="AH180" s="25">
        <f t="shared" si="49"/>
        <v>20100</v>
      </c>
      <c r="AI180" s="25">
        <f t="shared" si="49"/>
        <v>20100</v>
      </c>
      <c r="AJ180" s="25">
        <f t="shared" si="49"/>
        <v>20100</v>
      </c>
      <c r="AK180" s="254"/>
      <c r="AL180" s="289"/>
      <c r="AM180" s="290"/>
      <c r="AN180" s="196"/>
      <c r="AO180" s="196"/>
      <c r="AP180" s="196"/>
      <c r="AQ180" s="196"/>
      <c r="AR180" s="196"/>
      <c r="AS180" s="196"/>
      <c r="AT180" s="22"/>
      <c r="AU180" s="22"/>
      <c r="AV180" s="22"/>
      <c r="AW180" s="22"/>
    </row>
    <row r="181" spans="1:49">
      <c r="A181" s="584"/>
      <c r="B181" s="531"/>
      <c r="C181" s="587"/>
      <c r="D181" s="587"/>
      <c r="E181" s="587"/>
      <c r="F181" s="587"/>
      <c r="G181" s="29"/>
      <c r="H181" s="24" t="s">
        <v>15</v>
      </c>
      <c r="I181" s="25">
        <v>2</v>
      </c>
      <c r="J181" s="192"/>
      <c r="K181" s="26"/>
      <c r="L181" s="25">
        <v>2</v>
      </c>
      <c r="M181" s="25">
        <v>2</v>
      </c>
      <c r="N181" s="25">
        <v>2</v>
      </c>
      <c r="O181" s="25">
        <v>2</v>
      </c>
      <c r="P181" s="25">
        <v>2</v>
      </c>
      <c r="Q181" s="192"/>
      <c r="R181" s="26"/>
      <c r="S181" s="254"/>
      <c r="T181" s="25">
        <v>2</v>
      </c>
      <c r="U181" s="25">
        <v>2</v>
      </c>
      <c r="V181" s="25">
        <v>2</v>
      </c>
      <c r="W181" s="25">
        <v>2</v>
      </c>
      <c r="X181" s="192"/>
      <c r="Y181" s="26"/>
      <c r="Z181" s="25">
        <v>2</v>
      </c>
      <c r="AA181" s="25">
        <v>2</v>
      </c>
      <c r="AB181" s="25">
        <v>2</v>
      </c>
      <c r="AC181" s="25">
        <v>2</v>
      </c>
      <c r="AD181" s="25">
        <v>2</v>
      </c>
      <c r="AE181" s="192"/>
      <c r="AF181" s="26"/>
      <c r="AG181" s="25">
        <v>2</v>
      </c>
      <c r="AH181" s="25">
        <v>2</v>
      </c>
      <c r="AI181" s="25">
        <v>2</v>
      </c>
      <c r="AJ181" s="25">
        <v>2</v>
      </c>
      <c r="AK181" s="254"/>
      <c r="AL181" s="289"/>
      <c r="AM181" s="290"/>
      <c r="AN181" s="196"/>
      <c r="AO181" s="196"/>
      <c r="AP181" s="196"/>
      <c r="AQ181" s="196"/>
      <c r="AR181" s="196"/>
      <c r="AS181" s="196"/>
      <c r="AT181" s="22"/>
      <c r="AU181" s="22"/>
      <c r="AV181" s="22"/>
      <c r="AW181" s="22"/>
    </row>
    <row r="182" spans="1:49">
      <c r="A182" s="584"/>
      <c r="B182" s="531"/>
      <c r="C182" s="587"/>
      <c r="D182" s="587"/>
      <c r="E182" s="587"/>
      <c r="F182" s="587"/>
      <c r="G182" s="29"/>
      <c r="H182" s="30" t="s">
        <v>16</v>
      </c>
      <c r="I182" s="186">
        <f>SUMIFS('絞線Twisting wire'!$K$7:$K$1000,'絞線Twisting wire'!$A$7:$A$1000,'03'!I$2,'絞線Twisting wire'!$D$7:$D$1000,'03'!$G$180)</f>
        <v>0</v>
      </c>
      <c r="J182" s="187">
        <f>SUMIFS('絞線Twisting wire'!$K$7:$K$1000,'絞線Twisting wire'!$A$7:$A$1000,'03'!J$2,'絞線Twisting wire'!$D$7:$D$1000,'03'!$G$180)</f>
        <v>0</v>
      </c>
      <c r="K182" s="26"/>
      <c r="L182" s="186">
        <f>SUMIFS('絞線Twisting wire'!$K$7:$K$1000,'絞線Twisting wire'!$A$7:$A$1000,'03'!L$2,'絞線Twisting wire'!$D$7:$D$1000,'03'!$G$180)</f>
        <v>0</v>
      </c>
      <c r="M182" s="186">
        <f>SUMIFS('絞線Twisting wire'!$K$7:$K$1000,'絞線Twisting wire'!$A$7:$A$1000,'03'!M$2,'絞線Twisting wire'!$D$7:$D$1000,'03'!$G$180)</f>
        <v>0</v>
      </c>
      <c r="N182" s="186">
        <f>SUMIFS('絞線Twisting wire'!$K$7:$K$1000,'絞線Twisting wire'!$A$7:$A$1000,'03'!N$2,'絞線Twisting wire'!$D$7:$D$1000,'03'!$G$180)</f>
        <v>0</v>
      </c>
      <c r="O182" s="186">
        <f>SUMIFS('絞線Twisting wire'!$K$7:$K$1000,'絞線Twisting wire'!$A$7:$A$1000,'03'!O$2,'絞線Twisting wire'!$D$7:$D$1000,'03'!$G$180)</f>
        <v>0</v>
      </c>
      <c r="P182" s="186">
        <f>SUMIFS('絞線Twisting wire'!$K$7:$K$1000,'絞線Twisting wire'!$A$7:$A$1000,'03'!P$2,'絞線Twisting wire'!$D$7:$D$1000,'03'!$G$180)</f>
        <v>0</v>
      </c>
      <c r="Q182" s="187">
        <f>SUMIFS('絞線Twisting wire'!$K$7:$K$1000,'絞線Twisting wire'!$A$7:$A$1000,'03'!Q$2,'絞線Twisting wire'!$D$7:$D$1000,'03'!$G$180)</f>
        <v>0</v>
      </c>
      <c r="R182" s="26"/>
      <c r="S182" s="254"/>
      <c r="T182" s="186">
        <f>SUMIFS('絞線Twisting wire'!$K$7:$K$1000,'絞線Twisting wire'!$A$7:$A$1000,'03'!T$2,'絞線Twisting wire'!$D$7:$D$1000,'03'!$G$180)</f>
        <v>0</v>
      </c>
      <c r="U182" s="186">
        <f>SUMIFS('絞線Twisting wire'!$K$7:$K$1000,'絞線Twisting wire'!$A$7:$A$1000,'03'!U$2,'絞線Twisting wire'!$D$7:$D$1000,'03'!$G$180)</f>
        <v>0</v>
      </c>
      <c r="V182" s="186">
        <f>SUMIFS('絞線Twisting wire'!$K$7:$K$1000,'絞線Twisting wire'!$A$7:$A$1000,'03'!V$2,'絞線Twisting wire'!$D$7:$D$1000,'03'!$G$180)</f>
        <v>0</v>
      </c>
      <c r="W182" s="186">
        <f>SUMIFS('絞線Twisting wire'!$K$7:$K$1000,'絞線Twisting wire'!$A$7:$A$1000,'03'!W$2,'絞線Twisting wire'!$D$7:$D$1000,'03'!$G$180)</f>
        <v>0</v>
      </c>
      <c r="X182" s="187">
        <f>SUMIFS('絞線Twisting wire'!$K$7:$K$1000,'絞線Twisting wire'!$A$7:$A$1000,'03'!X$2,'絞線Twisting wire'!$D$7:$D$1000,'03'!$G$180)</f>
        <v>0</v>
      </c>
      <c r="Y182" s="26"/>
      <c r="Z182" s="186">
        <f>SUMIFS('絞線Twisting wire'!$K$7:$K$1000,'絞線Twisting wire'!$A$7:$A$1000,'03'!Z$2,'絞線Twisting wire'!$D$7:$D$1000,'03'!$G$180)</f>
        <v>0</v>
      </c>
      <c r="AA182" s="186">
        <f>SUMIFS('絞線Twisting wire'!$K$7:$K$1000,'絞線Twisting wire'!$A$7:$A$1000,'03'!AA$2,'絞線Twisting wire'!$D$7:$D$1000,'03'!$G$180)</f>
        <v>0</v>
      </c>
      <c r="AB182" s="186">
        <f>SUMIFS('絞線Twisting wire'!$K$7:$K$1000,'絞線Twisting wire'!$A$7:$A$1000,'03'!AB$2,'絞線Twisting wire'!$D$7:$D$1000,'03'!$G$180)</f>
        <v>0</v>
      </c>
      <c r="AC182" s="186">
        <f>SUMIFS('絞線Twisting wire'!$K$7:$K$1000,'絞線Twisting wire'!$A$7:$A$1000,'03'!AC$2,'絞線Twisting wire'!$D$7:$D$1000,'03'!$G$180)</f>
        <v>0</v>
      </c>
      <c r="AD182" s="186">
        <f>SUMIFS('絞線Twisting wire'!$K$7:$K$1000,'絞線Twisting wire'!$A$7:$A$1000,'03'!AD$2,'絞線Twisting wire'!$D$7:$D$1000,'03'!$G$180)</f>
        <v>0</v>
      </c>
      <c r="AE182" s="187">
        <f>SUMIFS('絞線Twisting wire'!$K$7:$K$1000,'絞線Twisting wire'!$A$7:$A$1000,'03'!AE$2,'絞線Twisting wire'!$D$7:$D$1000,'03'!$G$180)</f>
        <v>0</v>
      </c>
      <c r="AF182" s="26"/>
      <c r="AG182" s="186">
        <f>SUMIFS('絞線Twisting wire'!$K$7:$K$1000,'絞線Twisting wire'!$A$7:$A$1000,'03'!AG$2,'絞線Twisting wire'!$D$7:$D$1000,'03'!$G$180)</f>
        <v>0</v>
      </c>
      <c r="AH182" s="186">
        <f>SUMIFS('絞線Twisting wire'!$K$7:$K$1000,'絞線Twisting wire'!$A$7:$A$1000,'03'!AH$2,'絞線Twisting wire'!$D$7:$D$1000,'03'!$G$180)</f>
        <v>0</v>
      </c>
      <c r="AI182" s="186">
        <f>SUMIFS('絞線Twisting wire'!$K$7:$K$1000,'絞線Twisting wire'!$A$7:$A$1000,'03'!AI$2,'絞線Twisting wire'!$D$7:$D$1000,'03'!$G$180)</f>
        <v>0</v>
      </c>
      <c r="AJ182" s="186">
        <f>SUMIFS('絞線Twisting wire'!$K$7:$K$1000,'絞線Twisting wire'!$A$7:$A$1000,'03'!AJ$2,'絞線Twisting wire'!$D$7:$D$1000,'03'!$G$180)</f>
        <v>0</v>
      </c>
      <c r="AK182" s="254"/>
      <c r="AL182" s="289"/>
      <c r="AM182" s="290"/>
      <c r="AN182" s="196"/>
      <c r="AO182" s="196"/>
      <c r="AP182" s="196"/>
      <c r="AQ182" s="196"/>
      <c r="AR182" s="196"/>
      <c r="AS182" s="196"/>
      <c r="AT182" s="22"/>
      <c r="AU182" s="22"/>
      <c r="AV182" s="22"/>
      <c r="AW182" s="22"/>
    </row>
    <row r="183" spans="1:49">
      <c r="A183" s="584"/>
      <c r="B183" s="531"/>
      <c r="C183" s="587"/>
      <c r="D183" s="587"/>
      <c r="E183" s="587"/>
      <c r="F183" s="587"/>
      <c r="G183" s="29"/>
      <c r="H183" s="30" t="s">
        <v>113</v>
      </c>
      <c r="I183" s="31">
        <f>I182-I180</f>
        <v>-20100</v>
      </c>
      <c r="J183" s="192"/>
      <c r="K183" s="26"/>
      <c r="L183" s="31"/>
      <c r="M183" s="31"/>
      <c r="N183" s="31"/>
      <c r="O183" s="31"/>
      <c r="P183" s="31"/>
      <c r="Q183" s="192"/>
      <c r="R183" s="26"/>
      <c r="S183" s="254"/>
      <c r="T183" s="31"/>
      <c r="U183" s="31"/>
      <c r="V183" s="31"/>
      <c r="W183" s="31"/>
      <c r="X183" s="192"/>
      <c r="Y183" s="26"/>
      <c r="Z183" s="31"/>
      <c r="AA183" s="31"/>
      <c r="AB183" s="31"/>
      <c r="AC183" s="31"/>
      <c r="AD183" s="31"/>
      <c r="AE183" s="192"/>
      <c r="AF183" s="26"/>
      <c r="AG183" s="31"/>
      <c r="AH183" s="31"/>
      <c r="AI183" s="31"/>
      <c r="AJ183" s="31"/>
      <c r="AK183" s="254"/>
      <c r="AL183" s="289"/>
      <c r="AM183" s="290"/>
      <c r="AN183" s="196"/>
      <c r="AO183" s="196"/>
      <c r="AP183" s="196"/>
      <c r="AQ183" s="196"/>
      <c r="AR183" s="196"/>
      <c r="AS183" s="196"/>
      <c r="AT183" s="22"/>
      <c r="AU183" s="22"/>
      <c r="AV183" s="22"/>
      <c r="AW183" s="22"/>
    </row>
    <row r="184" spans="1:49">
      <c r="A184" s="584"/>
      <c r="B184" s="531"/>
      <c r="C184" s="587"/>
      <c r="D184" s="587"/>
      <c r="E184" s="587"/>
      <c r="F184" s="587"/>
      <c r="G184" s="23" t="s">
        <v>472</v>
      </c>
      <c r="H184" s="24" t="s">
        <v>70</v>
      </c>
      <c r="I184" s="25">
        <f>$N$221</f>
        <v>13400</v>
      </c>
      <c r="J184" s="192"/>
      <c r="K184" s="26"/>
      <c r="L184" s="25">
        <f t="shared" ref="L184:P184" si="50">$N$221</f>
        <v>13400</v>
      </c>
      <c r="M184" s="25">
        <f t="shared" si="50"/>
        <v>13400</v>
      </c>
      <c r="N184" s="25">
        <f t="shared" si="50"/>
        <v>13400</v>
      </c>
      <c r="O184" s="25">
        <f t="shared" si="50"/>
        <v>13400</v>
      </c>
      <c r="P184" s="25">
        <f t="shared" si="50"/>
        <v>13400</v>
      </c>
      <c r="Q184" s="192"/>
      <c r="R184" s="26"/>
      <c r="S184" s="254"/>
      <c r="T184" s="25">
        <f t="shared" ref="T184:W184" si="51">$N$221</f>
        <v>13400</v>
      </c>
      <c r="U184" s="25">
        <f t="shared" si="51"/>
        <v>13400</v>
      </c>
      <c r="V184" s="25">
        <f t="shared" si="51"/>
        <v>13400</v>
      </c>
      <c r="W184" s="25">
        <f t="shared" si="51"/>
        <v>13400</v>
      </c>
      <c r="X184" s="192"/>
      <c r="Y184" s="26"/>
      <c r="Z184" s="25">
        <f t="shared" ref="Z184:AD184" si="52">$N$221</f>
        <v>13400</v>
      </c>
      <c r="AA184" s="25">
        <f t="shared" si="52"/>
        <v>13400</v>
      </c>
      <c r="AB184" s="25">
        <f t="shared" si="52"/>
        <v>13400</v>
      </c>
      <c r="AC184" s="25">
        <f t="shared" si="52"/>
        <v>13400</v>
      </c>
      <c r="AD184" s="25">
        <f t="shared" si="52"/>
        <v>13400</v>
      </c>
      <c r="AE184" s="192"/>
      <c r="AF184" s="26"/>
      <c r="AG184" s="25">
        <f t="shared" ref="AG184:AJ184" si="53">$N$221</f>
        <v>13400</v>
      </c>
      <c r="AH184" s="25">
        <f t="shared" si="53"/>
        <v>13400</v>
      </c>
      <c r="AI184" s="25">
        <f t="shared" si="53"/>
        <v>13400</v>
      </c>
      <c r="AJ184" s="25">
        <f t="shared" si="53"/>
        <v>13400</v>
      </c>
      <c r="AK184" s="254"/>
      <c r="AL184" s="289"/>
      <c r="AM184" s="290"/>
      <c r="AN184" s="196"/>
      <c r="AO184" s="196"/>
      <c r="AP184" s="196"/>
      <c r="AQ184" s="196"/>
      <c r="AR184" s="196"/>
      <c r="AS184" s="196"/>
      <c r="AT184" s="22"/>
      <c r="AU184" s="22"/>
      <c r="AV184" s="22"/>
      <c r="AW184" s="22"/>
    </row>
    <row r="185" spans="1:49">
      <c r="A185" s="584"/>
      <c r="B185" s="531"/>
      <c r="C185" s="587"/>
      <c r="D185" s="587"/>
      <c r="E185" s="587"/>
      <c r="F185" s="587"/>
      <c r="G185" s="29"/>
      <c r="H185" s="30" t="s">
        <v>16</v>
      </c>
      <c r="I185" s="31">
        <f>24117</f>
        <v>24117</v>
      </c>
      <c r="J185" s="192"/>
      <c r="K185" s="26"/>
      <c r="L185" s="31"/>
      <c r="M185" s="31"/>
      <c r="N185" s="31"/>
      <c r="O185" s="31"/>
      <c r="P185" s="31"/>
      <c r="Q185" s="192"/>
      <c r="R185" s="26"/>
      <c r="S185" s="254"/>
      <c r="T185" s="31"/>
      <c r="U185" s="31"/>
      <c r="V185" s="31"/>
      <c r="W185" s="31"/>
      <c r="X185" s="192"/>
      <c r="Y185" s="26"/>
      <c r="Z185" s="31"/>
      <c r="AA185" s="31"/>
      <c r="AB185" s="31"/>
      <c r="AC185" s="31"/>
      <c r="AD185" s="31"/>
      <c r="AE185" s="192"/>
      <c r="AF185" s="26"/>
      <c r="AG185" s="31"/>
      <c r="AH185" s="31"/>
      <c r="AI185" s="31"/>
      <c r="AJ185" s="31"/>
      <c r="AK185" s="254"/>
      <c r="AL185" s="289"/>
      <c r="AM185" s="290"/>
      <c r="AN185" s="196"/>
      <c r="AO185" s="196"/>
      <c r="AP185" s="196"/>
      <c r="AQ185" s="196"/>
      <c r="AR185" s="196"/>
      <c r="AS185" s="196"/>
      <c r="AT185" s="22"/>
      <c r="AU185" s="22"/>
      <c r="AV185" s="22"/>
      <c r="AW185" s="22"/>
    </row>
    <row r="186" spans="1:49">
      <c r="A186" s="584"/>
      <c r="B186" s="531"/>
      <c r="C186" s="587"/>
      <c r="D186" s="587"/>
      <c r="E186" s="587"/>
      <c r="F186" s="587"/>
      <c r="G186" s="29"/>
      <c r="H186" s="30" t="s">
        <v>113</v>
      </c>
      <c r="I186" s="31">
        <f>I185-I184</f>
        <v>10717</v>
      </c>
      <c r="J186" s="192"/>
      <c r="K186" s="26"/>
      <c r="L186" s="31"/>
      <c r="M186" s="31"/>
      <c r="N186" s="31"/>
      <c r="O186" s="31"/>
      <c r="P186" s="31"/>
      <c r="Q186" s="192"/>
      <c r="R186" s="26"/>
      <c r="S186" s="254"/>
      <c r="T186" s="31"/>
      <c r="U186" s="31"/>
      <c r="V186" s="31"/>
      <c r="W186" s="31"/>
      <c r="X186" s="192"/>
      <c r="Y186" s="26"/>
      <c r="Z186" s="31"/>
      <c r="AA186" s="31"/>
      <c r="AB186" s="31"/>
      <c r="AC186" s="31"/>
      <c r="AD186" s="31"/>
      <c r="AE186" s="192"/>
      <c r="AF186" s="26"/>
      <c r="AG186" s="31"/>
      <c r="AH186" s="31"/>
      <c r="AI186" s="31"/>
      <c r="AJ186" s="31"/>
      <c r="AK186" s="254"/>
      <c r="AL186" s="289"/>
      <c r="AM186" s="290"/>
      <c r="AN186" s="196"/>
      <c r="AO186" s="196"/>
      <c r="AP186" s="196"/>
      <c r="AQ186" s="196"/>
      <c r="AR186" s="196"/>
      <c r="AS186" s="196"/>
      <c r="AT186" s="22"/>
      <c r="AU186" s="22"/>
      <c r="AV186" s="22"/>
      <c r="AW186" s="22"/>
    </row>
    <row r="187" spans="1:49">
      <c r="A187" s="584"/>
      <c r="B187" s="531"/>
      <c r="C187" s="587"/>
      <c r="D187" s="587"/>
      <c r="E187" s="587"/>
      <c r="F187" s="587"/>
      <c r="G187" s="23" t="s">
        <v>473</v>
      </c>
      <c r="H187" s="24" t="s">
        <v>71</v>
      </c>
      <c r="I187" s="25">
        <f>$N$221</f>
        <v>13400</v>
      </c>
      <c r="J187" s="192"/>
      <c r="K187" s="26"/>
      <c r="L187" s="25">
        <f t="shared" ref="L187:P187" si="54">$N$221</f>
        <v>13400</v>
      </c>
      <c r="M187" s="25">
        <f t="shared" si="54"/>
        <v>13400</v>
      </c>
      <c r="N187" s="25">
        <f t="shared" si="54"/>
        <v>13400</v>
      </c>
      <c r="O187" s="25">
        <f t="shared" si="54"/>
        <v>13400</v>
      </c>
      <c r="P187" s="25">
        <f t="shared" si="54"/>
        <v>13400</v>
      </c>
      <c r="Q187" s="192"/>
      <c r="R187" s="26"/>
      <c r="S187" s="254"/>
      <c r="T187" s="25">
        <f t="shared" ref="T187:W187" si="55">$N$221</f>
        <v>13400</v>
      </c>
      <c r="U187" s="25">
        <f t="shared" si="55"/>
        <v>13400</v>
      </c>
      <c r="V187" s="25">
        <f t="shared" si="55"/>
        <v>13400</v>
      </c>
      <c r="W187" s="25">
        <f t="shared" si="55"/>
        <v>13400</v>
      </c>
      <c r="X187" s="192"/>
      <c r="Y187" s="26"/>
      <c r="Z187" s="25">
        <f t="shared" ref="Z187:AD187" si="56">$N$221</f>
        <v>13400</v>
      </c>
      <c r="AA187" s="25">
        <f t="shared" si="56"/>
        <v>13400</v>
      </c>
      <c r="AB187" s="25">
        <f t="shared" si="56"/>
        <v>13400</v>
      </c>
      <c r="AC187" s="25">
        <f t="shared" si="56"/>
        <v>13400</v>
      </c>
      <c r="AD187" s="25">
        <f t="shared" si="56"/>
        <v>13400</v>
      </c>
      <c r="AE187" s="192"/>
      <c r="AF187" s="26"/>
      <c r="AG187" s="25">
        <f t="shared" ref="AG187:AJ187" si="57">$N$221</f>
        <v>13400</v>
      </c>
      <c r="AH187" s="25">
        <f t="shared" si="57"/>
        <v>13400</v>
      </c>
      <c r="AI187" s="25">
        <f t="shared" si="57"/>
        <v>13400</v>
      </c>
      <c r="AJ187" s="25">
        <f t="shared" si="57"/>
        <v>13400</v>
      </c>
      <c r="AK187" s="254"/>
      <c r="AL187" s="289"/>
      <c r="AM187" s="290"/>
      <c r="AN187" s="196"/>
      <c r="AO187" s="196"/>
      <c r="AP187" s="196"/>
      <c r="AQ187" s="196"/>
      <c r="AR187" s="196"/>
      <c r="AS187" s="196"/>
      <c r="AT187" s="22"/>
      <c r="AU187" s="22"/>
      <c r="AV187" s="22"/>
      <c r="AW187" s="22"/>
    </row>
    <row r="188" spans="1:49">
      <c r="A188" s="584"/>
      <c r="B188" s="531"/>
      <c r="C188" s="587"/>
      <c r="D188" s="587"/>
      <c r="E188" s="587"/>
      <c r="F188" s="587"/>
      <c r="G188" s="23"/>
      <c r="H188" s="24" t="s">
        <v>24</v>
      </c>
      <c r="I188" s="25">
        <v>1</v>
      </c>
      <c r="J188" s="192"/>
      <c r="K188" s="26"/>
      <c r="L188" s="25">
        <v>1</v>
      </c>
      <c r="M188" s="25">
        <v>1</v>
      </c>
      <c r="N188" s="25">
        <v>1</v>
      </c>
      <c r="O188" s="25">
        <v>1</v>
      </c>
      <c r="P188" s="25">
        <v>1</v>
      </c>
      <c r="Q188" s="192"/>
      <c r="R188" s="26"/>
      <c r="S188" s="254"/>
      <c r="T188" s="25">
        <v>1</v>
      </c>
      <c r="U188" s="25">
        <v>1</v>
      </c>
      <c r="V188" s="25">
        <v>1</v>
      </c>
      <c r="W188" s="25">
        <v>1</v>
      </c>
      <c r="X188" s="192"/>
      <c r="Y188" s="26"/>
      <c r="Z188" s="25">
        <v>1</v>
      </c>
      <c r="AA188" s="25">
        <v>1</v>
      </c>
      <c r="AB188" s="25">
        <v>1</v>
      </c>
      <c r="AC188" s="25">
        <v>1</v>
      </c>
      <c r="AD188" s="25">
        <v>1</v>
      </c>
      <c r="AE188" s="192"/>
      <c r="AF188" s="26"/>
      <c r="AG188" s="25">
        <v>1</v>
      </c>
      <c r="AH188" s="25">
        <v>1</v>
      </c>
      <c r="AI188" s="25">
        <v>1</v>
      </c>
      <c r="AJ188" s="25">
        <v>1</v>
      </c>
      <c r="AK188" s="254"/>
      <c r="AL188" s="289"/>
      <c r="AM188" s="290"/>
      <c r="AN188" s="196"/>
      <c r="AO188" s="196"/>
      <c r="AP188" s="196"/>
      <c r="AQ188" s="196"/>
      <c r="AR188" s="196"/>
      <c r="AS188" s="196"/>
      <c r="AT188" s="22"/>
      <c r="AU188" s="22"/>
      <c r="AV188" s="22"/>
      <c r="AW188" s="22"/>
    </row>
    <row r="189" spans="1:49">
      <c r="A189" s="584"/>
      <c r="B189" s="531"/>
      <c r="C189" s="587"/>
      <c r="D189" s="587"/>
      <c r="E189" s="587"/>
      <c r="F189" s="587"/>
      <c r="G189" s="29"/>
      <c r="H189" s="30" t="s">
        <v>16</v>
      </c>
      <c r="I189" s="31">
        <f>5529</f>
        <v>5529</v>
      </c>
      <c r="J189" s="192"/>
      <c r="K189" s="26"/>
      <c r="L189" s="31"/>
      <c r="M189" s="31"/>
      <c r="N189" s="31"/>
      <c r="O189" s="31"/>
      <c r="P189" s="31"/>
      <c r="Q189" s="192"/>
      <c r="R189" s="26"/>
      <c r="S189" s="254"/>
      <c r="T189" s="31"/>
      <c r="U189" s="31"/>
      <c r="V189" s="31"/>
      <c r="W189" s="31"/>
      <c r="X189" s="192"/>
      <c r="Y189" s="26"/>
      <c r="Z189" s="31"/>
      <c r="AA189" s="31"/>
      <c r="AB189" s="31"/>
      <c r="AC189" s="31"/>
      <c r="AD189" s="31"/>
      <c r="AE189" s="192"/>
      <c r="AF189" s="26"/>
      <c r="AG189" s="31"/>
      <c r="AH189" s="31"/>
      <c r="AI189" s="31"/>
      <c r="AJ189" s="31"/>
      <c r="AK189" s="254"/>
      <c r="AL189" s="289"/>
      <c r="AM189" s="290"/>
      <c r="AN189" s="196"/>
      <c r="AO189" s="196"/>
      <c r="AP189" s="196"/>
      <c r="AQ189" s="196"/>
      <c r="AR189" s="196"/>
      <c r="AS189" s="196"/>
      <c r="AT189" s="22"/>
      <c r="AU189" s="22"/>
      <c r="AV189" s="22"/>
      <c r="AW189" s="22"/>
    </row>
    <row r="190" spans="1:49">
      <c r="A190" s="584"/>
      <c r="B190" s="531"/>
      <c r="C190" s="587"/>
      <c r="D190" s="587"/>
      <c r="E190" s="587"/>
      <c r="F190" s="587"/>
      <c r="G190" s="29"/>
      <c r="H190" s="30" t="s">
        <v>113</v>
      </c>
      <c r="I190" s="31">
        <f>I189-I187</f>
        <v>-7871</v>
      </c>
      <c r="J190" s="192"/>
      <c r="K190" s="26"/>
      <c r="L190" s="31"/>
      <c r="M190" s="31"/>
      <c r="N190" s="31"/>
      <c r="O190" s="31"/>
      <c r="P190" s="31"/>
      <c r="Q190" s="192"/>
      <c r="R190" s="26"/>
      <c r="S190" s="254"/>
      <c r="T190" s="31"/>
      <c r="U190" s="31"/>
      <c r="V190" s="31"/>
      <c r="W190" s="31"/>
      <c r="X190" s="192"/>
      <c r="Y190" s="26"/>
      <c r="Z190" s="31"/>
      <c r="AA190" s="31"/>
      <c r="AB190" s="31"/>
      <c r="AC190" s="31"/>
      <c r="AD190" s="31"/>
      <c r="AE190" s="192"/>
      <c r="AF190" s="26"/>
      <c r="AG190" s="31"/>
      <c r="AH190" s="31"/>
      <c r="AI190" s="31"/>
      <c r="AJ190" s="31"/>
      <c r="AK190" s="254"/>
      <c r="AL190" s="289"/>
      <c r="AM190" s="290"/>
      <c r="AN190" s="196"/>
      <c r="AO190" s="196"/>
      <c r="AP190" s="196"/>
      <c r="AQ190" s="196"/>
      <c r="AR190" s="196"/>
      <c r="AS190" s="196"/>
      <c r="AT190" s="22"/>
      <c r="AU190" s="22"/>
      <c r="AV190" s="22"/>
      <c r="AW190" s="22"/>
    </row>
    <row r="191" spans="1:49">
      <c r="A191" s="584"/>
      <c r="B191" s="531"/>
      <c r="C191" s="587"/>
      <c r="D191" s="587"/>
      <c r="E191" s="587"/>
      <c r="F191" s="587"/>
      <c r="G191" s="23" t="s">
        <v>472</v>
      </c>
      <c r="H191" s="24" t="s">
        <v>72</v>
      </c>
      <c r="I191" s="25">
        <f>$N$225</f>
        <v>13400</v>
      </c>
      <c r="J191" s="192"/>
      <c r="K191" s="26"/>
      <c r="L191" s="25">
        <f t="shared" ref="L191:P191" si="58">$N$225</f>
        <v>13400</v>
      </c>
      <c r="M191" s="25">
        <f t="shared" si="58"/>
        <v>13400</v>
      </c>
      <c r="N191" s="25">
        <f t="shared" si="58"/>
        <v>13400</v>
      </c>
      <c r="O191" s="25">
        <f t="shared" si="58"/>
        <v>13400</v>
      </c>
      <c r="P191" s="25">
        <f t="shared" si="58"/>
        <v>13400</v>
      </c>
      <c r="Q191" s="192"/>
      <c r="R191" s="26"/>
      <c r="S191" s="254"/>
      <c r="T191" s="25">
        <f t="shared" ref="T191:W191" si="59">$N$225</f>
        <v>13400</v>
      </c>
      <c r="U191" s="25">
        <f t="shared" si="59"/>
        <v>13400</v>
      </c>
      <c r="V191" s="25">
        <f t="shared" si="59"/>
        <v>13400</v>
      </c>
      <c r="W191" s="25">
        <f t="shared" si="59"/>
        <v>13400</v>
      </c>
      <c r="X191" s="192"/>
      <c r="Y191" s="26"/>
      <c r="Z191" s="25">
        <f t="shared" ref="Z191:AD191" si="60">$N$225</f>
        <v>13400</v>
      </c>
      <c r="AA191" s="25">
        <f t="shared" si="60"/>
        <v>13400</v>
      </c>
      <c r="AB191" s="25">
        <f t="shared" si="60"/>
        <v>13400</v>
      </c>
      <c r="AC191" s="25">
        <f t="shared" si="60"/>
        <v>13400</v>
      </c>
      <c r="AD191" s="25">
        <f t="shared" si="60"/>
        <v>13400</v>
      </c>
      <c r="AE191" s="192"/>
      <c r="AF191" s="26"/>
      <c r="AG191" s="25">
        <f t="shared" ref="AG191:AJ191" si="61">$N$225</f>
        <v>13400</v>
      </c>
      <c r="AH191" s="25">
        <f t="shared" si="61"/>
        <v>13400</v>
      </c>
      <c r="AI191" s="25">
        <f t="shared" si="61"/>
        <v>13400</v>
      </c>
      <c r="AJ191" s="25">
        <f t="shared" si="61"/>
        <v>13400</v>
      </c>
      <c r="AK191" s="254"/>
      <c r="AL191" s="289"/>
      <c r="AM191" s="290"/>
      <c r="AN191" s="196"/>
      <c r="AO191" s="196"/>
      <c r="AP191" s="196"/>
      <c r="AQ191" s="196"/>
      <c r="AR191" s="196"/>
      <c r="AS191" s="196"/>
      <c r="AT191" s="22"/>
      <c r="AU191" s="22"/>
      <c r="AV191" s="22"/>
      <c r="AW191" s="22"/>
    </row>
    <row r="192" spans="1:49">
      <c r="A192" s="584"/>
      <c r="B192" s="531"/>
      <c r="C192" s="587"/>
      <c r="D192" s="587"/>
      <c r="E192" s="587"/>
      <c r="F192" s="587"/>
      <c r="G192" s="29"/>
      <c r="H192" s="30" t="s">
        <v>16</v>
      </c>
      <c r="I192" s="31"/>
      <c r="J192" s="192"/>
      <c r="K192" s="26"/>
      <c r="L192" s="31"/>
      <c r="M192" s="31"/>
      <c r="N192" s="31"/>
      <c r="O192" s="31"/>
      <c r="P192" s="31"/>
      <c r="Q192" s="192"/>
      <c r="R192" s="26"/>
      <c r="S192" s="254"/>
      <c r="T192" s="31"/>
      <c r="U192" s="31"/>
      <c r="V192" s="31"/>
      <c r="W192" s="31"/>
      <c r="X192" s="192"/>
      <c r="Y192" s="26"/>
      <c r="Z192" s="31"/>
      <c r="AA192" s="31"/>
      <c r="AB192" s="31"/>
      <c r="AC192" s="31"/>
      <c r="AD192" s="31"/>
      <c r="AE192" s="192"/>
      <c r="AF192" s="26"/>
      <c r="AG192" s="31"/>
      <c r="AH192" s="31"/>
      <c r="AI192" s="31"/>
      <c r="AJ192" s="31"/>
      <c r="AK192" s="254"/>
      <c r="AL192" s="289"/>
      <c r="AM192" s="290"/>
      <c r="AN192" s="196"/>
      <c r="AO192" s="196"/>
      <c r="AP192" s="196"/>
      <c r="AQ192" s="196"/>
      <c r="AR192" s="196"/>
      <c r="AS192" s="196"/>
      <c r="AT192" s="22"/>
      <c r="AU192" s="22"/>
      <c r="AV192" s="22"/>
      <c r="AW192" s="22"/>
    </row>
    <row r="193" spans="1:49">
      <c r="A193" s="584"/>
      <c r="B193" s="531"/>
      <c r="C193" s="587"/>
      <c r="D193" s="587"/>
      <c r="E193" s="587"/>
      <c r="F193" s="587"/>
      <c r="G193" s="29"/>
      <c r="H193" s="30" t="s">
        <v>113</v>
      </c>
      <c r="I193" s="31">
        <f>I192-I191</f>
        <v>-13400</v>
      </c>
      <c r="J193" s="192"/>
      <c r="K193" s="26"/>
      <c r="L193" s="31"/>
      <c r="M193" s="31"/>
      <c r="N193" s="31"/>
      <c r="O193" s="31"/>
      <c r="P193" s="31"/>
      <c r="Q193" s="192"/>
      <c r="R193" s="26"/>
      <c r="S193" s="254"/>
      <c r="T193" s="31"/>
      <c r="U193" s="31"/>
      <c r="V193" s="31"/>
      <c r="W193" s="31"/>
      <c r="X193" s="192"/>
      <c r="Y193" s="26"/>
      <c r="Z193" s="31"/>
      <c r="AA193" s="31"/>
      <c r="AB193" s="31"/>
      <c r="AC193" s="31"/>
      <c r="AD193" s="31"/>
      <c r="AE193" s="192"/>
      <c r="AF193" s="26"/>
      <c r="AG193" s="31"/>
      <c r="AH193" s="31"/>
      <c r="AI193" s="31"/>
      <c r="AJ193" s="31"/>
      <c r="AK193" s="254"/>
      <c r="AL193" s="289"/>
      <c r="AM193" s="290"/>
      <c r="AN193" s="196"/>
      <c r="AO193" s="196"/>
      <c r="AP193" s="196"/>
      <c r="AQ193" s="196"/>
      <c r="AR193" s="196"/>
      <c r="AS193" s="196"/>
      <c r="AT193" s="22"/>
      <c r="AU193" s="22"/>
      <c r="AV193" s="22"/>
      <c r="AW193" s="22"/>
    </row>
    <row r="194" spans="1:49">
      <c r="A194" s="584"/>
      <c r="B194" s="531"/>
      <c r="C194" s="587"/>
      <c r="D194" s="587"/>
      <c r="E194" s="587"/>
      <c r="F194" s="587"/>
      <c r="G194" s="23" t="s">
        <v>473</v>
      </c>
      <c r="H194" s="24" t="s">
        <v>73</v>
      </c>
      <c r="I194" s="25">
        <f>$N$225</f>
        <v>13400</v>
      </c>
      <c r="J194" s="192"/>
      <c r="K194" s="26"/>
      <c r="L194" s="25">
        <f t="shared" ref="L194:P194" si="62">$N$225</f>
        <v>13400</v>
      </c>
      <c r="M194" s="25">
        <f t="shared" si="62"/>
        <v>13400</v>
      </c>
      <c r="N194" s="25">
        <f t="shared" si="62"/>
        <v>13400</v>
      </c>
      <c r="O194" s="25">
        <f t="shared" si="62"/>
        <v>13400</v>
      </c>
      <c r="P194" s="25">
        <f t="shared" si="62"/>
        <v>13400</v>
      </c>
      <c r="Q194" s="192"/>
      <c r="R194" s="26"/>
      <c r="S194" s="254"/>
      <c r="T194" s="25">
        <f t="shared" ref="T194:W194" si="63">$N$225</f>
        <v>13400</v>
      </c>
      <c r="U194" s="25">
        <f t="shared" si="63"/>
        <v>13400</v>
      </c>
      <c r="V194" s="25">
        <f t="shared" si="63"/>
        <v>13400</v>
      </c>
      <c r="W194" s="25">
        <f t="shared" si="63"/>
        <v>13400</v>
      </c>
      <c r="X194" s="192"/>
      <c r="Y194" s="26"/>
      <c r="Z194" s="25">
        <f t="shared" ref="Z194:AD194" si="64">$N$225</f>
        <v>13400</v>
      </c>
      <c r="AA194" s="25">
        <f t="shared" si="64"/>
        <v>13400</v>
      </c>
      <c r="AB194" s="25">
        <f t="shared" si="64"/>
        <v>13400</v>
      </c>
      <c r="AC194" s="25">
        <f t="shared" si="64"/>
        <v>13400</v>
      </c>
      <c r="AD194" s="25">
        <f t="shared" si="64"/>
        <v>13400</v>
      </c>
      <c r="AE194" s="192"/>
      <c r="AF194" s="26"/>
      <c r="AG194" s="25">
        <f t="shared" ref="AG194:AJ194" si="65">$N$225</f>
        <v>13400</v>
      </c>
      <c r="AH194" s="25">
        <f t="shared" si="65"/>
        <v>13400</v>
      </c>
      <c r="AI194" s="25">
        <f t="shared" si="65"/>
        <v>13400</v>
      </c>
      <c r="AJ194" s="25">
        <f t="shared" si="65"/>
        <v>13400</v>
      </c>
      <c r="AK194" s="254"/>
      <c r="AL194" s="289"/>
      <c r="AM194" s="290"/>
      <c r="AN194" s="196"/>
      <c r="AO194" s="196"/>
      <c r="AP194" s="196"/>
      <c r="AQ194" s="196"/>
      <c r="AR194" s="196"/>
      <c r="AS194" s="196"/>
      <c r="AT194" s="22"/>
      <c r="AU194" s="22"/>
      <c r="AV194" s="22"/>
      <c r="AW194" s="22"/>
    </row>
    <row r="195" spans="1:49">
      <c r="A195" s="584"/>
      <c r="B195" s="531"/>
      <c r="C195" s="587"/>
      <c r="D195" s="587"/>
      <c r="E195" s="587"/>
      <c r="F195" s="587"/>
      <c r="G195" s="23"/>
      <c r="H195" s="24" t="s">
        <v>24</v>
      </c>
      <c r="I195" s="25">
        <v>1</v>
      </c>
      <c r="J195" s="192"/>
      <c r="K195" s="26"/>
      <c r="L195" s="25">
        <v>1</v>
      </c>
      <c r="M195" s="25">
        <v>1</v>
      </c>
      <c r="N195" s="25">
        <v>1</v>
      </c>
      <c r="O195" s="25">
        <v>1</v>
      </c>
      <c r="P195" s="25">
        <v>1</v>
      </c>
      <c r="Q195" s="192"/>
      <c r="R195" s="26"/>
      <c r="S195" s="254"/>
      <c r="T195" s="25">
        <v>1</v>
      </c>
      <c r="U195" s="25">
        <v>1</v>
      </c>
      <c r="V195" s="25">
        <v>1</v>
      </c>
      <c r="W195" s="25">
        <v>1</v>
      </c>
      <c r="X195" s="192"/>
      <c r="Y195" s="26"/>
      <c r="Z195" s="25">
        <v>1</v>
      </c>
      <c r="AA195" s="25">
        <v>1</v>
      </c>
      <c r="AB195" s="25">
        <v>1</v>
      </c>
      <c r="AC195" s="25">
        <v>1</v>
      </c>
      <c r="AD195" s="25">
        <v>1</v>
      </c>
      <c r="AE195" s="192"/>
      <c r="AF195" s="26"/>
      <c r="AG195" s="25">
        <v>1</v>
      </c>
      <c r="AH195" s="25">
        <v>1</v>
      </c>
      <c r="AI195" s="25">
        <v>1</v>
      </c>
      <c r="AJ195" s="25">
        <v>1</v>
      </c>
      <c r="AK195" s="254"/>
      <c r="AL195" s="289"/>
      <c r="AM195" s="290"/>
      <c r="AN195" s="196"/>
      <c r="AO195" s="196"/>
      <c r="AP195" s="196"/>
      <c r="AQ195" s="196"/>
      <c r="AR195" s="196"/>
      <c r="AS195" s="196"/>
      <c r="AT195" s="22"/>
      <c r="AU195" s="22"/>
      <c r="AV195" s="22"/>
      <c r="AW195" s="22"/>
    </row>
    <row r="196" spans="1:49">
      <c r="A196" s="584"/>
      <c r="B196" s="531"/>
      <c r="C196" s="587"/>
      <c r="D196" s="587"/>
      <c r="E196" s="587"/>
      <c r="F196" s="587"/>
      <c r="G196" s="29"/>
      <c r="H196" s="30" t="s">
        <v>16</v>
      </c>
      <c r="I196" s="31"/>
      <c r="J196" s="192"/>
      <c r="K196" s="26"/>
      <c r="L196" s="31"/>
      <c r="M196" s="31"/>
      <c r="N196" s="31"/>
      <c r="O196" s="31"/>
      <c r="P196" s="31"/>
      <c r="Q196" s="192"/>
      <c r="R196" s="26"/>
      <c r="S196" s="254"/>
      <c r="T196" s="31"/>
      <c r="U196" s="31"/>
      <c r="V196" s="31"/>
      <c r="W196" s="31"/>
      <c r="X196" s="192"/>
      <c r="Y196" s="26"/>
      <c r="Z196" s="31"/>
      <c r="AA196" s="31"/>
      <c r="AB196" s="31"/>
      <c r="AC196" s="31"/>
      <c r="AD196" s="31"/>
      <c r="AE196" s="192"/>
      <c r="AF196" s="26"/>
      <c r="AG196" s="31"/>
      <c r="AH196" s="31"/>
      <c r="AI196" s="31"/>
      <c r="AJ196" s="31"/>
      <c r="AK196" s="254"/>
      <c r="AL196" s="289"/>
      <c r="AM196" s="290"/>
      <c r="AN196" s="196"/>
      <c r="AO196" s="196"/>
      <c r="AP196" s="196"/>
      <c r="AQ196" s="196"/>
      <c r="AR196" s="196"/>
      <c r="AS196" s="196"/>
      <c r="AT196" s="22"/>
      <c r="AU196" s="22"/>
      <c r="AV196" s="22"/>
      <c r="AW196" s="22"/>
    </row>
    <row r="197" spans="1:49">
      <c r="A197" s="584"/>
      <c r="B197" s="531"/>
      <c r="C197" s="587"/>
      <c r="D197" s="587"/>
      <c r="E197" s="587"/>
      <c r="F197" s="587"/>
      <c r="G197" s="29"/>
      <c r="H197" s="30" t="s">
        <v>113</v>
      </c>
      <c r="I197" s="31">
        <f>I196-I194</f>
        <v>-13400</v>
      </c>
      <c r="J197" s="192"/>
      <c r="K197" s="26"/>
      <c r="L197" s="31"/>
      <c r="M197" s="31"/>
      <c r="N197" s="31"/>
      <c r="O197" s="31"/>
      <c r="P197" s="31"/>
      <c r="Q197" s="192"/>
      <c r="R197" s="26"/>
      <c r="S197" s="254"/>
      <c r="T197" s="31"/>
      <c r="U197" s="31"/>
      <c r="V197" s="31"/>
      <c r="W197" s="31"/>
      <c r="X197" s="192"/>
      <c r="Y197" s="26"/>
      <c r="Z197" s="31"/>
      <c r="AA197" s="31"/>
      <c r="AB197" s="31"/>
      <c r="AC197" s="31"/>
      <c r="AD197" s="31"/>
      <c r="AE197" s="192"/>
      <c r="AF197" s="26"/>
      <c r="AG197" s="31"/>
      <c r="AH197" s="31"/>
      <c r="AI197" s="31"/>
      <c r="AJ197" s="31"/>
      <c r="AK197" s="254"/>
      <c r="AL197" s="289"/>
      <c r="AM197" s="290"/>
      <c r="AN197" s="196"/>
      <c r="AO197" s="196"/>
      <c r="AP197" s="196"/>
      <c r="AQ197" s="196"/>
      <c r="AR197" s="196"/>
      <c r="AS197" s="196"/>
      <c r="AT197" s="22"/>
      <c r="AU197" s="22"/>
      <c r="AV197" s="22"/>
      <c r="AW197" s="22"/>
    </row>
    <row r="198" spans="1:49">
      <c r="A198" s="584"/>
      <c r="B198" s="531"/>
      <c r="C198" s="587"/>
      <c r="D198" s="587"/>
      <c r="E198" s="587"/>
      <c r="F198" s="587"/>
      <c r="G198" s="23" t="s">
        <v>474</v>
      </c>
      <c r="H198" s="24" t="s">
        <v>26</v>
      </c>
      <c r="I198" s="25">
        <f>$N$221+$N$225</f>
        <v>26800</v>
      </c>
      <c r="J198" s="192"/>
      <c r="K198" s="26"/>
      <c r="L198" s="25">
        <f t="shared" ref="L198:P198" si="66">$N$221+$N$225</f>
        <v>26800</v>
      </c>
      <c r="M198" s="25">
        <f t="shared" si="66"/>
        <v>26800</v>
      </c>
      <c r="N198" s="25">
        <f t="shared" si="66"/>
        <v>26800</v>
      </c>
      <c r="O198" s="25">
        <f t="shared" si="66"/>
        <v>26800</v>
      </c>
      <c r="P198" s="25">
        <f t="shared" si="66"/>
        <v>26800</v>
      </c>
      <c r="Q198" s="192"/>
      <c r="R198" s="26"/>
      <c r="S198" s="254"/>
      <c r="T198" s="25">
        <f t="shared" ref="T198:W198" si="67">$N$221+$N$225</f>
        <v>26800</v>
      </c>
      <c r="U198" s="25">
        <f t="shared" si="67"/>
        <v>26800</v>
      </c>
      <c r="V198" s="25">
        <f t="shared" si="67"/>
        <v>26800</v>
      </c>
      <c r="W198" s="25">
        <f t="shared" si="67"/>
        <v>26800</v>
      </c>
      <c r="X198" s="192"/>
      <c r="Y198" s="26"/>
      <c r="Z198" s="25">
        <f t="shared" ref="Z198:AD198" si="68">$N$221+$N$225</f>
        <v>26800</v>
      </c>
      <c r="AA198" s="25">
        <f t="shared" si="68"/>
        <v>26800</v>
      </c>
      <c r="AB198" s="25">
        <f t="shared" si="68"/>
        <v>26800</v>
      </c>
      <c r="AC198" s="25">
        <f t="shared" si="68"/>
        <v>26800</v>
      </c>
      <c r="AD198" s="25">
        <f t="shared" si="68"/>
        <v>26800</v>
      </c>
      <c r="AE198" s="192"/>
      <c r="AF198" s="26"/>
      <c r="AG198" s="25">
        <f t="shared" ref="AG198:AJ198" si="69">$N$221+$N$225</f>
        <v>26800</v>
      </c>
      <c r="AH198" s="25">
        <f t="shared" si="69"/>
        <v>26800</v>
      </c>
      <c r="AI198" s="25">
        <f t="shared" si="69"/>
        <v>26800</v>
      </c>
      <c r="AJ198" s="25">
        <f t="shared" si="69"/>
        <v>26800</v>
      </c>
      <c r="AK198" s="254"/>
      <c r="AL198" s="289"/>
      <c r="AM198" s="290"/>
      <c r="AN198" s="196"/>
      <c r="AO198" s="196"/>
      <c r="AP198" s="196"/>
      <c r="AQ198" s="196"/>
      <c r="AR198" s="196"/>
      <c r="AS198" s="196"/>
      <c r="AT198" s="22"/>
      <c r="AU198" s="22"/>
      <c r="AV198" s="22"/>
      <c r="AW198" s="22"/>
    </row>
    <row r="199" spans="1:49">
      <c r="A199" s="584"/>
      <c r="B199" s="531"/>
      <c r="C199" s="587"/>
      <c r="D199" s="587"/>
      <c r="E199" s="587"/>
      <c r="F199" s="587"/>
      <c r="G199" s="29"/>
      <c r="H199" s="30" t="s">
        <v>16</v>
      </c>
      <c r="I199" s="31">
        <f>9256+23300</f>
        <v>32556</v>
      </c>
      <c r="J199" s="192"/>
      <c r="K199" s="26"/>
      <c r="L199" s="31"/>
      <c r="M199" s="31"/>
      <c r="N199" s="31"/>
      <c r="O199" s="31"/>
      <c r="P199" s="31"/>
      <c r="Q199" s="192"/>
      <c r="R199" s="26"/>
      <c r="S199" s="254"/>
      <c r="T199" s="31"/>
      <c r="U199" s="31"/>
      <c r="V199" s="31"/>
      <c r="W199" s="31"/>
      <c r="X199" s="192"/>
      <c r="Y199" s="26"/>
      <c r="Z199" s="31"/>
      <c r="AA199" s="31"/>
      <c r="AB199" s="31"/>
      <c r="AC199" s="31"/>
      <c r="AD199" s="31"/>
      <c r="AE199" s="192"/>
      <c r="AF199" s="26"/>
      <c r="AG199" s="31"/>
      <c r="AH199" s="31"/>
      <c r="AI199" s="31"/>
      <c r="AJ199" s="31"/>
      <c r="AK199" s="254"/>
      <c r="AL199" s="289"/>
      <c r="AM199" s="290"/>
      <c r="AN199" s="196"/>
      <c r="AO199" s="196"/>
      <c r="AP199" s="196"/>
      <c r="AQ199" s="196"/>
      <c r="AR199" s="196"/>
      <c r="AS199" s="196"/>
      <c r="AT199" s="22"/>
      <c r="AU199" s="22"/>
      <c r="AV199" s="22"/>
      <c r="AW199" s="22"/>
    </row>
    <row r="200" spans="1:49">
      <c r="A200" s="584"/>
      <c r="B200" s="531"/>
      <c r="C200" s="587"/>
      <c r="D200" s="587"/>
      <c r="E200" s="587"/>
      <c r="F200" s="587"/>
      <c r="G200" s="29"/>
      <c r="H200" s="30" t="s">
        <v>113</v>
      </c>
      <c r="I200" s="31">
        <f>I199-I198</f>
        <v>5756</v>
      </c>
      <c r="J200" s="192"/>
      <c r="K200" s="26"/>
      <c r="L200" s="31"/>
      <c r="M200" s="31"/>
      <c r="N200" s="31"/>
      <c r="O200" s="31"/>
      <c r="P200" s="31"/>
      <c r="Q200" s="192"/>
      <c r="R200" s="26"/>
      <c r="S200" s="254"/>
      <c r="T200" s="31"/>
      <c r="U200" s="31"/>
      <c r="V200" s="31"/>
      <c r="W200" s="31"/>
      <c r="X200" s="192"/>
      <c r="Y200" s="26"/>
      <c r="Z200" s="31"/>
      <c r="AA200" s="31"/>
      <c r="AB200" s="31"/>
      <c r="AC200" s="31"/>
      <c r="AD200" s="31"/>
      <c r="AE200" s="192"/>
      <c r="AF200" s="26"/>
      <c r="AG200" s="31"/>
      <c r="AH200" s="31"/>
      <c r="AI200" s="31"/>
      <c r="AJ200" s="31"/>
      <c r="AK200" s="254"/>
      <c r="AL200" s="289"/>
      <c r="AM200" s="290"/>
      <c r="AN200" s="196"/>
      <c r="AO200" s="196"/>
      <c r="AP200" s="196"/>
      <c r="AQ200" s="196"/>
      <c r="AR200" s="196"/>
      <c r="AS200" s="196"/>
      <c r="AT200" s="22"/>
      <c r="AU200" s="22"/>
      <c r="AV200" s="22"/>
      <c r="AW200" s="22"/>
    </row>
    <row r="201" spans="1:49">
      <c r="A201" s="584"/>
      <c r="B201" s="531"/>
      <c r="C201" s="587"/>
      <c r="D201" s="587"/>
      <c r="E201" s="587"/>
      <c r="F201" s="587"/>
      <c r="G201" s="23" t="s">
        <v>477</v>
      </c>
      <c r="H201" s="24" t="s">
        <v>75</v>
      </c>
      <c r="I201" s="25">
        <f>$N$221+$N$225</f>
        <v>26800</v>
      </c>
      <c r="J201" s="192"/>
      <c r="K201" s="26"/>
      <c r="L201" s="25">
        <f t="shared" ref="L201:P201" si="70">$N$221+$N$225</f>
        <v>26800</v>
      </c>
      <c r="M201" s="25">
        <f t="shared" si="70"/>
        <v>26800</v>
      </c>
      <c r="N201" s="25">
        <f t="shared" si="70"/>
        <v>26800</v>
      </c>
      <c r="O201" s="25">
        <f t="shared" si="70"/>
        <v>26800</v>
      </c>
      <c r="P201" s="25">
        <f t="shared" si="70"/>
        <v>26800</v>
      </c>
      <c r="Q201" s="192"/>
      <c r="R201" s="26"/>
      <c r="S201" s="254"/>
      <c r="T201" s="25">
        <f t="shared" ref="T201:W201" si="71">$N$221+$N$225</f>
        <v>26800</v>
      </c>
      <c r="U201" s="25">
        <f t="shared" si="71"/>
        <v>26800</v>
      </c>
      <c r="V201" s="25">
        <f t="shared" si="71"/>
        <v>26800</v>
      </c>
      <c r="W201" s="25">
        <f t="shared" si="71"/>
        <v>26800</v>
      </c>
      <c r="X201" s="192"/>
      <c r="Y201" s="26"/>
      <c r="Z201" s="25">
        <f t="shared" ref="Z201:AD201" si="72">$N$221+$N$225</f>
        <v>26800</v>
      </c>
      <c r="AA201" s="25">
        <f t="shared" si="72"/>
        <v>26800</v>
      </c>
      <c r="AB201" s="25">
        <f t="shared" si="72"/>
        <v>26800</v>
      </c>
      <c r="AC201" s="25">
        <f t="shared" si="72"/>
        <v>26800</v>
      </c>
      <c r="AD201" s="25">
        <f t="shared" si="72"/>
        <v>26800</v>
      </c>
      <c r="AE201" s="192"/>
      <c r="AF201" s="26"/>
      <c r="AG201" s="25">
        <f t="shared" ref="AG201:AJ201" si="73">$N$221+$N$225</f>
        <v>26800</v>
      </c>
      <c r="AH201" s="25">
        <f t="shared" si="73"/>
        <v>26800</v>
      </c>
      <c r="AI201" s="25">
        <f t="shared" si="73"/>
        <v>26800</v>
      </c>
      <c r="AJ201" s="25">
        <f t="shared" si="73"/>
        <v>26800</v>
      </c>
      <c r="AK201" s="254"/>
      <c r="AL201" s="289"/>
      <c r="AM201" s="290"/>
      <c r="AN201" s="196"/>
      <c r="AO201" s="196"/>
      <c r="AP201" s="196"/>
      <c r="AQ201" s="196"/>
      <c r="AR201" s="196"/>
      <c r="AS201" s="196"/>
      <c r="AT201" s="22"/>
      <c r="AU201" s="22"/>
      <c r="AV201" s="22"/>
      <c r="AW201" s="22"/>
    </row>
    <row r="202" spans="1:49">
      <c r="A202" s="584"/>
      <c r="B202" s="531"/>
      <c r="C202" s="587"/>
      <c r="D202" s="587"/>
      <c r="E202" s="587"/>
      <c r="F202" s="587"/>
      <c r="G202" s="23"/>
      <c r="H202" s="24" t="s">
        <v>24</v>
      </c>
      <c r="I202" s="25">
        <v>1</v>
      </c>
      <c r="J202" s="192"/>
      <c r="K202" s="26"/>
      <c r="L202" s="25">
        <v>1</v>
      </c>
      <c r="M202" s="25">
        <v>1</v>
      </c>
      <c r="N202" s="25">
        <v>1</v>
      </c>
      <c r="O202" s="25">
        <v>1</v>
      </c>
      <c r="P202" s="25">
        <v>1</v>
      </c>
      <c r="Q202" s="192"/>
      <c r="R202" s="26"/>
      <c r="S202" s="254"/>
      <c r="T202" s="25">
        <v>1</v>
      </c>
      <c r="U202" s="25">
        <v>1</v>
      </c>
      <c r="V202" s="25">
        <v>1</v>
      </c>
      <c r="W202" s="25">
        <v>1</v>
      </c>
      <c r="X202" s="192"/>
      <c r="Y202" s="26"/>
      <c r="Z202" s="25">
        <v>1</v>
      </c>
      <c r="AA202" s="25">
        <v>1</v>
      </c>
      <c r="AB202" s="25">
        <v>1</v>
      </c>
      <c r="AC202" s="25">
        <v>1</v>
      </c>
      <c r="AD202" s="25">
        <v>1</v>
      </c>
      <c r="AE202" s="192"/>
      <c r="AF202" s="26"/>
      <c r="AG202" s="25">
        <v>1</v>
      </c>
      <c r="AH202" s="25">
        <v>1</v>
      </c>
      <c r="AI202" s="25">
        <v>1</v>
      </c>
      <c r="AJ202" s="25">
        <v>1</v>
      </c>
      <c r="AK202" s="254"/>
      <c r="AL202" s="289"/>
      <c r="AM202" s="290"/>
      <c r="AN202" s="196"/>
      <c r="AO202" s="196"/>
      <c r="AP202" s="196"/>
      <c r="AQ202" s="22"/>
      <c r="AR202" s="196"/>
      <c r="AS202" s="196"/>
      <c r="AT202" s="22"/>
      <c r="AU202" s="22"/>
      <c r="AV202" s="22"/>
      <c r="AW202" s="22"/>
    </row>
    <row r="203" spans="1:49">
      <c r="A203" s="584"/>
      <c r="B203" s="531"/>
      <c r="C203" s="587"/>
      <c r="D203" s="587"/>
      <c r="E203" s="587"/>
      <c r="F203" s="587"/>
      <c r="G203" s="29"/>
      <c r="H203" s="30" t="s">
        <v>16</v>
      </c>
      <c r="I203" s="31">
        <f>32437</f>
        <v>32437</v>
      </c>
      <c r="J203" s="192"/>
      <c r="K203" s="26"/>
      <c r="L203" s="31"/>
      <c r="M203" s="31"/>
      <c r="N203" s="31"/>
      <c r="O203" s="31"/>
      <c r="P203" s="31"/>
      <c r="Q203" s="192"/>
      <c r="R203" s="26"/>
      <c r="S203" s="254"/>
      <c r="T203" s="31"/>
      <c r="U203" s="31"/>
      <c r="V203" s="31"/>
      <c r="W203" s="31"/>
      <c r="X203" s="192"/>
      <c r="Y203" s="26"/>
      <c r="Z203" s="31"/>
      <c r="AA203" s="31"/>
      <c r="AB203" s="31"/>
      <c r="AC203" s="31"/>
      <c r="AD203" s="31"/>
      <c r="AE203" s="192"/>
      <c r="AF203" s="26"/>
      <c r="AG203" s="31"/>
      <c r="AH203" s="31"/>
      <c r="AI203" s="31"/>
      <c r="AJ203" s="31"/>
      <c r="AK203" s="254"/>
      <c r="AL203" s="289"/>
      <c r="AM203" s="290"/>
      <c r="AN203" s="196"/>
      <c r="AO203" s="196"/>
      <c r="AP203" s="196"/>
      <c r="AQ203" s="22"/>
      <c r="AR203" s="196"/>
      <c r="AS203" s="196"/>
      <c r="AT203" s="22"/>
      <c r="AU203" s="22"/>
      <c r="AV203" s="22"/>
      <c r="AW203" s="22"/>
    </row>
    <row r="204" spans="1:49">
      <c r="A204" s="584"/>
      <c r="B204" s="531"/>
      <c r="C204" s="587"/>
      <c r="D204" s="587"/>
      <c r="E204" s="587"/>
      <c r="F204" s="587"/>
      <c r="G204" s="29"/>
      <c r="H204" s="30" t="s">
        <v>113</v>
      </c>
      <c r="I204" s="31">
        <f>I203-I201</f>
        <v>5637</v>
      </c>
      <c r="J204" s="192"/>
      <c r="K204" s="26"/>
      <c r="L204" s="31"/>
      <c r="M204" s="31"/>
      <c r="N204" s="31"/>
      <c r="O204" s="31"/>
      <c r="P204" s="31"/>
      <c r="Q204" s="192"/>
      <c r="R204" s="26"/>
      <c r="S204" s="254"/>
      <c r="T204" s="31"/>
      <c r="U204" s="31"/>
      <c r="V204" s="31"/>
      <c r="W204" s="31"/>
      <c r="X204" s="192"/>
      <c r="Y204" s="26"/>
      <c r="Z204" s="31"/>
      <c r="AA204" s="31"/>
      <c r="AB204" s="31"/>
      <c r="AC204" s="31"/>
      <c r="AD204" s="31"/>
      <c r="AE204" s="192"/>
      <c r="AF204" s="26"/>
      <c r="AG204" s="31"/>
      <c r="AH204" s="31"/>
      <c r="AI204" s="31"/>
      <c r="AJ204" s="31"/>
      <c r="AK204" s="254"/>
      <c r="AL204" s="289"/>
      <c r="AM204" s="290"/>
      <c r="AN204" s="196"/>
      <c r="AO204" s="196"/>
      <c r="AP204" s="196"/>
      <c r="AQ204" s="22"/>
      <c r="AR204" s="196"/>
      <c r="AS204" s="196"/>
      <c r="AT204" s="22"/>
      <c r="AU204" s="22"/>
      <c r="AV204" s="22"/>
      <c r="AW204" s="22"/>
    </row>
    <row r="205" spans="1:49">
      <c r="A205" s="584"/>
      <c r="B205" s="531"/>
      <c r="C205" s="587"/>
      <c r="D205" s="587"/>
      <c r="E205" s="587"/>
      <c r="F205" s="587"/>
      <c r="G205" s="29"/>
      <c r="H205" s="24" t="s">
        <v>76</v>
      </c>
      <c r="I205" s="25">
        <f>$N$221/4</f>
        <v>3350</v>
      </c>
      <c r="J205" s="256"/>
      <c r="K205" s="56"/>
      <c r="L205" s="25">
        <f t="shared" ref="L205:P205" si="74">$N$221/4</f>
        <v>3350</v>
      </c>
      <c r="M205" s="25">
        <f t="shared" si="74"/>
        <v>3350</v>
      </c>
      <c r="N205" s="25">
        <f t="shared" si="74"/>
        <v>3350</v>
      </c>
      <c r="O205" s="25">
        <f t="shared" si="74"/>
        <v>3350</v>
      </c>
      <c r="P205" s="25">
        <f t="shared" si="74"/>
        <v>3350</v>
      </c>
      <c r="Q205" s="192"/>
      <c r="R205" s="26"/>
      <c r="S205" s="254"/>
      <c r="T205" s="25">
        <f t="shared" ref="T205:W205" si="75">$N$221/4</f>
        <v>3350</v>
      </c>
      <c r="U205" s="25">
        <f t="shared" si="75"/>
        <v>3350</v>
      </c>
      <c r="V205" s="25">
        <f t="shared" si="75"/>
        <v>3350</v>
      </c>
      <c r="W205" s="25">
        <f t="shared" si="75"/>
        <v>3350</v>
      </c>
      <c r="X205" s="192"/>
      <c r="Y205" s="26"/>
      <c r="Z205" s="25">
        <f t="shared" ref="Z205:AD205" si="76">$N$221/4</f>
        <v>3350</v>
      </c>
      <c r="AA205" s="25">
        <f t="shared" si="76"/>
        <v>3350</v>
      </c>
      <c r="AB205" s="25">
        <f t="shared" si="76"/>
        <v>3350</v>
      </c>
      <c r="AC205" s="25">
        <f t="shared" si="76"/>
        <v>3350</v>
      </c>
      <c r="AD205" s="25">
        <f t="shared" si="76"/>
        <v>3350</v>
      </c>
      <c r="AE205" s="192"/>
      <c r="AF205" s="26"/>
      <c r="AG205" s="25">
        <f t="shared" ref="AG205:AJ205" si="77">$N$221/4</f>
        <v>3350</v>
      </c>
      <c r="AH205" s="25">
        <f t="shared" si="77"/>
        <v>3350</v>
      </c>
      <c r="AI205" s="25">
        <f t="shared" si="77"/>
        <v>3350</v>
      </c>
      <c r="AJ205" s="25">
        <f t="shared" si="77"/>
        <v>3350</v>
      </c>
      <c r="AK205" s="254"/>
      <c r="AL205" s="289"/>
      <c r="AM205" s="290"/>
      <c r="AN205" s="196"/>
      <c r="AO205" s="196"/>
      <c r="AP205" s="196"/>
      <c r="AQ205" s="22"/>
      <c r="AR205" s="196"/>
      <c r="AS205" s="196"/>
      <c r="AT205" s="22"/>
      <c r="AU205" s="22"/>
      <c r="AV205" s="22"/>
      <c r="AW205" s="22"/>
    </row>
    <row r="206" spans="1:49">
      <c r="A206" s="584"/>
      <c r="B206" s="531"/>
      <c r="C206" s="587"/>
      <c r="D206" s="587"/>
      <c r="E206" s="587"/>
      <c r="F206" s="587"/>
      <c r="G206" s="29"/>
      <c r="H206" s="24" t="s">
        <v>28</v>
      </c>
      <c r="I206" s="25">
        <v>1</v>
      </c>
      <c r="J206" s="192"/>
      <c r="K206" s="26"/>
      <c r="L206" s="25">
        <v>1</v>
      </c>
      <c r="M206" s="25">
        <v>1</v>
      </c>
      <c r="N206" s="25">
        <v>1</v>
      </c>
      <c r="O206" s="25">
        <v>1</v>
      </c>
      <c r="P206" s="25">
        <v>1</v>
      </c>
      <c r="Q206" s="192"/>
      <c r="R206" s="26"/>
      <c r="S206" s="254"/>
      <c r="T206" s="25">
        <v>1</v>
      </c>
      <c r="U206" s="25">
        <v>1</v>
      </c>
      <c r="V206" s="25">
        <v>1</v>
      </c>
      <c r="W206" s="25">
        <v>1</v>
      </c>
      <c r="X206" s="192"/>
      <c r="Y206" s="26"/>
      <c r="Z206" s="25">
        <v>1</v>
      </c>
      <c r="AA206" s="25">
        <v>1</v>
      </c>
      <c r="AB206" s="25">
        <v>1</v>
      </c>
      <c r="AC206" s="25">
        <v>1</v>
      </c>
      <c r="AD206" s="25">
        <v>1</v>
      </c>
      <c r="AE206" s="192"/>
      <c r="AF206" s="26"/>
      <c r="AG206" s="25">
        <v>1</v>
      </c>
      <c r="AH206" s="25">
        <v>1</v>
      </c>
      <c r="AI206" s="25">
        <v>1</v>
      </c>
      <c r="AJ206" s="25">
        <v>1</v>
      </c>
      <c r="AK206" s="254"/>
      <c r="AL206" s="289"/>
      <c r="AM206" s="290"/>
      <c r="AN206" s="196"/>
      <c r="AO206" s="196"/>
      <c r="AP206" s="196"/>
      <c r="AQ206" s="196"/>
      <c r="AR206" s="196"/>
      <c r="AS206" s="196"/>
      <c r="AT206" s="22"/>
      <c r="AU206" s="22"/>
      <c r="AV206" s="22"/>
      <c r="AW206" s="22"/>
    </row>
    <row r="207" spans="1:49">
      <c r="A207" s="584"/>
      <c r="B207" s="531"/>
      <c r="C207" s="587"/>
      <c r="D207" s="587"/>
      <c r="E207" s="587"/>
      <c r="F207" s="587"/>
      <c r="G207" s="29"/>
      <c r="H207" s="30" t="s">
        <v>16</v>
      </c>
      <c r="I207" s="186">
        <f>SUMIFS('總絞Twisting core'!$K$7:$K$1000,'總絞Twisting core'!$A$7:$A$1000,'03'!I$2,'總絞Twisting core'!$D$7:$D$1000,'03'!$G$221)</f>
        <v>8687</v>
      </c>
      <c r="J207" s="187">
        <f>SUMIFS('總絞Twisting core'!$K$7:$K$1000,'總絞Twisting core'!$A$7:$A$1000,'03'!J$2,'總絞Twisting core'!$D$7:$D$1000,'03'!$G$221)</f>
        <v>0</v>
      </c>
      <c r="K207" s="26"/>
      <c r="L207" s="186">
        <f>SUMIFS('總絞Twisting core'!$K$7:$K$1000,'總絞Twisting core'!$A$7:$A$1000,'03'!L$2,'總絞Twisting core'!$D$7:$D$1000,'03'!$G$221)</f>
        <v>0</v>
      </c>
      <c r="M207" s="186">
        <f>SUMIFS('總絞Twisting core'!$K$7:$K$1000,'總絞Twisting core'!$A$7:$A$1000,'03'!M$2,'總絞Twisting core'!$D$7:$D$1000,'03'!$G$221)</f>
        <v>1684</v>
      </c>
      <c r="N207" s="186">
        <f>SUMIFS('總絞Twisting core'!$K$7:$K$1000,'總絞Twisting core'!$A$7:$A$1000,'03'!N$2,'總絞Twisting core'!$D$7:$D$1000,'03'!$G$221)</f>
        <v>0</v>
      </c>
      <c r="O207" s="186">
        <f>SUMIFS('總絞Twisting core'!$K$7:$K$1000,'總絞Twisting core'!$A$7:$A$1000,'03'!O$2,'總絞Twisting core'!$D$7:$D$1000,'03'!$G$221)</f>
        <v>8227</v>
      </c>
      <c r="P207" s="186">
        <f>SUMIFS('總絞Twisting core'!$K$7:$K$1000,'總絞Twisting core'!$A$7:$A$1000,'03'!P$2,'總絞Twisting core'!$D$7:$D$1000,'03'!$G$221)</f>
        <v>5855</v>
      </c>
      <c r="Q207" s="187">
        <f>SUMIFS('總絞Twisting core'!$K$7:$K$1000,'總絞Twisting core'!$A$7:$A$1000,'03'!Q$2,'總絞Twisting core'!$D$7:$D$1000,'03'!$G$221)</f>
        <v>0</v>
      </c>
      <c r="R207" s="26"/>
      <c r="S207" s="254"/>
      <c r="T207" s="186">
        <f>SUMIFS('總絞Twisting core'!$K$7:$K$1000,'總絞Twisting core'!$A$7:$A$1000,'03'!T$2,'總絞Twisting core'!$D$7:$D$1000,'03'!$G$221)</f>
        <v>0</v>
      </c>
      <c r="U207" s="186">
        <f>SUMIFS('總絞Twisting core'!$K$7:$K$1000,'總絞Twisting core'!$A$7:$A$1000,'03'!U$2,'總絞Twisting core'!$D$7:$D$1000,'03'!$G$221)</f>
        <v>3920</v>
      </c>
      <c r="V207" s="186">
        <f>SUMIFS('總絞Twisting core'!$K$7:$K$1000,'總絞Twisting core'!$A$7:$A$1000,'03'!V$2,'總絞Twisting core'!$D$7:$D$1000,'03'!$G$221)</f>
        <v>0</v>
      </c>
      <c r="W207" s="186">
        <f>SUMIFS('總絞Twisting core'!$K$7:$K$1000,'總絞Twisting core'!$A$7:$A$1000,'03'!W$2,'總絞Twisting core'!$D$7:$D$1000,'03'!$G$221)</f>
        <v>0</v>
      </c>
      <c r="X207" s="187">
        <f>SUMIFS('總絞Twisting core'!$K$7:$K$1000,'總絞Twisting core'!$A$7:$A$1000,'03'!X$2,'總絞Twisting core'!$D$7:$D$1000,'03'!$G$221)</f>
        <v>0</v>
      </c>
      <c r="Y207" s="26"/>
      <c r="Z207" s="186">
        <f>SUMIFS('總絞Twisting core'!$K$7:$K$1000,'總絞Twisting core'!$A$7:$A$1000,'03'!Z$2,'總絞Twisting core'!$D$7:$D$1000,'03'!$G$221)</f>
        <v>0</v>
      </c>
      <c r="AA207" s="186">
        <f>SUMIFS('總絞Twisting core'!$K$7:$K$1000,'總絞Twisting core'!$A$7:$A$1000,'03'!AA$2,'總絞Twisting core'!$D$7:$D$1000,'03'!$G$221)</f>
        <v>0</v>
      </c>
      <c r="AB207" s="186">
        <f>SUMIFS('總絞Twisting core'!$K$7:$K$1000,'總絞Twisting core'!$A$7:$A$1000,'03'!AB$2,'總絞Twisting core'!$D$7:$D$1000,'03'!$G$221)</f>
        <v>0</v>
      </c>
      <c r="AC207" s="186">
        <f>SUMIFS('總絞Twisting core'!$K$7:$K$1000,'總絞Twisting core'!$A$7:$A$1000,'03'!AC$2,'總絞Twisting core'!$D$7:$D$1000,'03'!$G$221)</f>
        <v>0</v>
      </c>
      <c r="AD207" s="186">
        <f>SUMIFS('總絞Twisting core'!$K$7:$K$1000,'總絞Twisting core'!$A$7:$A$1000,'03'!AD$2,'總絞Twisting core'!$D$7:$D$1000,'03'!$G$221)</f>
        <v>0</v>
      </c>
      <c r="AE207" s="187">
        <f>SUMIFS('總絞Twisting core'!$K$7:$K$1000,'總絞Twisting core'!$A$7:$A$1000,'03'!AE$2,'總絞Twisting core'!$D$7:$D$1000,'03'!$G$221)</f>
        <v>0</v>
      </c>
      <c r="AF207" s="26"/>
      <c r="AG207" s="186">
        <f>SUMIFS('總絞Twisting core'!$K$7:$K$1000,'總絞Twisting core'!$A$7:$A$1000,'03'!AG$2,'總絞Twisting core'!$D$7:$D$1000,'03'!$G$221)</f>
        <v>0</v>
      </c>
      <c r="AH207" s="186">
        <f>SUMIFS('總絞Twisting core'!$K$7:$K$1000,'總絞Twisting core'!$A$7:$A$1000,'03'!AH$2,'總絞Twisting core'!$D$7:$D$1000,'03'!$G$221)</f>
        <v>0</v>
      </c>
      <c r="AI207" s="186">
        <f>SUMIFS('總絞Twisting core'!$K$7:$K$1000,'總絞Twisting core'!$A$7:$A$1000,'03'!AI$2,'總絞Twisting core'!$D$7:$D$1000,'03'!$G$221)</f>
        <v>0</v>
      </c>
      <c r="AJ207" s="186">
        <f>SUMIFS('總絞Twisting core'!$K$7:$K$1000,'總絞Twisting core'!$A$7:$A$1000,'03'!AJ$2,'總絞Twisting core'!$D$7:$D$1000,'03'!$G$221)</f>
        <v>0</v>
      </c>
      <c r="AK207" s="254"/>
      <c r="AL207" s="289"/>
      <c r="AM207" s="290"/>
      <c r="AN207" s="196"/>
      <c r="AO207" s="196"/>
      <c r="AP207" s="196"/>
      <c r="AQ207" s="196"/>
      <c r="AR207" s="196"/>
      <c r="AS207" s="196"/>
      <c r="AT207" s="22"/>
      <c r="AU207" s="22"/>
      <c r="AV207" s="22"/>
      <c r="AW207" s="22"/>
    </row>
    <row r="208" spans="1:49">
      <c r="A208" s="584"/>
      <c r="B208" s="531"/>
      <c r="C208" s="587"/>
      <c r="D208" s="587"/>
      <c r="E208" s="587"/>
      <c r="F208" s="587"/>
      <c r="G208" s="29"/>
      <c r="H208" s="30" t="s">
        <v>113</v>
      </c>
      <c r="I208" s="31">
        <f>I207-I205</f>
        <v>5337</v>
      </c>
      <c r="J208" s="192"/>
      <c r="K208" s="26"/>
      <c r="L208" s="31"/>
      <c r="M208" s="31"/>
      <c r="N208" s="31"/>
      <c r="O208" s="31"/>
      <c r="P208" s="31"/>
      <c r="Q208" s="192"/>
      <c r="R208" s="26"/>
      <c r="S208" s="254"/>
      <c r="T208" s="31"/>
      <c r="U208" s="31"/>
      <c r="V208" s="31"/>
      <c r="W208" s="31"/>
      <c r="X208" s="192"/>
      <c r="Y208" s="26"/>
      <c r="Z208" s="31"/>
      <c r="AA208" s="31"/>
      <c r="AB208" s="31"/>
      <c r="AC208" s="31"/>
      <c r="AD208" s="31"/>
      <c r="AE208" s="192"/>
      <c r="AF208" s="26"/>
      <c r="AG208" s="31"/>
      <c r="AH208" s="31"/>
      <c r="AI208" s="31"/>
      <c r="AJ208" s="31"/>
      <c r="AK208" s="254"/>
      <c r="AL208" s="289"/>
      <c r="AM208" s="290"/>
      <c r="AN208" s="196"/>
      <c r="AO208" s="196"/>
      <c r="AP208" s="196"/>
      <c r="AQ208" s="196"/>
      <c r="AR208" s="196"/>
      <c r="AS208" s="196"/>
      <c r="AT208" s="22"/>
      <c r="AU208" s="22"/>
      <c r="AV208" s="22"/>
      <c r="AW208" s="22"/>
    </row>
    <row r="209" spans="1:49">
      <c r="A209" s="584"/>
      <c r="B209" s="531"/>
      <c r="C209" s="587"/>
      <c r="D209" s="587"/>
      <c r="E209" s="587"/>
      <c r="F209" s="587"/>
      <c r="G209" s="29"/>
      <c r="H209" s="24" t="s">
        <v>77</v>
      </c>
      <c r="I209" s="25">
        <f>$N$225/4</f>
        <v>3350</v>
      </c>
      <c r="J209" s="192"/>
      <c r="K209" s="26"/>
      <c r="L209" s="25">
        <f t="shared" ref="L209:P209" si="78">$N$225/4</f>
        <v>3350</v>
      </c>
      <c r="M209" s="25">
        <f t="shared" si="78"/>
        <v>3350</v>
      </c>
      <c r="N209" s="25">
        <f t="shared" si="78"/>
        <v>3350</v>
      </c>
      <c r="O209" s="25">
        <f t="shared" si="78"/>
        <v>3350</v>
      </c>
      <c r="P209" s="25">
        <f t="shared" si="78"/>
        <v>3350</v>
      </c>
      <c r="Q209" s="192"/>
      <c r="R209" s="26"/>
      <c r="S209" s="254"/>
      <c r="T209" s="25">
        <f t="shared" ref="T209:W209" si="79">$N$225/4</f>
        <v>3350</v>
      </c>
      <c r="U209" s="25">
        <f t="shared" si="79"/>
        <v>3350</v>
      </c>
      <c r="V209" s="25">
        <f t="shared" si="79"/>
        <v>3350</v>
      </c>
      <c r="W209" s="25">
        <f t="shared" si="79"/>
        <v>3350</v>
      </c>
      <c r="X209" s="192"/>
      <c r="Y209" s="26"/>
      <c r="Z209" s="25">
        <f t="shared" ref="Z209:AD209" si="80">$N$225/4</f>
        <v>3350</v>
      </c>
      <c r="AA209" s="25">
        <f t="shared" si="80"/>
        <v>3350</v>
      </c>
      <c r="AB209" s="25">
        <f t="shared" si="80"/>
        <v>3350</v>
      </c>
      <c r="AC209" s="25">
        <f t="shared" si="80"/>
        <v>3350</v>
      </c>
      <c r="AD209" s="25">
        <f t="shared" si="80"/>
        <v>3350</v>
      </c>
      <c r="AE209" s="192"/>
      <c r="AF209" s="26"/>
      <c r="AG209" s="25">
        <f t="shared" ref="AG209:AJ209" si="81">$N$225/4</f>
        <v>3350</v>
      </c>
      <c r="AH209" s="25">
        <f t="shared" si="81"/>
        <v>3350</v>
      </c>
      <c r="AI209" s="25">
        <f t="shared" si="81"/>
        <v>3350</v>
      </c>
      <c r="AJ209" s="25">
        <f t="shared" si="81"/>
        <v>3350</v>
      </c>
      <c r="AK209" s="254"/>
      <c r="AL209" s="289"/>
      <c r="AM209" s="290"/>
      <c r="AN209" s="196"/>
      <c r="AO209" s="196"/>
      <c r="AP209" s="196"/>
      <c r="AQ209" s="196"/>
      <c r="AR209" s="196"/>
      <c r="AS209" s="196"/>
      <c r="AT209" s="22"/>
      <c r="AU209" s="22"/>
      <c r="AV209" s="22"/>
      <c r="AW209" s="22"/>
    </row>
    <row r="210" spans="1:49">
      <c r="A210" s="584"/>
      <c r="B210" s="531"/>
      <c r="C210" s="587"/>
      <c r="D210" s="587"/>
      <c r="E210" s="587"/>
      <c r="F210" s="587"/>
      <c r="G210" s="29"/>
      <c r="H210" s="24" t="s">
        <v>28</v>
      </c>
      <c r="I210" s="25">
        <v>1</v>
      </c>
      <c r="J210" s="192"/>
      <c r="K210" s="26"/>
      <c r="L210" s="25">
        <v>1</v>
      </c>
      <c r="M210" s="25">
        <v>1</v>
      </c>
      <c r="N210" s="25">
        <v>1</v>
      </c>
      <c r="O210" s="25">
        <v>1</v>
      </c>
      <c r="P210" s="25">
        <v>1</v>
      </c>
      <c r="Q210" s="192"/>
      <c r="R210" s="26"/>
      <c r="S210" s="254"/>
      <c r="T210" s="25">
        <v>1</v>
      </c>
      <c r="U210" s="25">
        <v>1</v>
      </c>
      <c r="V210" s="25">
        <v>1</v>
      </c>
      <c r="W210" s="25">
        <v>1</v>
      </c>
      <c r="X210" s="192"/>
      <c r="Y210" s="26"/>
      <c r="Z210" s="25">
        <v>1</v>
      </c>
      <c r="AA210" s="25">
        <v>1</v>
      </c>
      <c r="AB210" s="25">
        <v>1</v>
      </c>
      <c r="AC210" s="25">
        <v>1</v>
      </c>
      <c r="AD210" s="25">
        <v>1</v>
      </c>
      <c r="AE210" s="192"/>
      <c r="AF210" s="26"/>
      <c r="AG210" s="25">
        <v>1</v>
      </c>
      <c r="AH210" s="25">
        <v>1</v>
      </c>
      <c r="AI210" s="25">
        <v>1</v>
      </c>
      <c r="AJ210" s="25">
        <v>1</v>
      </c>
      <c r="AK210" s="254"/>
      <c r="AL210" s="289"/>
      <c r="AM210" s="290"/>
      <c r="AN210" s="196"/>
      <c r="AO210" s="196"/>
      <c r="AP210" s="196"/>
      <c r="AQ210" s="196"/>
      <c r="AR210" s="196"/>
      <c r="AS210" s="196"/>
      <c r="AT210" s="22"/>
      <c r="AU210" s="22"/>
      <c r="AV210" s="22"/>
      <c r="AW210" s="22"/>
    </row>
    <row r="211" spans="1:49">
      <c r="A211" s="584"/>
      <c r="B211" s="531"/>
      <c r="C211" s="587"/>
      <c r="D211" s="587"/>
      <c r="E211" s="587"/>
      <c r="F211" s="587"/>
      <c r="G211" s="29"/>
      <c r="H211" s="30" t="s">
        <v>16</v>
      </c>
      <c r="I211" s="186">
        <f>SUMIFS('總絞Twisting core'!$K$7:$K$1000,'總絞Twisting core'!$A$7:$A$1000,'03'!I$2,'總絞Twisting core'!$D$7:$D$1000,'03'!$G$225)</f>
        <v>0</v>
      </c>
      <c r="J211" s="187">
        <f>SUMIFS('總絞Twisting core'!$K$7:$K$1000,'總絞Twisting core'!$A$7:$A$1000,'03'!J$2,'總絞Twisting core'!$D$7:$D$1000,'03'!$G$225)</f>
        <v>7589</v>
      </c>
      <c r="K211" s="26"/>
      <c r="L211" s="186">
        <f>SUMIFS('總絞Twisting core'!$K$7:$K$1000,'總絞Twisting core'!$A$7:$A$1000,'03'!L$2,'總絞Twisting core'!$D$7:$D$1000,'03'!$G$225)</f>
        <v>13745</v>
      </c>
      <c r="M211" s="186">
        <f>SUMIFS('總絞Twisting core'!$K$7:$K$1000,'總絞Twisting core'!$A$7:$A$1000,'03'!M$2,'總絞Twisting core'!$D$7:$D$1000,'03'!$G$225)</f>
        <v>5075</v>
      </c>
      <c r="N211" s="186">
        <f>SUMIFS('總絞Twisting core'!$K$7:$K$1000,'總絞Twisting core'!$A$7:$A$1000,'03'!N$2,'總絞Twisting core'!$D$7:$D$1000,'03'!$G$225)</f>
        <v>0</v>
      </c>
      <c r="O211" s="186">
        <f>SUMIFS('總絞Twisting core'!$K$7:$K$1000,'總絞Twisting core'!$A$7:$A$1000,'03'!O$2,'總絞Twisting core'!$D$7:$D$1000,'03'!$G$225)</f>
        <v>0</v>
      </c>
      <c r="P211" s="186">
        <f>SUMIFS('總絞Twisting core'!$K$7:$K$1000,'總絞Twisting core'!$A$7:$A$1000,'03'!P$2,'總絞Twisting core'!$D$7:$D$1000,'03'!$G$225)</f>
        <v>0</v>
      </c>
      <c r="Q211" s="187">
        <f>SUMIFS('總絞Twisting core'!$K$7:$K$1000,'總絞Twisting core'!$A$7:$A$1000,'03'!Q$2,'總絞Twisting core'!$D$7:$D$1000,'03'!$G$225)</f>
        <v>0</v>
      </c>
      <c r="R211" s="26"/>
      <c r="S211" s="254"/>
      <c r="T211" s="186">
        <f>SUMIFS('總絞Twisting core'!$K$7:$K$1000,'總絞Twisting core'!$A$7:$A$1000,'03'!T$2,'總絞Twisting core'!$D$7:$D$1000,'03'!$G$225)</f>
        <v>0</v>
      </c>
      <c r="U211" s="186">
        <f>SUMIFS('總絞Twisting core'!$K$7:$K$1000,'總絞Twisting core'!$A$7:$A$1000,'03'!U$2,'總絞Twisting core'!$D$7:$D$1000,'03'!$G$225)</f>
        <v>0</v>
      </c>
      <c r="V211" s="186">
        <f>SUMIFS('總絞Twisting core'!$K$7:$K$1000,'總絞Twisting core'!$A$7:$A$1000,'03'!V$2,'總絞Twisting core'!$D$7:$D$1000,'03'!$G$225)</f>
        <v>0</v>
      </c>
      <c r="W211" s="186">
        <f>SUMIFS('總絞Twisting core'!$K$7:$K$1000,'總絞Twisting core'!$A$7:$A$1000,'03'!W$2,'總絞Twisting core'!$D$7:$D$1000,'03'!$G$225)</f>
        <v>0</v>
      </c>
      <c r="X211" s="187">
        <f>SUMIFS('總絞Twisting core'!$K$7:$K$1000,'總絞Twisting core'!$A$7:$A$1000,'03'!X$2,'總絞Twisting core'!$D$7:$D$1000,'03'!$G$225)</f>
        <v>0</v>
      </c>
      <c r="Y211" s="26"/>
      <c r="Z211" s="186">
        <f>SUMIFS('總絞Twisting core'!$K$7:$K$1000,'總絞Twisting core'!$A$7:$A$1000,'03'!Z$2,'總絞Twisting core'!$D$7:$D$1000,'03'!$G$225)</f>
        <v>0</v>
      </c>
      <c r="AA211" s="186">
        <f>SUMIFS('總絞Twisting core'!$K$7:$K$1000,'總絞Twisting core'!$A$7:$A$1000,'03'!AA$2,'總絞Twisting core'!$D$7:$D$1000,'03'!$G$225)</f>
        <v>0</v>
      </c>
      <c r="AB211" s="186">
        <f>SUMIFS('總絞Twisting core'!$K$7:$K$1000,'總絞Twisting core'!$A$7:$A$1000,'03'!AB$2,'總絞Twisting core'!$D$7:$D$1000,'03'!$G$225)</f>
        <v>0</v>
      </c>
      <c r="AC211" s="186">
        <f>SUMIFS('總絞Twisting core'!$K$7:$K$1000,'總絞Twisting core'!$A$7:$A$1000,'03'!AC$2,'總絞Twisting core'!$D$7:$D$1000,'03'!$G$225)</f>
        <v>0</v>
      </c>
      <c r="AD211" s="186">
        <f>SUMIFS('總絞Twisting core'!$K$7:$K$1000,'總絞Twisting core'!$A$7:$A$1000,'03'!AD$2,'總絞Twisting core'!$D$7:$D$1000,'03'!$G$225)</f>
        <v>0</v>
      </c>
      <c r="AE211" s="187">
        <f>SUMIFS('總絞Twisting core'!$K$7:$K$1000,'總絞Twisting core'!$A$7:$A$1000,'03'!AE$2,'總絞Twisting core'!$D$7:$D$1000,'03'!$G$225)</f>
        <v>0</v>
      </c>
      <c r="AF211" s="26"/>
      <c r="AG211" s="186">
        <f>SUMIFS('總絞Twisting core'!$K$7:$K$1000,'總絞Twisting core'!$A$7:$A$1000,'03'!AG$2,'總絞Twisting core'!$D$7:$D$1000,'03'!$G$225)</f>
        <v>0</v>
      </c>
      <c r="AH211" s="186">
        <f>SUMIFS('總絞Twisting core'!$K$7:$K$1000,'總絞Twisting core'!$A$7:$A$1000,'03'!AH$2,'總絞Twisting core'!$D$7:$D$1000,'03'!$G$225)</f>
        <v>0</v>
      </c>
      <c r="AI211" s="186">
        <f>SUMIFS('總絞Twisting core'!$K$7:$K$1000,'總絞Twisting core'!$A$7:$A$1000,'03'!AI$2,'總絞Twisting core'!$D$7:$D$1000,'03'!$G$225)</f>
        <v>0</v>
      </c>
      <c r="AJ211" s="186">
        <f>SUMIFS('總絞Twisting core'!$K$7:$K$1000,'總絞Twisting core'!$A$7:$A$1000,'03'!AJ$2,'總絞Twisting core'!$D$7:$D$1000,'03'!$G$225)</f>
        <v>0</v>
      </c>
      <c r="AK211" s="254"/>
      <c r="AL211" s="289"/>
      <c r="AM211" s="290"/>
      <c r="AN211" s="196"/>
      <c r="AO211" s="196"/>
      <c r="AP211" s="196"/>
      <c r="AQ211" s="196"/>
      <c r="AR211" s="196"/>
      <c r="AS211" s="196"/>
      <c r="AT211" s="22"/>
      <c r="AU211" s="22"/>
      <c r="AV211" s="22"/>
      <c r="AW211" s="22"/>
    </row>
    <row r="212" spans="1:49">
      <c r="A212" s="584"/>
      <c r="B212" s="531"/>
      <c r="C212" s="587"/>
      <c r="D212" s="587"/>
      <c r="E212" s="587"/>
      <c r="F212" s="587"/>
      <c r="G212" s="29"/>
      <c r="H212" s="30" t="s">
        <v>113</v>
      </c>
      <c r="I212" s="31">
        <f>I211-I209</f>
        <v>-3350</v>
      </c>
      <c r="J212" s="192">
        <f>I212+(J211-J209)</f>
        <v>4239</v>
      </c>
      <c r="K212" s="26"/>
      <c r="L212" s="31"/>
      <c r="M212" s="31"/>
      <c r="N212" s="31"/>
      <c r="O212" s="31"/>
      <c r="P212" s="31"/>
      <c r="Q212" s="192"/>
      <c r="R212" s="26"/>
      <c r="S212" s="254"/>
      <c r="T212" s="31"/>
      <c r="U212" s="31"/>
      <c r="V212" s="31"/>
      <c r="W212" s="31"/>
      <c r="X212" s="192"/>
      <c r="Y212" s="26"/>
      <c r="Z212" s="31"/>
      <c r="AA212" s="31"/>
      <c r="AB212" s="31"/>
      <c r="AC212" s="31"/>
      <c r="AD212" s="31"/>
      <c r="AE212" s="192"/>
      <c r="AF212" s="26"/>
      <c r="AG212" s="31"/>
      <c r="AH212" s="31"/>
      <c r="AI212" s="31"/>
      <c r="AJ212" s="31"/>
      <c r="AK212" s="254"/>
      <c r="AL212" s="289"/>
      <c r="AM212" s="290"/>
      <c r="AN212" s="196"/>
      <c r="AO212" s="196"/>
      <c r="AP212" s="196"/>
      <c r="AQ212" s="196"/>
      <c r="AR212" s="196"/>
      <c r="AS212" s="196"/>
      <c r="AT212" s="22"/>
      <c r="AU212" s="22"/>
      <c r="AV212" s="22"/>
      <c r="AW212" s="22"/>
    </row>
    <row r="213" spans="1:49">
      <c r="A213" s="584"/>
      <c r="B213" s="531"/>
      <c r="C213" s="587"/>
      <c r="D213" s="587"/>
      <c r="E213" s="587"/>
      <c r="F213" s="587"/>
      <c r="G213" s="29"/>
      <c r="H213" s="24" t="s">
        <v>78</v>
      </c>
      <c r="I213" s="25">
        <f>$N$221/4</f>
        <v>3350</v>
      </c>
      <c r="J213" s="192"/>
      <c r="K213" s="26"/>
      <c r="L213" s="25">
        <f t="shared" ref="L213:P213" si="82">$N$221/4</f>
        <v>3350</v>
      </c>
      <c r="M213" s="25">
        <f t="shared" si="82"/>
        <v>3350</v>
      </c>
      <c r="N213" s="25">
        <f t="shared" si="82"/>
        <v>3350</v>
      </c>
      <c r="O213" s="25">
        <f t="shared" si="82"/>
        <v>3350</v>
      </c>
      <c r="P213" s="25">
        <f t="shared" si="82"/>
        <v>3350</v>
      </c>
      <c r="Q213" s="192"/>
      <c r="R213" s="26"/>
      <c r="S213" s="254"/>
      <c r="T213" s="25">
        <f t="shared" ref="T213:W213" si="83">$N$221/4</f>
        <v>3350</v>
      </c>
      <c r="U213" s="25">
        <f t="shared" si="83"/>
        <v>3350</v>
      </c>
      <c r="V213" s="25">
        <f t="shared" si="83"/>
        <v>3350</v>
      </c>
      <c r="W213" s="25">
        <f t="shared" si="83"/>
        <v>3350</v>
      </c>
      <c r="X213" s="192"/>
      <c r="Y213" s="26"/>
      <c r="Z213" s="25">
        <f t="shared" ref="Z213:AD213" si="84">$N$221/4</f>
        <v>3350</v>
      </c>
      <c r="AA213" s="25">
        <f t="shared" si="84"/>
        <v>3350</v>
      </c>
      <c r="AB213" s="25">
        <f t="shared" si="84"/>
        <v>3350</v>
      </c>
      <c r="AC213" s="25">
        <f t="shared" si="84"/>
        <v>3350</v>
      </c>
      <c r="AD213" s="25">
        <f t="shared" si="84"/>
        <v>3350</v>
      </c>
      <c r="AE213" s="192"/>
      <c r="AF213" s="26"/>
      <c r="AG213" s="25">
        <f t="shared" ref="AG213:AJ213" si="85">$N$221/4</f>
        <v>3350</v>
      </c>
      <c r="AH213" s="25">
        <f t="shared" si="85"/>
        <v>3350</v>
      </c>
      <c r="AI213" s="25">
        <f t="shared" si="85"/>
        <v>3350</v>
      </c>
      <c r="AJ213" s="25">
        <f t="shared" si="85"/>
        <v>3350</v>
      </c>
      <c r="AK213" s="254"/>
      <c r="AL213" s="289"/>
      <c r="AM213" s="290"/>
      <c r="AN213" s="196"/>
      <c r="AO213" s="196"/>
      <c r="AP213" s="196"/>
      <c r="AQ213" s="196"/>
      <c r="AR213" s="196"/>
      <c r="AS213" s="196"/>
      <c r="AT213" s="22"/>
      <c r="AU213" s="22"/>
      <c r="AV213" s="22"/>
      <c r="AW213" s="22"/>
    </row>
    <row r="214" spans="1:49">
      <c r="A214" s="584"/>
      <c r="B214" s="531"/>
      <c r="C214" s="587"/>
      <c r="D214" s="587"/>
      <c r="E214" s="587"/>
      <c r="F214" s="587"/>
      <c r="G214" s="29"/>
      <c r="H214" s="24" t="s">
        <v>79</v>
      </c>
      <c r="I214" s="25">
        <v>3</v>
      </c>
      <c r="J214" s="192"/>
      <c r="K214" s="26"/>
      <c r="L214" s="25">
        <v>3</v>
      </c>
      <c r="M214" s="25">
        <v>3</v>
      </c>
      <c r="N214" s="25">
        <v>3</v>
      </c>
      <c r="O214" s="25">
        <v>3</v>
      </c>
      <c r="P214" s="25">
        <v>3</v>
      </c>
      <c r="Q214" s="192"/>
      <c r="R214" s="26"/>
      <c r="S214" s="254"/>
      <c r="T214" s="25">
        <v>3</v>
      </c>
      <c r="U214" s="25">
        <v>3</v>
      </c>
      <c r="V214" s="25">
        <v>3</v>
      </c>
      <c r="W214" s="25">
        <v>3</v>
      </c>
      <c r="X214" s="192"/>
      <c r="Y214" s="26"/>
      <c r="Z214" s="25">
        <v>3</v>
      </c>
      <c r="AA214" s="25">
        <v>3</v>
      </c>
      <c r="AB214" s="25">
        <v>3</v>
      </c>
      <c r="AC214" s="25">
        <v>3</v>
      </c>
      <c r="AD214" s="25">
        <v>3</v>
      </c>
      <c r="AE214" s="192"/>
      <c r="AF214" s="26"/>
      <c r="AG214" s="25">
        <v>3</v>
      </c>
      <c r="AH214" s="25">
        <v>3</v>
      </c>
      <c r="AI214" s="25">
        <v>3</v>
      </c>
      <c r="AJ214" s="25">
        <v>3</v>
      </c>
      <c r="AK214" s="254"/>
      <c r="AL214" s="289"/>
      <c r="AM214" s="290"/>
      <c r="AN214" s="196"/>
      <c r="AO214" s="196"/>
      <c r="AP214" s="196"/>
      <c r="AQ214" s="196"/>
      <c r="AR214" s="196"/>
      <c r="AS214" s="196"/>
      <c r="AT214" s="22"/>
      <c r="AU214" s="22"/>
      <c r="AV214" s="22"/>
      <c r="AW214" s="22"/>
    </row>
    <row r="215" spans="1:49">
      <c r="A215" s="584"/>
      <c r="B215" s="531"/>
      <c r="C215" s="587"/>
      <c r="D215" s="587"/>
      <c r="E215" s="587"/>
      <c r="F215" s="587"/>
      <c r="G215" s="29"/>
      <c r="H215" s="30" t="s">
        <v>16</v>
      </c>
      <c r="I215" s="186">
        <f>SUMIFS('编织 缠绕 Winding, Braiding,'!$K$7:$K$1000,'编织 缠绕 Winding, Braiding,'!$A$7:$A$1000,'03'!I$2,'编织 缠绕 Winding, Braiding,'!$D$7:$D$1000,'03'!$G$221)</f>
        <v>8404</v>
      </c>
      <c r="J215" s="187">
        <f>SUMIFS('编织 缠绕 Winding, Braiding,'!$K$7:$K$1000,'编织 缠绕 Winding, Braiding,'!$A$7:$A$1000,'03'!J$2,'编织 缠绕 Winding, Braiding,'!$D$7:$D$1000,'03'!$G$221)</f>
        <v>4538</v>
      </c>
      <c r="K215" s="26"/>
      <c r="L215" s="186">
        <f>SUMIFS('编织 缠绕 Winding, Braiding,'!$K$7:$K$1000,'编织 缠绕 Winding, Braiding,'!$A$7:$A$1000,'03'!L$2,'编织 缠绕 Winding, Braiding,'!$D$7:$D$1000,'03'!$G$221)</f>
        <v>2144</v>
      </c>
      <c r="M215" s="186">
        <f>SUMIFS('编织 缠绕 Winding, Braiding,'!$K$7:$K$1000,'编织 缠绕 Winding, Braiding,'!$A$7:$A$1000,'03'!M$2,'编织 缠绕 Winding, Braiding,'!$D$7:$D$1000,'03'!$G$221)</f>
        <v>0</v>
      </c>
      <c r="N215" s="186">
        <f>SUMIFS('编织 缠绕 Winding, Braiding,'!$K$7:$K$1000,'编织 缠绕 Winding, Braiding,'!$A$7:$A$1000,'03'!N$2,'编织 缠绕 Winding, Braiding,'!$D$7:$D$1000,'03'!$G$221)</f>
        <v>2761</v>
      </c>
      <c r="O215" s="186">
        <f>SUMIFS('编织 缠绕 Winding, Braiding,'!$K$7:$K$1000,'编织 缠绕 Winding, Braiding,'!$A$7:$A$1000,'03'!O$2,'编织 缠绕 Winding, Braiding,'!$D$7:$D$1000,'03'!$G$221)</f>
        <v>832</v>
      </c>
      <c r="P215" s="186">
        <f>SUMIFS('编织 缠绕 Winding, Braiding,'!$K$7:$K$1000,'编织 缠绕 Winding, Braiding,'!$A$7:$A$1000,'03'!P$2,'编织 缠绕 Winding, Braiding,'!$D$7:$D$1000,'03'!$G$221)</f>
        <v>8495</v>
      </c>
      <c r="Q215" s="187">
        <f>SUMIFS('编织 缠绕 Winding, Braiding,'!$K$7:$K$1000,'编织 缠绕 Winding, Braiding,'!$A$7:$A$1000,'03'!Q$2,'编织 缠绕 Winding, Braiding,'!$D$7:$D$1000,'03'!$G$221)</f>
        <v>2823</v>
      </c>
      <c r="R215" s="26"/>
      <c r="S215" s="254"/>
      <c r="T215" s="186">
        <f>SUMIFS('编织 缠绕 Winding, Braiding,'!$K$7:$K$1000,'编织 缠绕 Winding, Braiding,'!$A$7:$A$1000,'03'!T$2,'编织 缠绕 Winding, Braiding,'!$D$7:$D$1000,'03'!$G$221)</f>
        <v>1584</v>
      </c>
      <c r="U215" s="186">
        <f>SUMIFS('编织 缠绕 Winding, Braiding,'!$K$7:$K$1000,'编织 缠绕 Winding, Braiding,'!$A$7:$A$1000,'03'!U$2,'编织 缠绕 Winding, Braiding,'!$D$7:$D$1000,'03'!$G$221)</f>
        <v>0</v>
      </c>
      <c r="V215" s="186">
        <f>SUMIFS('编织 缠绕 Winding, Braiding,'!$K$7:$K$1000,'编织 缠绕 Winding, Braiding,'!$A$7:$A$1000,'03'!V$2,'编织 缠绕 Winding, Braiding,'!$D$7:$D$1000,'03'!$G$221)</f>
        <v>0</v>
      </c>
      <c r="W215" s="186">
        <f>SUMIFS('编织 缠绕 Winding, Braiding,'!$K$7:$K$1000,'编织 缠绕 Winding, Braiding,'!$A$7:$A$1000,'03'!W$2,'编织 缠绕 Winding, Braiding,'!$D$7:$D$1000,'03'!$G$221)</f>
        <v>0</v>
      </c>
      <c r="X215" s="187">
        <f>SUMIFS('编织 缠绕 Winding, Braiding,'!$K$7:$K$1000,'编织 缠绕 Winding, Braiding,'!$A$7:$A$1000,'03'!X$2,'编织 缠绕 Winding, Braiding,'!$D$7:$D$1000,'03'!$G$221)</f>
        <v>0</v>
      </c>
      <c r="Y215" s="26"/>
      <c r="Z215" s="186">
        <f>SUMIFS('编织 缠绕 Winding, Braiding,'!$K$7:$K$1000,'编织 缠绕 Winding, Braiding,'!$A$7:$A$1000,'03'!Z$2,'编织 缠绕 Winding, Braiding,'!$D$7:$D$1000,'03'!$G$221)</f>
        <v>0</v>
      </c>
      <c r="AA215" s="186">
        <f>SUMIFS('编织 缠绕 Winding, Braiding,'!$K$7:$K$1000,'编织 缠绕 Winding, Braiding,'!$A$7:$A$1000,'03'!AA$2,'编织 缠绕 Winding, Braiding,'!$D$7:$D$1000,'03'!$G$221)</f>
        <v>0</v>
      </c>
      <c r="AB215" s="186">
        <f>SUMIFS('编织 缠绕 Winding, Braiding,'!$K$7:$K$1000,'编织 缠绕 Winding, Braiding,'!$A$7:$A$1000,'03'!AB$2,'编织 缠绕 Winding, Braiding,'!$D$7:$D$1000,'03'!$G$221)</f>
        <v>0</v>
      </c>
      <c r="AC215" s="186">
        <f>SUMIFS('编织 缠绕 Winding, Braiding,'!$K$7:$K$1000,'编织 缠绕 Winding, Braiding,'!$A$7:$A$1000,'03'!AC$2,'编织 缠绕 Winding, Braiding,'!$D$7:$D$1000,'03'!$G$221)</f>
        <v>0</v>
      </c>
      <c r="AD215" s="186">
        <f>SUMIFS('编织 缠绕 Winding, Braiding,'!$K$7:$K$1000,'编织 缠绕 Winding, Braiding,'!$A$7:$A$1000,'03'!AD$2,'编织 缠绕 Winding, Braiding,'!$D$7:$D$1000,'03'!$G$221)</f>
        <v>0</v>
      </c>
      <c r="AE215" s="187">
        <f>SUMIFS('编织 缠绕 Winding, Braiding,'!$K$7:$K$1000,'编织 缠绕 Winding, Braiding,'!$A$7:$A$1000,'03'!AE$2,'编织 缠绕 Winding, Braiding,'!$D$7:$D$1000,'03'!$G$221)</f>
        <v>0</v>
      </c>
      <c r="AF215" s="26"/>
      <c r="AG215" s="186">
        <f>SUMIFS('编织 缠绕 Winding, Braiding,'!$K$7:$K$1000,'编织 缠绕 Winding, Braiding,'!$A$7:$A$1000,'03'!AG$2,'编织 缠绕 Winding, Braiding,'!$D$7:$D$1000,'03'!$G$221)</f>
        <v>0</v>
      </c>
      <c r="AH215" s="186">
        <f>SUMIFS('编织 缠绕 Winding, Braiding,'!$K$7:$K$1000,'编织 缠绕 Winding, Braiding,'!$A$7:$A$1000,'03'!AH$2,'编织 缠绕 Winding, Braiding,'!$D$7:$D$1000,'03'!$G$221)</f>
        <v>0</v>
      </c>
      <c r="AI215" s="186">
        <f>SUMIFS('编织 缠绕 Winding, Braiding,'!$K$7:$K$1000,'编织 缠绕 Winding, Braiding,'!$A$7:$A$1000,'03'!AI$2,'编织 缠绕 Winding, Braiding,'!$D$7:$D$1000,'03'!$G$221)</f>
        <v>0</v>
      </c>
      <c r="AJ215" s="186">
        <f>SUMIFS('编织 缠绕 Winding, Braiding,'!$K$7:$K$1000,'编织 缠绕 Winding, Braiding,'!$A$7:$A$1000,'03'!AJ$2,'编织 缠绕 Winding, Braiding,'!$D$7:$D$1000,'03'!$G$221)</f>
        <v>0</v>
      </c>
      <c r="AK215" s="254"/>
      <c r="AL215" s="289"/>
      <c r="AM215" s="290"/>
      <c r="AN215" s="196"/>
      <c r="AO215" s="196"/>
      <c r="AP215" s="196"/>
      <c r="AQ215" s="196"/>
      <c r="AR215" s="196"/>
      <c r="AS215" s="196"/>
      <c r="AT215" s="22"/>
      <c r="AU215" s="22"/>
      <c r="AV215" s="22"/>
      <c r="AW215" s="22"/>
    </row>
    <row r="216" spans="1:49">
      <c r="A216" s="584"/>
      <c r="B216" s="531"/>
      <c r="C216" s="587"/>
      <c r="D216" s="587"/>
      <c r="E216" s="587"/>
      <c r="F216" s="587"/>
      <c r="G216" s="29"/>
      <c r="H216" s="30" t="s">
        <v>113</v>
      </c>
      <c r="I216" s="31">
        <f>I215-I213</f>
        <v>5054</v>
      </c>
      <c r="J216" s="192">
        <f>I216+(J215-J213)</f>
        <v>9592</v>
      </c>
      <c r="K216" s="26"/>
      <c r="L216" s="31">
        <f>J216+(L215-L213)</f>
        <v>8386</v>
      </c>
      <c r="M216" s="31"/>
      <c r="N216" s="31"/>
      <c r="O216" s="31"/>
      <c r="P216" s="31"/>
      <c r="Q216" s="192"/>
      <c r="R216" s="26"/>
      <c r="S216" s="254"/>
      <c r="T216" s="31"/>
      <c r="U216" s="31"/>
      <c r="V216" s="31"/>
      <c r="W216" s="31"/>
      <c r="X216" s="192"/>
      <c r="Y216" s="26"/>
      <c r="Z216" s="31"/>
      <c r="AA216" s="31"/>
      <c r="AB216" s="31"/>
      <c r="AC216" s="31"/>
      <c r="AD216" s="31"/>
      <c r="AE216" s="192"/>
      <c r="AF216" s="26"/>
      <c r="AG216" s="31"/>
      <c r="AH216" s="31"/>
      <c r="AI216" s="31"/>
      <c r="AJ216" s="31"/>
      <c r="AK216" s="254"/>
      <c r="AL216" s="289"/>
      <c r="AM216" s="290"/>
      <c r="AN216" s="196"/>
      <c r="AO216" s="196"/>
      <c r="AP216" s="196"/>
      <c r="AQ216" s="196"/>
      <c r="AR216" s="196"/>
      <c r="AS216" s="196"/>
      <c r="AT216" s="22"/>
      <c r="AU216" s="22"/>
      <c r="AV216" s="22"/>
      <c r="AW216" s="22"/>
    </row>
    <row r="217" spans="1:49">
      <c r="A217" s="584"/>
      <c r="B217" s="531"/>
      <c r="C217" s="587"/>
      <c r="D217" s="587"/>
      <c r="E217" s="587"/>
      <c r="F217" s="587"/>
      <c r="G217" s="29"/>
      <c r="H217" s="24" t="s">
        <v>80</v>
      </c>
      <c r="I217" s="25">
        <f>$N$225/4</f>
        <v>3350</v>
      </c>
      <c r="J217" s="192"/>
      <c r="K217" s="26"/>
      <c r="L217" s="25">
        <f t="shared" ref="L217:P217" si="86">$N$225/4</f>
        <v>3350</v>
      </c>
      <c r="M217" s="25">
        <f t="shared" si="86"/>
        <v>3350</v>
      </c>
      <c r="N217" s="25">
        <f t="shared" si="86"/>
        <v>3350</v>
      </c>
      <c r="O217" s="25">
        <f t="shared" si="86"/>
        <v>3350</v>
      </c>
      <c r="P217" s="25">
        <f t="shared" si="86"/>
        <v>3350</v>
      </c>
      <c r="Q217" s="192"/>
      <c r="R217" s="26"/>
      <c r="S217" s="254"/>
      <c r="T217" s="25">
        <f t="shared" ref="T217:W217" si="87">$N$225/4</f>
        <v>3350</v>
      </c>
      <c r="U217" s="25">
        <f t="shared" si="87"/>
        <v>3350</v>
      </c>
      <c r="V217" s="25">
        <f t="shared" si="87"/>
        <v>3350</v>
      </c>
      <c r="W217" s="25">
        <f t="shared" si="87"/>
        <v>3350</v>
      </c>
      <c r="X217" s="192"/>
      <c r="Y217" s="26"/>
      <c r="Z217" s="25">
        <f t="shared" ref="Z217:AD217" si="88">$N$225/4</f>
        <v>3350</v>
      </c>
      <c r="AA217" s="25">
        <f t="shared" si="88"/>
        <v>3350</v>
      </c>
      <c r="AB217" s="25">
        <f t="shared" si="88"/>
        <v>3350</v>
      </c>
      <c r="AC217" s="25">
        <f t="shared" si="88"/>
        <v>3350</v>
      </c>
      <c r="AD217" s="25">
        <f t="shared" si="88"/>
        <v>3350</v>
      </c>
      <c r="AE217" s="192"/>
      <c r="AF217" s="26"/>
      <c r="AG217" s="25">
        <f t="shared" ref="AG217:AJ217" si="89">$N$225/4</f>
        <v>3350</v>
      </c>
      <c r="AH217" s="25">
        <f t="shared" si="89"/>
        <v>3350</v>
      </c>
      <c r="AI217" s="25">
        <f t="shared" si="89"/>
        <v>3350</v>
      </c>
      <c r="AJ217" s="25">
        <f t="shared" si="89"/>
        <v>3350</v>
      </c>
      <c r="AK217" s="254"/>
      <c r="AL217" s="289"/>
      <c r="AM217" s="290"/>
      <c r="AN217" s="196"/>
      <c r="AO217" s="196"/>
      <c r="AP217" s="196"/>
      <c r="AQ217" s="196"/>
      <c r="AR217" s="196"/>
      <c r="AS217" s="196"/>
      <c r="AT217" s="22"/>
      <c r="AU217" s="22"/>
      <c r="AV217" s="22"/>
      <c r="AW217" s="22"/>
    </row>
    <row r="218" spans="1:49">
      <c r="A218" s="584"/>
      <c r="B218" s="531"/>
      <c r="C218" s="587"/>
      <c r="D218" s="587"/>
      <c r="E218" s="587"/>
      <c r="F218" s="587"/>
      <c r="G218" s="29"/>
      <c r="H218" s="24" t="s">
        <v>79</v>
      </c>
      <c r="I218" s="25">
        <v>3</v>
      </c>
      <c r="J218" s="192"/>
      <c r="K218" s="26"/>
      <c r="L218" s="25">
        <v>3</v>
      </c>
      <c r="M218" s="25">
        <v>3</v>
      </c>
      <c r="N218" s="25">
        <v>3</v>
      </c>
      <c r="O218" s="25">
        <v>3</v>
      </c>
      <c r="P218" s="25">
        <v>3</v>
      </c>
      <c r="Q218" s="192"/>
      <c r="R218" s="26"/>
      <c r="S218" s="254"/>
      <c r="T218" s="25">
        <v>3</v>
      </c>
      <c r="U218" s="25">
        <v>3</v>
      </c>
      <c r="V218" s="25">
        <v>3</v>
      </c>
      <c r="W218" s="25">
        <v>3</v>
      </c>
      <c r="X218" s="192"/>
      <c r="Y218" s="26"/>
      <c r="Z218" s="25">
        <v>3</v>
      </c>
      <c r="AA218" s="25">
        <v>3</v>
      </c>
      <c r="AB218" s="25">
        <v>3</v>
      </c>
      <c r="AC218" s="25">
        <v>3</v>
      </c>
      <c r="AD218" s="25">
        <v>3</v>
      </c>
      <c r="AE218" s="192"/>
      <c r="AF218" s="26"/>
      <c r="AG218" s="25">
        <v>3</v>
      </c>
      <c r="AH218" s="25">
        <v>3</v>
      </c>
      <c r="AI218" s="25">
        <v>3</v>
      </c>
      <c r="AJ218" s="25">
        <v>3</v>
      </c>
      <c r="AK218" s="254"/>
      <c r="AL218" s="289"/>
      <c r="AM218" s="290"/>
      <c r="AN218" s="196"/>
      <c r="AO218" s="196"/>
      <c r="AP218" s="196"/>
      <c r="AQ218" s="196"/>
      <c r="AR218" s="196"/>
      <c r="AS218" s="196"/>
      <c r="AT218" s="22"/>
      <c r="AU218" s="22"/>
      <c r="AV218" s="22"/>
      <c r="AW218" s="22"/>
    </row>
    <row r="219" spans="1:49">
      <c r="A219" s="584"/>
      <c r="B219" s="531"/>
      <c r="C219" s="587"/>
      <c r="D219" s="587"/>
      <c r="E219" s="587"/>
      <c r="F219" s="587"/>
      <c r="G219" s="29"/>
      <c r="H219" s="30" t="s">
        <v>16</v>
      </c>
      <c r="I219" s="186">
        <f>SUMIFS('编织 缠绕 Winding, Braiding,'!$K$7:$K$1000,'编织 缠绕 Winding, Braiding,'!$A$7:$A$1000,'03'!I$2,'编织 缠绕 Winding, Braiding,'!$D$7:$D$1000,'03'!$G$225)</f>
        <v>0</v>
      </c>
      <c r="J219" s="187">
        <f>SUMIFS('编织 缠绕 Winding, Braiding,'!$K$7:$K$1000,'编织 缠绕 Winding, Braiding,'!$A$7:$A$1000,'03'!J$2,'编织 缠绕 Winding, Braiding,'!$D$7:$D$1000,'03'!$G$225)</f>
        <v>943</v>
      </c>
      <c r="K219" s="26"/>
      <c r="L219" s="186">
        <f>SUMIFS('编织 缠绕 Winding, Braiding,'!$K$7:$K$1000,'编织 缠绕 Winding, Braiding,'!$A$7:$A$1000,'03'!L$2,'编织 缠绕 Winding, Braiding,'!$D$7:$D$1000,'03'!$G$225)</f>
        <v>6860</v>
      </c>
      <c r="M219" s="186">
        <f>SUMIFS('编织 缠绕 Winding, Braiding,'!$K$7:$K$1000,'编织 缠绕 Winding, Braiding,'!$A$7:$A$1000,'03'!M$2,'编织 缠绕 Winding, Braiding,'!$D$7:$D$1000,'03'!$G$225)</f>
        <v>7994</v>
      </c>
      <c r="N219" s="186">
        <f>SUMIFS('编织 缠绕 Winding, Braiding,'!$K$7:$K$1000,'编织 缠绕 Winding, Braiding,'!$A$7:$A$1000,'03'!N$2,'编织 缠绕 Winding, Braiding,'!$D$7:$D$1000,'03'!$G$225)</f>
        <v>7708</v>
      </c>
      <c r="O219" s="186">
        <f>SUMIFS('编织 缠绕 Winding, Braiding,'!$K$7:$K$1000,'编织 缠绕 Winding, Braiding,'!$A$7:$A$1000,'03'!O$2,'编织 缠绕 Winding, Braiding,'!$D$7:$D$1000,'03'!$G$225)</f>
        <v>4858</v>
      </c>
      <c r="P219" s="186">
        <f>SUMIFS('编织 缠绕 Winding, Braiding,'!$K$7:$K$1000,'编织 缠绕 Winding, Braiding,'!$A$7:$A$1000,'03'!P$2,'编织 缠绕 Winding, Braiding,'!$D$7:$D$1000,'03'!$G$225)</f>
        <v>0</v>
      </c>
      <c r="Q219" s="187">
        <f>SUMIFS('编织 缠绕 Winding, Braiding,'!$K$7:$K$1000,'编织 缠绕 Winding, Braiding,'!$A$7:$A$1000,'03'!Q$2,'编织 缠绕 Winding, Braiding,'!$D$7:$D$1000,'03'!$G$225)</f>
        <v>0</v>
      </c>
      <c r="R219" s="26"/>
      <c r="S219" s="254"/>
      <c r="T219" s="186">
        <f>SUMIFS('编织 缠绕 Winding, Braiding,'!$K$7:$K$1000,'编织 缠绕 Winding, Braiding,'!$A$7:$A$1000,'03'!T$2,'编织 缠绕 Winding, Braiding,'!$D$7:$D$1000,'03'!$G$225)</f>
        <v>0</v>
      </c>
      <c r="U219" s="186">
        <f>SUMIFS('编织 缠绕 Winding, Braiding,'!$K$7:$K$1000,'编织 缠绕 Winding, Braiding,'!$A$7:$A$1000,'03'!U$2,'编织 缠绕 Winding, Braiding,'!$D$7:$D$1000,'03'!$G$225)</f>
        <v>0</v>
      </c>
      <c r="V219" s="186">
        <f>SUMIFS('编织 缠绕 Winding, Braiding,'!$K$7:$K$1000,'编织 缠绕 Winding, Braiding,'!$A$7:$A$1000,'03'!V$2,'编织 缠绕 Winding, Braiding,'!$D$7:$D$1000,'03'!$G$225)</f>
        <v>0</v>
      </c>
      <c r="W219" s="186">
        <f>SUMIFS('编织 缠绕 Winding, Braiding,'!$K$7:$K$1000,'编织 缠绕 Winding, Braiding,'!$A$7:$A$1000,'03'!W$2,'编织 缠绕 Winding, Braiding,'!$D$7:$D$1000,'03'!$G$225)</f>
        <v>0</v>
      </c>
      <c r="X219" s="187">
        <f>SUMIFS('编织 缠绕 Winding, Braiding,'!$K$7:$K$1000,'编织 缠绕 Winding, Braiding,'!$A$7:$A$1000,'03'!X$2,'编织 缠绕 Winding, Braiding,'!$D$7:$D$1000,'03'!$G$225)</f>
        <v>0</v>
      </c>
      <c r="Y219" s="26"/>
      <c r="Z219" s="186">
        <f>SUMIFS('编织 缠绕 Winding, Braiding,'!$K$7:$K$1000,'编织 缠绕 Winding, Braiding,'!$A$7:$A$1000,'03'!Z$2,'编织 缠绕 Winding, Braiding,'!$D$7:$D$1000,'03'!$G$225)</f>
        <v>0</v>
      </c>
      <c r="AA219" s="186">
        <f>SUMIFS('编织 缠绕 Winding, Braiding,'!$K$7:$K$1000,'编织 缠绕 Winding, Braiding,'!$A$7:$A$1000,'03'!AA$2,'编织 缠绕 Winding, Braiding,'!$D$7:$D$1000,'03'!$G$225)</f>
        <v>0</v>
      </c>
      <c r="AB219" s="186">
        <f>SUMIFS('编织 缠绕 Winding, Braiding,'!$K$7:$K$1000,'编织 缠绕 Winding, Braiding,'!$A$7:$A$1000,'03'!AB$2,'编织 缠绕 Winding, Braiding,'!$D$7:$D$1000,'03'!$G$225)</f>
        <v>0</v>
      </c>
      <c r="AC219" s="186">
        <f>SUMIFS('编织 缠绕 Winding, Braiding,'!$K$7:$K$1000,'编织 缠绕 Winding, Braiding,'!$A$7:$A$1000,'03'!AC$2,'编织 缠绕 Winding, Braiding,'!$D$7:$D$1000,'03'!$G$225)</f>
        <v>0</v>
      </c>
      <c r="AD219" s="186">
        <f>SUMIFS('编织 缠绕 Winding, Braiding,'!$K$7:$K$1000,'编织 缠绕 Winding, Braiding,'!$A$7:$A$1000,'03'!AD$2,'编织 缠绕 Winding, Braiding,'!$D$7:$D$1000,'03'!$G$225)</f>
        <v>0</v>
      </c>
      <c r="AE219" s="187">
        <f>SUMIFS('编织 缠绕 Winding, Braiding,'!$K$7:$K$1000,'编织 缠绕 Winding, Braiding,'!$A$7:$A$1000,'03'!AE$2,'编织 缠绕 Winding, Braiding,'!$D$7:$D$1000,'03'!$G$225)</f>
        <v>0</v>
      </c>
      <c r="AF219" s="26"/>
      <c r="AG219" s="186">
        <f>SUMIFS('编织 缠绕 Winding, Braiding,'!$K$7:$K$1000,'编织 缠绕 Winding, Braiding,'!$A$7:$A$1000,'03'!AG$2,'编织 缠绕 Winding, Braiding,'!$D$7:$D$1000,'03'!$G$225)</f>
        <v>0</v>
      </c>
      <c r="AH219" s="186">
        <f>SUMIFS('编织 缠绕 Winding, Braiding,'!$K$7:$K$1000,'编织 缠绕 Winding, Braiding,'!$A$7:$A$1000,'03'!AH$2,'编织 缠绕 Winding, Braiding,'!$D$7:$D$1000,'03'!$G$225)</f>
        <v>0</v>
      </c>
      <c r="AI219" s="186">
        <f>SUMIFS('编织 缠绕 Winding, Braiding,'!$K$7:$K$1000,'编织 缠绕 Winding, Braiding,'!$A$7:$A$1000,'03'!AI$2,'编织 缠绕 Winding, Braiding,'!$D$7:$D$1000,'03'!$G$225)</f>
        <v>0</v>
      </c>
      <c r="AJ219" s="186">
        <f>SUMIFS('编织 缠绕 Winding, Braiding,'!$K$7:$K$1000,'编织 缠绕 Winding, Braiding,'!$A$7:$A$1000,'03'!AJ$2,'编织 缠绕 Winding, Braiding,'!$D$7:$D$1000,'03'!$G$225)</f>
        <v>0</v>
      </c>
      <c r="AK219" s="254"/>
      <c r="AL219" s="289"/>
      <c r="AM219" s="290"/>
      <c r="AN219" s="196"/>
      <c r="AO219" s="196"/>
      <c r="AP219" s="196"/>
      <c r="AQ219" s="196"/>
      <c r="AR219" s="196"/>
      <c r="AS219" s="196"/>
      <c r="AT219" s="22"/>
      <c r="AU219" s="22"/>
      <c r="AV219" s="22"/>
      <c r="AW219" s="22"/>
    </row>
    <row r="220" spans="1:49">
      <c r="A220" s="584"/>
      <c r="B220" s="531"/>
      <c r="C220" s="587"/>
      <c r="D220" s="587"/>
      <c r="E220" s="587"/>
      <c r="F220" s="587"/>
      <c r="G220" s="29"/>
      <c r="H220" s="30" t="s">
        <v>113</v>
      </c>
      <c r="I220" s="31">
        <f>I219-I217</f>
        <v>-3350</v>
      </c>
      <c r="J220" s="192">
        <f>I220+(J219-J217)</f>
        <v>-2407</v>
      </c>
      <c r="K220" s="26"/>
      <c r="L220" s="31">
        <f>J220+(L219-L217)</f>
        <v>1103</v>
      </c>
      <c r="M220" s="31">
        <f>L220+(M219-M217)</f>
        <v>5747</v>
      </c>
      <c r="N220" s="31"/>
      <c r="O220" s="31"/>
      <c r="P220" s="31"/>
      <c r="Q220" s="192"/>
      <c r="R220" s="26"/>
      <c r="S220" s="254"/>
      <c r="T220" s="31"/>
      <c r="U220" s="31"/>
      <c r="V220" s="31"/>
      <c r="W220" s="31"/>
      <c r="X220" s="192"/>
      <c r="Y220" s="26"/>
      <c r="Z220" s="31"/>
      <c r="AA220" s="31"/>
      <c r="AB220" s="31"/>
      <c r="AC220" s="31"/>
      <c r="AD220" s="31"/>
      <c r="AE220" s="192"/>
      <c r="AF220" s="26"/>
      <c r="AG220" s="31"/>
      <c r="AH220" s="31"/>
      <c r="AI220" s="31"/>
      <c r="AJ220" s="31"/>
      <c r="AK220" s="254"/>
      <c r="AL220" s="289"/>
      <c r="AM220" s="290"/>
      <c r="AN220" s="196"/>
      <c r="AO220" s="196"/>
      <c r="AP220" s="196"/>
      <c r="AQ220" s="196"/>
      <c r="AR220" s="196"/>
      <c r="AS220" s="196"/>
      <c r="AT220" s="22"/>
      <c r="AU220" s="22"/>
      <c r="AV220" s="22"/>
      <c r="AW220" s="22"/>
    </row>
    <row r="221" spans="1:49">
      <c r="A221" s="584"/>
      <c r="B221" s="531"/>
      <c r="C221" s="587"/>
      <c r="D221" s="587"/>
      <c r="E221" s="587"/>
      <c r="F221" s="587"/>
      <c r="G221" s="488" t="s">
        <v>256</v>
      </c>
      <c r="H221" s="24" t="s">
        <v>29</v>
      </c>
      <c r="I221" s="25"/>
      <c r="J221" s="192"/>
      <c r="K221" s="26"/>
      <c r="L221" s="25"/>
      <c r="M221" s="25"/>
      <c r="N221" s="25">
        <f>3350*4</f>
        <v>13400</v>
      </c>
      <c r="O221" s="25"/>
      <c r="P221" s="25"/>
      <c r="Q221" s="192"/>
      <c r="R221" s="26"/>
      <c r="S221" s="254"/>
      <c r="T221" s="25"/>
      <c r="U221" s="25">
        <f>3350*4</f>
        <v>13400</v>
      </c>
      <c r="V221" s="25"/>
      <c r="W221" s="25"/>
      <c r="X221" s="192"/>
      <c r="Y221" s="26"/>
      <c r="Z221" s="25"/>
      <c r="AA221" s="25">
        <f>3350*4</f>
        <v>13400</v>
      </c>
      <c r="AB221" s="25"/>
      <c r="AC221" s="25"/>
      <c r="AD221" s="25"/>
      <c r="AE221" s="192"/>
      <c r="AF221" s="26"/>
      <c r="AG221" s="25">
        <f>3350*4</f>
        <v>13400</v>
      </c>
      <c r="AH221" s="25"/>
      <c r="AI221" s="25"/>
      <c r="AJ221" s="25"/>
      <c r="AK221" s="254"/>
      <c r="AL221" s="289"/>
      <c r="AM221" s="290"/>
      <c r="AN221" s="196"/>
      <c r="AO221" s="196"/>
      <c r="AP221" s="196"/>
      <c r="AQ221" s="196"/>
      <c r="AR221" s="196"/>
      <c r="AS221" s="196"/>
      <c r="AT221" s="22"/>
      <c r="AU221" s="22"/>
      <c r="AV221" s="22"/>
      <c r="AW221" s="22"/>
    </row>
    <row r="222" spans="1:49">
      <c r="A222" s="584"/>
      <c r="B222" s="531"/>
      <c r="C222" s="587"/>
      <c r="D222" s="587"/>
      <c r="E222" s="587"/>
      <c r="F222" s="587"/>
      <c r="G222" s="29"/>
      <c r="H222" s="24" t="s">
        <v>48</v>
      </c>
      <c r="I222" s="25"/>
      <c r="J222" s="192"/>
      <c r="K222" s="26"/>
      <c r="L222" s="25"/>
      <c r="M222" s="25"/>
      <c r="N222" s="25">
        <v>1</v>
      </c>
      <c r="O222" s="25"/>
      <c r="P222" s="25"/>
      <c r="Q222" s="192"/>
      <c r="R222" s="26"/>
      <c r="S222" s="254"/>
      <c r="T222" s="25"/>
      <c r="U222" s="25">
        <v>1</v>
      </c>
      <c r="V222" s="25"/>
      <c r="W222" s="25"/>
      <c r="X222" s="192"/>
      <c r="Y222" s="26"/>
      <c r="Z222" s="25"/>
      <c r="AA222" s="25">
        <v>1</v>
      </c>
      <c r="AB222" s="25"/>
      <c r="AC222" s="25"/>
      <c r="AD222" s="25"/>
      <c r="AE222" s="192"/>
      <c r="AF222" s="26"/>
      <c r="AG222" s="25">
        <v>1</v>
      </c>
      <c r="AH222" s="25"/>
      <c r="AI222" s="25"/>
      <c r="AJ222" s="25"/>
      <c r="AK222" s="254"/>
      <c r="AL222" s="289"/>
      <c r="AM222" s="290"/>
      <c r="AN222" s="196"/>
      <c r="AO222" s="196"/>
      <c r="AP222" s="196"/>
      <c r="AQ222" s="196"/>
      <c r="AR222" s="196"/>
      <c r="AS222" s="196"/>
      <c r="AT222" s="22"/>
      <c r="AU222" s="22"/>
      <c r="AV222" s="22"/>
      <c r="AW222" s="22"/>
    </row>
    <row r="223" spans="1:49">
      <c r="A223" s="584"/>
      <c r="B223" s="531"/>
      <c r="C223" s="587"/>
      <c r="D223" s="587"/>
      <c r="E223" s="587"/>
      <c r="F223" s="587"/>
      <c r="G223" s="29"/>
      <c r="H223" s="30" t="s">
        <v>16</v>
      </c>
      <c r="I223" s="31"/>
      <c r="J223" s="192"/>
      <c r="K223" s="26"/>
      <c r="L223" s="31"/>
      <c r="M223" s="31"/>
      <c r="N223" s="31"/>
      <c r="O223" s="31"/>
      <c r="P223" s="31"/>
      <c r="Q223" s="192"/>
      <c r="R223" s="26"/>
      <c r="S223" s="254"/>
      <c r="T223" s="31"/>
      <c r="U223" s="31"/>
      <c r="V223" s="31"/>
      <c r="W223" s="31"/>
      <c r="X223" s="192"/>
      <c r="Y223" s="26"/>
      <c r="Z223" s="31"/>
      <c r="AA223" s="31"/>
      <c r="AB223" s="31"/>
      <c r="AC223" s="31"/>
      <c r="AD223" s="31"/>
      <c r="AE223" s="192"/>
      <c r="AF223" s="26"/>
      <c r="AG223" s="31"/>
      <c r="AH223" s="31"/>
      <c r="AI223" s="31"/>
      <c r="AJ223" s="31"/>
      <c r="AK223" s="254"/>
      <c r="AL223" s="289"/>
      <c r="AM223" s="290"/>
      <c r="AN223" s="196"/>
      <c r="AO223" s="196"/>
      <c r="AP223" s="196"/>
      <c r="AQ223" s="196"/>
      <c r="AR223" s="196"/>
      <c r="AS223" s="196"/>
      <c r="AT223" s="22"/>
      <c r="AU223" s="22"/>
      <c r="AV223" s="22"/>
      <c r="AW223" s="22"/>
    </row>
    <row r="224" spans="1:49">
      <c r="A224" s="584"/>
      <c r="B224" s="531"/>
      <c r="C224" s="587"/>
      <c r="D224" s="587"/>
      <c r="E224" s="587"/>
      <c r="F224" s="587"/>
      <c r="G224" s="29"/>
      <c r="H224" s="30" t="s">
        <v>113</v>
      </c>
      <c r="I224" s="31">
        <f>I223-I221</f>
        <v>0</v>
      </c>
      <c r="J224" s="192"/>
      <c r="K224" s="26"/>
      <c r="L224" s="31"/>
      <c r="M224" s="31"/>
      <c r="N224" s="31"/>
      <c r="O224" s="31"/>
      <c r="P224" s="31"/>
      <c r="Q224" s="192"/>
      <c r="R224" s="26"/>
      <c r="S224" s="254"/>
      <c r="T224" s="31"/>
      <c r="U224" s="31"/>
      <c r="V224" s="31"/>
      <c r="W224" s="31"/>
      <c r="X224" s="192"/>
      <c r="Y224" s="26"/>
      <c r="Z224" s="31"/>
      <c r="AA224" s="31"/>
      <c r="AB224" s="31"/>
      <c r="AC224" s="31"/>
      <c r="AD224" s="31"/>
      <c r="AE224" s="192"/>
      <c r="AF224" s="26"/>
      <c r="AG224" s="31"/>
      <c r="AH224" s="31"/>
      <c r="AI224" s="31"/>
      <c r="AJ224" s="31"/>
      <c r="AK224" s="254"/>
      <c r="AL224" s="289"/>
      <c r="AM224" s="290"/>
      <c r="AN224" s="196"/>
      <c r="AO224" s="196"/>
      <c r="AP224" s="196"/>
      <c r="AQ224" s="196"/>
      <c r="AR224" s="196"/>
      <c r="AS224" s="196"/>
      <c r="AT224" s="22"/>
      <c r="AU224" s="22"/>
      <c r="AV224" s="22"/>
      <c r="AW224" s="22"/>
    </row>
    <row r="225" spans="1:49">
      <c r="A225" s="584"/>
      <c r="B225" s="531"/>
      <c r="C225" s="587"/>
      <c r="D225" s="587"/>
      <c r="E225" s="587"/>
      <c r="F225" s="587"/>
      <c r="G225" s="488" t="s">
        <v>270</v>
      </c>
      <c r="H225" s="24" t="s">
        <v>29</v>
      </c>
      <c r="I225" s="25"/>
      <c r="J225" s="192"/>
      <c r="K225" s="26"/>
      <c r="L225" s="25"/>
      <c r="M225" s="25"/>
      <c r="N225" s="25">
        <f>3350*4</f>
        <v>13400</v>
      </c>
      <c r="O225" s="25"/>
      <c r="P225" s="25"/>
      <c r="Q225" s="192"/>
      <c r="R225" s="26"/>
      <c r="S225" s="254"/>
      <c r="T225" s="25"/>
      <c r="U225" s="25">
        <f>3350*4</f>
        <v>13400</v>
      </c>
      <c r="V225" s="25"/>
      <c r="W225" s="25"/>
      <c r="X225" s="192"/>
      <c r="Y225" s="26"/>
      <c r="Z225" s="25"/>
      <c r="AA225" s="25">
        <f>3350*4</f>
        <v>13400</v>
      </c>
      <c r="AB225" s="25"/>
      <c r="AC225" s="25"/>
      <c r="AD225" s="25"/>
      <c r="AE225" s="192"/>
      <c r="AF225" s="26"/>
      <c r="AG225" s="25">
        <f>3350*4</f>
        <v>13400</v>
      </c>
      <c r="AH225" s="25"/>
      <c r="AI225" s="25"/>
      <c r="AJ225" s="25"/>
      <c r="AK225" s="254"/>
      <c r="AL225" s="289"/>
      <c r="AM225" s="290"/>
      <c r="AN225" s="196"/>
      <c r="AO225" s="196"/>
      <c r="AP225" s="196"/>
      <c r="AQ225" s="196"/>
      <c r="AR225" s="196"/>
      <c r="AS225" s="196"/>
      <c r="AT225" s="22"/>
      <c r="AU225" s="22"/>
      <c r="AV225" s="22"/>
      <c r="AW225" s="22"/>
    </row>
    <row r="226" spans="1:49">
      <c r="A226" s="584"/>
      <c r="B226" s="531"/>
      <c r="C226" s="587"/>
      <c r="D226" s="587"/>
      <c r="E226" s="587"/>
      <c r="F226" s="587"/>
      <c r="G226" s="29"/>
      <c r="H226" s="24" t="s">
        <v>48</v>
      </c>
      <c r="I226" s="25"/>
      <c r="J226" s="192"/>
      <c r="K226" s="26"/>
      <c r="L226" s="25"/>
      <c r="M226" s="25"/>
      <c r="N226" s="25">
        <v>1</v>
      </c>
      <c r="O226" s="25"/>
      <c r="P226" s="25"/>
      <c r="Q226" s="192"/>
      <c r="R226" s="26"/>
      <c r="S226" s="254"/>
      <c r="T226" s="25"/>
      <c r="U226" s="25">
        <v>1</v>
      </c>
      <c r="V226" s="25"/>
      <c r="W226" s="25"/>
      <c r="X226" s="192"/>
      <c r="Y226" s="26"/>
      <c r="Z226" s="25"/>
      <c r="AA226" s="25">
        <v>1</v>
      </c>
      <c r="AB226" s="25"/>
      <c r="AC226" s="25"/>
      <c r="AD226" s="25"/>
      <c r="AE226" s="192"/>
      <c r="AF226" s="26"/>
      <c r="AG226" s="25">
        <v>1</v>
      </c>
      <c r="AH226" s="25"/>
      <c r="AI226" s="25"/>
      <c r="AJ226" s="25"/>
      <c r="AK226" s="254"/>
      <c r="AL226" s="289"/>
      <c r="AM226" s="290"/>
      <c r="AN226" s="196"/>
      <c r="AO226" s="196"/>
      <c r="AP226" s="196"/>
      <c r="AQ226" s="196"/>
      <c r="AR226" s="196"/>
      <c r="AS226" s="196"/>
      <c r="AT226" s="22"/>
      <c r="AU226" s="22"/>
      <c r="AV226" s="22"/>
      <c r="AW226" s="22"/>
    </row>
    <row r="227" spans="1:49">
      <c r="A227" s="584"/>
      <c r="B227" s="531"/>
      <c r="C227" s="587"/>
      <c r="D227" s="587"/>
      <c r="E227" s="587"/>
      <c r="F227" s="587"/>
      <c r="G227" s="29"/>
      <c r="H227" s="30" t="s">
        <v>16</v>
      </c>
      <c r="I227" s="31"/>
      <c r="J227" s="192"/>
      <c r="K227" s="26"/>
      <c r="L227" s="31"/>
      <c r="M227" s="31"/>
      <c r="N227" s="31"/>
      <c r="O227" s="31"/>
      <c r="P227" s="31"/>
      <c r="Q227" s="192"/>
      <c r="R227" s="26"/>
      <c r="S227" s="254"/>
      <c r="T227" s="31"/>
      <c r="U227" s="31"/>
      <c r="V227" s="31"/>
      <c r="W227" s="31"/>
      <c r="X227" s="192"/>
      <c r="Y227" s="26"/>
      <c r="Z227" s="31"/>
      <c r="AA227" s="31"/>
      <c r="AB227" s="31"/>
      <c r="AC227" s="31"/>
      <c r="AD227" s="31"/>
      <c r="AE227" s="192"/>
      <c r="AF227" s="26"/>
      <c r="AG227" s="31"/>
      <c r="AH227" s="31"/>
      <c r="AI227" s="31"/>
      <c r="AJ227" s="31"/>
      <c r="AK227" s="254"/>
      <c r="AL227" s="289"/>
      <c r="AM227" s="290"/>
      <c r="AN227" s="196"/>
      <c r="AO227" s="196"/>
      <c r="AP227" s="196"/>
      <c r="AQ227" s="196"/>
      <c r="AR227" s="196"/>
      <c r="AS227" s="196"/>
      <c r="AT227" s="22"/>
      <c r="AU227" s="22"/>
      <c r="AV227" s="22"/>
      <c r="AW227" s="22"/>
    </row>
    <row r="228" spans="1:49" ht="15.75" thickBot="1">
      <c r="A228" s="585"/>
      <c r="B228" s="532"/>
      <c r="C228" s="588"/>
      <c r="D228" s="588"/>
      <c r="E228" s="588"/>
      <c r="F228" s="588"/>
      <c r="G228" s="67"/>
      <c r="H228" s="68" t="s">
        <v>113</v>
      </c>
      <c r="I228" s="72">
        <f>I227-I225</f>
        <v>0</v>
      </c>
      <c r="J228" s="260"/>
      <c r="K228" s="71"/>
      <c r="L228" s="72"/>
      <c r="M228" s="72"/>
      <c r="N228" s="72"/>
      <c r="O228" s="72"/>
      <c r="P228" s="72"/>
      <c r="Q228" s="260"/>
      <c r="R228" s="71"/>
      <c r="S228" s="292"/>
      <c r="T228" s="72"/>
      <c r="U228" s="72"/>
      <c r="V228" s="72"/>
      <c r="W228" s="72"/>
      <c r="X228" s="260"/>
      <c r="Y228" s="71"/>
      <c r="Z228" s="72"/>
      <c r="AA228" s="72"/>
      <c r="AB228" s="72"/>
      <c r="AC228" s="72"/>
      <c r="AD228" s="72"/>
      <c r="AE228" s="260"/>
      <c r="AF228" s="71"/>
      <c r="AG228" s="72"/>
      <c r="AH228" s="72"/>
      <c r="AI228" s="72"/>
      <c r="AJ228" s="72"/>
      <c r="AK228" s="293"/>
      <c r="AL228" s="294"/>
      <c r="AM228" s="295"/>
      <c r="AN228" s="196"/>
      <c r="AO228" s="196"/>
      <c r="AP228" s="196"/>
      <c r="AQ228" s="196"/>
      <c r="AR228" s="196"/>
      <c r="AS228" s="196"/>
      <c r="AT228" s="22"/>
      <c r="AU228" s="22"/>
      <c r="AV228" s="22"/>
      <c r="AW228" s="22"/>
    </row>
    <row r="229" spans="1:49" ht="15" hidden="1" customHeight="1">
      <c r="A229" s="527" t="s">
        <v>83</v>
      </c>
      <c r="B229" s="530" t="s">
        <v>84</v>
      </c>
      <c r="C229" s="563">
        <v>3350</v>
      </c>
      <c r="D229" s="536">
        <v>1.4750000000000001</v>
      </c>
      <c r="E229" s="563"/>
      <c r="F229" s="533" t="s">
        <v>85</v>
      </c>
      <c r="G229" s="244">
        <v>0.08</v>
      </c>
      <c r="H229" s="157" t="s">
        <v>111</v>
      </c>
      <c r="I229" s="264"/>
      <c r="J229" s="213"/>
      <c r="K229" s="214"/>
      <c r="L229" s="264"/>
      <c r="M229" s="264"/>
      <c r="N229" s="264"/>
      <c r="O229" s="264"/>
      <c r="P229" s="264"/>
      <c r="Q229" s="213"/>
      <c r="R229" s="214"/>
      <c r="S229" s="215"/>
      <c r="T229" s="264"/>
      <c r="U229" s="264"/>
      <c r="V229" s="264"/>
      <c r="W229" s="264"/>
      <c r="X229" s="296"/>
      <c r="Y229" s="214"/>
      <c r="Z229" s="264"/>
      <c r="AA229" s="264"/>
      <c r="AB229" s="227"/>
      <c r="AC229" s="264"/>
      <c r="AD229" s="264"/>
      <c r="AE229" s="296"/>
      <c r="AF229" s="214"/>
      <c r="AG229" s="264"/>
      <c r="AH229" s="264"/>
      <c r="AI229" s="228"/>
      <c r="AJ229" s="264"/>
      <c r="AK229" s="269"/>
      <c r="AL229" s="297"/>
      <c r="AM229" s="288"/>
      <c r="AN229" s="196"/>
      <c r="AO229" s="196"/>
      <c r="AP229" s="196"/>
      <c r="AQ229" s="196"/>
      <c r="AR229" s="196"/>
      <c r="AS229" s="196"/>
      <c r="AT229" s="22"/>
      <c r="AU229" s="22"/>
      <c r="AV229" s="22"/>
      <c r="AW229" s="22"/>
    </row>
    <row r="230" spans="1:49" ht="15" hidden="1" customHeight="1">
      <c r="A230" s="528"/>
      <c r="B230" s="531"/>
      <c r="C230" s="564"/>
      <c r="D230" s="537"/>
      <c r="E230" s="564"/>
      <c r="F230" s="534"/>
      <c r="G230" s="179"/>
      <c r="H230" s="168" t="s">
        <v>112</v>
      </c>
      <c r="I230" s="230"/>
      <c r="J230" s="268"/>
      <c r="K230" s="231"/>
      <c r="L230" s="230"/>
      <c r="M230" s="230"/>
      <c r="N230" s="230"/>
      <c r="O230" s="230"/>
      <c r="P230" s="230"/>
      <c r="Q230" s="268"/>
      <c r="R230" s="231"/>
      <c r="S230" s="269"/>
      <c r="T230" s="230"/>
      <c r="U230" s="230"/>
      <c r="V230" s="230"/>
      <c r="W230" s="230"/>
      <c r="X230" s="193"/>
      <c r="Y230" s="231"/>
      <c r="Z230" s="230"/>
      <c r="AA230" s="230"/>
      <c r="AB230" s="228"/>
      <c r="AC230" s="230"/>
      <c r="AD230" s="230"/>
      <c r="AE230" s="193"/>
      <c r="AF230" s="231"/>
      <c r="AG230" s="230"/>
      <c r="AH230" s="230"/>
      <c r="AI230" s="228"/>
      <c r="AJ230" s="230"/>
      <c r="AK230" s="189"/>
      <c r="AL230" s="217"/>
      <c r="AM230" s="290"/>
      <c r="AN230" s="196"/>
      <c r="AO230" s="196"/>
      <c r="AP230" s="196"/>
      <c r="AQ230" s="196"/>
      <c r="AR230" s="196"/>
      <c r="AS230" s="196"/>
      <c r="AT230" s="22"/>
      <c r="AU230" s="22"/>
      <c r="AV230" s="22"/>
      <c r="AW230" s="22"/>
    </row>
    <row r="231" spans="1:49" ht="15" hidden="1" customHeight="1">
      <c r="A231" s="528"/>
      <c r="B231" s="531"/>
      <c r="C231" s="564"/>
      <c r="D231" s="537"/>
      <c r="E231" s="564"/>
      <c r="F231" s="534"/>
      <c r="G231" s="179"/>
      <c r="H231" s="173" t="s">
        <v>16</v>
      </c>
      <c r="I231" s="230"/>
      <c r="J231" s="268"/>
      <c r="K231" s="231"/>
      <c r="L231" s="230"/>
      <c r="M231" s="230"/>
      <c r="N231" s="230"/>
      <c r="O231" s="230"/>
      <c r="P231" s="230"/>
      <c r="Q231" s="268"/>
      <c r="R231" s="231"/>
      <c r="S231" s="269"/>
      <c r="T231" s="230"/>
      <c r="U231" s="230"/>
      <c r="V231" s="230"/>
      <c r="W231" s="230"/>
      <c r="X231" s="187"/>
      <c r="Y231" s="231"/>
      <c r="Z231" s="230"/>
      <c r="AA231" s="230"/>
      <c r="AB231" s="186"/>
      <c r="AC231" s="230"/>
      <c r="AD231" s="230"/>
      <c r="AE231" s="187"/>
      <c r="AF231" s="231"/>
      <c r="AG231" s="230"/>
      <c r="AH231" s="230"/>
      <c r="AI231" s="186"/>
      <c r="AJ231" s="230"/>
      <c r="AK231" s="189"/>
      <c r="AL231" s="217"/>
      <c r="AM231" s="290"/>
      <c r="AN231" s="196"/>
      <c r="AO231" s="196"/>
      <c r="AP231" s="196"/>
      <c r="AQ231" s="196"/>
      <c r="AR231" s="196"/>
      <c r="AS231" s="196"/>
      <c r="AT231" s="22"/>
      <c r="AU231" s="22"/>
      <c r="AV231" s="22"/>
      <c r="AW231" s="22"/>
    </row>
    <row r="232" spans="1:49" ht="15" hidden="1" customHeight="1">
      <c r="A232" s="528"/>
      <c r="B232" s="531"/>
      <c r="C232" s="564"/>
      <c r="D232" s="537"/>
      <c r="E232" s="564"/>
      <c r="F232" s="534"/>
      <c r="G232" s="179">
        <v>0.254</v>
      </c>
      <c r="H232" s="181" t="s">
        <v>111</v>
      </c>
      <c r="I232" s="230"/>
      <c r="J232" s="268"/>
      <c r="K232" s="231"/>
      <c r="L232" s="230"/>
      <c r="M232" s="230"/>
      <c r="N232" s="230"/>
      <c r="O232" s="230"/>
      <c r="P232" s="230"/>
      <c r="Q232" s="268"/>
      <c r="R232" s="231"/>
      <c r="S232" s="269"/>
      <c r="T232" s="230"/>
      <c r="U232" s="230"/>
      <c r="V232" s="230"/>
      <c r="W232" s="230"/>
      <c r="X232" s="268"/>
      <c r="Y232" s="231"/>
      <c r="Z232" s="230"/>
      <c r="AA232" s="230"/>
      <c r="AB232" s="230"/>
      <c r="AC232" s="230"/>
      <c r="AD232" s="230"/>
      <c r="AE232" s="268"/>
      <c r="AF232" s="231"/>
      <c r="AG232" s="230"/>
      <c r="AH232" s="230"/>
      <c r="AI232" s="230"/>
      <c r="AJ232" s="230"/>
      <c r="AK232" s="189"/>
      <c r="AL232" s="217"/>
      <c r="AM232" s="290"/>
      <c r="AN232" s="196"/>
      <c r="AO232" s="196"/>
      <c r="AP232" s="196"/>
      <c r="AQ232" s="196"/>
      <c r="AR232" s="196"/>
      <c r="AS232" s="196"/>
      <c r="AT232" s="22"/>
      <c r="AU232" s="22"/>
      <c r="AV232" s="22"/>
      <c r="AW232" s="22"/>
    </row>
    <row r="233" spans="1:49" ht="15" hidden="1" customHeight="1">
      <c r="A233" s="528"/>
      <c r="B233" s="531"/>
      <c r="C233" s="564"/>
      <c r="D233" s="537"/>
      <c r="E233" s="564"/>
      <c r="F233" s="534"/>
      <c r="G233" s="179"/>
      <c r="H233" s="168" t="s">
        <v>112</v>
      </c>
      <c r="I233" s="230"/>
      <c r="J233" s="268"/>
      <c r="K233" s="231"/>
      <c r="L233" s="230"/>
      <c r="M233" s="230"/>
      <c r="N233" s="230"/>
      <c r="O233" s="230"/>
      <c r="P233" s="230"/>
      <c r="Q233" s="268"/>
      <c r="R233" s="231"/>
      <c r="S233" s="269"/>
      <c r="T233" s="230"/>
      <c r="U233" s="230"/>
      <c r="V233" s="230"/>
      <c r="W233" s="230"/>
      <c r="X233" s="268"/>
      <c r="Y233" s="231"/>
      <c r="Z233" s="230"/>
      <c r="AA233" s="230"/>
      <c r="AB233" s="230"/>
      <c r="AC233" s="230"/>
      <c r="AD233" s="230"/>
      <c r="AE233" s="268"/>
      <c r="AF233" s="231"/>
      <c r="AG233" s="230"/>
      <c r="AH233" s="230"/>
      <c r="AI233" s="230"/>
      <c r="AJ233" s="230"/>
      <c r="AK233" s="189"/>
      <c r="AL233" s="217"/>
      <c r="AM233" s="290"/>
      <c r="AN233" s="196"/>
      <c r="AO233" s="196"/>
      <c r="AP233" s="196"/>
      <c r="AQ233" s="196"/>
      <c r="AR233" s="196"/>
      <c r="AS233" s="196"/>
      <c r="AT233" s="22"/>
      <c r="AU233" s="22"/>
      <c r="AV233" s="22"/>
      <c r="AW233" s="22"/>
    </row>
    <row r="234" spans="1:49" ht="15" hidden="1" customHeight="1">
      <c r="A234" s="528"/>
      <c r="B234" s="531"/>
      <c r="C234" s="564"/>
      <c r="D234" s="537"/>
      <c r="E234" s="564"/>
      <c r="F234" s="534"/>
      <c r="G234" s="179"/>
      <c r="H234" s="173" t="s">
        <v>16</v>
      </c>
      <c r="I234" s="186"/>
      <c r="J234" s="268"/>
      <c r="K234" s="231"/>
      <c r="L234" s="230"/>
      <c r="M234" s="230"/>
      <c r="N234" s="230"/>
      <c r="O234" s="230"/>
      <c r="P234" s="230"/>
      <c r="Q234" s="268"/>
      <c r="R234" s="231"/>
      <c r="S234" s="269"/>
      <c r="T234" s="230"/>
      <c r="U234" s="230"/>
      <c r="V234" s="230"/>
      <c r="W234" s="230"/>
      <c r="X234" s="268"/>
      <c r="Y234" s="231"/>
      <c r="Z234" s="230"/>
      <c r="AA234" s="230"/>
      <c r="AB234" s="230"/>
      <c r="AC234" s="230"/>
      <c r="AD234" s="230"/>
      <c r="AE234" s="268"/>
      <c r="AF234" s="231"/>
      <c r="AG234" s="230"/>
      <c r="AH234" s="230"/>
      <c r="AI234" s="230"/>
      <c r="AJ234" s="230"/>
      <c r="AK234" s="189"/>
      <c r="AL234" s="217"/>
      <c r="AM234" s="290"/>
      <c r="AN234" s="196"/>
      <c r="AO234" s="196"/>
      <c r="AP234" s="196"/>
      <c r="AQ234" s="196"/>
      <c r="AR234" s="196"/>
      <c r="AS234" s="196"/>
      <c r="AT234" s="22"/>
      <c r="AU234" s="22"/>
      <c r="AV234" s="22"/>
      <c r="AW234" s="22"/>
    </row>
    <row r="235" spans="1:49" ht="15" hidden="1" customHeight="1">
      <c r="A235" s="528"/>
      <c r="B235" s="531"/>
      <c r="C235" s="564"/>
      <c r="D235" s="537"/>
      <c r="E235" s="564"/>
      <c r="F235" s="534"/>
      <c r="G235" s="179" t="s">
        <v>106</v>
      </c>
      <c r="H235" s="181" t="s">
        <v>117</v>
      </c>
      <c r="I235" s="230"/>
      <c r="J235" s="268"/>
      <c r="K235" s="231"/>
      <c r="L235" s="230"/>
      <c r="M235" s="230"/>
      <c r="N235" s="230"/>
      <c r="O235" s="172"/>
      <c r="P235" s="230"/>
      <c r="Q235" s="268"/>
      <c r="R235" s="231"/>
      <c r="S235" s="269"/>
      <c r="T235" s="230"/>
      <c r="U235" s="230"/>
      <c r="V235" s="230"/>
      <c r="W235" s="230"/>
      <c r="X235" s="268"/>
      <c r="Y235" s="231"/>
      <c r="Z235" s="230"/>
      <c r="AA235" s="230"/>
      <c r="AB235" s="230"/>
      <c r="AC235" s="230"/>
      <c r="AD235" s="230"/>
      <c r="AE235" s="268"/>
      <c r="AF235" s="231"/>
      <c r="AG235" s="230"/>
      <c r="AH235" s="230"/>
      <c r="AI235" s="230"/>
      <c r="AJ235" s="230"/>
      <c r="AK235" s="189"/>
      <c r="AL235" s="217"/>
      <c r="AM235" s="290"/>
      <c r="AN235" s="196"/>
      <c r="AO235" s="196"/>
      <c r="AP235" s="196"/>
      <c r="AQ235" s="196"/>
      <c r="AR235" s="196"/>
      <c r="AS235" s="196"/>
      <c r="AT235" s="22"/>
      <c r="AU235" s="22"/>
      <c r="AV235" s="22"/>
      <c r="AW235" s="22"/>
    </row>
    <row r="236" spans="1:49" ht="15" hidden="1" customHeight="1">
      <c r="A236" s="528"/>
      <c r="B236" s="531"/>
      <c r="C236" s="564"/>
      <c r="D236" s="537"/>
      <c r="E236" s="564"/>
      <c r="F236" s="534"/>
      <c r="G236" s="179"/>
      <c r="H236" s="168" t="s">
        <v>112</v>
      </c>
      <c r="I236" s="230"/>
      <c r="J236" s="268"/>
      <c r="K236" s="231"/>
      <c r="L236" s="230"/>
      <c r="M236" s="230"/>
      <c r="N236" s="230"/>
      <c r="O236" s="172"/>
      <c r="P236" s="230"/>
      <c r="Q236" s="268"/>
      <c r="R236" s="231"/>
      <c r="S236" s="269"/>
      <c r="T236" s="230"/>
      <c r="U236" s="230"/>
      <c r="V236" s="230"/>
      <c r="W236" s="230"/>
      <c r="X236" s="268"/>
      <c r="Y236" s="231"/>
      <c r="Z236" s="230"/>
      <c r="AA236" s="230"/>
      <c r="AB236" s="230"/>
      <c r="AC236" s="230"/>
      <c r="AD236" s="230"/>
      <c r="AE236" s="268"/>
      <c r="AF236" s="231"/>
      <c r="AG236" s="230"/>
      <c r="AH236" s="230"/>
      <c r="AI236" s="230"/>
      <c r="AJ236" s="230"/>
      <c r="AK236" s="189"/>
      <c r="AL236" s="217"/>
      <c r="AM236" s="290"/>
      <c r="AN236" s="196"/>
      <c r="AO236" s="196"/>
      <c r="AP236" s="196"/>
      <c r="AQ236" s="196"/>
      <c r="AR236" s="196"/>
      <c r="AS236" s="196"/>
      <c r="AT236" s="22"/>
      <c r="AU236" s="22"/>
      <c r="AV236" s="22"/>
      <c r="AW236" s="22"/>
    </row>
    <row r="237" spans="1:49" ht="15" hidden="1" customHeight="1">
      <c r="A237" s="528"/>
      <c r="B237" s="531"/>
      <c r="C237" s="564"/>
      <c r="D237" s="537"/>
      <c r="E237" s="564"/>
      <c r="F237" s="534"/>
      <c r="G237" s="179"/>
      <c r="H237" s="173" t="s">
        <v>16</v>
      </c>
      <c r="I237" s="230"/>
      <c r="J237" s="268"/>
      <c r="K237" s="231"/>
      <c r="L237" s="230"/>
      <c r="M237" s="230"/>
      <c r="N237" s="230"/>
      <c r="O237" s="186"/>
      <c r="P237" s="230"/>
      <c r="Q237" s="268"/>
      <c r="R237" s="231"/>
      <c r="S237" s="269"/>
      <c r="T237" s="230"/>
      <c r="U237" s="230"/>
      <c r="V237" s="230"/>
      <c r="W237" s="230"/>
      <c r="X237" s="268"/>
      <c r="Y237" s="231"/>
      <c r="Z237" s="230"/>
      <c r="AA237" s="230"/>
      <c r="AB237" s="230"/>
      <c r="AC237" s="230"/>
      <c r="AD237" s="230"/>
      <c r="AE237" s="268"/>
      <c r="AF237" s="231"/>
      <c r="AG237" s="230"/>
      <c r="AH237" s="230"/>
      <c r="AI237" s="230"/>
      <c r="AJ237" s="230"/>
      <c r="AK237" s="189"/>
      <c r="AL237" s="217"/>
      <c r="AM237" s="290"/>
      <c r="AN237" s="196"/>
      <c r="AO237" s="196"/>
      <c r="AP237" s="196"/>
      <c r="AQ237" s="196"/>
      <c r="AR237" s="196"/>
      <c r="AS237" s="196"/>
      <c r="AT237" s="22"/>
      <c r="AU237" s="22"/>
      <c r="AV237" s="22"/>
      <c r="AW237" s="22"/>
    </row>
    <row r="238" spans="1:49" ht="15" hidden="1" customHeight="1">
      <c r="A238" s="528"/>
      <c r="B238" s="531"/>
      <c r="C238" s="564"/>
      <c r="D238" s="537"/>
      <c r="E238" s="564"/>
      <c r="F238" s="534"/>
      <c r="G238" s="179" t="s">
        <v>107</v>
      </c>
      <c r="H238" s="181" t="s">
        <v>117</v>
      </c>
      <c r="I238" s="230"/>
      <c r="J238" s="268"/>
      <c r="K238" s="231"/>
      <c r="L238" s="230"/>
      <c r="M238" s="230"/>
      <c r="N238" s="230"/>
      <c r="O238" s="172"/>
      <c r="P238" s="230"/>
      <c r="Q238" s="268"/>
      <c r="R238" s="231"/>
      <c r="S238" s="269"/>
      <c r="T238" s="172"/>
      <c r="U238" s="172"/>
      <c r="V238" s="230"/>
      <c r="W238" s="230"/>
      <c r="X238" s="268"/>
      <c r="Y238" s="231"/>
      <c r="Z238" s="230"/>
      <c r="AA238" s="230"/>
      <c r="AB238" s="230"/>
      <c r="AC238" s="230"/>
      <c r="AD238" s="230"/>
      <c r="AE238" s="268"/>
      <c r="AF238" s="231"/>
      <c r="AG238" s="230"/>
      <c r="AH238" s="230"/>
      <c r="AI238" s="230"/>
      <c r="AJ238" s="230"/>
      <c r="AK238" s="189"/>
      <c r="AL238" s="217"/>
      <c r="AM238" s="290"/>
      <c r="AN238" s="196"/>
      <c r="AO238" s="196"/>
      <c r="AP238" s="196"/>
      <c r="AQ238" s="196"/>
      <c r="AR238" s="196"/>
      <c r="AS238" s="196"/>
      <c r="AT238" s="22"/>
      <c r="AU238" s="22"/>
      <c r="AV238" s="22"/>
      <c r="AW238" s="22"/>
    </row>
    <row r="239" spans="1:49" ht="15" hidden="1" customHeight="1">
      <c r="A239" s="528"/>
      <c r="B239" s="531"/>
      <c r="C239" s="564"/>
      <c r="D239" s="537"/>
      <c r="E239" s="564"/>
      <c r="F239" s="534"/>
      <c r="G239" s="179"/>
      <c r="H239" s="168" t="s">
        <v>112</v>
      </c>
      <c r="I239" s="230"/>
      <c r="J239" s="268"/>
      <c r="K239" s="231"/>
      <c r="L239" s="230"/>
      <c r="M239" s="230"/>
      <c r="N239" s="230"/>
      <c r="O239" s="172"/>
      <c r="P239" s="230"/>
      <c r="Q239" s="268"/>
      <c r="R239" s="231"/>
      <c r="S239" s="269"/>
      <c r="T239" s="172"/>
      <c r="U239" s="172"/>
      <c r="V239" s="230"/>
      <c r="W239" s="230"/>
      <c r="X239" s="268"/>
      <c r="Y239" s="231"/>
      <c r="Z239" s="230"/>
      <c r="AA239" s="230"/>
      <c r="AB239" s="230"/>
      <c r="AC239" s="230"/>
      <c r="AD239" s="230"/>
      <c r="AE239" s="268"/>
      <c r="AF239" s="231"/>
      <c r="AG239" s="230"/>
      <c r="AH239" s="230"/>
      <c r="AI239" s="230"/>
      <c r="AJ239" s="230"/>
      <c r="AK239" s="189"/>
      <c r="AL239" s="217"/>
      <c r="AM239" s="290"/>
      <c r="AN239" s="196"/>
      <c r="AO239" s="196"/>
      <c r="AP239" s="196"/>
      <c r="AQ239" s="196"/>
      <c r="AR239" s="196"/>
      <c r="AS239" s="196"/>
      <c r="AT239" s="22"/>
      <c r="AU239" s="22"/>
      <c r="AV239" s="22"/>
      <c r="AW239" s="22"/>
    </row>
    <row r="240" spans="1:49" ht="15" hidden="1" customHeight="1">
      <c r="A240" s="528"/>
      <c r="B240" s="531"/>
      <c r="C240" s="564"/>
      <c r="D240" s="537"/>
      <c r="E240" s="564"/>
      <c r="F240" s="534"/>
      <c r="G240" s="179"/>
      <c r="H240" s="173" t="s">
        <v>16</v>
      </c>
      <c r="I240" s="230"/>
      <c r="J240" s="268"/>
      <c r="K240" s="231"/>
      <c r="L240" s="230"/>
      <c r="M240" s="230"/>
      <c r="N240" s="230"/>
      <c r="O240" s="186"/>
      <c r="P240" s="230"/>
      <c r="Q240" s="268"/>
      <c r="R240" s="231"/>
      <c r="S240" s="269"/>
      <c r="T240" s="230"/>
      <c r="U240" s="230"/>
      <c r="V240" s="230"/>
      <c r="W240" s="230"/>
      <c r="X240" s="268"/>
      <c r="Y240" s="231"/>
      <c r="Z240" s="230"/>
      <c r="AA240" s="230"/>
      <c r="AB240" s="230"/>
      <c r="AC240" s="230"/>
      <c r="AD240" s="230"/>
      <c r="AE240" s="268"/>
      <c r="AF240" s="231"/>
      <c r="AG240" s="230"/>
      <c r="AH240" s="230"/>
      <c r="AI240" s="230"/>
      <c r="AJ240" s="230"/>
      <c r="AK240" s="189"/>
      <c r="AL240" s="217"/>
      <c r="AM240" s="290"/>
      <c r="AN240" s="196"/>
      <c r="AO240" s="196"/>
      <c r="AP240" s="196"/>
      <c r="AQ240" s="196"/>
      <c r="AR240" s="196"/>
      <c r="AS240" s="196"/>
      <c r="AT240" s="22"/>
      <c r="AU240" s="22"/>
      <c r="AV240" s="22"/>
      <c r="AW240" s="22"/>
    </row>
    <row r="241" spans="1:49">
      <c r="A241" s="528"/>
      <c r="B241" s="531"/>
      <c r="C241" s="564"/>
      <c r="D241" s="537"/>
      <c r="E241" s="564"/>
      <c r="F241" s="534"/>
      <c r="G241" s="179" t="s">
        <v>217</v>
      </c>
      <c r="H241" s="168" t="s">
        <v>87</v>
      </c>
      <c r="I241" s="298">
        <f>($O$283*$D$229/5)*14</f>
        <v>69177.5</v>
      </c>
      <c r="J241" s="299"/>
      <c r="K241" s="300"/>
      <c r="L241" s="298">
        <f>($O$283*$D$229/5)*14</f>
        <v>69177.5</v>
      </c>
      <c r="M241" s="298">
        <f>($O$283*$D$229/5)*14</f>
        <v>69177.5</v>
      </c>
      <c r="N241" s="298">
        <f>($O$283*$D$229/5)*14</f>
        <v>69177.5</v>
      </c>
      <c r="O241" s="298">
        <f>($O$283*$D$229/5)*14</f>
        <v>69177.5</v>
      </c>
      <c r="P241" s="298">
        <f>($O$283*$D$229/5)*14</f>
        <v>69177.5</v>
      </c>
      <c r="Q241" s="268"/>
      <c r="R241" s="231"/>
      <c r="S241" s="269"/>
      <c r="T241" s="298">
        <f>($O$283*$D$229/5)*14</f>
        <v>69177.5</v>
      </c>
      <c r="U241" s="298">
        <f>($O$283*$D$229/5)*14</f>
        <v>69177.5</v>
      </c>
      <c r="V241" s="298">
        <f>($O$283*$D$229/5)*14</f>
        <v>69177.5</v>
      </c>
      <c r="W241" s="298">
        <f>($O$283*$D$229/5)*14</f>
        <v>69177.5</v>
      </c>
      <c r="X241" s="299"/>
      <c r="Y241" s="300"/>
      <c r="Z241" s="298">
        <f>($O$283*$D$229/5)*14</f>
        <v>69177.5</v>
      </c>
      <c r="AA241" s="298">
        <f>($O$283*$D$229/5)*14</f>
        <v>69177.5</v>
      </c>
      <c r="AB241" s="298">
        <f>($O$283*$D$229/5)*14</f>
        <v>69177.5</v>
      </c>
      <c r="AC241" s="298">
        <f>($O$283*$D$229/5)*14</f>
        <v>69177.5</v>
      </c>
      <c r="AD241" s="298">
        <f>($O$283*$D$229/5)*14</f>
        <v>69177.5</v>
      </c>
      <c r="AE241" s="299"/>
      <c r="AF241" s="300"/>
      <c r="AG241" s="298">
        <f>($O$283*$D$229/5)*14</f>
        <v>69177.5</v>
      </c>
      <c r="AH241" s="298">
        <f>($O$283*$D$229/5)*14</f>
        <v>69177.5</v>
      </c>
      <c r="AI241" s="298">
        <f>($O$283*$D$229/5)*14</f>
        <v>69177.5</v>
      </c>
      <c r="AJ241" s="298">
        <f>($O$283*$D$229/5)*14</f>
        <v>69177.5</v>
      </c>
      <c r="AK241" s="301"/>
      <c r="AL241" s="217"/>
      <c r="AM241" s="290"/>
      <c r="AN241" s="196"/>
      <c r="AO241" s="196"/>
      <c r="AP241" s="196"/>
      <c r="AQ241" s="196"/>
      <c r="AR241" s="196"/>
      <c r="AS241" s="196"/>
      <c r="AT241" s="22"/>
      <c r="AU241" s="22"/>
      <c r="AV241" s="22"/>
      <c r="AW241" s="22"/>
    </row>
    <row r="242" spans="1:49">
      <c r="A242" s="528"/>
      <c r="B242" s="531"/>
      <c r="C242" s="564"/>
      <c r="D242" s="537"/>
      <c r="E242" s="564"/>
      <c r="F242" s="534"/>
      <c r="G242" s="179"/>
      <c r="H242" s="168" t="s">
        <v>88</v>
      </c>
      <c r="I242" s="302">
        <v>4</v>
      </c>
      <c r="J242" s="268"/>
      <c r="K242" s="231"/>
      <c r="L242" s="302">
        <v>4</v>
      </c>
      <c r="M242" s="302">
        <v>4</v>
      </c>
      <c r="N242" s="302">
        <v>4</v>
      </c>
      <c r="O242" s="302">
        <v>4</v>
      </c>
      <c r="P242" s="302">
        <v>4</v>
      </c>
      <c r="Q242" s="268"/>
      <c r="R242" s="231"/>
      <c r="S242" s="269"/>
      <c r="T242" s="302">
        <v>4</v>
      </c>
      <c r="U242" s="302">
        <v>4</v>
      </c>
      <c r="V242" s="302">
        <v>4</v>
      </c>
      <c r="W242" s="302">
        <v>4</v>
      </c>
      <c r="X242" s="268"/>
      <c r="Y242" s="231"/>
      <c r="Z242" s="302">
        <v>4</v>
      </c>
      <c r="AA242" s="302">
        <v>4</v>
      </c>
      <c r="AB242" s="302">
        <v>4</v>
      </c>
      <c r="AC242" s="302">
        <v>4</v>
      </c>
      <c r="AD242" s="302">
        <v>4</v>
      </c>
      <c r="AE242" s="268"/>
      <c r="AF242" s="231"/>
      <c r="AG242" s="302">
        <v>4</v>
      </c>
      <c r="AH242" s="302">
        <v>4</v>
      </c>
      <c r="AI242" s="302">
        <v>4</v>
      </c>
      <c r="AJ242" s="302">
        <v>4</v>
      </c>
      <c r="AK242" s="189"/>
      <c r="AL242" s="217"/>
      <c r="AM242" s="290"/>
      <c r="AN242" s="196"/>
      <c r="AO242" s="196"/>
      <c r="AP242" s="196"/>
      <c r="AQ242" s="196"/>
      <c r="AR242" s="196"/>
      <c r="AS242" s="196"/>
      <c r="AT242" s="22"/>
      <c r="AU242" s="22"/>
      <c r="AV242" s="22"/>
      <c r="AW242" s="22"/>
    </row>
    <row r="243" spans="1:49">
      <c r="A243" s="528"/>
      <c r="B243" s="531"/>
      <c r="C243" s="564"/>
      <c r="D243" s="537"/>
      <c r="E243" s="564"/>
      <c r="F243" s="534"/>
      <c r="G243" s="179"/>
      <c r="H243" s="173" t="s">
        <v>16</v>
      </c>
      <c r="I243" s="186">
        <f>SUMIFS('絞線Twisting wire'!$K$7:$K$1000,'絞線Twisting wire'!$A$7:$A$1000,'03'!I$2,'絞線Twisting wire'!$D$7:$D$1000,'03'!$G$241,'絞線Twisting wire'!$F$7:$F$1000,'03'!$A$229)</f>
        <v>6887</v>
      </c>
      <c r="J243" s="187">
        <f>SUMIFS('絞線Twisting wire'!$K$7:$K$1000,'絞線Twisting wire'!$A$7:$A$1000,'03'!J$2,'絞線Twisting wire'!$D$7:$D$1000,'03'!$G$241,'絞線Twisting wire'!$F$7:$F$1000,'03'!$A$229)</f>
        <v>0</v>
      </c>
      <c r="K243" s="231"/>
      <c r="L243" s="186">
        <f>SUMIFS('絞線Twisting wire'!$K$7:$K$1000,'絞線Twisting wire'!$A$7:$A$1000,'03'!L$2,'絞線Twisting wire'!$D$7:$D$1000,'03'!$G$241,'絞線Twisting wire'!$F$7:$F$1000,'03'!$A$229)</f>
        <v>0</v>
      </c>
      <c r="M243" s="186">
        <f>SUMIFS('絞線Twisting wire'!$K$7:$K$1000,'絞線Twisting wire'!$A$7:$A$1000,'03'!M$2,'絞線Twisting wire'!$D$7:$D$1000,'03'!$G$241,'絞線Twisting wire'!$F$7:$F$1000,'03'!$A$229)</f>
        <v>0</v>
      </c>
      <c r="N243" s="186">
        <f>SUMIFS('絞線Twisting wire'!$K$7:$K$1000,'絞線Twisting wire'!$A$7:$A$1000,'03'!N$2,'絞線Twisting wire'!$D$7:$D$1000,'03'!$G$241,'絞線Twisting wire'!$F$7:$F$1000,'03'!$A$229)</f>
        <v>0</v>
      </c>
      <c r="O243" s="186">
        <f>SUMIFS('絞線Twisting wire'!$K$7:$K$1000,'絞線Twisting wire'!$A$7:$A$1000,'03'!O$2,'絞線Twisting wire'!$D$7:$D$1000,'03'!$G$241,'絞線Twisting wire'!$F$7:$F$1000,'03'!$A$229)</f>
        <v>0</v>
      </c>
      <c r="P243" s="186">
        <f>SUMIFS('絞線Twisting wire'!$K$7:$K$1000,'絞線Twisting wire'!$A$7:$A$1000,'03'!P$2,'絞線Twisting wire'!$D$7:$D$1000,'03'!$G$241,'絞線Twisting wire'!$F$7:$F$1000,'03'!$A$229)</f>
        <v>24432</v>
      </c>
      <c r="Q243" s="187">
        <f>SUMIFS('絞線Twisting wire'!$K$7:$K$1000,'絞線Twisting wire'!$A$7:$A$1000,'03'!Q$2,'絞線Twisting wire'!$D$7:$D$1000,'03'!$G$241,'絞線Twisting wire'!$F$7:$F$1000,'03'!$A$229)</f>
        <v>6240</v>
      </c>
      <c r="R243" s="231"/>
      <c r="S243" s="269"/>
      <c r="T243" s="186">
        <f>SUMIFS('絞線Twisting wire'!$K$7:$K$1000,'絞線Twisting wire'!$A$7:$A$1000,'03'!T$2,'絞線Twisting wire'!$D$7:$D$1000,'03'!$G$241,'絞線Twisting wire'!$F$7:$F$1000,'03'!$A$229)</f>
        <v>2550</v>
      </c>
      <c r="U243" s="186">
        <f>SUMIFS('絞線Twisting wire'!$K$7:$K$1000,'絞線Twisting wire'!$A$7:$A$1000,'03'!U$2,'絞線Twisting wire'!$D$7:$D$1000,'03'!$G$241,'絞線Twisting wire'!$F$7:$F$1000,'03'!$A$229)</f>
        <v>0</v>
      </c>
      <c r="V243" s="186">
        <f>SUMIFS('絞線Twisting wire'!$K$7:$K$1000,'絞線Twisting wire'!$A$7:$A$1000,'03'!V$2,'絞線Twisting wire'!$D$7:$D$1000,'03'!$G$241,'絞線Twisting wire'!$F$7:$F$1000,'03'!$A$229)</f>
        <v>0</v>
      </c>
      <c r="W243" s="186">
        <f>SUMIFS('絞線Twisting wire'!$K$7:$K$1000,'絞線Twisting wire'!$A$7:$A$1000,'03'!W$2,'絞線Twisting wire'!$D$7:$D$1000,'03'!$G$241,'絞線Twisting wire'!$F$7:$F$1000,'03'!$A$229)</f>
        <v>0</v>
      </c>
      <c r="X243" s="187">
        <f>SUMIFS('絞線Twisting wire'!$K$7:$K$1000,'絞線Twisting wire'!$A$7:$A$1000,'03'!X$2,'絞線Twisting wire'!$D$7:$D$1000,'03'!$G$241,'絞線Twisting wire'!$F$7:$F$1000,'03'!$A$229)</f>
        <v>0</v>
      </c>
      <c r="Y243" s="231"/>
      <c r="Z243" s="186">
        <f>SUMIFS('絞線Twisting wire'!$K$7:$K$1000,'絞線Twisting wire'!$A$7:$A$1000,'03'!Z$2,'絞線Twisting wire'!$D$7:$D$1000,'03'!$G$241,'絞線Twisting wire'!$F$7:$F$1000,'03'!$A$229)</f>
        <v>0</v>
      </c>
      <c r="AA243" s="186">
        <f>SUMIFS('絞線Twisting wire'!$K$7:$K$1000,'絞線Twisting wire'!$A$7:$A$1000,'03'!AA$2,'絞線Twisting wire'!$D$7:$D$1000,'03'!$G$241,'絞線Twisting wire'!$F$7:$F$1000,'03'!$A$229)</f>
        <v>0</v>
      </c>
      <c r="AB243" s="186">
        <f>SUMIFS('絞線Twisting wire'!$K$7:$K$1000,'絞線Twisting wire'!$A$7:$A$1000,'03'!AB$2,'絞線Twisting wire'!$D$7:$D$1000,'03'!$G$241,'絞線Twisting wire'!$F$7:$F$1000,'03'!$A$229)</f>
        <v>0</v>
      </c>
      <c r="AC243" s="186">
        <f>SUMIFS('絞線Twisting wire'!$K$7:$K$1000,'絞線Twisting wire'!$A$7:$A$1000,'03'!AC$2,'絞線Twisting wire'!$D$7:$D$1000,'03'!$G$241,'絞線Twisting wire'!$F$7:$F$1000,'03'!$A$229)</f>
        <v>0</v>
      </c>
      <c r="AD243" s="186">
        <f>SUMIFS('絞線Twisting wire'!$K$7:$K$1000,'絞線Twisting wire'!$A$7:$A$1000,'03'!AD$2,'絞線Twisting wire'!$D$7:$D$1000,'03'!$G$241,'絞線Twisting wire'!$F$7:$F$1000,'03'!$A$229)</f>
        <v>0</v>
      </c>
      <c r="AE243" s="187">
        <f>SUMIFS('絞線Twisting wire'!$K$7:$K$1000,'絞線Twisting wire'!$A$7:$A$1000,'03'!AE$2,'絞線Twisting wire'!$D$7:$D$1000,'03'!$G$241,'絞線Twisting wire'!$F$7:$F$1000,'03'!$A$229)</f>
        <v>0</v>
      </c>
      <c r="AF243" s="231"/>
      <c r="AG243" s="186">
        <f>SUMIFS('絞線Twisting wire'!$K$7:$K$1000,'絞線Twisting wire'!$A$7:$A$1000,'03'!AG$2,'絞線Twisting wire'!$D$7:$D$1000,'03'!$G$241,'絞線Twisting wire'!$F$7:$F$1000,'03'!$A$229)</f>
        <v>0</v>
      </c>
      <c r="AH243" s="186">
        <f>SUMIFS('絞線Twisting wire'!$K$7:$K$1000,'絞線Twisting wire'!$A$7:$A$1000,'03'!AH$2,'絞線Twisting wire'!$D$7:$D$1000,'03'!$G$241,'絞線Twisting wire'!$F$7:$F$1000,'03'!$A$229)</f>
        <v>0</v>
      </c>
      <c r="AI243" s="186">
        <f>SUMIFS('絞線Twisting wire'!$K$7:$K$1000,'絞線Twisting wire'!$A$7:$A$1000,'03'!AI$2,'絞線Twisting wire'!$D$7:$D$1000,'03'!$G$241,'絞線Twisting wire'!$F$7:$F$1000,'03'!$A$229)</f>
        <v>0</v>
      </c>
      <c r="AJ243" s="186">
        <f>SUMIFS('絞線Twisting wire'!$K$7:$K$1000,'絞線Twisting wire'!$A$7:$A$1000,'03'!AJ$2,'絞線Twisting wire'!$D$7:$D$1000,'03'!$G$241,'絞線Twisting wire'!$F$7:$F$1000,'03'!$A$229)</f>
        <v>0</v>
      </c>
      <c r="AK243" s="189"/>
      <c r="AL243" s="217"/>
      <c r="AM243" s="290"/>
      <c r="AN243" s="196"/>
      <c r="AO243" s="196"/>
      <c r="AP243" s="196"/>
      <c r="AQ243" s="196"/>
      <c r="AR243" s="196"/>
      <c r="AS243" s="196"/>
      <c r="AT243" s="22"/>
      <c r="AU243" s="22"/>
      <c r="AV243" s="22"/>
      <c r="AW243" s="22"/>
    </row>
    <row r="244" spans="1:49">
      <c r="A244" s="528"/>
      <c r="B244" s="531"/>
      <c r="C244" s="564"/>
      <c r="D244" s="537"/>
      <c r="E244" s="564"/>
      <c r="F244" s="534"/>
      <c r="G244" s="179"/>
      <c r="H244" s="173" t="s">
        <v>113</v>
      </c>
      <c r="I244" s="31">
        <f>I243-I241</f>
        <v>-62290.5</v>
      </c>
      <c r="J244" s="268"/>
      <c r="K244" s="231"/>
      <c r="L244" s="230"/>
      <c r="M244" s="230"/>
      <c r="N244" s="230"/>
      <c r="O244" s="230"/>
      <c r="P244" s="230"/>
      <c r="Q244" s="268"/>
      <c r="R244" s="231"/>
      <c r="S244" s="269"/>
      <c r="T244" s="230"/>
      <c r="U244" s="230"/>
      <c r="V244" s="230"/>
      <c r="W244" s="230"/>
      <c r="X244" s="268"/>
      <c r="Y244" s="231"/>
      <c r="Z244" s="230"/>
      <c r="AA244" s="230"/>
      <c r="AB244" s="230"/>
      <c r="AC244" s="230"/>
      <c r="AD244" s="230"/>
      <c r="AE244" s="268"/>
      <c r="AF244" s="231"/>
      <c r="AG244" s="230"/>
      <c r="AH244" s="230"/>
      <c r="AI244" s="230"/>
      <c r="AJ244" s="230"/>
      <c r="AK244" s="189"/>
      <c r="AL244" s="217"/>
      <c r="AM244" s="290"/>
      <c r="AN244" s="196"/>
      <c r="AO244" s="196"/>
      <c r="AP244" s="196"/>
      <c r="AQ244" s="196"/>
      <c r="AR244" s="196"/>
      <c r="AS244" s="196"/>
      <c r="AT244" s="22"/>
      <c r="AU244" s="22"/>
      <c r="AV244" s="22"/>
      <c r="AW244" s="22"/>
    </row>
    <row r="245" spans="1:49">
      <c r="A245" s="528"/>
      <c r="B245" s="531"/>
      <c r="C245" s="564"/>
      <c r="D245" s="537"/>
      <c r="E245" s="564"/>
      <c r="F245" s="534"/>
      <c r="G245" s="172" t="s">
        <v>478</v>
      </c>
      <c r="H245" s="168" t="s">
        <v>90</v>
      </c>
      <c r="I245" s="303">
        <f>($O$283*$D$229/5)*5</f>
        <v>24706.25</v>
      </c>
      <c r="J245" s="246"/>
      <c r="K245" s="247"/>
      <c r="L245" s="303">
        <f>($O$283*$D$229/5)*5</f>
        <v>24706.25</v>
      </c>
      <c r="M245" s="303">
        <f>($O$283*$D$229/5)*5</f>
        <v>24706.25</v>
      </c>
      <c r="N245" s="303">
        <f>($O$283*$D$229/5)*5</f>
        <v>24706.25</v>
      </c>
      <c r="O245" s="303">
        <f>($O$283*$D$229/5)*5</f>
        <v>24706.25</v>
      </c>
      <c r="P245" s="303">
        <f>($O$283*$D$229/5)*5</f>
        <v>24706.25</v>
      </c>
      <c r="Q245" s="187"/>
      <c r="R245" s="188"/>
      <c r="S245" s="189"/>
      <c r="T245" s="303">
        <f>($O$283*$D$229/5)*5</f>
        <v>24706.25</v>
      </c>
      <c r="U245" s="303">
        <f>($O$283*$D$229/5)*5</f>
        <v>24706.25</v>
      </c>
      <c r="V245" s="303">
        <f>($O$283*$D$229/5)*5</f>
        <v>24706.25</v>
      </c>
      <c r="W245" s="303">
        <f>($O$283*$D$229/5)*5</f>
        <v>24706.25</v>
      </c>
      <c r="X245" s="246"/>
      <c r="Y245" s="247"/>
      <c r="Z245" s="303">
        <f>($O$283*$D$229/5)*5</f>
        <v>24706.25</v>
      </c>
      <c r="AA245" s="303">
        <f>($O$283*$D$229/5)*5</f>
        <v>24706.25</v>
      </c>
      <c r="AB245" s="303">
        <f>($O$283*$D$229/5)*5</f>
        <v>24706.25</v>
      </c>
      <c r="AC245" s="303">
        <f>($O$283*$D$229/5)*5</f>
        <v>24706.25</v>
      </c>
      <c r="AD245" s="303">
        <f>($O$283*$D$229/5)*5</f>
        <v>24706.25</v>
      </c>
      <c r="AE245" s="246"/>
      <c r="AF245" s="247"/>
      <c r="AG245" s="303">
        <f>($O$283*$D$229/5)*5</f>
        <v>24706.25</v>
      </c>
      <c r="AH245" s="303">
        <f>($O$283*$D$229/5)*5</f>
        <v>24706.25</v>
      </c>
      <c r="AI245" s="303">
        <f>($O$283*$D$229/5)*5</f>
        <v>24706.25</v>
      </c>
      <c r="AJ245" s="303">
        <f>($O$283*$D$229/5)*5</f>
        <v>24706.25</v>
      </c>
      <c r="AK245" s="301"/>
      <c r="AL245" s="217"/>
      <c r="AM245" s="290"/>
      <c r="AN245" s="196"/>
      <c r="AO245" s="196"/>
      <c r="AP245" s="196"/>
      <c r="AQ245" s="196"/>
      <c r="AR245" s="22"/>
      <c r="AS245" s="22"/>
      <c r="AT245" s="22"/>
      <c r="AU245" s="22"/>
      <c r="AV245" s="22"/>
      <c r="AW245" s="22"/>
    </row>
    <row r="246" spans="1:49">
      <c r="A246" s="528"/>
      <c r="B246" s="531"/>
      <c r="C246" s="564"/>
      <c r="D246" s="537"/>
      <c r="E246" s="564"/>
      <c r="F246" s="534"/>
      <c r="G246" s="172"/>
      <c r="H246" s="173" t="s">
        <v>16</v>
      </c>
      <c r="I246" s="245"/>
      <c r="J246" s="246"/>
      <c r="K246" s="247"/>
      <c r="L246" s="245"/>
      <c r="M246" s="245"/>
      <c r="N246" s="245"/>
      <c r="O246" s="245"/>
      <c r="P246" s="245"/>
      <c r="Q246" s="187"/>
      <c r="R246" s="188"/>
      <c r="S246" s="189"/>
      <c r="T246" s="245"/>
      <c r="U246" s="245"/>
      <c r="V246" s="245"/>
      <c r="W246" s="245"/>
      <c r="X246" s="246"/>
      <c r="Y246" s="247"/>
      <c r="Z246" s="245"/>
      <c r="AA246" s="245"/>
      <c r="AB246" s="245"/>
      <c r="AC246" s="245"/>
      <c r="AD246" s="245"/>
      <c r="AE246" s="246"/>
      <c r="AF246" s="247"/>
      <c r="AG246" s="245"/>
      <c r="AH246" s="245"/>
      <c r="AI246" s="245"/>
      <c r="AJ246" s="245"/>
      <c r="AK246" s="301"/>
      <c r="AL246" s="217"/>
      <c r="AM246" s="290"/>
      <c r="AN246" s="196"/>
      <c r="AO246" s="196"/>
      <c r="AP246" s="196"/>
      <c r="AQ246" s="196"/>
      <c r="AR246" s="22"/>
      <c r="AS246" s="22"/>
      <c r="AT246" s="22"/>
      <c r="AU246" s="22"/>
      <c r="AV246" s="22"/>
      <c r="AW246" s="22"/>
    </row>
    <row r="247" spans="1:49">
      <c r="A247" s="528"/>
      <c r="B247" s="531"/>
      <c r="C247" s="564"/>
      <c r="D247" s="537"/>
      <c r="E247" s="564"/>
      <c r="F247" s="534"/>
      <c r="G247" s="172"/>
      <c r="H247" s="173" t="s">
        <v>113</v>
      </c>
      <c r="I247" s="245"/>
      <c r="J247" s="246"/>
      <c r="K247" s="247"/>
      <c r="L247" s="245"/>
      <c r="M247" s="245"/>
      <c r="N247" s="245"/>
      <c r="O247" s="245"/>
      <c r="P247" s="245"/>
      <c r="Q247" s="187"/>
      <c r="R247" s="188"/>
      <c r="S247" s="189"/>
      <c r="T247" s="245"/>
      <c r="U247" s="245"/>
      <c r="V247" s="245"/>
      <c r="W247" s="245"/>
      <c r="X247" s="246"/>
      <c r="Y247" s="247"/>
      <c r="Z247" s="245"/>
      <c r="AA247" s="245"/>
      <c r="AB247" s="245"/>
      <c r="AC247" s="245"/>
      <c r="AD247" s="245"/>
      <c r="AE247" s="246"/>
      <c r="AF247" s="247"/>
      <c r="AG247" s="245"/>
      <c r="AH247" s="245"/>
      <c r="AI247" s="245"/>
      <c r="AJ247" s="245"/>
      <c r="AK247" s="301"/>
      <c r="AL247" s="217"/>
      <c r="AM247" s="290"/>
      <c r="AN247" s="196"/>
      <c r="AO247" s="196"/>
      <c r="AP247" s="196"/>
      <c r="AQ247" s="196"/>
      <c r="AR247" s="22"/>
      <c r="AS247" s="22"/>
      <c r="AT247" s="22"/>
      <c r="AU247" s="22"/>
      <c r="AV247" s="22"/>
      <c r="AW247" s="22"/>
    </row>
    <row r="248" spans="1:49">
      <c r="A248" s="528"/>
      <c r="B248" s="531"/>
      <c r="C248" s="564"/>
      <c r="D248" s="537"/>
      <c r="E248" s="564"/>
      <c r="F248" s="534"/>
      <c r="G248" s="172" t="s">
        <v>479</v>
      </c>
      <c r="H248" s="168" t="s">
        <v>92</v>
      </c>
      <c r="I248" s="303">
        <f>($O$283*$D$229/5)*5</f>
        <v>24706.25</v>
      </c>
      <c r="J248" s="246"/>
      <c r="K248" s="247"/>
      <c r="L248" s="303">
        <f>($O$283*$D$229/5)*5</f>
        <v>24706.25</v>
      </c>
      <c r="M248" s="303">
        <f>($O$283*$D$229/5)*5</f>
        <v>24706.25</v>
      </c>
      <c r="N248" s="303">
        <f>($O$283*$D$229/5)*5</f>
        <v>24706.25</v>
      </c>
      <c r="O248" s="303">
        <f>($O$283*$D$229/5)*5</f>
        <v>24706.25</v>
      </c>
      <c r="P248" s="303">
        <f>($O$283*$D$229/5)*5</f>
        <v>24706.25</v>
      </c>
      <c r="Q248" s="187"/>
      <c r="R248" s="188"/>
      <c r="S248" s="189"/>
      <c r="T248" s="303">
        <f>($O$283*$D$229/5)*5</f>
        <v>24706.25</v>
      </c>
      <c r="U248" s="303">
        <f>($O$283*$D$229/5)*5</f>
        <v>24706.25</v>
      </c>
      <c r="V248" s="303">
        <f>($O$283*$D$229/5)*5</f>
        <v>24706.25</v>
      </c>
      <c r="W248" s="303">
        <f>($O$283*$D$229/5)*5</f>
        <v>24706.25</v>
      </c>
      <c r="X248" s="246"/>
      <c r="Y248" s="247"/>
      <c r="Z248" s="303">
        <f>($O$283*$D$229/5)*5</f>
        <v>24706.25</v>
      </c>
      <c r="AA248" s="303">
        <f>($O$283*$D$229/5)*5</f>
        <v>24706.25</v>
      </c>
      <c r="AB248" s="303">
        <f>($O$283*$D$229/5)*5</f>
        <v>24706.25</v>
      </c>
      <c r="AC248" s="303">
        <f>($O$283*$D$229/5)*5</f>
        <v>24706.25</v>
      </c>
      <c r="AD248" s="303">
        <f>($O$283*$D$229/5)*5</f>
        <v>24706.25</v>
      </c>
      <c r="AE248" s="246"/>
      <c r="AF248" s="247"/>
      <c r="AG248" s="303">
        <f>($O$283*$D$229/5)*5</f>
        <v>24706.25</v>
      </c>
      <c r="AH248" s="303">
        <f>($O$283*$D$229/5)*5</f>
        <v>24706.25</v>
      </c>
      <c r="AI248" s="303">
        <f>($O$283*$D$229/5)*5</f>
        <v>24706.25</v>
      </c>
      <c r="AJ248" s="303">
        <f>($O$283*$D$229/5)*5</f>
        <v>24706.25</v>
      </c>
      <c r="AK248" s="301"/>
      <c r="AL248" s="217"/>
      <c r="AM248" s="290"/>
      <c r="AN248" s="196"/>
      <c r="AO248" s="196"/>
      <c r="AP248" s="196"/>
      <c r="AQ248" s="196"/>
      <c r="AR248" s="22"/>
      <c r="AS248" s="22"/>
      <c r="AT248" s="22"/>
      <c r="AU248" s="22"/>
      <c r="AV248" s="22"/>
      <c r="AW248" s="22"/>
    </row>
    <row r="249" spans="1:49">
      <c r="A249" s="528"/>
      <c r="B249" s="531"/>
      <c r="C249" s="564"/>
      <c r="D249" s="537"/>
      <c r="E249" s="564"/>
      <c r="F249" s="534"/>
      <c r="G249" s="172"/>
      <c r="H249" s="173" t="s">
        <v>16</v>
      </c>
      <c r="I249" s="245"/>
      <c r="J249" s="246"/>
      <c r="K249" s="247"/>
      <c r="L249" s="245"/>
      <c r="M249" s="245"/>
      <c r="N249" s="245"/>
      <c r="O249" s="245"/>
      <c r="P249" s="245"/>
      <c r="Q249" s="187"/>
      <c r="R249" s="188"/>
      <c r="S249" s="189"/>
      <c r="T249" s="245"/>
      <c r="U249" s="245"/>
      <c r="V249" s="245"/>
      <c r="W249" s="245"/>
      <c r="X249" s="246"/>
      <c r="Y249" s="247"/>
      <c r="Z249" s="245"/>
      <c r="AA249" s="245"/>
      <c r="AB249" s="245"/>
      <c r="AC249" s="245"/>
      <c r="AD249" s="245"/>
      <c r="AE249" s="246"/>
      <c r="AF249" s="247"/>
      <c r="AG249" s="245"/>
      <c r="AH249" s="245"/>
      <c r="AI249" s="245"/>
      <c r="AJ249" s="245"/>
      <c r="AK249" s="301"/>
      <c r="AL249" s="217"/>
      <c r="AM249" s="290"/>
      <c r="AN249" s="196"/>
      <c r="AO249" s="196"/>
      <c r="AP249" s="196"/>
      <c r="AQ249" s="196"/>
      <c r="AR249" s="22"/>
      <c r="AS249" s="22"/>
      <c r="AT249" s="22"/>
      <c r="AU249" s="22"/>
      <c r="AV249" s="22"/>
      <c r="AW249" s="22"/>
    </row>
    <row r="250" spans="1:49">
      <c r="A250" s="528"/>
      <c r="B250" s="531"/>
      <c r="C250" s="564"/>
      <c r="D250" s="537"/>
      <c r="E250" s="564"/>
      <c r="F250" s="534"/>
      <c r="G250" s="172"/>
      <c r="H250" s="173" t="s">
        <v>113</v>
      </c>
      <c r="I250" s="245"/>
      <c r="J250" s="246"/>
      <c r="K250" s="247"/>
      <c r="L250" s="245"/>
      <c r="M250" s="245"/>
      <c r="N250" s="245"/>
      <c r="O250" s="245"/>
      <c r="P250" s="245"/>
      <c r="Q250" s="187"/>
      <c r="R250" s="188"/>
      <c r="S250" s="189"/>
      <c r="T250" s="245"/>
      <c r="U250" s="245"/>
      <c r="V250" s="245"/>
      <c r="W250" s="245"/>
      <c r="X250" s="246"/>
      <c r="Y250" s="247"/>
      <c r="Z250" s="245"/>
      <c r="AA250" s="245"/>
      <c r="AB250" s="245"/>
      <c r="AC250" s="245"/>
      <c r="AD250" s="245"/>
      <c r="AE250" s="246"/>
      <c r="AF250" s="247"/>
      <c r="AG250" s="245"/>
      <c r="AH250" s="245"/>
      <c r="AI250" s="245"/>
      <c r="AJ250" s="245"/>
      <c r="AK250" s="301"/>
      <c r="AL250" s="217"/>
      <c r="AM250" s="290"/>
      <c r="AN250" s="196"/>
      <c r="AO250" s="196"/>
      <c r="AP250" s="196"/>
      <c r="AQ250" s="196"/>
      <c r="AR250" s="22"/>
      <c r="AS250" s="22"/>
      <c r="AT250" s="22"/>
      <c r="AU250" s="22"/>
      <c r="AV250" s="22"/>
      <c r="AW250" s="22"/>
    </row>
    <row r="251" spans="1:49">
      <c r="A251" s="528"/>
      <c r="B251" s="531"/>
      <c r="C251" s="564"/>
      <c r="D251" s="537"/>
      <c r="E251" s="564"/>
      <c r="F251" s="534"/>
      <c r="G251" s="172"/>
      <c r="H251" s="168" t="s">
        <v>93</v>
      </c>
      <c r="I251" s="186">
        <v>1</v>
      </c>
      <c r="J251" s="187"/>
      <c r="K251" s="188"/>
      <c r="L251" s="186">
        <v>1</v>
      </c>
      <c r="M251" s="186">
        <v>1</v>
      </c>
      <c r="N251" s="186">
        <v>1</v>
      </c>
      <c r="O251" s="186">
        <v>1</v>
      </c>
      <c r="P251" s="186">
        <v>1</v>
      </c>
      <c r="Q251" s="187"/>
      <c r="R251" s="188"/>
      <c r="S251" s="189"/>
      <c r="T251" s="186">
        <v>1</v>
      </c>
      <c r="U251" s="186">
        <v>1</v>
      </c>
      <c r="V251" s="186">
        <v>1</v>
      </c>
      <c r="W251" s="186">
        <v>1</v>
      </c>
      <c r="X251" s="187"/>
      <c r="Y251" s="188"/>
      <c r="Z251" s="186">
        <v>1</v>
      </c>
      <c r="AA251" s="186">
        <v>1</v>
      </c>
      <c r="AB251" s="186">
        <v>1</v>
      </c>
      <c r="AC251" s="186">
        <v>1</v>
      </c>
      <c r="AD251" s="186">
        <v>1</v>
      </c>
      <c r="AE251" s="187"/>
      <c r="AF251" s="188"/>
      <c r="AG251" s="186">
        <v>1</v>
      </c>
      <c r="AH251" s="186">
        <v>1</v>
      </c>
      <c r="AI251" s="186">
        <v>1</v>
      </c>
      <c r="AJ251" s="186">
        <v>1</v>
      </c>
      <c r="AK251" s="189"/>
      <c r="AL251" s="217"/>
      <c r="AM251" s="290"/>
      <c r="AN251" s="196"/>
      <c r="AO251" s="196"/>
      <c r="AP251" s="196"/>
      <c r="AQ251" s="196"/>
      <c r="AR251" s="22"/>
      <c r="AS251" s="22"/>
      <c r="AT251" s="22"/>
      <c r="AU251" s="22"/>
      <c r="AV251" s="22"/>
      <c r="AW251" s="22"/>
    </row>
    <row r="252" spans="1:49">
      <c r="A252" s="528"/>
      <c r="B252" s="531"/>
      <c r="C252" s="564"/>
      <c r="D252" s="537"/>
      <c r="E252" s="564"/>
      <c r="F252" s="534"/>
      <c r="G252" s="172"/>
      <c r="H252" s="173" t="s">
        <v>16</v>
      </c>
      <c r="I252" s="186"/>
      <c r="J252" s="187"/>
      <c r="K252" s="188"/>
      <c r="L252" s="186"/>
      <c r="M252" s="186"/>
      <c r="N252" s="186"/>
      <c r="O252" s="186"/>
      <c r="P252" s="186"/>
      <c r="Q252" s="187"/>
      <c r="R252" s="188"/>
      <c r="S252" s="189"/>
      <c r="T252" s="186"/>
      <c r="U252" s="186"/>
      <c r="V252" s="186"/>
      <c r="W252" s="186"/>
      <c r="X252" s="187"/>
      <c r="Y252" s="188"/>
      <c r="Z252" s="186"/>
      <c r="AA252" s="186"/>
      <c r="AB252" s="186"/>
      <c r="AC252" s="186"/>
      <c r="AD252" s="186"/>
      <c r="AE252" s="187"/>
      <c r="AF252" s="188"/>
      <c r="AG252" s="186"/>
      <c r="AH252" s="186"/>
      <c r="AI252" s="186"/>
      <c r="AJ252" s="186"/>
      <c r="AK252" s="189"/>
      <c r="AL252" s="217"/>
      <c r="AM252" s="290"/>
      <c r="AN252" s="196"/>
      <c r="AO252" s="196"/>
      <c r="AP252" s="196"/>
      <c r="AQ252" s="22"/>
      <c r="AR252" s="22"/>
      <c r="AS252" s="22"/>
      <c r="AT252" s="22"/>
      <c r="AU252" s="22"/>
      <c r="AV252" s="22"/>
      <c r="AW252" s="22"/>
    </row>
    <row r="253" spans="1:49">
      <c r="A253" s="528"/>
      <c r="B253" s="531"/>
      <c r="C253" s="564"/>
      <c r="D253" s="537"/>
      <c r="E253" s="564"/>
      <c r="F253" s="534"/>
      <c r="G253" s="172"/>
      <c r="H253" s="173" t="s">
        <v>113</v>
      </c>
      <c r="I253" s="186"/>
      <c r="J253" s="187"/>
      <c r="K253" s="188"/>
      <c r="L253" s="186"/>
      <c r="M253" s="186"/>
      <c r="N253" s="186"/>
      <c r="O253" s="186"/>
      <c r="P253" s="186"/>
      <c r="Q253" s="187"/>
      <c r="R253" s="188"/>
      <c r="S253" s="189"/>
      <c r="T253" s="186"/>
      <c r="U253" s="186"/>
      <c r="V253" s="186"/>
      <c r="W253" s="186"/>
      <c r="X253" s="187"/>
      <c r="Y253" s="188"/>
      <c r="Z253" s="186"/>
      <c r="AA253" s="186"/>
      <c r="AB253" s="186"/>
      <c r="AC253" s="186"/>
      <c r="AD253" s="186"/>
      <c r="AE253" s="187"/>
      <c r="AF253" s="188"/>
      <c r="AG253" s="186"/>
      <c r="AH253" s="186"/>
      <c r="AI253" s="186"/>
      <c r="AJ253" s="186"/>
      <c r="AK253" s="190"/>
      <c r="AL253" s="217"/>
      <c r="AM253" s="304"/>
      <c r="AN253" s="196"/>
      <c r="AO253" s="196"/>
      <c r="AP253" s="196"/>
      <c r="AQ253" s="22"/>
      <c r="AR253" s="22"/>
      <c r="AS253" s="22"/>
      <c r="AT253" s="22"/>
      <c r="AU253" s="22"/>
      <c r="AV253" s="22"/>
      <c r="AW253" s="22"/>
    </row>
    <row r="254" spans="1:49">
      <c r="A254" s="528"/>
      <c r="B254" s="531"/>
      <c r="C254" s="564"/>
      <c r="D254" s="537"/>
      <c r="E254" s="564"/>
      <c r="F254" s="534"/>
      <c r="G254" s="172" t="s">
        <v>472</v>
      </c>
      <c r="H254" s="168" t="s">
        <v>21</v>
      </c>
      <c r="I254" s="245">
        <f>$O$283*$D$229/5</f>
        <v>4941.25</v>
      </c>
      <c r="J254" s="246"/>
      <c r="K254" s="247"/>
      <c r="L254" s="245">
        <f>$O$283*$D$229/5</f>
        <v>4941.25</v>
      </c>
      <c r="M254" s="245">
        <f>$O$283*$D$229/5</f>
        <v>4941.25</v>
      </c>
      <c r="N254" s="245">
        <f>$O$283*$D$229/5</f>
        <v>4941.25</v>
      </c>
      <c r="O254" s="245">
        <f>$O$283*$D$229/5</f>
        <v>4941.25</v>
      </c>
      <c r="P254" s="245">
        <f>$O$283*$D$229/5</f>
        <v>4941.25</v>
      </c>
      <c r="Q254" s="187"/>
      <c r="R254" s="188"/>
      <c r="S254" s="189"/>
      <c r="T254" s="245">
        <f>$O$283*$D$229/5</f>
        <v>4941.25</v>
      </c>
      <c r="U254" s="245">
        <f>$O$283*$D$229/5</f>
        <v>4941.25</v>
      </c>
      <c r="V254" s="245">
        <f>$O$283*$D$229/5</f>
        <v>4941.25</v>
      </c>
      <c r="W254" s="245">
        <f>$O$283*$D$229/5</f>
        <v>4941.25</v>
      </c>
      <c r="X254" s="246"/>
      <c r="Y254" s="247"/>
      <c r="Z254" s="245">
        <f>$O$283*$D$229/5</f>
        <v>4941.25</v>
      </c>
      <c r="AA254" s="245">
        <f>$O$283*$D$229/5</f>
        <v>4941.25</v>
      </c>
      <c r="AB254" s="245">
        <f>$O$283*$D$229/5</f>
        <v>4941.25</v>
      </c>
      <c r="AC254" s="245">
        <f>$O$283*$D$229/5</f>
        <v>4941.25</v>
      </c>
      <c r="AD254" s="245">
        <f>$O$283*$D$229/5</f>
        <v>4941.25</v>
      </c>
      <c r="AE254" s="246"/>
      <c r="AF254" s="247"/>
      <c r="AG254" s="245">
        <f>$O$283*$D$229/5</f>
        <v>4941.25</v>
      </c>
      <c r="AH254" s="245">
        <f>$O$283*$D$229/5</f>
        <v>4941.25</v>
      </c>
      <c r="AI254" s="245">
        <f>$O$283*$D$229/5</f>
        <v>4941.25</v>
      </c>
      <c r="AJ254" s="245">
        <f>$O$283*$D$229/5</f>
        <v>4941.25</v>
      </c>
      <c r="AK254" s="248"/>
      <c r="AL254" s="217"/>
      <c r="AM254" s="171"/>
      <c r="AN254" s="196"/>
      <c r="AO254" s="196"/>
      <c r="AP254" s="196"/>
      <c r="AQ254" s="22"/>
      <c r="AR254" s="22"/>
      <c r="AS254" s="22"/>
      <c r="AT254" s="22"/>
      <c r="AU254" s="22"/>
      <c r="AV254" s="22"/>
      <c r="AW254" s="22"/>
    </row>
    <row r="255" spans="1:49">
      <c r="A255" s="528"/>
      <c r="B255" s="531"/>
      <c r="C255" s="564"/>
      <c r="D255" s="537"/>
      <c r="E255" s="564"/>
      <c r="F255" s="534"/>
      <c r="G255" s="172"/>
      <c r="H255" s="173" t="s">
        <v>16</v>
      </c>
      <c r="I255" s="245"/>
      <c r="J255" s="246"/>
      <c r="K255" s="247"/>
      <c r="L255" s="245"/>
      <c r="M255" s="245"/>
      <c r="N255" s="245"/>
      <c r="O255" s="245"/>
      <c r="P255" s="245"/>
      <c r="Q255" s="187"/>
      <c r="R255" s="188"/>
      <c r="S255" s="189"/>
      <c r="T255" s="245"/>
      <c r="U255" s="245"/>
      <c r="V255" s="245"/>
      <c r="W255" s="245"/>
      <c r="X255" s="246"/>
      <c r="Y255" s="247"/>
      <c r="Z255" s="245"/>
      <c r="AA255" s="245"/>
      <c r="AB255" s="245"/>
      <c r="AC255" s="245"/>
      <c r="AD255" s="245"/>
      <c r="AE255" s="246"/>
      <c r="AF255" s="247"/>
      <c r="AG255" s="245"/>
      <c r="AH255" s="245"/>
      <c r="AI255" s="245"/>
      <c r="AJ255" s="245"/>
      <c r="AK255" s="248"/>
      <c r="AL255" s="217"/>
      <c r="AM255" s="171"/>
      <c r="AN255" s="196"/>
      <c r="AO255" s="196"/>
      <c r="AP255" s="196"/>
      <c r="AQ255" s="21"/>
      <c r="AR255" s="21"/>
      <c r="AS255" s="21"/>
      <c r="AT255" s="22"/>
      <c r="AU255" s="22"/>
      <c r="AV255" s="22"/>
      <c r="AW255" s="22"/>
    </row>
    <row r="256" spans="1:49">
      <c r="A256" s="528"/>
      <c r="B256" s="531"/>
      <c r="C256" s="564"/>
      <c r="D256" s="537"/>
      <c r="E256" s="564"/>
      <c r="F256" s="534"/>
      <c r="G256" s="172"/>
      <c r="H256" s="173" t="s">
        <v>113</v>
      </c>
      <c r="I256" s="245"/>
      <c r="J256" s="246"/>
      <c r="K256" s="247"/>
      <c r="L256" s="245"/>
      <c r="M256" s="245"/>
      <c r="N256" s="245"/>
      <c r="O256" s="245"/>
      <c r="P256" s="245"/>
      <c r="Q256" s="187"/>
      <c r="R256" s="188"/>
      <c r="S256" s="189"/>
      <c r="T256" s="245"/>
      <c r="U256" s="245"/>
      <c r="V256" s="245"/>
      <c r="W256" s="245"/>
      <c r="X256" s="246"/>
      <c r="Y256" s="247"/>
      <c r="Z256" s="245"/>
      <c r="AA256" s="245"/>
      <c r="AB256" s="245"/>
      <c r="AC256" s="245"/>
      <c r="AD256" s="245"/>
      <c r="AE256" s="246"/>
      <c r="AF256" s="247"/>
      <c r="AG256" s="245"/>
      <c r="AH256" s="245"/>
      <c r="AI256" s="245"/>
      <c r="AJ256" s="245"/>
      <c r="AK256" s="248"/>
      <c r="AL256" s="217"/>
      <c r="AM256" s="171"/>
      <c r="AN256" s="196"/>
      <c r="AO256" s="196"/>
      <c r="AP256" s="196"/>
      <c r="AQ256" s="21"/>
      <c r="AR256" s="21"/>
      <c r="AS256" s="21"/>
      <c r="AT256" s="22"/>
      <c r="AU256" s="22"/>
      <c r="AV256" s="22"/>
      <c r="AW256" s="22"/>
    </row>
    <row r="257" spans="1:49">
      <c r="A257" s="528"/>
      <c r="B257" s="531"/>
      <c r="C257" s="564"/>
      <c r="D257" s="537"/>
      <c r="E257" s="564"/>
      <c r="F257" s="534"/>
      <c r="G257" s="172" t="s">
        <v>475</v>
      </c>
      <c r="H257" s="168" t="s">
        <v>37</v>
      </c>
      <c r="I257" s="245">
        <f>$O$283*$D$229/5</f>
        <v>4941.25</v>
      </c>
      <c r="J257" s="246"/>
      <c r="K257" s="247"/>
      <c r="L257" s="245">
        <f>$O$283*$D$229/5</f>
        <v>4941.25</v>
      </c>
      <c r="M257" s="245">
        <f>$O$283*$D$229/5</f>
        <v>4941.25</v>
      </c>
      <c r="N257" s="245">
        <f>$O$283*$D$229/5</f>
        <v>4941.25</v>
      </c>
      <c r="O257" s="245">
        <f>$O$283*$D$229/5</f>
        <v>4941.25</v>
      </c>
      <c r="P257" s="245">
        <f>$O$283*$D$229/5</f>
        <v>4941.25</v>
      </c>
      <c r="Q257" s="187"/>
      <c r="R257" s="188"/>
      <c r="S257" s="189"/>
      <c r="T257" s="245">
        <f>$O$283*$D$229/5</f>
        <v>4941.25</v>
      </c>
      <c r="U257" s="245">
        <f>$O$283*$D$229/5</f>
        <v>4941.25</v>
      </c>
      <c r="V257" s="245">
        <f>$O$283*$D$229/5</f>
        <v>4941.25</v>
      </c>
      <c r="W257" s="245">
        <f>$O$283*$D$229/5</f>
        <v>4941.25</v>
      </c>
      <c r="X257" s="246"/>
      <c r="Y257" s="247"/>
      <c r="Z257" s="245">
        <f>$O$283*$D$229/5</f>
        <v>4941.25</v>
      </c>
      <c r="AA257" s="245">
        <f>$O$283*$D$229/5</f>
        <v>4941.25</v>
      </c>
      <c r="AB257" s="245">
        <f>$O$283*$D$229/5</f>
        <v>4941.25</v>
      </c>
      <c r="AC257" s="245">
        <f>$O$283*$D$229/5</f>
        <v>4941.25</v>
      </c>
      <c r="AD257" s="245">
        <f>$O$283*$D$229/5</f>
        <v>4941.25</v>
      </c>
      <c r="AE257" s="246"/>
      <c r="AF257" s="247"/>
      <c r="AG257" s="245">
        <f>$O$283*$D$229/5</f>
        <v>4941.25</v>
      </c>
      <c r="AH257" s="245">
        <f>$O$283*$D$229/5</f>
        <v>4941.25</v>
      </c>
      <c r="AI257" s="245">
        <f>$O$283*$D$229/5</f>
        <v>4941.25</v>
      </c>
      <c r="AJ257" s="245">
        <f>$O$283*$D$229/5</f>
        <v>4941.25</v>
      </c>
      <c r="AK257" s="248"/>
      <c r="AL257" s="217"/>
      <c r="AM257" s="171"/>
      <c r="AN257" s="196"/>
      <c r="AO257" s="196"/>
      <c r="AP257" s="196"/>
      <c r="AQ257" s="22"/>
      <c r="AR257" s="196"/>
      <c r="AS257" s="196"/>
      <c r="AT257" s="22"/>
      <c r="AU257" s="22"/>
      <c r="AV257" s="22"/>
      <c r="AW257" s="22"/>
    </row>
    <row r="258" spans="1:49">
      <c r="A258" s="528"/>
      <c r="B258" s="531"/>
      <c r="C258" s="564"/>
      <c r="D258" s="537"/>
      <c r="E258" s="564"/>
      <c r="F258" s="534"/>
      <c r="G258" s="172"/>
      <c r="H258" s="173" t="s">
        <v>16</v>
      </c>
      <c r="I258" s="245"/>
      <c r="J258" s="246"/>
      <c r="K258" s="247"/>
      <c r="L258" s="245"/>
      <c r="M258" s="245"/>
      <c r="N258" s="245"/>
      <c r="O258" s="245"/>
      <c r="P258" s="245"/>
      <c r="Q258" s="187"/>
      <c r="R258" s="188"/>
      <c r="S258" s="189"/>
      <c r="T258" s="245"/>
      <c r="U258" s="245"/>
      <c r="V258" s="245"/>
      <c r="W258" s="245"/>
      <c r="X258" s="246"/>
      <c r="Y258" s="247"/>
      <c r="Z258" s="245"/>
      <c r="AA258" s="245"/>
      <c r="AB258" s="245"/>
      <c r="AC258" s="245"/>
      <c r="AD258" s="245"/>
      <c r="AE258" s="246"/>
      <c r="AF258" s="247"/>
      <c r="AG258" s="245"/>
      <c r="AH258" s="245"/>
      <c r="AI258" s="245"/>
      <c r="AJ258" s="245"/>
      <c r="AK258" s="248"/>
      <c r="AL258" s="217"/>
      <c r="AM258" s="171"/>
      <c r="AN258" s="196"/>
      <c r="AO258" s="196"/>
      <c r="AP258" s="196"/>
      <c r="AQ258" s="22"/>
      <c r="AR258" s="196"/>
      <c r="AS258" s="196"/>
      <c r="AT258" s="22"/>
      <c r="AU258" s="22"/>
      <c r="AV258" s="22"/>
      <c r="AW258" s="22"/>
    </row>
    <row r="259" spans="1:49">
      <c r="A259" s="528"/>
      <c r="B259" s="531"/>
      <c r="C259" s="564"/>
      <c r="D259" s="537"/>
      <c r="E259" s="564"/>
      <c r="F259" s="534"/>
      <c r="G259" s="172"/>
      <c r="H259" s="173" t="s">
        <v>113</v>
      </c>
      <c r="I259" s="245"/>
      <c r="J259" s="246"/>
      <c r="K259" s="247"/>
      <c r="L259" s="245"/>
      <c r="M259" s="245"/>
      <c r="N259" s="245"/>
      <c r="O259" s="245"/>
      <c r="P259" s="245"/>
      <c r="Q259" s="187"/>
      <c r="R259" s="188"/>
      <c r="S259" s="189"/>
      <c r="T259" s="245"/>
      <c r="U259" s="245"/>
      <c r="V259" s="245"/>
      <c r="W259" s="245"/>
      <c r="X259" s="246"/>
      <c r="Y259" s="247"/>
      <c r="Z259" s="245"/>
      <c r="AA259" s="245"/>
      <c r="AB259" s="245"/>
      <c r="AC259" s="245"/>
      <c r="AD259" s="245"/>
      <c r="AE259" s="246"/>
      <c r="AF259" s="247"/>
      <c r="AG259" s="245"/>
      <c r="AH259" s="245"/>
      <c r="AI259" s="245"/>
      <c r="AJ259" s="245"/>
      <c r="AK259" s="248"/>
      <c r="AL259" s="217"/>
      <c r="AM259" s="171"/>
      <c r="AN259" s="196"/>
      <c r="AO259" s="196"/>
      <c r="AP259" s="196"/>
      <c r="AQ259" s="22"/>
      <c r="AR259" s="196"/>
      <c r="AS259" s="196"/>
      <c r="AT259" s="22"/>
      <c r="AU259" s="22"/>
      <c r="AV259" s="22"/>
      <c r="AW259" s="22"/>
    </row>
    <row r="260" spans="1:49">
      <c r="A260" s="528"/>
      <c r="B260" s="531"/>
      <c r="C260" s="564"/>
      <c r="D260" s="537"/>
      <c r="E260" s="564"/>
      <c r="F260" s="534"/>
      <c r="G260" s="172" t="s">
        <v>480</v>
      </c>
      <c r="H260" s="168" t="s">
        <v>95</v>
      </c>
      <c r="I260" s="245">
        <f>$O$283*$D$229/5</f>
        <v>4941.25</v>
      </c>
      <c r="J260" s="246"/>
      <c r="K260" s="247"/>
      <c r="L260" s="245">
        <f>$O$283*$D$229/5</f>
        <v>4941.25</v>
      </c>
      <c r="M260" s="245">
        <f>$O$283*$D$229/5</f>
        <v>4941.25</v>
      </c>
      <c r="N260" s="245">
        <f>$O$283*$D$229/5</f>
        <v>4941.25</v>
      </c>
      <c r="O260" s="245">
        <f>$O$283*$D$229/5</f>
        <v>4941.25</v>
      </c>
      <c r="P260" s="245">
        <f>$O$283*$D$229/5</f>
        <v>4941.25</v>
      </c>
      <c r="Q260" s="187"/>
      <c r="R260" s="188"/>
      <c r="S260" s="189"/>
      <c r="T260" s="245">
        <f>$O$283*$D$229/5</f>
        <v>4941.25</v>
      </c>
      <c r="U260" s="245">
        <f>$O$283*$D$229/5</f>
        <v>4941.25</v>
      </c>
      <c r="V260" s="245">
        <f>$O$283*$D$229/5</f>
        <v>4941.25</v>
      </c>
      <c r="W260" s="245">
        <f>$O$283*$D$229/5</f>
        <v>4941.25</v>
      </c>
      <c r="X260" s="246"/>
      <c r="Y260" s="247"/>
      <c r="Z260" s="245">
        <f>$O$283*$D$229/5</f>
        <v>4941.25</v>
      </c>
      <c r="AA260" s="245">
        <f>$O$283*$D$229/5</f>
        <v>4941.25</v>
      </c>
      <c r="AB260" s="245">
        <f>$O$283*$D$229/5</f>
        <v>4941.25</v>
      </c>
      <c r="AC260" s="245">
        <f>$O$283*$D$229/5</f>
        <v>4941.25</v>
      </c>
      <c r="AD260" s="245">
        <f>$O$283*$D$229/5</f>
        <v>4941.25</v>
      </c>
      <c r="AE260" s="246"/>
      <c r="AF260" s="247"/>
      <c r="AG260" s="245">
        <f>$O$283*$D$229/5</f>
        <v>4941.25</v>
      </c>
      <c r="AH260" s="245">
        <f>$O$283*$D$229/5</f>
        <v>4941.25</v>
      </c>
      <c r="AI260" s="245">
        <f>$O$283*$D$229/5</f>
        <v>4941.25</v>
      </c>
      <c r="AJ260" s="245">
        <f>$O$283*$D$229/5</f>
        <v>4941.25</v>
      </c>
      <c r="AK260" s="248"/>
      <c r="AL260" s="217"/>
      <c r="AM260" s="171"/>
      <c r="AN260" s="196"/>
      <c r="AO260" s="196"/>
      <c r="AP260" s="196"/>
      <c r="AQ260" s="22"/>
      <c r="AR260" s="196"/>
      <c r="AS260" s="196"/>
      <c r="AT260" s="22"/>
      <c r="AU260" s="22"/>
      <c r="AV260" s="22"/>
      <c r="AW260" s="22"/>
    </row>
    <row r="261" spans="1:49">
      <c r="A261" s="528"/>
      <c r="B261" s="531"/>
      <c r="C261" s="564"/>
      <c r="D261" s="537"/>
      <c r="E261" s="564"/>
      <c r="F261" s="534"/>
      <c r="G261" s="172"/>
      <c r="H261" s="173" t="s">
        <v>16</v>
      </c>
      <c r="I261" s="245"/>
      <c r="J261" s="246"/>
      <c r="K261" s="247"/>
      <c r="L261" s="245"/>
      <c r="M261" s="245"/>
      <c r="N261" s="245"/>
      <c r="O261" s="245"/>
      <c r="P261" s="245"/>
      <c r="Q261" s="187"/>
      <c r="R261" s="188"/>
      <c r="S261" s="189"/>
      <c r="T261" s="245"/>
      <c r="U261" s="245"/>
      <c r="V261" s="245"/>
      <c r="W261" s="245"/>
      <c r="X261" s="246"/>
      <c r="Y261" s="247"/>
      <c r="Z261" s="245"/>
      <c r="AA261" s="245"/>
      <c r="AB261" s="245"/>
      <c r="AC261" s="245"/>
      <c r="AD261" s="245"/>
      <c r="AE261" s="246"/>
      <c r="AF261" s="247"/>
      <c r="AG261" s="245"/>
      <c r="AH261" s="245"/>
      <c r="AI261" s="245"/>
      <c r="AJ261" s="245"/>
      <c r="AK261" s="248"/>
      <c r="AL261" s="217"/>
      <c r="AM261" s="171"/>
      <c r="AN261" s="196"/>
      <c r="AO261" s="196"/>
      <c r="AP261" s="196"/>
      <c r="AQ261" s="22"/>
      <c r="AR261" s="196"/>
      <c r="AS261" s="196"/>
      <c r="AT261" s="22"/>
      <c r="AU261" s="22"/>
      <c r="AV261" s="22"/>
      <c r="AW261" s="22"/>
    </row>
    <row r="262" spans="1:49">
      <c r="A262" s="528"/>
      <c r="B262" s="531"/>
      <c r="C262" s="564"/>
      <c r="D262" s="537"/>
      <c r="E262" s="564"/>
      <c r="F262" s="534"/>
      <c r="G262" s="172"/>
      <c r="H262" s="173" t="s">
        <v>113</v>
      </c>
      <c r="I262" s="245"/>
      <c r="J262" s="246"/>
      <c r="K262" s="247"/>
      <c r="L262" s="245"/>
      <c r="M262" s="245"/>
      <c r="N262" s="245"/>
      <c r="O262" s="245"/>
      <c r="P262" s="245"/>
      <c r="Q262" s="187"/>
      <c r="R262" s="188"/>
      <c r="S262" s="189"/>
      <c r="T262" s="245"/>
      <c r="U262" s="245"/>
      <c r="V262" s="245"/>
      <c r="W262" s="245"/>
      <c r="X262" s="246"/>
      <c r="Y262" s="247"/>
      <c r="Z262" s="245"/>
      <c r="AA262" s="245"/>
      <c r="AB262" s="245"/>
      <c r="AC262" s="245"/>
      <c r="AD262" s="245"/>
      <c r="AE262" s="246"/>
      <c r="AF262" s="247"/>
      <c r="AG262" s="245"/>
      <c r="AH262" s="245"/>
      <c r="AI262" s="245"/>
      <c r="AJ262" s="245"/>
      <c r="AK262" s="248"/>
      <c r="AL262" s="217"/>
      <c r="AM262" s="171"/>
      <c r="AN262" s="196"/>
      <c r="AO262" s="196"/>
      <c r="AP262" s="196"/>
      <c r="AQ262" s="22"/>
      <c r="AR262" s="196"/>
      <c r="AS262" s="196"/>
      <c r="AT262" s="22"/>
      <c r="AU262" s="22"/>
      <c r="AV262" s="22"/>
      <c r="AW262" s="22"/>
    </row>
    <row r="263" spans="1:49">
      <c r="A263" s="528"/>
      <c r="B263" s="531"/>
      <c r="C263" s="564"/>
      <c r="D263" s="537"/>
      <c r="E263" s="564"/>
      <c r="F263" s="534"/>
      <c r="G263" s="172" t="s">
        <v>474</v>
      </c>
      <c r="H263" s="168" t="s">
        <v>26</v>
      </c>
      <c r="I263" s="245">
        <f>$O$283*$D$229/5</f>
        <v>4941.25</v>
      </c>
      <c r="J263" s="246"/>
      <c r="K263" s="247"/>
      <c r="L263" s="245">
        <f>$O$283*$D$229/5</f>
        <v>4941.25</v>
      </c>
      <c r="M263" s="245">
        <f>$O$283*$D$229/5</f>
        <v>4941.25</v>
      </c>
      <c r="N263" s="245">
        <f>$O$283*$D$229/5</f>
        <v>4941.25</v>
      </c>
      <c r="O263" s="245">
        <f>$O$283*$D$229/5</f>
        <v>4941.25</v>
      </c>
      <c r="P263" s="245">
        <f>$O$283*$D$229/5</f>
        <v>4941.25</v>
      </c>
      <c r="Q263" s="187"/>
      <c r="R263" s="188"/>
      <c r="S263" s="189"/>
      <c r="T263" s="245">
        <f>$O$283*$D$229/5</f>
        <v>4941.25</v>
      </c>
      <c r="U263" s="245">
        <f>$O$283*$D$229/5</f>
        <v>4941.25</v>
      </c>
      <c r="V263" s="245">
        <f>$O$283*$D$229/5</f>
        <v>4941.25</v>
      </c>
      <c r="W263" s="245">
        <f>$O$283*$D$229/5</f>
        <v>4941.25</v>
      </c>
      <c r="X263" s="246"/>
      <c r="Y263" s="247"/>
      <c r="Z263" s="245">
        <f>$O$283*$D$229/5</f>
        <v>4941.25</v>
      </c>
      <c r="AA263" s="245">
        <f>$O$283*$D$229/5</f>
        <v>4941.25</v>
      </c>
      <c r="AB263" s="245">
        <f>$O$283*$D$229/5</f>
        <v>4941.25</v>
      </c>
      <c r="AC263" s="245">
        <f>$O$283*$D$229/5</f>
        <v>4941.25</v>
      </c>
      <c r="AD263" s="245">
        <f>$O$283*$D$229/5</f>
        <v>4941.25</v>
      </c>
      <c r="AE263" s="246"/>
      <c r="AF263" s="247"/>
      <c r="AG263" s="245">
        <f>$O$283*$D$229/5</f>
        <v>4941.25</v>
      </c>
      <c r="AH263" s="245">
        <f>$O$283*$D$229/5</f>
        <v>4941.25</v>
      </c>
      <c r="AI263" s="245">
        <f>$O$283*$D$229/5</f>
        <v>4941.25</v>
      </c>
      <c r="AJ263" s="245">
        <f>$O$283*$D$229/5</f>
        <v>4941.25</v>
      </c>
      <c r="AK263" s="248"/>
      <c r="AL263" s="217"/>
      <c r="AM263" s="171"/>
      <c r="AN263" s="196"/>
      <c r="AO263" s="196"/>
      <c r="AP263" s="196"/>
      <c r="AQ263" s="22"/>
      <c r="AR263" s="196"/>
      <c r="AS263" s="196"/>
      <c r="AT263" s="22"/>
      <c r="AU263" s="22"/>
      <c r="AV263" s="22"/>
      <c r="AW263" s="22"/>
    </row>
    <row r="264" spans="1:49">
      <c r="A264" s="528"/>
      <c r="B264" s="531"/>
      <c r="C264" s="564"/>
      <c r="D264" s="537"/>
      <c r="E264" s="564"/>
      <c r="F264" s="534"/>
      <c r="G264" s="172"/>
      <c r="H264" s="168" t="s">
        <v>24</v>
      </c>
      <c r="I264" s="198">
        <v>1</v>
      </c>
      <c r="J264" s="221"/>
      <c r="K264" s="222"/>
      <c r="L264" s="198">
        <v>1</v>
      </c>
      <c r="M264" s="198">
        <v>1</v>
      </c>
      <c r="N264" s="198">
        <v>1</v>
      </c>
      <c r="O264" s="198">
        <v>1</v>
      </c>
      <c r="P264" s="198">
        <v>1</v>
      </c>
      <c r="Q264" s="221"/>
      <c r="R264" s="222"/>
      <c r="S264" s="235"/>
      <c r="T264" s="198">
        <v>1</v>
      </c>
      <c r="U264" s="198">
        <v>1</v>
      </c>
      <c r="V264" s="198">
        <v>1</v>
      </c>
      <c r="W264" s="198">
        <v>1</v>
      </c>
      <c r="X264" s="221"/>
      <c r="Y264" s="222"/>
      <c r="Z264" s="198">
        <v>1</v>
      </c>
      <c r="AA264" s="198">
        <v>1</v>
      </c>
      <c r="AB264" s="198">
        <v>1</v>
      </c>
      <c r="AC264" s="198">
        <v>1</v>
      </c>
      <c r="AD264" s="198">
        <v>1</v>
      </c>
      <c r="AE264" s="221"/>
      <c r="AF264" s="222"/>
      <c r="AG264" s="198">
        <v>1</v>
      </c>
      <c r="AH264" s="198">
        <v>1</v>
      </c>
      <c r="AI264" s="198">
        <v>1</v>
      </c>
      <c r="AJ264" s="198">
        <v>1</v>
      </c>
      <c r="AK264" s="249"/>
      <c r="AL264" s="217"/>
      <c r="AM264" s="171"/>
      <c r="AN264" s="196"/>
      <c r="AO264" s="196"/>
      <c r="AP264" s="196"/>
      <c r="AQ264" s="22"/>
      <c r="AR264" s="196"/>
      <c r="AS264" s="196"/>
      <c r="AT264" s="22"/>
      <c r="AU264" s="22"/>
      <c r="AV264" s="22"/>
      <c r="AW264" s="22"/>
    </row>
    <row r="265" spans="1:49">
      <c r="A265" s="528"/>
      <c r="B265" s="531"/>
      <c r="C265" s="564"/>
      <c r="D265" s="537"/>
      <c r="E265" s="564"/>
      <c r="F265" s="534"/>
      <c r="G265" s="172"/>
      <c r="H265" s="173" t="s">
        <v>16</v>
      </c>
      <c r="I265" s="198"/>
      <c r="J265" s="221"/>
      <c r="K265" s="222"/>
      <c r="L265" s="198"/>
      <c r="M265" s="198"/>
      <c r="N265" s="198"/>
      <c r="O265" s="198"/>
      <c r="P265" s="198"/>
      <c r="Q265" s="221"/>
      <c r="R265" s="222"/>
      <c r="S265" s="235"/>
      <c r="T265" s="198"/>
      <c r="U265" s="198"/>
      <c r="V265" s="198"/>
      <c r="W265" s="198"/>
      <c r="X265" s="221"/>
      <c r="Y265" s="222"/>
      <c r="Z265" s="198"/>
      <c r="AA265" s="198"/>
      <c r="AB265" s="198"/>
      <c r="AC265" s="198"/>
      <c r="AD265" s="198"/>
      <c r="AE265" s="221"/>
      <c r="AF265" s="222"/>
      <c r="AG265" s="198"/>
      <c r="AH265" s="198"/>
      <c r="AI265" s="198"/>
      <c r="AJ265" s="198"/>
      <c r="AK265" s="249"/>
      <c r="AL265" s="217"/>
      <c r="AM265" s="171"/>
      <c r="AN265" s="196"/>
      <c r="AO265" s="196"/>
      <c r="AP265" s="196"/>
      <c r="AQ265" s="22"/>
      <c r="AR265" s="196"/>
      <c r="AS265" s="196"/>
      <c r="AT265" s="22"/>
      <c r="AU265" s="22"/>
      <c r="AV265" s="22"/>
      <c r="AW265" s="22"/>
    </row>
    <row r="266" spans="1:49">
      <c r="A266" s="528"/>
      <c r="B266" s="531"/>
      <c r="C266" s="564"/>
      <c r="D266" s="537"/>
      <c r="E266" s="564"/>
      <c r="F266" s="534"/>
      <c r="G266" s="172"/>
      <c r="H266" s="173" t="s">
        <v>113</v>
      </c>
      <c r="I266" s="198"/>
      <c r="J266" s="221"/>
      <c r="K266" s="222"/>
      <c r="L266" s="198"/>
      <c r="M266" s="198"/>
      <c r="N266" s="198"/>
      <c r="O266" s="198"/>
      <c r="P266" s="198"/>
      <c r="Q266" s="221"/>
      <c r="R266" s="222"/>
      <c r="S266" s="235"/>
      <c r="T266" s="198"/>
      <c r="U266" s="198"/>
      <c r="V266" s="198"/>
      <c r="W266" s="198"/>
      <c r="X266" s="221"/>
      <c r="Y266" s="222"/>
      <c r="Z266" s="198"/>
      <c r="AA266" s="198"/>
      <c r="AB266" s="198"/>
      <c r="AC266" s="198"/>
      <c r="AD266" s="198"/>
      <c r="AE266" s="221"/>
      <c r="AF266" s="222"/>
      <c r="AG266" s="198"/>
      <c r="AH266" s="198"/>
      <c r="AI266" s="198"/>
      <c r="AJ266" s="198"/>
      <c r="AK266" s="249"/>
      <c r="AL266" s="217"/>
      <c r="AM266" s="171"/>
      <c r="AN266" s="196"/>
      <c r="AO266" s="196"/>
      <c r="AP266" s="196"/>
      <c r="AQ266" s="22"/>
      <c r="AR266" s="196"/>
      <c r="AS266" s="196"/>
      <c r="AT266" s="22"/>
      <c r="AU266" s="22"/>
      <c r="AV266" s="22"/>
      <c r="AW266" s="22"/>
    </row>
    <row r="267" spans="1:49">
      <c r="A267" s="528"/>
      <c r="B267" s="531"/>
      <c r="C267" s="564"/>
      <c r="D267" s="537"/>
      <c r="E267" s="564"/>
      <c r="F267" s="534"/>
      <c r="G267" s="172"/>
      <c r="H267" s="168" t="s">
        <v>96</v>
      </c>
      <c r="I267" s="305">
        <f>($O$283*$D$229/5)*5</f>
        <v>24706.25</v>
      </c>
      <c r="J267" s="306"/>
      <c r="K267" s="307"/>
      <c r="L267" s="305">
        <f>($O$283*$D$229/5)*5</f>
        <v>24706.25</v>
      </c>
      <c r="M267" s="305">
        <f>($O$283*$D$229/5)*5</f>
        <v>24706.25</v>
      </c>
      <c r="N267" s="305">
        <f>($O$283*$D$229/5)*5</f>
        <v>24706.25</v>
      </c>
      <c r="O267" s="305">
        <f>($O$283*$D$229/5)*5</f>
        <v>24706.25</v>
      </c>
      <c r="P267" s="305">
        <f>($O$283*$D$229/5)*5</f>
        <v>24706.25</v>
      </c>
      <c r="Q267" s="221"/>
      <c r="R267" s="222"/>
      <c r="S267" s="235"/>
      <c r="T267" s="305">
        <f>($O$283*$D$229/5)*5</f>
        <v>24706.25</v>
      </c>
      <c r="U267" s="305">
        <f>($O$283*$D$229/5)*5</f>
        <v>24706.25</v>
      </c>
      <c r="V267" s="305">
        <f>($O$283*$D$229/5)*5</f>
        <v>24706.25</v>
      </c>
      <c r="W267" s="305">
        <f>($O$283*$D$229/5)*5</f>
        <v>24706.25</v>
      </c>
      <c r="X267" s="306"/>
      <c r="Y267" s="307"/>
      <c r="Z267" s="305">
        <f>($O$283*$D$229/5)*5</f>
        <v>24706.25</v>
      </c>
      <c r="AA267" s="305">
        <f>($O$283*$D$229/5)*5</f>
        <v>24706.25</v>
      </c>
      <c r="AB267" s="305">
        <f>($O$283*$D$229/5)*5</f>
        <v>24706.25</v>
      </c>
      <c r="AC267" s="305">
        <f>($O$283*$D$229/5)*5</f>
        <v>24706.25</v>
      </c>
      <c r="AD267" s="305">
        <f>($O$283*$D$229/5)*5</f>
        <v>24706.25</v>
      </c>
      <c r="AE267" s="306"/>
      <c r="AF267" s="307"/>
      <c r="AG267" s="305">
        <f>($O$283*$D$229/5)*5</f>
        <v>24706.25</v>
      </c>
      <c r="AH267" s="305">
        <f>($O$283*$D$229/5)*5</f>
        <v>24706.25</v>
      </c>
      <c r="AI267" s="305">
        <f>($O$283*$D$229/5)*5</f>
        <v>24706.25</v>
      </c>
      <c r="AJ267" s="305">
        <f>($O$283*$D$229/5)*5</f>
        <v>24706.25</v>
      </c>
      <c r="AK267" s="308"/>
      <c r="AL267" s="217"/>
      <c r="AM267" s="171"/>
      <c r="AN267" s="196"/>
      <c r="AO267" s="196"/>
      <c r="AP267" s="196"/>
      <c r="AQ267" s="22"/>
      <c r="AR267" s="196"/>
      <c r="AS267" s="196"/>
      <c r="AT267" s="22"/>
      <c r="AU267" s="22"/>
      <c r="AV267" s="22"/>
      <c r="AW267" s="22"/>
    </row>
    <row r="268" spans="1:49">
      <c r="A268" s="528"/>
      <c r="B268" s="531"/>
      <c r="C268" s="564"/>
      <c r="D268" s="537"/>
      <c r="E268" s="564"/>
      <c r="F268" s="534"/>
      <c r="G268" s="219"/>
      <c r="H268" s="168" t="s">
        <v>97</v>
      </c>
      <c r="I268" s="198">
        <v>2</v>
      </c>
      <c r="J268" s="221"/>
      <c r="K268" s="222"/>
      <c r="L268" s="198">
        <v>2</v>
      </c>
      <c r="M268" s="198">
        <v>2</v>
      </c>
      <c r="N268" s="198">
        <v>2</v>
      </c>
      <c r="O268" s="198">
        <v>2</v>
      </c>
      <c r="P268" s="198">
        <v>2</v>
      </c>
      <c r="Q268" s="221"/>
      <c r="R268" s="222"/>
      <c r="S268" s="235"/>
      <c r="T268" s="198">
        <v>2</v>
      </c>
      <c r="U268" s="198">
        <v>2</v>
      </c>
      <c r="V268" s="198">
        <v>2</v>
      </c>
      <c r="W268" s="198">
        <v>2</v>
      </c>
      <c r="X268" s="221"/>
      <c r="Y268" s="222"/>
      <c r="Z268" s="198">
        <v>2</v>
      </c>
      <c r="AA268" s="198">
        <v>2</v>
      </c>
      <c r="AB268" s="198">
        <v>2</v>
      </c>
      <c r="AC268" s="198">
        <v>2</v>
      </c>
      <c r="AD268" s="198">
        <v>2</v>
      </c>
      <c r="AE268" s="221"/>
      <c r="AF268" s="222"/>
      <c r="AG268" s="198">
        <v>2</v>
      </c>
      <c r="AH268" s="198">
        <v>2</v>
      </c>
      <c r="AI268" s="198">
        <v>2</v>
      </c>
      <c r="AJ268" s="198">
        <v>2</v>
      </c>
      <c r="AK268" s="249"/>
      <c r="AL268" s="217"/>
      <c r="AM268" s="171"/>
      <c r="AN268" s="196"/>
      <c r="AO268" s="196"/>
      <c r="AP268" s="196"/>
      <c r="AQ268" s="22"/>
      <c r="AR268" s="196"/>
      <c r="AS268" s="196"/>
      <c r="AT268" s="22"/>
      <c r="AU268" s="22"/>
      <c r="AV268" s="22"/>
      <c r="AW268" s="22"/>
    </row>
    <row r="269" spans="1:49">
      <c r="A269" s="528"/>
      <c r="B269" s="531"/>
      <c r="C269" s="564"/>
      <c r="D269" s="537"/>
      <c r="E269" s="564"/>
      <c r="F269" s="534"/>
      <c r="G269" s="219"/>
      <c r="H269" s="173" t="s">
        <v>16</v>
      </c>
      <c r="I269" s="198"/>
      <c r="J269" s="221"/>
      <c r="K269" s="222"/>
      <c r="L269" s="198"/>
      <c r="M269" s="198"/>
      <c r="N269" s="198"/>
      <c r="O269" s="198"/>
      <c r="P269" s="198"/>
      <c r="Q269" s="221"/>
      <c r="R269" s="222"/>
      <c r="S269" s="235"/>
      <c r="T269" s="198"/>
      <c r="U269" s="198"/>
      <c r="V269" s="198"/>
      <c r="W269" s="198"/>
      <c r="X269" s="221"/>
      <c r="Y269" s="222"/>
      <c r="Z269" s="198"/>
      <c r="AA269" s="198"/>
      <c r="AB269" s="198"/>
      <c r="AC269" s="198"/>
      <c r="AD269" s="198"/>
      <c r="AE269" s="221"/>
      <c r="AF269" s="222"/>
      <c r="AG269" s="198"/>
      <c r="AH269" s="198"/>
      <c r="AI269" s="198"/>
      <c r="AJ269" s="198"/>
      <c r="AK269" s="249"/>
      <c r="AL269" s="217"/>
      <c r="AM269" s="171"/>
      <c r="AN269" s="196"/>
      <c r="AO269" s="196"/>
      <c r="AP269" s="196"/>
      <c r="AQ269" s="22"/>
      <c r="AR269" s="196"/>
      <c r="AS269" s="196"/>
      <c r="AT269" s="22"/>
      <c r="AU269" s="22"/>
      <c r="AV269" s="22"/>
      <c r="AW269" s="22"/>
    </row>
    <row r="270" spans="1:49">
      <c r="A270" s="528"/>
      <c r="B270" s="531"/>
      <c r="C270" s="564"/>
      <c r="D270" s="537"/>
      <c r="E270" s="564"/>
      <c r="F270" s="534"/>
      <c r="G270" s="219"/>
      <c r="H270" s="173" t="s">
        <v>113</v>
      </c>
      <c r="I270" s="198"/>
      <c r="J270" s="221"/>
      <c r="K270" s="222"/>
      <c r="L270" s="198"/>
      <c r="M270" s="198"/>
      <c r="N270" s="198"/>
      <c r="O270" s="198"/>
      <c r="P270" s="198"/>
      <c r="Q270" s="221"/>
      <c r="R270" s="222"/>
      <c r="S270" s="235"/>
      <c r="T270" s="198"/>
      <c r="U270" s="198"/>
      <c r="V270" s="198"/>
      <c r="W270" s="198"/>
      <c r="X270" s="221"/>
      <c r="Y270" s="222"/>
      <c r="Z270" s="198"/>
      <c r="AA270" s="198"/>
      <c r="AB270" s="198"/>
      <c r="AC270" s="198"/>
      <c r="AD270" s="198"/>
      <c r="AE270" s="221"/>
      <c r="AF270" s="222"/>
      <c r="AG270" s="198"/>
      <c r="AH270" s="198"/>
      <c r="AI270" s="198"/>
      <c r="AJ270" s="198"/>
      <c r="AK270" s="249"/>
      <c r="AL270" s="217"/>
      <c r="AM270" s="171"/>
      <c r="AN270" s="196"/>
      <c r="AO270" s="196"/>
      <c r="AP270" s="196"/>
      <c r="AQ270" s="22"/>
      <c r="AR270" s="196"/>
      <c r="AS270" s="196"/>
      <c r="AT270" s="22"/>
      <c r="AU270" s="22"/>
      <c r="AV270" s="22"/>
      <c r="AW270" s="22"/>
    </row>
    <row r="271" spans="1:49">
      <c r="A271" s="528"/>
      <c r="B271" s="531"/>
      <c r="C271" s="564"/>
      <c r="D271" s="537"/>
      <c r="E271" s="564"/>
      <c r="F271" s="534"/>
      <c r="G271" s="219"/>
      <c r="H271" s="168" t="s">
        <v>98</v>
      </c>
      <c r="I271" s="305">
        <f>($O$283*$D$229/5)*5</f>
        <v>24706.25</v>
      </c>
      <c r="J271" s="306"/>
      <c r="K271" s="307"/>
      <c r="L271" s="305">
        <f>($O$283*$D$229/5)*5</f>
        <v>24706.25</v>
      </c>
      <c r="M271" s="305">
        <f>($O$283*$D$229/5)*5</f>
        <v>24706.25</v>
      </c>
      <c r="N271" s="305">
        <f>($O$283*$D$229/5)*5</f>
        <v>24706.25</v>
      </c>
      <c r="O271" s="305">
        <f>($O$283*$D$229/5)*5</f>
        <v>24706.25</v>
      </c>
      <c r="P271" s="305">
        <f>($O$283*$D$229/5)*5</f>
        <v>24706.25</v>
      </c>
      <c r="Q271" s="221"/>
      <c r="R271" s="222"/>
      <c r="S271" s="235"/>
      <c r="T271" s="305">
        <f>($O$283*$D$229/5)*5</f>
        <v>24706.25</v>
      </c>
      <c r="U271" s="305">
        <f>($O$283*$D$229/5)*5</f>
        <v>24706.25</v>
      </c>
      <c r="V271" s="305">
        <f>($O$283*$D$229/5)*5</f>
        <v>24706.25</v>
      </c>
      <c r="W271" s="305">
        <f>($O$283*$D$229/5)*5</f>
        <v>24706.25</v>
      </c>
      <c r="X271" s="306"/>
      <c r="Y271" s="307"/>
      <c r="Z271" s="305">
        <f>($O$283*$D$229/5)*5</f>
        <v>24706.25</v>
      </c>
      <c r="AA271" s="305">
        <f>($O$283*$D$229/5)*5</f>
        <v>24706.25</v>
      </c>
      <c r="AB271" s="305">
        <f>($O$283*$D$229/5)*5</f>
        <v>24706.25</v>
      </c>
      <c r="AC271" s="305">
        <f>($O$283*$D$229/5)*5</f>
        <v>24706.25</v>
      </c>
      <c r="AD271" s="305">
        <f>($O$283*$D$229/5)*5</f>
        <v>24706.25</v>
      </c>
      <c r="AE271" s="306"/>
      <c r="AF271" s="307"/>
      <c r="AG271" s="305">
        <f>($O$283*$D$229/5)*5</f>
        <v>24706.25</v>
      </c>
      <c r="AH271" s="305">
        <f>($O$283*$D$229/5)*5</f>
        <v>24706.25</v>
      </c>
      <c r="AI271" s="305">
        <f>($O$283*$D$229/5)*5</f>
        <v>24706.25</v>
      </c>
      <c r="AJ271" s="305">
        <f>($O$283*$D$229/5)*5</f>
        <v>24706.25</v>
      </c>
      <c r="AK271" s="308"/>
      <c r="AL271" s="217"/>
      <c r="AM271" s="171"/>
      <c r="AN271" s="196"/>
      <c r="AO271" s="196"/>
      <c r="AP271" s="196"/>
      <c r="AQ271" s="22"/>
      <c r="AR271" s="196"/>
      <c r="AS271" s="196"/>
      <c r="AT271" s="22"/>
      <c r="AU271" s="22"/>
      <c r="AV271" s="22"/>
      <c r="AW271" s="22"/>
    </row>
    <row r="272" spans="1:49">
      <c r="A272" s="528"/>
      <c r="B272" s="531"/>
      <c r="C272" s="564"/>
      <c r="D272" s="537"/>
      <c r="E272" s="564"/>
      <c r="F272" s="534"/>
      <c r="G272" s="219"/>
      <c r="H272" s="168" t="s">
        <v>99</v>
      </c>
      <c r="I272" s="198">
        <v>5</v>
      </c>
      <c r="J272" s="221"/>
      <c r="K272" s="222"/>
      <c r="L272" s="198">
        <v>5</v>
      </c>
      <c r="M272" s="198">
        <v>5</v>
      </c>
      <c r="N272" s="198">
        <v>5</v>
      </c>
      <c r="O272" s="198">
        <v>5</v>
      </c>
      <c r="P272" s="198">
        <v>5</v>
      </c>
      <c r="Q272" s="221"/>
      <c r="R272" s="222"/>
      <c r="S272" s="235"/>
      <c r="T272" s="198">
        <v>5</v>
      </c>
      <c r="U272" s="198">
        <v>5</v>
      </c>
      <c r="V272" s="198">
        <v>5</v>
      </c>
      <c r="W272" s="198">
        <v>5</v>
      </c>
      <c r="X272" s="221"/>
      <c r="Y272" s="222"/>
      <c r="Z272" s="198">
        <v>5</v>
      </c>
      <c r="AA272" s="198">
        <v>5</v>
      </c>
      <c r="AB272" s="198">
        <v>5</v>
      </c>
      <c r="AC272" s="198">
        <v>5</v>
      </c>
      <c r="AD272" s="198">
        <v>5</v>
      </c>
      <c r="AE272" s="221"/>
      <c r="AF272" s="222"/>
      <c r="AG272" s="198">
        <v>5</v>
      </c>
      <c r="AH272" s="198">
        <v>5</v>
      </c>
      <c r="AI272" s="198">
        <v>5</v>
      </c>
      <c r="AJ272" s="198">
        <v>5</v>
      </c>
      <c r="AK272" s="249"/>
      <c r="AL272" s="217"/>
      <c r="AM272" s="171"/>
      <c r="AN272" s="196"/>
      <c r="AO272" s="196"/>
      <c r="AP272" s="196"/>
      <c r="AQ272" s="22"/>
      <c r="AR272" s="196"/>
      <c r="AS272" s="196"/>
      <c r="AT272" s="22"/>
      <c r="AU272" s="22"/>
      <c r="AV272" s="22"/>
      <c r="AW272" s="22"/>
    </row>
    <row r="273" spans="1:49">
      <c r="A273" s="528"/>
      <c r="B273" s="531"/>
      <c r="C273" s="564"/>
      <c r="D273" s="537"/>
      <c r="E273" s="564"/>
      <c r="F273" s="534"/>
      <c r="G273" s="219"/>
      <c r="H273" s="173" t="s">
        <v>16</v>
      </c>
      <c r="I273" s="198"/>
      <c r="J273" s="221"/>
      <c r="K273" s="222"/>
      <c r="L273" s="198"/>
      <c r="M273" s="198"/>
      <c r="N273" s="198"/>
      <c r="O273" s="198"/>
      <c r="P273" s="198"/>
      <c r="Q273" s="221"/>
      <c r="R273" s="222"/>
      <c r="S273" s="235"/>
      <c r="T273" s="198"/>
      <c r="U273" s="198"/>
      <c r="V273" s="198"/>
      <c r="W273" s="198"/>
      <c r="X273" s="221"/>
      <c r="Y273" s="222"/>
      <c r="Z273" s="198"/>
      <c r="AA273" s="198"/>
      <c r="AB273" s="198"/>
      <c r="AC273" s="198"/>
      <c r="AD273" s="198"/>
      <c r="AE273" s="221"/>
      <c r="AF273" s="222"/>
      <c r="AG273" s="198"/>
      <c r="AH273" s="198"/>
      <c r="AI273" s="198"/>
      <c r="AJ273" s="198"/>
      <c r="AK273" s="249"/>
      <c r="AL273" s="217"/>
      <c r="AM273" s="171"/>
      <c r="AN273" s="196"/>
      <c r="AO273" s="196"/>
      <c r="AP273" s="196"/>
      <c r="AQ273" s="22"/>
      <c r="AR273" s="196"/>
      <c r="AS273" s="196"/>
      <c r="AT273" s="22"/>
      <c r="AU273" s="22"/>
      <c r="AV273" s="22"/>
      <c r="AW273" s="22"/>
    </row>
    <row r="274" spans="1:49">
      <c r="A274" s="528"/>
      <c r="B274" s="531"/>
      <c r="C274" s="564"/>
      <c r="D274" s="537"/>
      <c r="E274" s="564"/>
      <c r="F274" s="534"/>
      <c r="G274" s="219"/>
      <c r="H274" s="173" t="s">
        <v>113</v>
      </c>
      <c r="I274" s="198"/>
      <c r="J274" s="221"/>
      <c r="K274" s="222"/>
      <c r="L274" s="198"/>
      <c r="M274" s="198"/>
      <c r="N274" s="198"/>
      <c r="O274" s="198"/>
      <c r="P274" s="198"/>
      <c r="Q274" s="221"/>
      <c r="R274" s="222"/>
      <c r="S274" s="235"/>
      <c r="T274" s="198"/>
      <c r="U274" s="198"/>
      <c r="V274" s="198"/>
      <c r="W274" s="198"/>
      <c r="X274" s="221"/>
      <c r="Y274" s="222"/>
      <c r="Z274" s="198"/>
      <c r="AA274" s="198"/>
      <c r="AB274" s="198"/>
      <c r="AC274" s="198"/>
      <c r="AD274" s="198"/>
      <c r="AE274" s="221"/>
      <c r="AF274" s="222"/>
      <c r="AG274" s="198"/>
      <c r="AH274" s="198"/>
      <c r="AI274" s="198"/>
      <c r="AJ274" s="198"/>
      <c r="AK274" s="249"/>
      <c r="AL274" s="217"/>
      <c r="AM274" s="171"/>
      <c r="AN274" s="196"/>
      <c r="AO274" s="196"/>
      <c r="AP274" s="196"/>
      <c r="AQ274" s="22"/>
      <c r="AR274" s="196"/>
      <c r="AS274" s="196"/>
      <c r="AT274" s="22"/>
      <c r="AU274" s="22"/>
      <c r="AV274" s="22"/>
      <c r="AW274" s="22"/>
    </row>
    <row r="275" spans="1:49">
      <c r="A275" s="528"/>
      <c r="B275" s="531"/>
      <c r="C275" s="564"/>
      <c r="D275" s="537"/>
      <c r="E275" s="564"/>
      <c r="F275" s="534"/>
      <c r="G275" s="219"/>
      <c r="H275" s="168" t="s">
        <v>100</v>
      </c>
      <c r="I275" s="305">
        <f>$O$283*$D$229/5</f>
        <v>4941.25</v>
      </c>
      <c r="J275" s="306"/>
      <c r="K275" s="307"/>
      <c r="L275" s="305">
        <f>$O$283*$D$229/5</f>
        <v>4941.25</v>
      </c>
      <c r="M275" s="305">
        <f>$O$283*$D$229/5</f>
        <v>4941.25</v>
      </c>
      <c r="N275" s="305">
        <f>$O$283*$D$229/5</f>
        <v>4941.25</v>
      </c>
      <c r="O275" s="305">
        <f>$O$283*$D$229/5</f>
        <v>4941.25</v>
      </c>
      <c r="P275" s="305">
        <f>$O$283*$D$229/5</f>
        <v>4941.25</v>
      </c>
      <c r="Q275" s="221"/>
      <c r="R275" s="222"/>
      <c r="S275" s="235"/>
      <c r="T275" s="305">
        <f>$O$283*$D$229/5</f>
        <v>4941.25</v>
      </c>
      <c r="U275" s="305">
        <f>$O$283*$D$229/5</f>
        <v>4941.25</v>
      </c>
      <c r="V275" s="305">
        <f>$O$283*$D$229/5</f>
        <v>4941.25</v>
      </c>
      <c r="W275" s="305">
        <f>$O$283*$D$229/5</f>
        <v>4941.25</v>
      </c>
      <c r="X275" s="306"/>
      <c r="Y275" s="307"/>
      <c r="Z275" s="305">
        <f>$O$283*$D$229/5</f>
        <v>4941.25</v>
      </c>
      <c r="AA275" s="305">
        <f>$O$283*$D$229/5</f>
        <v>4941.25</v>
      </c>
      <c r="AB275" s="305">
        <f>$O$283*$D$229/5</f>
        <v>4941.25</v>
      </c>
      <c r="AC275" s="305">
        <f>$O$283*$D$229/5</f>
        <v>4941.25</v>
      </c>
      <c r="AD275" s="305">
        <f>$O$283*$D$229/5</f>
        <v>4941.25</v>
      </c>
      <c r="AE275" s="306"/>
      <c r="AF275" s="307"/>
      <c r="AG275" s="305">
        <f>$O$283*$D$229/5</f>
        <v>4941.25</v>
      </c>
      <c r="AH275" s="305">
        <f>$O$283*$D$229/5</f>
        <v>4941.25</v>
      </c>
      <c r="AI275" s="305">
        <f>$O$283*$D$229/5</f>
        <v>4941.25</v>
      </c>
      <c r="AJ275" s="305">
        <f>$O$283*$D$229/5</f>
        <v>4941.25</v>
      </c>
      <c r="AK275" s="308"/>
      <c r="AL275" s="217"/>
      <c r="AM275" s="171"/>
      <c r="AN275" s="196"/>
      <c r="AO275" s="196"/>
      <c r="AP275" s="196"/>
      <c r="AQ275" s="22"/>
      <c r="AR275" s="196"/>
      <c r="AS275" s="196"/>
      <c r="AT275" s="22"/>
      <c r="AU275" s="22"/>
      <c r="AV275" s="22"/>
      <c r="AW275" s="22"/>
    </row>
    <row r="276" spans="1:49">
      <c r="A276" s="528"/>
      <c r="B276" s="531"/>
      <c r="C276" s="564"/>
      <c r="D276" s="537"/>
      <c r="E276" s="564"/>
      <c r="F276" s="534"/>
      <c r="G276" s="219"/>
      <c r="H276" s="168" t="s">
        <v>28</v>
      </c>
      <c r="I276" s="198">
        <v>1</v>
      </c>
      <c r="J276" s="221"/>
      <c r="K276" s="222"/>
      <c r="L276" s="198">
        <v>1</v>
      </c>
      <c r="M276" s="198">
        <v>1</v>
      </c>
      <c r="N276" s="198">
        <v>1</v>
      </c>
      <c r="O276" s="198">
        <v>1</v>
      </c>
      <c r="P276" s="198">
        <v>1</v>
      </c>
      <c r="Q276" s="221"/>
      <c r="R276" s="222"/>
      <c r="S276" s="235"/>
      <c r="T276" s="198">
        <v>1</v>
      </c>
      <c r="U276" s="198">
        <v>1</v>
      </c>
      <c r="V276" s="198">
        <v>1</v>
      </c>
      <c r="W276" s="198">
        <v>1</v>
      </c>
      <c r="X276" s="221"/>
      <c r="Y276" s="222"/>
      <c r="Z276" s="198">
        <v>1</v>
      </c>
      <c r="AA276" s="198">
        <v>1</v>
      </c>
      <c r="AB276" s="198">
        <v>1</v>
      </c>
      <c r="AC276" s="198">
        <v>1</v>
      </c>
      <c r="AD276" s="198">
        <v>1</v>
      </c>
      <c r="AE276" s="221"/>
      <c r="AF276" s="222"/>
      <c r="AG276" s="198">
        <v>1</v>
      </c>
      <c r="AH276" s="198">
        <v>1</v>
      </c>
      <c r="AI276" s="198">
        <v>1</v>
      </c>
      <c r="AJ276" s="198">
        <v>1</v>
      </c>
      <c r="AK276" s="249"/>
      <c r="AL276" s="217"/>
      <c r="AM276" s="171"/>
      <c r="AN276" s="196"/>
      <c r="AO276" s="196"/>
      <c r="AP276" s="196"/>
      <c r="AQ276" s="22"/>
      <c r="AR276" s="196"/>
      <c r="AS276" s="196"/>
      <c r="AT276" s="22"/>
      <c r="AU276" s="22"/>
      <c r="AV276" s="22"/>
      <c r="AW276" s="22"/>
    </row>
    <row r="277" spans="1:49">
      <c r="A277" s="528"/>
      <c r="B277" s="531"/>
      <c r="C277" s="564"/>
      <c r="D277" s="537"/>
      <c r="E277" s="564"/>
      <c r="F277" s="534"/>
      <c r="G277" s="219" t="s">
        <v>118</v>
      </c>
      <c r="H277" s="173" t="s">
        <v>16</v>
      </c>
      <c r="I277" s="198"/>
      <c r="J277" s="221"/>
      <c r="K277" s="222"/>
      <c r="L277" s="198"/>
      <c r="M277" s="198"/>
      <c r="N277" s="198"/>
      <c r="O277" s="198"/>
      <c r="P277" s="198"/>
      <c r="Q277" s="221"/>
      <c r="R277" s="222"/>
      <c r="S277" s="235"/>
      <c r="T277" s="198"/>
      <c r="U277" s="198"/>
      <c r="V277" s="198"/>
      <c r="W277" s="198"/>
      <c r="X277" s="221"/>
      <c r="Y277" s="222"/>
      <c r="Z277" s="198"/>
      <c r="AA277" s="198"/>
      <c r="AB277" s="198"/>
      <c r="AC277" s="198"/>
      <c r="AD277" s="198"/>
      <c r="AE277" s="221"/>
      <c r="AF277" s="222"/>
      <c r="AG277" s="198"/>
      <c r="AH277" s="198"/>
      <c r="AI277" s="198"/>
      <c r="AJ277" s="198"/>
      <c r="AK277" s="249"/>
      <c r="AL277" s="217"/>
      <c r="AM277" s="171"/>
      <c r="AN277" s="196"/>
      <c r="AO277" s="196"/>
      <c r="AP277" s="196"/>
      <c r="AQ277" s="22"/>
      <c r="AR277" s="196"/>
      <c r="AS277" s="196"/>
      <c r="AT277" s="22"/>
      <c r="AU277" s="22"/>
      <c r="AV277" s="22"/>
      <c r="AW277" s="22"/>
    </row>
    <row r="278" spans="1:49">
      <c r="A278" s="528"/>
      <c r="B278" s="531"/>
      <c r="C278" s="564"/>
      <c r="D278" s="537"/>
      <c r="E278" s="564"/>
      <c r="F278" s="534"/>
      <c r="G278" s="219"/>
      <c r="H278" s="173" t="s">
        <v>113</v>
      </c>
      <c r="I278" s="198"/>
      <c r="J278" s="221"/>
      <c r="K278" s="222"/>
      <c r="L278" s="198"/>
      <c r="M278" s="198"/>
      <c r="N278" s="198"/>
      <c r="O278" s="198"/>
      <c r="P278" s="198"/>
      <c r="Q278" s="221"/>
      <c r="R278" s="222"/>
      <c r="S278" s="235"/>
      <c r="T278" s="198"/>
      <c r="U278" s="198"/>
      <c r="V278" s="198"/>
      <c r="W278" s="198"/>
      <c r="X278" s="221"/>
      <c r="Y278" s="222"/>
      <c r="Z278" s="198"/>
      <c r="AA278" s="198"/>
      <c r="AB278" s="198"/>
      <c r="AC278" s="198"/>
      <c r="AD278" s="198"/>
      <c r="AE278" s="221"/>
      <c r="AF278" s="222"/>
      <c r="AG278" s="198"/>
      <c r="AH278" s="198"/>
      <c r="AI278" s="198"/>
      <c r="AJ278" s="198"/>
      <c r="AK278" s="249"/>
      <c r="AL278" s="217"/>
      <c r="AM278" s="171"/>
      <c r="AN278" s="196"/>
      <c r="AO278" s="196"/>
      <c r="AP278" s="196"/>
      <c r="AQ278" s="22"/>
      <c r="AR278" s="196"/>
      <c r="AS278" s="196"/>
      <c r="AT278" s="22"/>
      <c r="AU278" s="22"/>
      <c r="AV278" s="22"/>
      <c r="AW278" s="22"/>
    </row>
    <row r="279" spans="1:49">
      <c r="A279" s="528"/>
      <c r="B279" s="531"/>
      <c r="C279" s="564"/>
      <c r="D279" s="537"/>
      <c r="E279" s="564"/>
      <c r="F279" s="534"/>
      <c r="G279" s="219"/>
      <c r="H279" s="168" t="s">
        <v>101</v>
      </c>
      <c r="I279" s="305">
        <f>$O$283*$D$229/5</f>
        <v>4941.25</v>
      </c>
      <c r="J279" s="306"/>
      <c r="K279" s="307"/>
      <c r="L279" s="305">
        <f>$O$283*$D$229/5</f>
        <v>4941.25</v>
      </c>
      <c r="M279" s="305">
        <f>$O$283*$D$229/5</f>
        <v>4941.25</v>
      </c>
      <c r="N279" s="305">
        <f>$O$283*$D$229/5</f>
        <v>4941.25</v>
      </c>
      <c r="O279" s="305">
        <f>$O$283*$D$229/5</f>
        <v>4941.25</v>
      </c>
      <c r="P279" s="305">
        <f>$O$283*$D$229/5</f>
        <v>4941.25</v>
      </c>
      <c r="Q279" s="221"/>
      <c r="R279" s="222"/>
      <c r="S279" s="235"/>
      <c r="T279" s="305">
        <f>$O$283*$D$229/5</f>
        <v>4941.25</v>
      </c>
      <c r="U279" s="305">
        <f>$O$283*$D$229/5</f>
        <v>4941.25</v>
      </c>
      <c r="V279" s="305">
        <f>$O$283*$D$229/5</f>
        <v>4941.25</v>
      </c>
      <c r="W279" s="305">
        <f>$O$283*$D$229/5</f>
        <v>4941.25</v>
      </c>
      <c r="X279" s="306"/>
      <c r="Y279" s="307"/>
      <c r="Z279" s="305">
        <f>$O$283*$D$229/5</f>
        <v>4941.25</v>
      </c>
      <c r="AA279" s="305">
        <f>$O$283*$D$229/5</f>
        <v>4941.25</v>
      </c>
      <c r="AB279" s="305">
        <f>$O$283*$D$229/5</f>
        <v>4941.25</v>
      </c>
      <c r="AC279" s="305">
        <f>$O$283*$D$229/5</f>
        <v>4941.25</v>
      </c>
      <c r="AD279" s="305">
        <f>$O$283*$D$229/5</f>
        <v>4941.25</v>
      </c>
      <c r="AE279" s="306"/>
      <c r="AF279" s="307"/>
      <c r="AG279" s="305">
        <f>$O$283*$D$229/5</f>
        <v>4941.25</v>
      </c>
      <c r="AH279" s="305">
        <f>$O$283*$D$229/5</f>
        <v>4941.25</v>
      </c>
      <c r="AI279" s="305">
        <f>$O$283*$D$229/5</f>
        <v>4941.25</v>
      </c>
      <c r="AJ279" s="305">
        <f>$O$283*$D$229/5</f>
        <v>4941.25</v>
      </c>
      <c r="AK279" s="308"/>
      <c r="AL279" s="217"/>
      <c r="AM279" s="171"/>
      <c r="AN279" s="196"/>
      <c r="AO279" s="196"/>
      <c r="AP279" s="196"/>
      <c r="AQ279" s="22"/>
      <c r="AR279" s="196"/>
      <c r="AS279" s="196"/>
      <c r="AT279" s="22"/>
      <c r="AU279" s="22"/>
      <c r="AV279" s="22"/>
      <c r="AW279" s="22"/>
    </row>
    <row r="280" spans="1:49">
      <c r="A280" s="528"/>
      <c r="B280" s="531"/>
      <c r="C280" s="564"/>
      <c r="D280" s="537"/>
      <c r="E280" s="564"/>
      <c r="F280" s="534"/>
      <c r="G280" s="219"/>
      <c r="H280" s="168" t="s">
        <v>79</v>
      </c>
      <c r="I280" s="198">
        <v>1</v>
      </c>
      <c r="J280" s="221"/>
      <c r="K280" s="222"/>
      <c r="L280" s="198">
        <v>1</v>
      </c>
      <c r="M280" s="198">
        <v>1</v>
      </c>
      <c r="N280" s="198">
        <v>1</v>
      </c>
      <c r="O280" s="198">
        <v>1</v>
      </c>
      <c r="P280" s="198">
        <v>1</v>
      </c>
      <c r="Q280" s="221"/>
      <c r="R280" s="222"/>
      <c r="S280" s="235"/>
      <c r="T280" s="198">
        <v>1</v>
      </c>
      <c r="U280" s="198">
        <v>1</v>
      </c>
      <c r="V280" s="198">
        <v>1</v>
      </c>
      <c r="W280" s="198">
        <v>1</v>
      </c>
      <c r="X280" s="221"/>
      <c r="Y280" s="222"/>
      <c r="Z280" s="198">
        <v>1</v>
      </c>
      <c r="AA280" s="198">
        <v>1</v>
      </c>
      <c r="AB280" s="198">
        <v>1</v>
      </c>
      <c r="AC280" s="198">
        <v>1</v>
      </c>
      <c r="AD280" s="198">
        <v>1</v>
      </c>
      <c r="AE280" s="221"/>
      <c r="AF280" s="222"/>
      <c r="AG280" s="198">
        <v>1</v>
      </c>
      <c r="AH280" s="198">
        <v>1</v>
      </c>
      <c r="AI280" s="198">
        <v>1</v>
      </c>
      <c r="AJ280" s="198">
        <v>1</v>
      </c>
      <c r="AK280" s="249"/>
      <c r="AL280" s="217"/>
      <c r="AM280" s="171"/>
      <c r="AN280" s="196"/>
      <c r="AO280" s="196"/>
      <c r="AP280" s="196"/>
      <c r="AQ280" s="22"/>
      <c r="AR280" s="196"/>
      <c r="AS280" s="196"/>
      <c r="AT280" s="22"/>
      <c r="AU280" s="22"/>
      <c r="AV280" s="22"/>
      <c r="AW280" s="22"/>
    </row>
    <row r="281" spans="1:49">
      <c r="A281" s="528"/>
      <c r="B281" s="531"/>
      <c r="C281" s="564"/>
      <c r="D281" s="537"/>
      <c r="E281" s="564"/>
      <c r="F281" s="534"/>
      <c r="G281" s="219"/>
      <c r="H281" s="173" t="s">
        <v>16</v>
      </c>
      <c r="I281" s="198"/>
      <c r="J281" s="221"/>
      <c r="K281" s="222"/>
      <c r="L281" s="198"/>
      <c r="M281" s="198"/>
      <c r="N281" s="198"/>
      <c r="O281" s="186"/>
      <c r="P281" s="186"/>
      <c r="Q281" s="221"/>
      <c r="R281" s="222"/>
      <c r="S281" s="235"/>
      <c r="T281" s="198"/>
      <c r="U281" s="198"/>
      <c r="V281" s="198"/>
      <c r="W281" s="186"/>
      <c r="X281" s="221"/>
      <c r="Y281" s="188"/>
      <c r="Z281" s="198"/>
      <c r="AA281" s="198"/>
      <c r="AB281" s="198"/>
      <c r="AC281" s="198"/>
      <c r="AD281" s="198"/>
      <c r="AE281" s="221"/>
      <c r="AF281" s="222"/>
      <c r="AG281" s="198"/>
      <c r="AH281" s="198"/>
      <c r="AI281" s="198"/>
      <c r="AJ281" s="198"/>
      <c r="AK281" s="190"/>
      <c r="AL281" s="217"/>
      <c r="AM281" s="171"/>
      <c r="AN281" s="196"/>
      <c r="AO281" s="196"/>
      <c r="AP281" s="196"/>
      <c r="AQ281" s="22"/>
      <c r="AR281" s="196"/>
      <c r="AS281" s="196"/>
      <c r="AT281" s="22"/>
      <c r="AU281" s="22"/>
      <c r="AV281" s="22"/>
      <c r="AW281" s="22"/>
    </row>
    <row r="282" spans="1:49">
      <c r="A282" s="528"/>
      <c r="B282" s="531"/>
      <c r="C282" s="564"/>
      <c r="D282" s="537"/>
      <c r="E282" s="564"/>
      <c r="F282" s="534"/>
      <c r="G282" s="219"/>
      <c r="H282" s="173" t="s">
        <v>113</v>
      </c>
      <c r="I282" s="198"/>
      <c r="J282" s="221"/>
      <c r="K282" s="222"/>
      <c r="L282" s="198"/>
      <c r="M282" s="198"/>
      <c r="N282" s="198"/>
      <c r="O282" s="198"/>
      <c r="P282" s="186"/>
      <c r="Q282" s="221"/>
      <c r="R282" s="222"/>
      <c r="S282" s="235"/>
      <c r="T282" s="198"/>
      <c r="U282" s="198"/>
      <c r="V282" s="198"/>
      <c r="W282" s="198"/>
      <c r="X282" s="221"/>
      <c r="Y282" s="188"/>
      <c r="Z282" s="198"/>
      <c r="AA282" s="198"/>
      <c r="AB282" s="198"/>
      <c r="AC282" s="198"/>
      <c r="AD282" s="198"/>
      <c r="AE282" s="221"/>
      <c r="AF282" s="222"/>
      <c r="AG282" s="198"/>
      <c r="AH282" s="198"/>
      <c r="AI282" s="198"/>
      <c r="AJ282" s="198"/>
      <c r="AK282" s="190"/>
      <c r="AL282" s="217"/>
      <c r="AM282" s="171"/>
      <c r="AN282" s="196"/>
      <c r="AO282" s="196"/>
      <c r="AP282" s="196"/>
      <c r="AQ282" s="22"/>
      <c r="AR282" s="196"/>
      <c r="AS282" s="196"/>
      <c r="AT282" s="22"/>
      <c r="AU282" s="22"/>
      <c r="AV282" s="22"/>
      <c r="AW282" s="22"/>
    </row>
    <row r="283" spans="1:49">
      <c r="A283" s="528"/>
      <c r="B283" s="531"/>
      <c r="C283" s="564"/>
      <c r="D283" s="537"/>
      <c r="E283" s="564"/>
      <c r="F283" s="534"/>
      <c r="G283" s="219"/>
      <c r="H283" s="168" t="s">
        <v>29</v>
      </c>
      <c r="I283" s="198"/>
      <c r="J283" s="221"/>
      <c r="K283" s="222"/>
      <c r="L283" s="198"/>
      <c r="M283" s="198"/>
      <c r="N283" s="198"/>
      <c r="O283" s="198">
        <f>($C$229*5)</f>
        <v>16750</v>
      </c>
      <c r="P283" s="172"/>
      <c r="Q283" s="221"/>
      <c r="R283" s="222"/>
      <c r="S283" s="235"/>
      <c r="T283" s="198"/>
      <c r="U283" s="198"/>
      <c r="V283" s="198"/>
      <c r="W283" s="198">
        <f>($C$229*5)</f>
        <v>16750</v>
      </c>
      <c r="X283" s="221"/>
      <c r="Y283" s="194"/>
      <c r="Z283" s="198"/>
      <c r="AA283" s="198"/>
      <c r="AB283" s="198"/>
      <c r="AC283" s="198"/>
      <c r="AD283" s="198">
        <f>($C$229*5)+($C$229*5*10%)</f>
        <v>18425</v>
      </c>
      <c r="AE283" s="221"/>
      <c r="AF283" s="222"/>
      <c r="AG283" s="198"/>
      <c r="AH283" s="198"/>
      <c r="AI283" s="198"/>
      <c r="AJ283" s="198"/>
      <c r="AK283" s="197"/>
      <c r="AL283" s="217"/>
      <c r="AM283" s="171"/>
      <c r="AN283" s="196"/>
      <c r="AO283" s="196"/>
      <c r="AP283" s="196"/>
      <c r="AQ283" s="22"/>
      <c r="AR283" s="196"/>
      <c r="AS283" s="196"/>
      <c r="AT283" s="22"/>
      <c r="AU283" s="22"/>
      <c r="AV283" s="22"/>
      <c r="AW283" s="22"/>
    </row>
    <row r="284" spans="1:49">
      <c r="A284" s="528"/>
      <c r="B284" s="531"/>
      <c r="C284" s="564"/>
      <c r="D284" s="537"/>
      <c r="E284" s="564"/>
      <c r="F284" s="534"/>
      <c r="G284" s="219"/>
      <c r="H284" s="168" t="s">
        <v>30</v>
      </c>
      <c r="I284" s="198"/>
      <c r="J284" s="221"/>
      <c r="K284" s="222"/>
      <c r="L284" s="198"/>
      <c r="M284" s="198"/>
      <c r="N284" s="198"/>
      <c r="O284" s="198">
        <v>1</v>
      </c>
      <c r="P284" s="172"/>
      <c r="Q284" s="221"/>
      <c r="R284" s="222"/>
      <c r="S284" s="235"/>
      <c r="T284" s="198"/>
      <c r="U284" s="198"/>
      <c r="V284" s="198"/>
      <c r="W284" s="198">
        <v>1</v>
      </c>
      <c r="X284" s="221"/>
      <c r="Y284" s="194"/>
      <c r="Z284" s="198"/>
      <c r="AA284" s="198"/>
      <c r="AB284" s="198"/>
      <c r="AC284" s="198"/>
      <c r="AD284" s="198">
        <v>1</v>
      </c>
      <c r="AE284" s="221"/>
      <c r="AF284" s="222"/>
      <c r="AG284" s="198"/>
      <c r="AH284" s="198"/>
      <c r="AI284" s="198"/>
      <c r="AJ284" s="198"/>
      <c r="AK284" s="197"/>
      <c r="AL284" s="217"/>
      <c r="AM284" s="171"/>
      <c r="AN284" s="196"/>
      <c r="AO284" s="196"/>
      <c r="AP284" s="196"/>
      <c r="AQ284" s="22"/>
      <c r="AR284" s="196"/>
      <c r="AS284" s="196"/>
      <c r="AT284" s="22"/>
      <c r="AU284" s="22"/>
      <c r="AV284" s="22"/>
      <c r="AW284" s="22"/>
    </row>
    <row r="285" spans="1:49">
      <c r="A285" s="528"/>
      <c r="B285" s="531"/>
      <c r="C285" s="564"/>
      <c r="D285" s="537"/>
      <c r="E285" s="564"/>
      <c r="F285" s="534"/>
      <c r="G285" s="219"/>
      <c r="H285" s="173" t="s">
        <v>16</v>
      </c>
      <c r="I285" s="198"/>
      <c r="J285" s="221"/>
      <c r="K285" s="222"/>
      <c r="L285" s="198"/>
      <c r="M285" s="198"/>
      <c r="N285" s="198"/>
      <c r="O285" s="198"/>
      <c r="P285" s="219"/>
      <c r="Q285" s="221"/>
      <c r="R285" s="222"/>
      <c r="S285" s="235"/>
      <c r="T285" s="198"/>
      <c r="U285" s="198"/>
      <c r="V285" s="198"/>
      <c r="W285" s="198"/>
      <c r="X285" s="221"/>
      <c r="Y285" s="200"/>
      <c r="Z285" s="198"/>
      <c r="AA285" s="198"/>
      <c r="AB285" s="198"/>
      <c r="AC285" s="198"/>
      <c r="AD285" s="198"/>
      <c r="AE285" s="221"/>
      <c r="AF285" s="222"/>
      <c r="AG285" s="198"/>
      <c r="AH285" s="198"/>
      <c r="AI285" s="198"/>
      <c r="AJ285" s="198"/>
      <c r="AK285" s="202"/>
      <c r="AL285" s="283"/>
      <c r="AM285" s="284"/>
      <c r="AN285" s="196"/>
      <c r="AO285" s="196"/>
      <c r="AP285" s="196"/>
      <c r="AQ285" s="22"/>
      <c r="AR285" s="196"/>
      <c r="AS285" s="196"/>
      <c r="AT285" s="22"/>
      <c r="AU285" s="22"/>
      <c r="AV285" s="22"/>
      <c r="AW285" s="22"/>
    </row>
    <row r="286" spans="1:49" ht="15.75" thickBot="1">
      <c r="A286" s="529"/>
      <c r="B286" s="532"/>
      <c r="C286" s="565"/>
      <c r="D286" s="538"/>
      <c r="E286" s="565"/>
      <c r="F286" s="535"/>
      <c r="G286" s="207"/>
      <c r="H286" s="204" t="s">
        <v>113</v>
      </c>
      <c r="I286" s="239"/>
      <c r="J286" s="240"/>
      <c r="K286" s="241"/>
      <c r="L286" s="239"/>
      <c r="M286" s="239"/>
      <c r="N286" s="239"/>
      <c r="O286" s="239"/>
      <c r="P286" s="239"/>
      <c r="Q286" s="240"/>
      <c r="R286" s="241"/>
      <c r="S286" s="242"/>
      <c r="T286" s="239"/>
      <c r="U286" s="239"/>
      <c r="V286" s="239"/>
      <c r="W286" s="239"/>
      <c r="X286" s="240"/>
      <c r="Y286" s="241"/>
      <c r="Z286" s="239"/>
      <c r="AA286" s="239"/>
      <c r="AB286" s="239"/>
      <c r="AC286" s="239"/>
      <c r="AD286" s="239"/>
      <c r="AE286" s="240"/>
      <c r="AF286" s="241"/>
      <c r="AG286" s="239"/>
      <c r="AH286" s="239"/>
      <c r="AI286" s="239"/>
      <c r="AJ286" s="239"/>
      <c r="AK286" s="243"/>
      <c r="AL286" s="262"/>
      <c r="AM286" s="263"/>
      <c r="AN286" s="196"/>
      <c r="AO286" s="196"/>
      <c r="AP286" s="196"/>
      <c r="AQ286" s="22"/>
      <c r="AR286" s="196"/>
      <c r="AS286" s="196"/>
      <c r="AT286" s="22"/>
      <c r="AU286" s="22"/>
      <c r="AV286" s="22"/>
      <c r="AW286" s="22"/>
    </row>
    <row r="287" spans="1:49">
      <c r="A287" s="527" t="s">
        <v>83</v>
      </c>
      <c r="B287" s="530" t="s">
        <v>119</v>
      </c>
      <c r="C287" s="563">
        <v>5000</v>
      </c>
      <c r="D287" s="536">
        <v>1.48</v>
      </c>
      <c r="E287" s="563"/>
      <c r="F287" s="570"/>
      <c r="G287" s="244">
        <v>0.08</v>
      </c>
      <c r="H287" s="157" t="s">
        <v>111</v>
      </c>
      <c r="I287" s="230">
        <v>32.28</v>
      </c>
      <c r="J287" s="268"/>
      <c r="K287" s="231"/>
      <c r="L287" s="230">
        <v>32.28</v>
      </c>
      <c r="M287" s="230">
        <v>32.28</v>
      </c>
      <c r="N287" s="230">
        <v>32.28</v>
      </c>
      <c r="O287" s="230">
        <v>32.28</v>
      </c>
      <c r="P287" s="230">
        <v>32.28</v>
      </c>
      <c r="Q287" s="268"/>
      <c r="R287" s="231"/>
      <c r="S287" s="269"/>
      <c r="T287" s="230">
        <v>32.28</v>
      </c>
      <c r="U287" s="230">
        <v>32.28</v>
      </c>
      <c r="V287" s="230">
        <v>32.28</v>
      </c>
      <c r="W287" s="230">
        <v>32.28</v>
      </c>
      <c r="X287" s="268"/>
      <c r="Y287" s="231"/>
      <c r="Z287" s="230">
        <v>32.28</v>
      </c>
      <c r="AA287" s="230">
        <v>32.28</v>
      </c>
      <c r="AB287" s="230">
        <v>32.28</v>
      </c>
      <c r="AC287" s="230">
        <v>32.28</v>
      </c>
      <c r="AD287" s="230">
        <v>32.28</v>
      </c>
      <c r="AE287" s="268"/>
      <c r="AF287" s="231"/>
      <c r="AG287" s="230">
        <v>32.28</v>
      </c>
      <c r="AH287" s="230">
        <v>32.28</v>
      </c>
      <c r="AI287" s="230">
        <v>32.28</v>
      </c>
      <c r="AJ287" s="230">
        <v>32.28</v>
      </c>
      <c r="AK287" s="269"/>
      <c r="AL287" s="297"/>
      <c r="AM287" s="166"/>
      <c r="AN287" s="196"/>
      <c r="AO287" s="196"/>
      <c r="AP287" s="196"/>
      <c r="AQ287" s="21"/>
      <c r="AR287" s="196"/>
      <c r="AS287" s="196"/>
      <c r="AT287" s="21"/>
      <c r="AU287" s="21"/>
      <c r="AV287" s="22"/>
      <c r="AW287" s="21"/>
    </row>
    <row r="288" spans="1:49">
      <c r="A288" s="528"/>
      <c r="B288" s="531"/>
      <c r="C288" s="564"/>
      <c r="D288" s="537"/>
      <c r="E288" s="564"/>
      <c r="F288" s="571"/>
      <c r="G288" s="179"/>
      <c r="H288" s="168" t="s">
        <v>112</v>
      </c>
      <c r="I288" s="186"/>
      <c r="J288" s="187"/>
      <c r="K288" s="188"/>
      <c r="L288" s="186"/>
      <c r="M288" s="186"/>
      <c r="N288" s="186"/>
      <c r="O288" s="186"/>
      <c r="P288" s="186"/>
      <c r="Q288" s="187"/>
      <c r="R288" s="188"/>
      <c r="S288" s="189"/>
      <c r="T288" s="186"/>
      <c r="U288" s="186"/>
      <c r="V288" s="186"/>
      <c r="W288" s="186"/>
      <c r="X288" s="187"/>
      <c r="Y288" s="188"/>
      <c r="Z288" s="186"/>
      <c r="AA288" s="186"/>
      <c r="AB288" s="186"/>
      <c r="AC288" s="186"/>
      <c r="AD288" s="186"/>
      <c r="AE288" s="187"/>
      <c r="AF288" s="188"/>
      <c r="AG288" s="186"/>
      <c r="AH288" s="186"/>
      <c r="AI288" s="186"/>
      <c r="AJ288" s="186"/>
      <c r="AK288" s="189"/>
      <c r="AL288" s="217"/>
      <c r="AM288" s="171"/>
      <c r="AN288" s="196"/>
      <c r="AO288" s="196"/>
      <c r="AP288" s="196"/>
      <c r="AQ288" s="21"/>
      <c r="AR288" s="196"/>
      <c r="AS288" s="196"/>
      <c r="AT288" s="21"/>
      <c r="AU288" s="21"/>
      <c r="AV288" s="22"/>
      <c r="AW288" s="21"/>
    </row>
    <row r="289" spans="1:49">
      <c r="A289" s="528"/>
      <c r="B289" s="531"/>
      <c r="C289" s="564"/>
      <c r="D289" s="537"/>
      <c r="E289" s="564"/>
      <c r="F289" s="571"/>
      <c r="G289" s="179"/>
      <c r="H289" s="173" t="s">
        <v>16</v>
      </c>
      <c r="I289" s="186"/>
      <c r="J289" s="187"/>
      <c r="K289" s="188"/>
      <c r="L289" s="186"/>
      <c r="M289" s="186"/>
      <c r="N289" s="186"/>
      <c r="O289" s="186"/>
      <c r="P289" s="186"/>
      <c r="Q289" s="187"/>
      <c r="R289" s="188"/>
      <c r="S289" s="189"/>
      <c r="T289" s="186"/>
      <c r="U289" s="186"/>
      <c r="V289" s="186"/>
      <c r="W289" s="186"/>
      <c r="X289" s="187"/>
      <c r="Y289" s="188"/>
      <c r="Z289" s="186"/>
      <c r="AA289" s="186"/>
      <c r="AB289" s="186"/>
      <c r="AC289" s="186"/>
      <c r="AD289" s="186"/>
      <c r="AE289" s="187"/>
      <c r="AF289" s="188"/>
      <c r="AG289" s="186"/>
      <c r="AH289" s="186"/>
      <c r="AI289" s="186"/>
      <c r="AJ289" s="186"/>
      <c r="AK289" s="189"/>
      <c r="AL289" s="217"/>
      <c r="AM289" s="171"/>
      <c r="AN289" s="196"/>
      <c r="AO289" s="196"/>
      <c r="AP289" s="196"/>
      <c r="AQ289" s="21"/>
      <c r="AR289" s="196"/>
      <c r="AS289" s="196"/>
      <c r="AT289" s="21"/>
      <c r="AU289" s="21"/>
      <c r="AV289" s="22"/>
      <c r="AW289" s="21"/>
    </row>
    <row r="290" spans="1:49">
      <c r="A290" s="528"/>
      <c r="B290" s="531"/>
      <c r="C290" s="564"/>
      <c r="D290" s="537"/>
      <c r="E290" s="564"/>
      <c r="F290" s="571"/>
      <c r="G290" s="179">
        <v>0.1</v>
      </c>
      <c r="H290" s="181" t="s">
        <v>111</v>
      </c>
      <c r="I290" s="186">
        <v>26.8</v>
      </c>
      <c r="J290" s="187"/>
      <c r="K290" s="188"/>
      <c r="L290" s="186">
        <v>26.8</v>
      </c>
      <c r="M290" s="186">
        <v>26.8</v>
      </c>
      <c r="N290" s="186">
        <v>26.8</v>
      </c>
      <c r="O290" s="186">
        <v>26.8</v>
      </c>
      <c r="P290" s="186">
        <v>26.8</v>
      </c>
      <c r="Q290" s="187"/>
      <c r="R290" s="188"/>
      <c r="S290" s="189"/>
      <c r="T290" s="186">
        <v>26.8</v>
      </c>
      <c r="U290" s="186">
        <v>26.8</v>
      </c>
      <c r="V290" s="186">
        <v>26.8</v>
      </c>
      <c r="W290" s="186">
        <v>26.8</v>
      </c>
      <c r="X290" s="187"/>
      <c r="Y290" s="188"/>
      <c r="Z290" s="186">
        <v>26.8</v>
      </c>
      <c r="AA290" s="186">
        <v>26.8</v>
      </c>
      <c r="AB290" s="186">
        <v>26.8</v>
      </c>
      <c r="AC290" s="186">
        <v>26.8</v>
      </c>
      <c r="AD290" s="186">
        <v>26.8</v>
      </c>
      <c r="AE290" s="187"/>
      <c r="AF290" s="188"/>
      <c r="AG290" s="186">
        <v>26.8</v>
      </c>
      <c r="AH290" s="186">
        <v>26.8</v>
      </c>
      <c r="AI290" s="186">
        <v>26.8</v>
      </c>
      <c r="AJ290" s="186">
        <v>26.8</v>
      </c>
      <c r="AK290" s="189"/>
      <c r="AL290" s="217"/>
      <c r="AM290" s="171"/>
      <c r="AN290" s="196"/>
      <c r="AO290" s="196"/>
      <c r="AP290" s="196"/>
      <c r="AQ290" s="21"/>
      <c r="AR290" s="196"/>
      <c r="AS290" s="196"/>
      <c r="AT290" s="21"/>
      <c r="AU290" s="21"/>
      <c r="AV290" s="22"/>
      <c r="AW290" s="21"/>
    </row>
    <row r="291" spans="1:49">
      <c r="A291" s="528"/>
      <c r="B291" s="531"/>
      <c r="C291" s="564"/>
      <c r="D291" s="537"/>
      <c r="E291" s="564"/>
      <c r="F291" s="571"/>
      <c r="G291" s="179"/>
      <c r="H291" s="168" t="s">
        <v>112</v>
      </c>
      <c r="I291" s="186"/>
      <c r="J291" s="187"/>
      <c r="K291" s="188"/>
      <c r="L291" s="186"/>
      <c r="M291" s="186"/>
      <c r="N291" s="186"/>
      <c r="O291" s="186"/>
      <c r="P291" s="186"/>
      <c r="Q291" s="187"/>
      <c r="R291" s="188"/>
      <c r="S291" s="189"/>
      <c r="T291" s="186"/>
      <c r="U291" s="186"/>
      <c r="V291" s="186"/>
      <c r="W291" s="186"/>
      <c r="X291" s="187"/>
      <c r="Y291" s="188"/>
      <c r="Z291" s="186"/>
      <c r="AA291" s="186"/>
      <c r="AB291" s="186"/>
      <c r="AC291" s="186"/>
      <c r="AD291" s="186"/>
      <c r="AE291" s="187"/>
      <c r="AF291" s="188"/>
      <c r="AG291" s="186"/>
      <c r="AH291" s="186"/>
      <c r="AI291" s="186"/>
      <c r="AJ291" s="186"/>
      <c r="AK291" s="189"/>
      <c r="AL291" s="217"/>
      <c r="AM291" s="171"/>
      <c r="AN291" s="196"/>
      <c r="AO291" s="196"/>
      <c r="AP291" s="196"/>
      <c r="AQ291" s="21"/>
      <c r="AR291" s="196"/>
      <c r="AS291" s="196"/>
      <c r="AT291" s="21"/>
      <c r="AU291" s="21"/>
      <c r="AV291" s="22"/>
      <c r="AW291" s="21"/>
    </row>
    <row r="292" spans="1:49">
      <c r="A292" s="528"/>
      <c r="B292" s="531"/>
      <c r="C292" s="564"/>
      <c r="D292" s="537"/>
      <c r="E292" s="564"/>
      <c r="F292" s="571"/>
      <c r="G292" s="179"/>
      <c r="H292" s="173" t="s">
        <v>16</v>
      </c>
      <c r="I292" s="186"/>
      <c r="J292" s="187"/>
      <c r="K292" s="188"/>
      <c r="L292" s="186"/>
      <c r="M292" s="186"/>
      <c r="N292" s="186"/>
      <c r="O292" s="186"/>
      <c r="P292" s="186"/>
      <c r="Q292" s="187"/>
      <c r="R292" s="188"/>
      <c r="S292" s="189"/>
      <c r="T292" s="186"/>
      <c r="U292" s="186"/>
      <c r="V292" s="186"/>
      <c r="W292" s="186"/>
      <c r="X292" s="187"/>
      <c r="Y292" s="188"/>
      <c r="Z292" s="186"/>
      <c r="AA292" s="186"/>
      <c r="AB292" s="186"/>
      <c r="AC292" s="186"/>
      <c r="AD292" s="186"/>
      <c r="AE292" s="187"/>
      <c r="AF292" s="188"/>
      <c r="AG292" s="186"/>
      <c r="AH292" s="186"/>
      <c r="AI292" s="186"/>
      <c r="AJ292" s="186"/>
      <c r="AK292" s="189"/>
      <c r="AL292" s="217"/>
      <c r="AM292" s="171"/>
      <c r="AN292" s="196"/>
      <c r="AO292" s="196"/>
      <c r="AP292" s="196"/>
      <c r="AQ292" s="21"/>
      <c r="AR292" s="196"/>
      <c r="AS292" s="196"/>
      <c r="AT292" s="21"/>
      <c r="AU292" s="21"/>
      <c r="AV292" s="22"/>
      <c r="AW292" s="21"/>
    </row>
    <row r="293" spans="1:49">
      <c r="A293" s="528"/>
      <c r="B293" s="531"/>
      <c r="C293" s="564"/>
      <c r="D293" s="537"/>
      <c r="E293" s="564"/>
      <c r="F293" s="571"/>
      <c r="G293" s="179">
        <v>0.127</v>
      </c>
      <c r="H293" s="181" t="s">
        <v>111</v>
      </c>
      <c r="I293" s="186">
        <v>6.3</v>
      </c>
      <c r="J293" s="187"/>
      <c r="K293" s="188"/>
      <c r="L293" s="186">
        <v>6.3</v>
      </c>
      <c r="M293" s="186">
        <v>6.3</v>
      </c>
      <c r="N293" s="186">
        <v>6.3</v>
      </c>
      <c r="O293" s="186">
        <v>6.3</v>
      </c>
      <c r="P293" s="186">
        <v>6.3</v>
      </c>
      <c r="Q293" s="187"/>
      <c r="R293" s="188"/>
      <c r="S293" s="189"/>
      <c r="T293" s="186">
        <v>6.3</v>
      </c>
      <c r="U293" s="186">
        <v>6.3</v>
      </c>
      <c r="V293" s="186">
        <v>6.3</v>
      </c>
      <c r="W293" s="186">
        <v>6.3</v>
      </c>
      <c r="X293" s="187"/>
      <c r="Y293" s="188"/>
      <c r="Z293" s="186">
        <v>6.3</v>
      </c>
      <c r="AA293" s="186">
        <v>6.3</v>
      </c>
      <c r="AB293" s="186">
        <v>6.3</v>
      </c>
      <c r="AC293" s="186">
        <v>6.3</v>
      </c>
      <c r="AD293" s="186">
        <v>6.3</v>
      </c>
      <c r="AE293" s="187"/>
      <c r="AF293" s="188"/>
      <c r="AG293" s="186">
        <v>6.3</v>
      </c>
      <c r="AH293" s="186">
        <v>6.3</v>
      </c>
      <c r="AI293" s="186">
        <v>6.3</v>
      </c>
      <c r="AJ293" s="186">
        <v>6.3</v>
      </c>
      <c r="AK293" s="189"/>
      <c r="AL293" s="217"/>
      <c r="AM293" s="171"/>
      <c r="AN293" s="196"/>
      <c r="AO293" s="196"/>
      <c r="AP293" s="196"/>
      <c r="AQ293" s="21"/>
      <c r="AR293" s="196"/>
      <c r="AS293" s="196"/>
      <c r="AT293" s="21"/>
      <c r="AU293" s="21"/>
      <c r="AV293" s="22"/>
      <c r="AW293" s="21"/>
    </row>
    <row r="294" spans="1:49">
      <c r="A294" s="528"/>
      <c r="B294" s="531"/>
      <c r="C294" s="564"/>
      <c r="D294" s="537"/>
      <c r="E294" s="564"/>
      <c r="F294" s="571"/>
      <c r="G294" s="179"/>
      <c r="H294" s="168" t="s">
        <v>112</v>
      </c>
      <c r="I294" s="186"/>
      <c r="J294" s="187"/>
      <c r="K294" s="188"/>
      <c r="L294" s="186"/>
      <c r="M294" s="186"/>
      <c r="N294" s="186"/>
      <c r="O294" s="186"/>
      <c r="P294" s="186"/>
      <c r="Q294" s="187"/>
      <c r="R294" s="188"/>
      <c r="S294" s="189"/>
      <c r="T294" s="186"/>
      <c r="U294" s="186"/>
      <c r="V294" s="186"/>
      <c r="W294" s="186"/>
      <c r="X294" s="187"/>
      <c r="Y294" s="188"/>
      <c r="Z294" s="186"/>
      <c r="AA294" s="186"/>
      <c r="AB294" s="186"/>
      <c r="AC294" s="186"/>
      <c r="AD294" s="186"/>
      <c r="AE294" s="187"/>
      <c r="AF294" s="188"/>
      <c r="AG294" s="186"/>
      <c r="AH294" s="186"/>
      <c r="AI294" s="186"/>
      <c r="AJ294" s="186"/>
      <c r="AK294" s="189"/>
      <c r="AL294" s="217"/>
      <c r="AM294" s="171"/>
      <c r="AN294" s="196"/>
      <c r="AO294" s="196"/>
      <c r="AP294" s="196"/>
      <c r="AQ294" s="21"/>
      <c r="AR294" s="196"/>
      <c r="AS294" s="196"/>
      <c r="AT294" s="21"/>
      <c r="AU294" s="21"/>
      <c r="AV294" s="22"/>
      <c r="AW294" s="21"/>
    </row>
    <row r="295" spans="1:49">
      <c r="A295" s="528"/>
      <c r="B295" s="531"/>
      <c r="C295" s="564"/>
      <c r="D295" s="537"/>
      <c r="E295" s="564"/>
      <c r="F295" s="571"/>
      <c r="G295" s="179"/>
      <c r="H295" s="173" t="s">
        <v>16</v>
      </c>
      <c r="I295" s="186"/>
      <c r="J295" s="187"/>
      <c r="K295" s="188"/>
      <c r="L295" s="186"/>
      <c r="M295" s="186"/>
      <c r="N295" s="186"/>
      <c r="O295" s="186"/>
      <c r="P295" s="186"/>
      <c r="Q295" s="187"/>
      <c r="R295" s="188"/>
      <c r="S295" s="189"/>
      <c r="T295" s="186"/>
      <c r="U295" s="186"/>
      <c r="V295" s="186"/>
      <c r="W295" s="186"/>
      <c r="X295" s="187"/>
      <c r="Y295" s="188"/>
      <c r="Z295" s="186"/>
      <c r="AA295" s="186"/>
      <c r="AB295" s="186"/>
      <c r="AC295" s="186"/>
      <c r="AD295" s="186"/>
      <c r="AE295" s="187"/>
      <c r="AF295" s="188"/>
      <c r="AG295" s="186"/>
      <c r="AH295" s="186"/>
      <c r="AI295" s="186"/>
      <c r="AJ295" s="186"/>
      <c r="AK295" s="189"/>
      <c r="AL295" s="217"/>
      <c r="AM295" s="171"/>
      <c r="AN295" s="196"/>
      <c r="AO295" s="196"/>
      <c r="AP295" s="196"/>
      <c r="AQ295" s="21"/>
      <c r="AR295" s="196"/>
      <c r="AS295" s="196"/>
      <c r="AT295" s="21"/>
      <c r="AU295" s="21"/>
      <c r="AV295" s="22"/>
      <c r="AW295" s="21"/>
    </row>
    <row r="296" spans="1:49">
      <c r="A296" s="528"/>
      <c r="B296" s="531"/>
      <c r="C296" s="564"/>
      <c r="D296" s="537"/>
      <c r="E296" s="564"/>
      <c r="F296" s="571"/>
      <c r="G296" s="179" t="s">
        <v>106</v>
      </c>
      <c r="H296" s="181" t="s">
        <v>117</v>
      </c>
      <c r="I296" s="186"/>
      <c r="J296" s="187"/>
      <c r="K296" s="188"/>
      <c r="L296" s="186"/>
      <c r="M296" s="186"/>
      <c r="N296" s="186"/>
      <c r="O296" s="186"/>
      <c r="P296" s="186"/>
      <c r="Q296" s="187"/>
      <c r="R296" s="188"/>
      <c r="S296" s="189"/>
      <c r="T296" s="186"/>
      <c r="U296" s="186"/>
      <c r="V296" s="186"/>
      <c r="W296" s="186"/>
      <c r="X296" s="187"/>
      <c r="Y296" s="188"/>
      <c r="Z296" s="186"/>
      <c r="AA296" s="186"/>
      <c r="AB296" s="186"/>
      <c r="AC296" s="186"/>
      <c r="AD296" s="186"/>
      <c r="AE296" s="187"/>
      <c r="AF296" s="188"/>
      <c r="AG296" s="186"/>
      <c r="AH296" s="186"/>
      <c r="AI296" s="186"/>
      <c r="AJ296" s="186"/>
      <c r="AK296" s="189"/>
      <c r="AL296" s="217"/>
      <c r="AM296" s="171"/>
      <c r="AN296" s="196"/>
      <c r="AO296" s="196"/>
      <c r="AP296" s="196"/>
      <c r="AQ296" s="21"/>
      <c r="AR296" s="196"/>
      <c r="AS296" s="196"/>
      <c r="AT296" s="21"/>
      <c r="AU296" s="21"/>
      <c r="AV296" s="22"/>
      <c r="AW296" s="21"/>
    </row>
    <row r="297" spans="1:49">
      <c r="A297" s="528"/>
      <c r="B297" s="531"/>
      <c r="C297" s="564"/>
      <c r="D297" s="537"/>
      <c r="E297" s="564"/>
      <c r="F297" s="571"/>
      <c r="G297" s="179"/>
      <c r="H297" s="168" t="s">
        <v>112</v>
      </c>
      <c r="I297" s="186"/>
      <c r="J297" s="187"/>
      <c r="K297" s="188"/>
      <c r="L297" s="186"/>
      <c r="M297" s="186"/>
      <c r="N297" s="186"/>
      <c r="O297" s="186"/>
      <c r="P297" s="186"/>
      <c r="Q297" s="187"/>
      <c r="R297" s="188"/>
      <c r="S297" s="189"/>
      <c r="T297" s="186"/>
      <c r="U297" s="186"/>
      <c r="V297" s="186"/>
      <c r="W297" s="186"/>
      <c r="X297" s="187"/>
      <c r="Y297" s="188"/>
      <c r="Z297" s="186"/>
      <c r="AA297" s="186"/>
      <c r="AB297" s="186"/>
      <c r="AC297" s="186"/>
      <c r="AD297" s="186"/>
      <c r="AE297" s="187"/>
      <c r="AF297" s="188"/>
      <c r="AG297" s="186"/>
      <c r="AH297" s="186"/>
      <c r="AI297" s="186"/>
      <c r="AJ297" s="186"/>
      <c r="AK297" s="189"/>
      <c r="AL297" s="217"/>
      <c r="AM297" s="171"/>
      <c r="AN297" s="196"/>
      <c r="AO297" s="196"/>
      <c r="AP297" s="196"/>
      <c r="AQ297" s="21"/>
      <c r="AR297" s="196"/>
      <c r="AS297" s="196"/>
      <c r="AT297" s="21"/>
      <c r="AU297" s="21"/>
      <c r="AV297" s="22"/>
      <c r="AW297" s="21"/>
    </row>
    <row r="298" spans="1:49">
      <c r="A298" s="528"/>
      <c r="B298" s="531"/>
      <c r="C298" s="564"/>
      <c r="D298" s="537"/>
      <c r="E298" s="564"/>
      <c r="F298" s="571"/>
      <c r="G298" s="179"/>
      <c r="H298" s="173" t="s">
        <v>16</v>
      </c>
      <c r="I298" s="186"/>
      <c r="J298" s="187"/>
      <c r="K298" s="188"/>
      <c r="L298" s="186"/>
      <c r="M298" s="186"/>
      <c r="N298" s="186"/>
      <c r="O298" s="186"/>
      <c r="P298" s="186"/>
      <c r="Q298" s="187"/>
      <c r="R298" s="188"/>
      <c r="S298" s="189"/>
      <c r="T298" s="186"/>
      <c r="U298" s="186"/>
      <c r="V298" s="186"/>
      <c r="W298" s="186"/>
      <c r="X298" s="187"/>
      <c r="Y298" s="188"/>
      <c r="Z298" s="186"/>
      <c r="AA298" s="186"/>
      <c r="AB298" s="186"/>
      <c r="AC298" s="186"/>
      <c r="AD298" s="186"/>
      <c r="AE298" s="187"/>
      <c r="AF298" s="188"/>
      <c r="AG298" s="186"/>
      <c r="AH298" s="186"/>
      <c r="AI298" s="186"/>
      <c r="AJ298" s="186"/>
      <c r="AK298" s="189"/>
      <c r="AL298" s="217"/>
      <c r="AM298" s="171"/>
      <c r="AN298" s="196"/>
      <c r="AO298" s="196"/>
      <c r="AP298" s="196"/>
      <c r="AQ298" s="21"/>
      <c r="AR298" s="196"/>
      <c r="AS298" s="196"/>
      <c r="AT298" s="21"/>
      <c r="AU298" s="21"/>
      <c r="AV298" s="22"/>
      <c r="AW298" s="21"/>
    </row>
    <row r="299" spans="1:49">
      <c r="A299" s="528"/>
      <c r="B299" s="531"/>
      <c r="C299" s="564"/>
      <c r="D299" s="537"/>
      <c r="E299" s="564"/>
      <c r="F299" s="571"/>
      <c r="G299" s="179" t="s">
        <v>120</v>
      </c>
      <c r="H299" s="181" t="s">
        <v>117</v>
      </c>
      <c r="I299" s="186"/>
      <c r="J299" s="187"/>
      <c r="K299" s="188"/>
      <c r="L299" s="186"/>
      <c r="M299" s="186"/>
      <c r="N299" s="186"/>
      <c r="O299" s="186"/>
      <c r="P299" s="186"/>
      <c r="Q299" s="187"/>
      <c r="R299" s="188"/>
      <c r="S299" s="189"/>
      <c r="T299" s="186"/>
      <c r="U299" s="186"/>
      <c r="V299" s="186"/>
      <c r="W299" s="186"/>
      <c r="X299" s="187"/>
      <c r="Y299" s="188"/>
      <c r="Z299" s="186"/>
      <c r="AA299" s="186"/>
      <c r="AB299" s="186"/>
      <c r="AC299" s="186"/>
      <c r="AD299" s="186"/>
      <c r="AE299" s="187"/>
      <c r="AF299" s="188"/>
      <c r="AG299" s="186"/>
      <c r="AH299" s="186"/>
      <c r="AI299" s="186"/>
      <c r="AJ299" s="186"/>
      <c r="AK299" s="189"/>
      <c r="AL299" s="217"/>
      <c r="AM299" s="171"/>
      <c r="AN299" s="196"/>
      <c r="AO299" s="196"/>
      <c r="AP299" s="196"/>
      <c r="AQ299" s="21"/>
      <c r="AR299" s="196"/>
      <c r="AS299" s="196"/>
      <c r="AT299" s="21"/>
      <c r="AU299" s="21"/>
      <c r="AV299" s="22"/>
      <c r="AW299" s="21"/>
    </row>
    <row r="300" spans="1:49">
      <c r="A300" s="528"/>
      <c r="B300" s="531"/>
      <c r="C300" s="564"/>
      <c r="D300" s="537"/>
      <c r="E300" s="564"/>
      <c r="F300" s="571"/>
      <c r="G300" s="179"/>
      <c r="H300" s="168" t="s">
        <v>112</v>
      </c>
      <c r="I300" s="186"/>
      <c r="J300" s="187"/>
      <c r="K300" s="188"/>
      <c r="L300" s="186"/>
      <c r="M300" s="186"/>
      <c r="N300" s="186"/>
      <c r="O300" s="186"/>
      <c r="P300" s="186"/>
      <c r="Q300" s="187"/>
      <c r="R300" s="188"/>
      <c r="S300" s="189"/>
      <c r="T300" s="186"/>
      <c r="U300" s="186"/>
      <c r="V300" s="186"/>
      <c r="W300" s="186"/>
      <c r="X300" s="187"/>
      <c r="Y300" s="188"/>
      <c r="Z300" s="186"/>
      <c r="AA300" s="186"/>
      <c r="AB300" s="186"/>
      <c r="AC300" s="186"/>
      <c r="AD300" s="186"/>
      <c r="AE300" s="187"/>
      <c r="AF300" s="188"/>
      <c r="AG300" s="186"/>
      <c r="AH300" s="186"/>
      <c r="AI300" s="186"/>
      <c r="AJ300" s="186"/>
      <c r="AK300" s="189"/>
      <c r="AL300" s="217"/>
      <c r="AM300" s="171"/>
      <c r="AN300" s="196"/>
      <c r="AO300" s="196"/>
      <c r="AP300" s="196"/>
      <c r="AQ300" s="21"/>
      <c r="AR300" s="196"/>
      <c r="AS300" s="196"/>
      <c r="AT300" s="21"/>
      <c r="AU300" s="21"/>
      <c r="AV300" s="22"/>
      <c r="AW300" s="21"/>
    </row>
    <row r="301" spans="1:49">
      <c r="A301" s="528"/>
      <c r="B301" s="531"/>
      <c r="C301" s="564"/>
      <c r="D301" s="537"/>
      <c r="E301" s="564"/>
      <c r="F301" s="571"/>
      <c r="G301" s="179"/>
      <c r="H301" s="173" t="s">
        <v>16</v>
      </c>
      <c r="I301" s="186"/>
      <c r="J301" s="187"/>
      <c r="K301" s="188"/>
      <c r="L301" s="186"/>
      <c r="M301" s="186"/>
      <c r="N301" s="186"/>
      <c r="O301" s="186"/>
      <c r="P301" s="186"/>
      <c r="Q301" s="187"/>
      <c r="R301" s="188"/>
      <c r="S301" s="189"/>
      <c r="T301" s="186"/>
      <c r="U301" s="186"/>
      <c r="V301" s="186"/>
      <c r="W301" s="186"/>
      <c r="X301" s="187"/>
      <c r="Y301" s="188"/>
      <c r="Z301" s="186"/>
      <c r="AA301" s="186"/>
      <c r="AB301" s="186"/>
      <c r="AC301" s="186"/>
      <c r="AD301" s="186"/>
      <c r="AE301" s="187"/>
      <c r="AF301" s="188"/>
      <c r="AG301" s="186"/>
      <c r="AH301" s="186"/>
      <c r="AI301" s="186"/>
      <c r="AJ301" s="186"/>
      <c r="AK301" s="189"/>
      <c r="AL301" s="217"/>
      <c r="AM301" s="171"/>
      <c r="AN301" s="196"/>
      <c r="AO301" s="196"/>
      <c r="AP301" s="196"/>
      <c r="AQ301" s="21"/>
      <c r="AR301" s="196"/>
      <c r="AS301" s="196"/>
      <c r="AT301" s="21"/>
      <c r="AU301" s="21"/>
      <c r="AV301" s="22"/>
      <c r="AW301" s="21"/>
    </row>
    <row r="302" spans="1:49">
      <c r="A302" s="528"/>
      <c r="B302" s="531"/>
      <c r="C302" s="564"/>
      <c r="D302" s="537"/>
      <c r="E302" s="564"/>
      <c r="F302" s="571"/>
      <c r="G302" s="179" t="s">
        <v>121</v>
      </c>
      <c r="H302" s="181" t="s">
        <v>117</v>
      </c>
      <c r="I302" s="186"/>
      <c r="J302" s="187"/>
      <c r="K302" s="188"/>
      <c r="L302" s="186"/>
      <c r="M302" s="186"/>
      <c r="N302" s="186"/>
      <c r="O302" s="186"/>
      <c r="P302" s="186"/>
      <c r="Q302" s="187"/>
      <c r="R302" s="188"/>
      <c r="S302" s="189"/>
      <c r="T302" s="186"/>
      <c r="U302" s="186"/>
      <c r="V302" s="186"/>
      <c r="W302" s="186"/>
      <c r="X302" s="187"/>
      <c r="Y302" s="188"/>
      <c r="Z302" s="186"/>
      <c r="AA302" s="186"/>
      <c r="AB302" s="186"/>
      <c r="AC302" s="186"/>
      <c r="AD302" s="186"/>
      <c r="AE302" s="187"/>
      <c r="AF302" s="188"/>
      <c r="AG302" s="186"/>
      <c r="AH302" s="186"/>
      <c r="AI302" s="186"/>
      <c r="AJ302" s="186"/>
      <c r="AK302" s="189"/>
      <c r="AL302" s="217"/>
      <c r="AM302" s="171"/>
      <c r="AN302" s="196"/>
      <c r="AO302" s="196"/>
      <c r="AP302" s="196"/>
      <c r="AQ302" s="21"/>
      <c r="AR302" s="196"/>
      <c r="AS302" s="196"/>
      <c r="AT302" s="21"/>
      <c r="AU302" s="21"/>
      <c r="AV302" s="22"/>
      <c r="AW302" s="21"/>
    </row>
    <row r="303" spans="1:49">
      <c r="A303" s="528"/>
      <c r="B303" s="531"/>
      <c r="C303" s="564"/>
      <c r="D303" s="537"/>
      <c r="E303" s="564"/>
      <c r="F303" s="571"/>
      <c r="G303" s="179"/>
      <c r="H303" s="168" t="s">
        <v>112</v>
      </c>
      <c r="I303" s="186"/>
      <c r="J303" s="187"/>
      <c r="K303" s="188"/>
      <c r="L303" s="186"/>
      <c r="M303" s="186"/>
      <c r="N303" s="186"/>
      <c r="O303" s="186"/>
      <c r="P303" s="186"/>
      <c r="Q303" s="187"/>
      <c r="R303" s="188"/>
      <c r="S303" s="189"/>
      <c r="T303" s="186"/>
      <c r="U303" s="186"/>
      <c r="V303" s="186"/>
      <c r="W303" s="186"/>
      <c r="X303" s="187"/>
      <c r="Y303" s="188"/>
      <c r="Z303" s="186"/>
      <c r="AA303" s="186"/>
      <c r="AB303" s="186"/>
      <c r="AC303" s="186"/>
      <c r="AD303" s="186"/>
      <c r="AE303" s="187"/>
      <c r="AF303" s="188"/>
      <c r="AG303" s="186"/>
      <c r="AH303" s="186"/>
      <c r="AI303" s="186"/>
      <c r="AJ303" s="186"/>
      <c r="AK303" s="189"/>
      <c r="AL303" s="217"/>
      <c r="AM303" s="171"/>
      <c r="AN303" s="196"/>
      <c r="AO303" s="196"/>
      <c r="AP303" s="196"/>
      <c r="AQ303" s="21"/>
      <c r="AR303" s="196"/>
      <c r="AS303" s="196"/>
      <c r="AT303" s="21"/>
      <c r="AU303" s="21"/>
      <c r="AV303" s="22"/>
      <c r="AW303" s="21"/>
    </row>
    <row r="304" spans="1:49">
      <c r="A304" s="528"/>
      <c r="B304" s="531"/>
      <c r="C304" s="564"/>
      <c r="D304" s="537"/>
      <c r="E304" s="564"/>
      <c r="F304" s="571"/>
      <c r="G304" s="179"/>
      <c r="H304" s="173" t="s">
        <v>16</v>
      </c>
      <c r="I304" s="186"/>
      <c r="J304" s="187"/>
      <c r="K304" s="188"/>
      <c r="L304" s="186"/>
      <c r="M304" s="186"/>
      <c r="N304" s="186"/>
      <c r="O304" s="186"/>
      <c r="P304" s="186"/>
      <c r="Q304" s="187"/>
      <c r="R304" s="188"/>
      <c r="S304" s="189"/>
      <c r="T304" s="186"/>
      <c r="U304" s="186"/>
      <c r="V304" s="186"/>
      <c r="W304" s="186"/>
      <c r="X304" s="187"/>
      <c r="Y304" s="188"/>
      <c r="Z304" s="186"/>
      <c r="AA304" s="186"/>
      <c r="AB304" s="186"/>
      <c r="AC304" s="186"/>
      <c r="AD304" s="186"/>
      <c r="AE304" s="187"/>
      <c r="AF304" s="188"/>
      <c r="AG304" s="186"/>
      <c r="AH304" s="186"/>
      <c r="AI304" s="186"/>
      <c r="AJ304" s="186"/>
      <c r="AK304" s="189"/>
      <c r="AL304" s="217"/>
      <c r="AM304" s="171"/>
      <c r="AN304" s="196"/>
      <c r="AO304" s="196"/>
      <c r="AP304" s="196"/>
      <c r="AQ304" s="21"/>
      <c r="AR304" s="196"/>
      <c r="AS304" s="196"/>
      <c r="AT304" s="21"/>
      <c r="AU304" s="21"/>
      <c r="AV304" s="22"/>
      <c r="AW304" s="21"/>
    </row>
    <row r="305" spans="1:49">
      <c r="A305" s="528"/>
      <c r="B305" s="531"/>
      <c r="C305" s="564"/>
      <c r="D305" s="537"/>
      <c r="E305" s="564"/>
      <c r="F305" s="571"/>
      <c r="G305" s="179" t="s">
        <v>122</v>
      </c>
      <c r="H305" s="168" t="s">
        <v>123</v>
      </c>
      <c r="I305" s="186">
        <f>$P$333*$D$287/5</f>
        <v>7400</v>
      </c>
      <c r="J305" s="187"/>
      <c r="K305" s="188"/>
      <c r="L305" s="186">
        <f t="shared" ref="L305:O305" si="90">$P$333*$D$287/5</f>
        <v>7400</v>
      </c>
      <c r="M305" s="186">
        <f t="shared" si="90"/>
        <v>7400</v>
      </c>
      <c r="N305" s="186">
        <f t="shared" si="90"/>
        <v>7400</v>
      </c>
      <c r="O305" s="186">
        <f t="shared" si="90"/>
        <v>7400</v>
      </c>
      <c r="P305" s="186">
        <f>$P$333*$D$287/5</f>
        <v>7400</v>
      </c>
      <c r="Q305" s="187"/>
      <c r="R305" s="188"/>
      <c r="S305" s="189"/>
      <c r="T305" s="186">
        <f t="shared" ref="T305:W305" si="91">$P$333*$D$287/5</f>
        <v>7400</v>
      </c>
      <c r="U305" s="186">
        <f t="shared" si="91"/>
        <v>7400</v>
      </c>
      <c r="V305" s="186">
        <f t="shared" si="91"/>
        <v>7400</v>
      </c>
      <c r="W305" s="186">
        <f t="shared" si="91"/>
        <v>7400</v>
      </c>
      <c r="X305" s="187"/>
      <c r="Y305" s="188"/>
      <c r="Z305" s="186">
        <f t="shared" ref="Z305:AD305" si="92">$P$333*$D$287/5</f>
        <v>7400</v>
      </c>
      <c r="AA305" s="186">
        <f t="shared" si="92"/>
        <v>7400</v>
      </c>
      <c r="AB305" s="186">
        <f t="shared" si="92"/>
        <v>7400</v>
      </c>
      <c r="AC305" s="186">
        <f t="shared" si="92"/>
        <v>7400</v>
      </c>
      <c r="AD305" s="186">
        <f t="shared" si="92"/>
        <v>7400</v>
      </c>
      <c r="AE305" s="187"/>
      <c r="AF305" s="188"/>
      <c r="AG305" s="186">
        <f t="shared" ref="AG305:AJ305" si="93">$P$333*$D$287/5</f>
        <v>7400</v>
      </c>
      <c r="AH305" s="186">
        <f t="shared" si="93"/>
        <v>7400</v>
      </c>
      <c r="AI305" s="186">
        <f t="shared" si="93"/>
        <v>7400</v>
      </c>
      <c r="AJ305" s="186">
        <f t="shared" si="93"/>
        <v>7400</v>
      </c>
      <c r="AK305" s="189"/>
      <c r="AL305" s="217"/>
      <c r="AM305" s="171"/>
      <c r="AN305" s="196"/>
      <c r="AO305" s="196"/>
      <c r="AP305" s="196"/>
      <c r="AQ305" s="21"/>
      <c r="AR305" s="196"/>
      <c r="AS305" s="196"/>
      <c r="AT305" s="21"/>
      <c r="AU305" s="21"/>
      <c r="AV305" s="22"/>
      <c r="AW305" s="21"/>
    </row>
    <row r="306" spans="1:49">
      <c r="A306" s="528"/>
      <c r="B306" s="531"/>
      <c r="C306" s="564"/>
      <c r="D306" s="537"/>
      <c r="E306" s="564"/>
      <c r="F306" s="571"/>
      <c r="G306" s="179"/>
      <c r="H306" s="168" t="s">
        <v>88</v>
      </c>
      <c r="I306" s="186"/>
      <c r="J306" s="187"/>
      <c r="K306" s="188"/>
      <c r="L306" s="186"/>
      <c r="M306" s="186"/>
      <c r="N306" s="186"/>
      <c r="O306" s="186"/>
      <c r="P306" s="186"/>
      <c r="Q306" s="187"/>
      <c r="R306" s="188"/>
      <c r="S306" s="189"/>
      <c r="T306" s="186"/>
      <c r="U306" s="186"/>
      <c r="V306" s="186"/>
      <c r="W306" s="186"/>
      <c r="X306" s="187"/>
      <c r="Y306" s="188"/>
      <c r="Z306" s="186"/>
      <c r="AA306" s="186"/>
      <c r="AB306" s="186"/>
      <c r="AC306" s="186"/>
      <c r="AD306" s="186"/>
      <c r="AE306" s="187"/>
      <c r="AF306" s="188"/>
      <c r="AG306" s="186"/>
      <c r="AH306" s="186"/>
      <c r="AI306" s="186"/>
      <c r="AJ306" s="186"/>
      <c r="AK306" s="189"/>
      <c r="AL306" s="217"/>
      <c r="AM306" s="171"/>
      <c r="AN306" s="196"/>
      <c r="AO306" s="196"/>
      <c r="AP306" s="196"/>
      <c r="AQ306" s="21"/>
      <c r="AR306" s="196"/>
      <c r="AS306" s="196"/>
      <c r="AT306" s="21"/>
      <c r="AU306" s="21"/>
      <c r="AV306" s="22"/>
      <c r="AW306" s="21"/>
    </row>
    <row r="307" spans="1:49">
      <c r="A307" s="528"/>
      <c r="B307" s="531"/>
      <c r="C307" s="564"/>
      <c r="D307" s="537"/>
      <c r="E307" s="564"/>
      <c r="F307" s="571"/>
      <c r="G307" s="179"/>
      <c r="H307" s="173" t="s">
        <v>16</v>
      </c>
      <c r="I307" s="186"/>
      <c r="J307" s="187"/>
      <c r="K307" s="188"/>
      <c r="L307" s="186"/>
      <c r="M307" s="186"/>
      <c r="N307" s="186"/>
      <c r="O307" s="186"/>
      <c r="P307" s="186"/>
      <c r="Q307" s="187"/>
      <c r="R307" s="188"/>
      <c r="S307" s="189"/>
      <c r="T307" s="186"/>
      <c r="U307" s="186"/>
      <c r="V307" s="186"/>
      <c r="W307" s="186"/>
      <c r="X307" s="187"/>
      <c r="Y307" s="188"/>
      <c r="Z307" s="186"/>
      <c r="AA307" s="186"/>
      <c r="AB307" s="186"/>
      <c r="AC307" s="186"/>
      <c r="AD307" s="186"/>
      <c r="AE307" s="187"/>
      <c r="AF307" s="188"/>
      <c r="AG307" s="186"/>
      <c r="AH307" s="186"/>
      <c r="AI307" s="186"/>
      <c r="AJ307" s="186"/>
      <c r="AK307" s="189"/>
      <c r="AL307" s="217"/>
      <c r="AM307" s="171"/>
      <c r="AN307" s="196"/>
      <c r="AO307" s="196"/>
      <c r="AP307" s="196"/>
      <c r="AQ307" s="21"/>
      <c r="AR307" s="196"/>
      <c r="AS307" s="196"/>
      <c r="AT307" s="21"/>
      <c r="AU307" s="21"/>
      <c r="AV307" s="22"/>
      <c r="AW307" s="21"/>
    </row>
    <row r="308" spans="1:49">
      <c r="A308" s="528"/>
      <c r="B308" s="531"/>
      <c r="C308" s="564"/>
      <c r="D308" s="537"/>
      <c r="E308" s="564"/>
      <c r="F308" s="571"/>
      <c r="G308" s="179" t="s">
        <v>86</v>
      </c>
      <c r="H308" s="168" t="s">
        <v>124</v>
      </c>
      <c r="I308" s="186">
        <f>$P$333*$D$287/5</f>
        <v>7400</v>
      </c>
      <c r="J308" s="187"/>
      <c r="K308" s="188"/>
      <c r="L308" s="186">
        <f t="shared" ref="L308:O308" si="94">$P$333*$D$287/5</f>
        <v>7400</v>
      </c>
      <c r="M308" s="186">
        <f t="shared" si="94"/>
        <v>7400</v>
      </c>
      <c r="N308" s="186">
        <f t="shared" si="94"/>
        <v>7400</v>
      </c>
      <c r="O308" s="186">
        <f t="shared" si="94"/>
        <v>7400</v>
      </c>
      <c r="P308" s="186">
        <f>$P$333*$D$287/5</f>
        <v>7400</v>
      </c>
      <c r="Q308" s="187"/>
      <c r="R308" s="188"/>
      <c r="S308" s="189"/>
      <c r="T308" s="186">
        <f t="shared" ref="T308:W308" si="95">$P$333*$D$287/5</f>
        <v>7400</v>
      </c>
      <c r="U308" s="186">
        <f t="shared" si="95"/>
        <v>7400</v>
      </c>
      <c r="V308" s="186">
        <f t="shared" si="95"/>
        <v>7400</v>
      </c>
      <c r="W308" s="186">
        <f t="shared" si="95"/>
        <v>7400</v>
      </c>
      <c r="X308" s="187"/>
      <c r="Y308" s="188"/>
      <c r="Z308" s="186">
        <f t="shared" ref="Z308:AD308" si="96">$P$333*$D$287/5</f>
        <v>7400</v>
      </c>
      <c r="AA308" s="186">
        <f t="shared" si="96"/>
        <v>7400</v>
      </c>
      <c r="AB308" s="186">
        <f t="shared" si="96"/>
        <v>7400</v>
      </c>
      <c r="AC308" s="186">
        <f t="shared" si="96"/>
        <v>7400</v>
      </c>
      <c r="AD308" s="186">
        <f t="shared" si="96"/>
        <v>7400</v>
      </c>
      <c r="AE308" s="187"/>
      <c r="AF308" s="188"/>
      <c r="AG308" s="186">
        <f t="shared" ref="AG308:AJ308" si="97">$P$333*$D$287/5</f>
        <v>7400</v>
      </c>
      <c r="AH308" s="186">
        <f t="shared" si="97"/>
        <v>7400</v>
      </c>
      <c r="AI308" s="186">
        <f t="shared" si="97"/>
        <v>7400</v>
      </c>
      <c r="AJ308" s="186">
        <f t="shared" si="97"/>
        <v>7400</v>
      </c>
      <c r="AK308" s="189"/>
      <c r="AL308" s="217"/>
      <c r="AM308" s="171"/>
      <c r="AN308" s="196"/>
      <c r="AO308" s="196"/>
      <c r="AP308" s="196"/>
      <c r="AQ308" s="21"/>
      <c r="AR308" s="196"/>
      <c r="AS308" s="196"/>
      <c r="AT308" s="21"/>
      <c r="AU308" s="21"/>
      <c r="AV308" s="22"/>
      <c r="AW308" s="21"/>
    </row>
    <row r="309" spans="1:49">
      <c r="A309" s="528"/>
      <c r="B309" s="531"/>
      <c r="C309" s="564"/>
      <c r="D309" s="537"/>
      <c r="E309" s="564"/>
      <c r="F309" s="571"/>
      <c r="G309" s="179"/>
      <c r="H309" s="168" t="s">
        <v>88</v>
      </c>
      <c r="I309" s="186"/>
      <c r="J309" s="187"/>
      <c r="K309" s="188"/>
      <c r="L309" s="186"/>
      <c r="M309" s="186"/>
      <c r="N309" s="186"/>
      <c r="O309" s="186"/>
      <c r="P309" s="186"/>
      <c r="Q309" s="187"/>
      <c r="R309" s="188"/>
      <c r="S309" s="189"/>
      <c r="T309" s="186"/>
      <c r="U309" s="186"/>
      <c r="V309" s="186"/>
      <c r="W309" s="186"/>
      <c r="X309" s="187"/>
      <c r="Y309" s="188"/>
      <c r="Z309" s="186"/>
      <c r="AA309" s="186"/>
      <c r="AB309" s="186"/>
      <c r="AC309" s="186"/>
      <c r="AD309" s="186"/>
      <c r="AE309" s="187"/>
      <c r="AF309" s="188"/>
      <c r="AG309" s="186"/>
      <c r="AH309" s="186"/>
      <c r="AI309" s="186"/>
      <c r="AJ309" s="186"/>
      <c r="AK309" s="189"/>
      <c r="AL309" s="217"/>
      <c r="AM309" s="171"/>
      <c r="AN309" s="196"/>
      <c r="AO309" s="196"/>
      <c r="AP309" s="196"/>
      <c r="AQ309" s="21"/>
      <c r="AR309" s="196"/>
      <c r="AS309" s="196"/>
      <c r="AT309" s="21"/>
      <c r="AU309" s="21"/>
      <c r="AV309" s="22"/>
      <c r="AW309" s="21"/>
    </row>
    <row r="310" spans="1:49">
      <c r="A310" s="528"/>
      <c r="B310" s="531"/>
      <c r="C310" s="564"/>
      <c r="D310" s="537"/>
      <c r="E310" s="564"/>
      <c r="F310" s="571"/>
      <c r="G310" s="179"/>
      <c r="H310" s="173" t="s">
        <v>16</v>
      </c>
      <c r="I310" s="186"/>
      <c r="J310" s="187"/>
      <c r="K310" s="188"/>
      <c r="L310" s="186"/>
      <c r="M310" s="186"/>
      <c r="N310" s="186"/>
      <c r="O310" s="186"/>
      <c r="P310" s="186"/>
      <c r="Q310" s="187"/>
      <c r="R310" s="188"/>
      <c r="S310" s="189"/>
      <c r="T310" s="186"/>
      <c r="U310" s="186"/>
      <c r="V310" s="186"/>
      <c r="W310" s="186"/>
      <c r="X310" s="187"/>
      <c r="Y310" s="188"/>
      <c r="Z310" s="186"/>
      <c r="AA310" s="186"/>
      <c r="AB310" s="186"/>
      <c r="AC310" s="186"/>
      <c r="AD310" s="186"/>
      <c r="AE310" s="187"/>
      <c r="AF310" s="188"/>
      <c r="AG310" s="186"/>
      <c r="AH310" s="186"/>
      <c r="AI310" s="186"/>
      <c r="AJ310" s="186"/>
      <c r="AK310" s="189"/>
      <c r="AL310" s="217"/>
      <c r="AM310" s="171"/>
      <c r="AN310" s="196"/>
      <c r="AO310" s="196"/>
      <c r="AP310" s="196"/>
      <c r="AQ310" s="21"/>
      <c r="AR310" s="196"/>
      <c r="AS310" s="196"/>
      <c r="AT310" s="21"/>
      <c r="AU310" s="21"/>
      <c r="AV310" s="22"/>
      <c r="AW310" s="21"/>
    </row>
    <row r="311" spans="1:49">
      <c r="A311" s="528"/>
      <c r="B311" s="531"/>
      <c r="C311" s="564"/>
      <c r="D311" s="537"/>
      <c r="E311" s="564"/>
      <c r="F311" s="571"/>
      <c r="G311" s="179" t="s">
        <v>125</v>
      </c>
      <c r="H311" s="168" t="s">
        <v>126</v>
      </c>
      <c r="I311" s="186">
        <f>($P$333*$D$287/5)*2</f>
        <v>14800</v>
      </c>
      <c r="J311" s="187"/>
      <c r="K311" s="188"/>
      <c r="L311" s="186">
        <f t="shared" ref="L311:O311" si="98">($P$333*$D$287/5)*2</f>
        <v>14800</v>
      </c>
      <c r="M311" s="186">
        <f t="shared" si="98"/>
        <v>14800</v>
      </c>
      <c r="N311" s="186">
        <f t="shared" si="98"/>
        <v>14800</v>
      </c>
      <c r="O311" s="186">
        <f t="shared" si="98"/>
        <v>14800</v>
      </c>
      <c r="P311" s="186">
        <f>($P$333*$D$287/5)*2</f>
        <v>14800</v>
      </c>
      <c r="Q311" s="187"/>
      <c r="R311" s="188"/>
      <c r="S311" s="189"/>
      <c r="T311" s="186">
        <f t="shared" ref="T311:W311" si="99">($P$333*$D$287/5)*2</f>
        <v>14800</v>
      </c>
      <c r="U311" s="186">
        <f t="shared" si="99"/>
        <v>14800</v>
      </c>
      <c r="V311" s="186">
        <f t="shared" si="99"/>
        <v>14800</v>
      </c>
      <c r="W311" s="186">
        <f t="shared" si="99"/>
        <v>14800</v>
      </c>
      <c r="X311" s="187"/>
      <c r="Y311" s="188"/>
      <c r="Z311" s="186">
        <f t="shared" ref="Z311:AD311" si="100">($P$333*$D$287/5)*2</f>
        <v>14800</v>
      </c>
      <c r="AA311" s="186">
        <f t="shared" si="100"/>
        <v>14800</v>
      </c>
      <c r="AB311" s="186">
        <f t="shared" si="100"/>
        <v>14800</v>
      </c>
      <c r="AC311" s="186">
        <f t="shared" si="100"/>
        <v>14800</v>
      </c>
      <c r="AD311" s="186">
        <f t="shared" si="100"/>
        <v>14800</v>
      </c>
      <c r="AE311" s="187"/>
      <c r="AF311" s="188"/>
      <c r="AG311" s="186">
        <f t="shared" ref="AG311:AJ311" si="101">($P$333*$D$287/5)*2</f>
        <v>14800</v>
      </c>
      <c r="AH311" s="186">
        <f t="shared" si="101"/>
        <v>14800</v>
      </c>
      <c r="AI311" s="186">
        <f t="shared" si="101"/>
        <v>14800</v>
      </c>
      <c r="AJ311" s="186">
        <f t="shared" si="101"/>
        <v>14800</v>
      </c>
      <c r="AK311" s="189"/>
      <c r="AL311" s="217"/>
      <c r="AM311" s="171"/>
      <c r="AN311" s="196"/>
      <c r="AO311" s="196"/>
      <c r="AP311" s="196"/>
      <c r="AQ311" s="21"/>
      <c r="AR311" s="196"/>
      <c r="AS311" s="196"/>
      <c r="AT311" s="21"/>
      <c r="AU311" s="21"/>
      <c r="AV311" s="22"/>
      <c r="AW311" s="21"/>
    </row>
    <row r="312" spans="1:49">
      <c r="A312" s="528"/>
      <c r="B312" s="531"/>
      <c r="C312" s="564"/>
      <c r="D312" s="537"/>
      <c r="E312" s="564"/>
      <c r="F312" s="571"/>
      <c r="G312" s="179"/>
      <c r="H312" s="168" t="s">
        <v>88</v>
      </c>
      <c r="I312" s="186"/>
      <c r="J312" s="187"/>
      <c r="K312" s="188"/>
      <c r="L312" s="186"/>
      <c r="M312" s="186"/>
      <c r="N312" s="186"/>
      <c r="O312" s="186"/>
      <c r="P312" s="186"/>
      <c r="Q312" s="187"/>
      <c r="R312" s="188"/>
      <c r="S312" s="189"/>
      <c r="T312" s="186"/>
      <c r="U312" s="186"/>
      <c r="V312" s="186"/>
      <c r="W312" s="186"/>
      <c r="X312" s="187"/>
      <c r="Y312" s="188"/>
      <c r="Z312" s="186"/>
      <c r="AA312" s="186"/>
      <c r="AB312" s="186"/>
      <c r="AC312" s="186"/>
      <c r="AD312" s="186"/>
      <c r="AE312" s="187"/>
      <c r="AF312" s="188"/>
      <c r="AG312" s="186"/>
      <c r="AH312" s="186"/>
      <c r="AI312" s="186"/>
      <c r="AJ312" s="186"/>
      <c r="AK312" s="189"/>
      <c r="AL312" s="217"/>
      <c r="AM312" s="171"/>
      <c r="AN312" s="196"/>
      <c r="AO312" s="196"/>
      <c r="AP312" s="196"/>
      <c r="AQ312" s="21"/>
      <c r="AR312" s="196"/>
      <c r="AS312" s="196"/>
      <c r="AT312" s="21"/>
      <c r="AU312" s="21"/>
      <c r="AV312" s="22"/>
      <c r="AW312" s="21"/>
    </row>
    <row r="313" spans="1:49">
      <c r="A313" s="528"/>
      <c r="B313" s="531"/>
      <c r="C313" s="564"/>
      <c r="D313" s="537"/>
      <c r="E313" s="564"/>
      <c r="F313" s="571"/>
      <c r="G313" s="179"/>
      <c r="H313" s="173" t="s">
        <v>16</v>
      </c>
      <c r="I313" s="186"/>
      <c r="J313" s="187"/>
      <c r="K313" s="188"/>
      <c r="L313" s="186"/>
      <c r="M313" s="186"/>
      <c r="N313" s="186"/>
      <c r="O313" s="186"/>
      <c r="P313" s="186"/>
      <c r="Q313" s="187"/>
      <c r="R313" s="188"/>
      <c r="S313" s="189"/>
      <c r="T313" s="186"/>
      <c r="U313" s="186"/>
      <c r="V313" s="186"/>
      <c r="W313" s="186"/>
      <c r="X313" s="187"/>
      <c r="Y313" s="188"/>
      <c r="Z313" s="186"/>
      <c r="AA313" s="186"/>
      <c r="AB313" s="186"/>
      <c r="AC313" s="186"/>
      <c r="AD313" s="186"/>
      <c r="AE313" s="187"/>
      <c r="AF313" s="188"/>
      <c r="AG313" s="186"/>
      <c r="AH313" s="186"/>
      <c r="AI313" s="186"/>
      <c r="AJ313" s="186"/>
      <c r="AK313" s="189"/>
      <c r="AL313" s="217"/>
      <c r="AM313" s="171"/>
      <c r="AN313" s="196"/>
      <c r="AO313" s="196"/>
      <c r="AP313" s="196"/>
      <c r="AQ313" s="21"/>
      <c r="AR313" s="196"/>
      <c r="AS313" s="196"/>
      <c r="AT313" s="21"/>
      <c r="AU313" s="21"/>
      <c r="AV313" s="22"/>
      <c r="AW313" s="21"/>
    </row>
    <row r="314" spans="1:49">
      <c r="A314" s="528"/>
      <c r="B314" s="531"/>
      <c r="C314" s="564"/>
      <c r="D314" s="537"/>
      <c r="E314" s="564"/>
      <c r="F314" s="571"/>
      <c r="G314" s="179" t="s">
        <v>127</v>
      </c>
      <c r="H314" s="168" t="s">
        <v>128</v>
      </c>
      <c r="I314" s="186">
        <f>$P$333*$D$287/5</f>
        <v>7400</v>
      </c>
      <c r="J314" s="187"/>
      <c r="K314" s="188"/>
      <c r="L314" s="186">
        <f t="shared" ref="L314:O314" si="102">$P$333*$D$287/5</f>
        <v>7400</v>
      </c>
      <c r="M314" s="186">
        <f t="shared" si="102"/>
        <v>7400</v>
      </c>
      <c r="N314" s="186">
        <f t="shared" si="102"/>
        <v>7400</v>
      </c>
      <c r="O314" s="186">
        <f t="shared" si="102"/>
        <v>7400</v>
      </c>
      <c r="P314" s="186">
        <f>$P$333*$D$287/5</f>
        <v>7400</v>
      </c>
      <c r="Q314" s="187"/>
      <c r="R314" s="188"/>
      <c r="S314" s="189"/>
      <c r="T314" s="186">
        <f t="shared" ref="T314:W314" si="103">$P$333*$D$287/5</f>
        <v>7400</v>
      </c>
      <c r="U314" s="186">
        <f t="shared" si="103"/>
        <v>7400</v>
      </c>
      <c r="V314" s="186">
        <f t="shared" si="103"/>
        <v>7400</v>
      </c>
      <c r="W314" s="186">
        <f t="shared" si="103"/>
        <v>7400</v>
      </c>
      <c r="X314" s="187"/>
      <c r="Y314" s="188"/>
      <c r="Z314" s="186">
        <f t="shared" ref="Z314:AD314" si="104">$P$333*$D$287/5</f>
        <v>7400</v>
      </c>
      <c r="AA314" s="186">
        <f t="shared" si="104"/>
        <v>7400</v>
      </c>
      <c r="AB314" s="186">
        <f t="shared" si="104"/>
        <v>7400</v>
      </c>
      <c r="AC314" s="186">
        <f t="shared" si="104"/>
        <v>7400</v>
      </c>
      <c r="AD314" s="186">
        <f t="shared" si="104"/>
        <v>7400</v>
      </c>
      <c r="AE314" s="187"/>
      <c r="AF314" s="188"/>
      <c r="AG314" s="186">
        <f t="shared" ref="AG314:AJ314" si="105">$P$333*$D$287/5</f>
        <v>7400</v>
      </c>
      <c r="AH314" s="186">
        <f t="shared" si="105"/>
        <v>7400</v>
      </c>
      <c r="AI314" s="186">
        <f t="shared" si="105"/>
        <v>7400</v>
      </c>
      <c r="AJ314" s="186">
        <f t="shared" si="105"/>
        <v>7400</v>
      </c>
      <c r="AK314" s="189"/>
      <c r="AL314" s="217"/>
      <c r="AM314" s="171"/>
      <c r="AN314" s="196"/>
      <c r="AO314" s="196"/>
      <c r="AP314" s="196"/>
      <c r="AQ314" s="21"/>
      <c r="AR314" s="196"/>
      <c r="AS314" s="196"/>
      <c r="AT314" s="21"/>
      <c r="AU314" s="21"/>
      <c r="AV314" s="22"/>
      <c r="AW314" s="21"/>
    </row>
    <row r="315" spans="1:49">
      <c r="A315" s="528"/>
      <c r="B315" s="531"/>
      <c r="C315" s="564"/>
      <c r="D315" s="537"/>
      <c r="E315" s="564"/>
      <c r="F315" s="571"/>
      <c r="G315" s="179"/>
      <c r="H315" s="168" t="s">
        <v>88</v>
      </c>
      <c r="I315" s="186"/>
      <c r="J315" s="187"/>
      <c r="K315" s="188"/>
      <c r="L315" s="186"/>
      <c r="M315" s="186"/>
      <c r="N315" s="186"/>
      <c r="O315" s="186"/>
      <c r="P315" s="186"/>
      <c r="Q315" s="187"/>
      <c r="R315" s="188"/>
      <c r="S315" s="189"/>
      <c r="T315" s="186"/>
      <c r="U315" s="186"/>
      <c r="V315" s="186"/>
      <c r="W315" s="186"/>
      <c r="X315" s="187"/>
      <c r="Y315" s="188"/>
      <c r="Z315" s="186"/>
      <c r="AA315" s="186"/>
      <c r="AB315" s="186"/>
      <c r="AC315" s="186"/>
      <c r="AD315" s="186"/>
      <c r="AE315" s="187"/>
      <c r="AF315" s="188"/>
      <c r="AG315" s="186"/>
      <c r="AH315" s="186"/>
      <c r="AI315" s="186"/>
      <c r="AJ315" s="186"/>
      <c r="AK315" s="189"/>
      <c r="AL315" s="217"/>
      <c r="AM315" s="171"/>
      <c r="AN315" s="196"/>
      <c r="AO315" s="196"/>
      <c r="AP315" s="196"/>
      <c r="AQ315" s="21"/>
      <c r="AR315" s="196"/>
      <c r="AS315" s="196"/>
      <c r="AT315" s="21"/>
      <c r="AU315" s="21"/>
      <c r="AV315" s="22"/>
      <c r="AW315" s="21"/>
    </row>
    <row r="316" spans="1:49">
      <c r="A316" s="528"/>
      <c r="B316" s="531"/>
      <c r="C316" s="564"/>
      <c r="D316" s="537"/>
      <c r="E316" s="564"/>
      <c r="F316" s="571"/>
      <c r="G316" s="179"/>
      <c r="H316" s="173" t="s">
        <v>16</v>
      </c>
      <c r="I316" s="186"/>
      <c r="J316" s="187"/>
      <c r="K316" s="188"/>
      <c r="L316" s="186"/>
      <c r="M316" s="186"/>
      <c r="N316" s="186"/>
      <c r="O316" s="186"/>
      <c r="P316" s="186"/>
      <c r="Q316" s="187"/>
      <c r="R316" s="188"/>
      <c r="S316" s="189"/>
      <c r="T316" s="186"/>
      <c r="U316" s="186"/>
      <c r="V316" s="186"/>
      <c r="W316" s="186"/>
      <c r="X316" s="187"/>
      <c r="Y316" s="188"/>
      <c r="Z316" s="186"/>
      <c r="AA316" s="186"/>
      <c r="AB316" s="186"/>
      <c r="AC316" s="186"/>
      <c r="AD316" s="186"/>
      <c r="AE316" s="187"/>
      <c r="AF316" s="188"/>
      <c r="AG316" s="186"/>
      <c r="AH316" s="186"/>
      <c r="AI316" s="186"/>
      <c r="AJ316" s="186"/>
      <c r="AK316" s="189"/>
      <c r="AL316" s="217"/>
      <c r="AM316" s="171"/>
      <c r="AN316" s="196"/>
      <c r="AO316" s="196"/>
      <c r="AP316" s="196"/>
      <c r="AQ316" s="21"/>
      <c r="AR316" s="196"/>
      <c r="AS316" s="196"/>
      <c r="AT316" s="21"/>
      <c r="AU316" s="21"/>
      <c r="AV316" s="22"/>
      <c r="AW316" s="21"/>
    </row>
    <row r="317" spans="1:49">
      <c r="A317" s="528"/>
      <c r="B317" s="531"/>
      <c r="C317" s="564"/>
      <c r="D317" s="537"/>
      <c r="E317" s="564"/>
      <c r="F317" s="571"/>
      <c r="G317" s="172" t="s">
        <v>473</v>
      </c>
      <c r="H317" s="168" t="s">
        <v>129</v>
      </c>
      <c r="I317" s="186">
        <f>$P$333*$D$287/5</f>
        <v>7400</v>
      </c>
      <c r="J317" s="187"/>
      <c r="K317" s="188"/>
      <c r="L317" s="186">
        <f t="shared" ref="L317:O317" si="106">$P$333*$D$287/5</f>
        <v>7400</v>
      </c>
      <c r="M317" s="186">
        <f t="shared" si="106"/>
        <v>7400</v>
      </c>
      <c r="N317" s="186">
        <f t="shared" si="106"/>
        <v>7400</v>
      </c>
      <c r="O317" s="186">
        <f t="shared" si="106"/>
        <v>7400</v>
      </c>
      <c r="P317" s="186">
        <f>$P$333*$D$287/5</f>
        <v>7400</v>
      </c>
      <c r="Q317" s="187"/>
      <c r="R317" s="188"/>
      <c r="S317" s="189"/>
      <c r="T317" s="186">
        <f t="shared" ref="T317:W317" si="107">$P$333*$D$287/5</f>
        <v>7400</v>
      </c>
      <c r="U317" s="186">
        <f t="shared" si="107"/>
        <v>7400</v>
      </c>
      <c r="V317" s="186">
        <f t="shared" si="107"/>
        <v>7400</v>
      </c>
      <c r="W317" s="186">
        <f t="shared" si="107"/>
        <v>7400</v>
      </c>
      <c r="X317" s="187"/>
      <c r="Y317" s="188"/>
      <c r="Z317" s="186">
        <f t="shared" ref="Z317:AD317" si="108">$P$333*$D$287/5</f>
        <v>7400</v>
      </c>
      <c r="AA317" s="186">
        <f t="shared" si="108"/>
        <v>7400</v>
      </c>
      <c r="AB317" s="186">
        <f t="shared" si="108"/>
        <v>7400</v>
      </c>
      <c r="AC317" s="186">
        <f t="shared" si="108"/>
        <v>7400</v>
      </c>
      <c r="AD317" s="186">
        <f t="shared" si="108"/>
        <v>7400</v>
      </c>
      <c r="AE317" s="187"/>
      <c r="AF317" s="188"/>
      <c r="AG317" s="186">
        <f t="shared" ref="AG317:AJ317" si="109">$P$333*$D$287/5</f>
        <v>7400</v>
      </c>
      <c r="AH317" s="186">
        <f t="shared" si="109"/>
        <v>7400</v>
      </c>
      <c r="AI317" s="186">
        <f t="shared" si="109"/>
        <v>7400</v>
      </c>
      <c r="AJ317" s="186">
        <f t="shared" si="109"/>
        <v>7400</v>
      </c>
      <c r="AK317" s="189"/>
      <c r="AL317" s="217"/>
      <c r="AM317" s="171"/>
      <c r="AN317" s="196"/>
      <c r="AO317" s="196"/>
      <c r="AP317" s="196"/>
      <c r="AQ317" s="21"/>
      <c r="AR317" s="196"/>
      <c r="AS317" s="196"/>
      <c r="AT317" s="21"/>
      <c r="AU317" s="21"/>
      <c r="AV317" s="22"/>
      <c r="AW317" s="21"/>
    </row>
    <row r="318" spans="1:49">
      <c r="A318" s="528"/>
      <c r="B318" s="531"/>
      <c r="C318" s="564"/>
      <c r="D318" s="537"/>
      <c r="E318" s="564"/>
      <c r="F318" s="571"/>
      <c r="G318" s="172"/>
      <c r="H318" s="173" t="s">
        <v>16</v>
      </c>
      <c r="I318" s="186"/>
      <c r="J318" s="187"/>
      <c r="K318" s="188"/>
      <c r="L318" s="186"/>
      <c r="M318" s="186"/>
      <c r="N318" s="186"/>
      <c r="O318" s="186"/>
      <c r="P318" s="186"/>
      <c r="Q318" s="187"/>
      <c r="R318" s="188"/>
      <c r="S318" s="189"/>
      <c r="T318" s="186"/>
      <c r="U318" s="186"/>
      <c r="V318" s="186"/>
      <c r="W318" s="186"/>
      <c r="X318" s="187"/>
      <c r="Y318" s="188"/>
      <c r="Z318" s="186"/>
      <c r="AA318" s="186"/>
      <c r="AB318" s="186"/>
      <c r="AC318" s="186"/>
      <c r="AD318" s="186"/>
      <c r="AE318" s="187"/>
      <c r="AF318" s="188"/>
      <c r="AG318" s="186"/>
      <c r="AH318" s="186"/>
      <c r="AI318" s="186"/>
      <c r="AJ318" s="186"/>
      <c r="AK318" s="189"/>
      <c r="AL318" s="217"/>
      <c r="AM318" s="171"/>
      <c r="AN318" s="196"/>
      <c r="AO318" s="196"/>
      <c r="AP318" s="196"/>
      <c r="AQ318" s="21"/>
      <c r="AR318" s="196"/>
      <c r="AS318" s="196"/>
      <c r="AT318" s="21"/>
      <c r="AU318" s="21"/>
      <c r="AV318" s="22"/>
      <c r="AW318" s="21"/>
    </row>
    <row r="319" spans="1:49">
      <c r="A319" s="528"/>
      <c r="B319" s="531"/>
      <c r="C319" s="564"/>
      <c r="D319" s="537"/>
      <c r="E319" s="564"/>
      <c r="F319" s="571"/>
      <c r="G319" s="172" t="s">
        <v>474</v>
      </c>
      <c r="H319" s="168" t="s">
        <v>130</v>
      </c>
      <c r="I319" s="186">
        <f>$P$333*$D$287/5</f>
        <v>7400</v>
      </c>
      <c r="J319" s="187"/>
      <c r="K319" s="188"/>
      <c r="L319" s="186">
        <f t="shared" ref="L319:O319" si="110">$P$333*$D$287/5</f>
        <v>7400</v>
      </c>
      <c r="M319" s="186">
        <f t="shared" si="110"/>
        <v>7400</v>
      </c>
      <c r="N319" s="186">
        <f t="shared" si="110"/>
        <v>7400</v>
      </c>
      <c r="O319" s="186">
        <f t="shared" si="110"/>
        <v>7400</v>
      </c>
      <c r="P319" s="186">
        <f>$P$333*$D$287/5</f>
        <v>7400</v>
      </c>
      <c r="Q319" s="187"/>
      <c r="R319" s="188"/>
      <c r="S319" s="189"/>
      <c r="T319" s="186">
        <f t="shared" ref="T319:W319" si="111">$P$333*$D$287/5</f>
        <v>7400</v>
      </c>
      <c r="U319" s="186">
        <f t="shared" si="111"/>
        <v>7400</v>
      </c>
      <c r="V319" s="186">
        <f t="shared" si="111"/>
        <v>7400</v>
      </c>
      <c r="W319" s="186">
        <f t="shared" si="111"/>
        <v>7400</v>
      </c>
      <c r="X319" s="187"/>
      <c r="Y319" s="188"/>
      <c r="Z319" s="186">
        <f t="shared" ref="Z319:AD319" si="112">$P$333*$D$287/5</f>
        <v>7400</v>
      </c>
      <c r="AA319" s="186">
        <f t="shared" si="112"/>
        <v>7400</v>
      </c>
      <c r="AB319" s="186">
        <f t="shared" si="112"/>
        <v>7400</v>
      </c>
      <c r="AC319" s="186">
        <f t="shared" si="112"/>
        <v>7400</v>
      </c>
      <c r="AD319" s="186">
        <f t="shared" si="112"/>
        <v>7400</v>
      </c>
      <c r="AE319" s="187"/>
      <c r="AF319" s="188"/>
      <c r="AG319" s="186">
        <f t="shared" ref="AG319:AJ319" si="113">$P$333*$D$287/5</f>
        <v>7400</v>
      </c>
      <c r="AH319" s="186">
        <f t="shared" si="113"/>
        <v>7400</v>
      </c>
      <c r="AI319" s="186">
        <f t="shared" si="113"/>
        <v>7400</v>
      </c>
      <c r="AJ319" s="186">
        <f t="shared" si="113"/>
        <v>7400</v>
      </c>
      <c r="AK319" s="189"/>
      <c r="AL319" s="217"/>
      <c r="AM319" s="171"/>
      <c r="AN319" s="196"/>
      <c r="AO319" s="196"/>
      <c r="AP319" s="196"/>
      <c r="AQ319" s="21"/>
      <c r="AR319" s="196"/>
      <c r="AS319" s="196"/>
      <c r="AT319" s="21"/>
      <c r="AU319" s="21"/>
      <c r="AV319" s="22"/>
      <c r="AW319" s="21"/>
    </row>
    <row r="320" spans="1:49">
      <c r="A320" s="528"/>
      <c r="B320" s="531"/>
      <c r="C320" s="564"/>
      <c r="D320" s="537"/>
      <c r="E320" s="564"/>
      <c r="F320" s="571"/>
      <c r="G320" s="172"/>
      <c r="H320" s="173" t="s">
        <v>16</v>
      </c>
      <c r="I320" s="186"/>
      <c r="J320" s="187"/>
      <c r="K320" s="188"/>
      <c r="L320" s="186"/>
      <c r="M320" s="186"/>
      <c r="N320" s="186"/>
      <c r="O320" s="186"/>
      <c r="P320" s="186"/>
      <c r="Q320" s="187"/>
      <c r="R320" s="188"/>
      <c r="S320" s="189"/>
      <c r="T320" s="186"/>
      <c r="U320" s="186"/>
      <c r="V320" s="186"/>
      <c r="W320" s="186"/>
      <c r="X320" s="187"/>
      <c r="Y320" s="188"/>
      <c r="Z320" s="186"/>
      <c r="AA320" s="186"/>
      <c r="AB320" s="186"/>
      <c r="AC320" s="186"/>
      <c r="AD320" s="186"/>
      <c r="AE320" s="187"/>
      <c r="AF320" s="188"/>
      <c r="AG320" s="186"/>
      <c r="AH320" s="186"/>
      <c r="AI320" s="186"/>
      <c r="AJ320" s="186"/>
      <c r="AK320" s="189"/>
      <c r="AL320" s="217"/>
      <c r="AM320" s="171"/>
      <c r="AN320" s="196"/>
      <c r="AO320" s="196"/>
      <c r="AP320" s="196"/>
      <c r="AQ320" s="21"/>
      <c r="AR320" s="196"/>
      <c r="AS320" s="196"/>
      <c r="AT320" s="21"/>
      <c r="AU320" s="21"/>
      <c r="AV320" s="22"/>
      <c r="AW320" s="21"/>
    </row>
    <row r="321" spans="1:49">
      <c r="A321" s="528"/>
      <c r="B321" s="531"/>
      <c r="C321" s="564"/>
      <c r="D321" s="537"/>
      <c r="E321" s="564"/>
      <c r="F321" s="571"/>
      <c r="G321" s="172" t="s">
        <v>477</v>
      </c>
      <c r="H321" s="168" t="s">
        <v>131</v>
      </c>
      <c r="I321" s="186">
        <f>$P$333*$D$287/5</f>
        <v>7400</v>
      </c>
      <c r="J321" s="187"/>
      <c r="K321" s="188"/>
      <c r="L321" s="186">
        <f t="shared" ref="L321:O321" si="114">$P$333*$D$287/5</f>
        <v>7400</v>
      </c>
      <c r="M321" s="186">
        <f t="shared" si="114"/>
        <v>7400</v>
      </c>
      <c r="N321" s="186">
        <f t="shared" si="114"/>
        <v>7400</v>
      </c>
      <c r="O321" s="186">
        <f t="shared" si="114"/>
        <v>7400</v>
      </c>
      <c r="P321" s="186">
        <f>$P$333*$D$287/5</f>
        <v>7400</v>
      </c>
      <c r="Q321" s="187"/>
      <c r="R321" s="188"/>
      <c r="S321" s="189"/>
      <c r="T321" s="186">
        <f t="shared" ref="T321:W321" si="115">$P$333*$D$287/5</f>
        <v>7400</v>
      </c>
      <c r="U321" s="186">
        <f t="shared" si="115"/>
        <v>7400</v>
      </c>
      <c r="V321" s="186">
        <f t="shared" si="115"/>
        <v>7400</v>
      </c>
      <c r="W321" s="186">
        <f t="shared" si="115"/>
        <v>7400</v>
      </c>
      <c r="X321" s="187"/>
      <c r="Y321" s="188"/>
      <c r="Z321" s="186">
        <f t="shared" ref="Z321:AD321" si="116">$P$333*$D$287/5</f>
        <v>7400</v>
      </c>
      <c r="AA321" s="186">
        <f t="shared" si="116"/>
        <v>7400</v>
      </c>
      <c r="AB321" s="186">
        <f t="shared" si="116"/>
        <v>7400</v>
      </c>
      <c r="AC321" s="186">
        <f t="shared" si="116"/>
        <v>7400</v>
      </c>
      <c r="AD321" s="186">
        <f t="shared" si="116"/>
        <v>7400</v>
      </c>
      <c r="AE321" s="187"/>
      <c r="AF321" s="188"/>
      <c r="AG321" s="186">
        <f t="shared" ref="AG321:AJ321" si="117">$P$333*$D$287/5</f>
        <v>7400</v>
      </c>
      <c r="AH321" s="186">
        <f t="shared" si="117"/>
        <v>7400</v>
      </c>
      <c r="AI321" s="186">
        <f t="shared" si="117"/>
        <v>7400</v>
      </c>
      <c r="AJ321" s="186">
        <f t="shared" si="117"/>
        <v>7400</v>
      </c>
      <c r="AK321" s="189"/>
      <c r="AL321" s="217"/>
      <c r="AM321" s="171"/>
      <c r="AN321" s="196"/>
      <c r="AO321" s="196"/>
      <c r="AP321" s="196"/>
      <c r="AQ321" s="21"/>
      <c r="AR321" s="196"/>
      <c r="AS321" s="196"/>
      <c r="AT321" s="21"/>
      <c r="AU321" s="21"/>
      <c r="AV321" s="22"/>
      <c r="AW321" s="21"/>
    </row>
    <row r="322" spans="1:49">
      <c r="A322" s="528"/>
      <c r="B322" s="531"/>
      <c r="C322" s="564"/>
      <c r="D322" s="537"/>
      <c r="E322" s="564"/>
      <c r="F322" s="571"/>
      <c r="G322" s="172"/>
      <c r="H322" s="168" t="s">
        <v>93</v>
      </c>
      <c r="I322" s="186"/>
      <c r="J322" s="187"/>
      <c r="K322" s="188"/>
      <c r="L322" s="186"/>
      <c r="M322" s="186"/>
      <c r="N322" s="186"/>
      <c r="O322" s="186"/>
      <c r="P322" s="186"/>
      <c r="Q322" s="187"/>
      <c r="R322" s="188"/>
      <c r="S322" s="189"/>
      <c r="T322" s="186"/>
      <c r="U322" s="186"/>
      <c r="V322" s="186"/>
      <c r="W322" s="186"/>
      <c r="X322" s="187"/>
      <c r="Y322" s="188"/>
      <c r="Z322" s="186"/>
      <c r="AA322" s="186"/>
      <c r="AB322" s="186"/>
      <c r="AC322" s="186"/>
      <c r="AD322" s="186"/>
      <c r="AE322" s="187"/>
      <c r="AF322" s="188"/>
      <c r="AG322" s="186"/>
      <c r="AH322" s="186"/>
      <c r="AI322" s="186"/>
      <c r="AJ322" s="186"/>
      <c r="AK322" s="189"/>
      <c r="AL322" s="217"/>
      <c r="AM322" s="171"/>
      <c r="AN322" s="196"/>
      <c r="AO322" s="196"/>
      <c r="AP322" s="196"/>
      <c r="AQ322" s="21"/>
      <c r="AR322" s="196"/>
      <c r="AS322" s="196"/>
      <c r="AT322" s="21"/>
      <c r="AU322" s="21"/>
      <c r="AV322" s="22"/>
      <c r="AW322" s="21"/>
    </row>
    <row r="323" spans="1:49">
      <c r="A323" s="528"/>
      <c r="B323" s="531"/>
      <c r="C323" s="564"/>
      <c r="D323" s="537"/>
      <c r="E323" s="564"/>
      <c r="F323" s="571"/>
      <c r="G323" s="172"/>
      <c r="H323" s="173" t="s">
        <v>16</v>
      </c>
      <c r="I323" s="186"/>
      <c r="J323" s="187"/>
      <c r="K323" s="188"/>
      <c r="L323" s="186"/>
      <c r="M323" s="186"/>
      <c r="N323" s="186"/>
      <c r="O323" s="186"/>
      <c r="P323" s="186"/>
      <c r="Q323" s="187"/>
      <c r="R323" s="188"/>
      <c r="S323" s="189"/>
      <c r="T323" s="186"/>
      <c r="U323" s="186"/>
      <c r="V323" s="186"/>
      <c r="W323" s="186"/>
      <c r="X323" s="187"/>
      <c r="Y323" s="188"/>
      <c r="Z323" s="186"/>
      <c r="AA323" s="186"/>
      <c r="AB323" s="186"/>
      <c r="AC323" s="186"/>
      <c r="AD323" s="186"/>
      <c r="AE323" s="187"/>
      <c r="AF323" s="188"/>
      <c r="AG323" s="186"/>
      <c r="AH323" s="186"/>
      <c r="AI323" s="186"/>
      <c r="AJ323" s="186"/>
      <c r="AK323" s="189"/>
      <c r="AL323" s="217"/>
      <c r="AM323" s="171"/>
      <c r="AN323" s="196"/>
      <c r="AO323" s="196"/>
      <c r="AP323" s="196"/>
      <c r="AQ323" s="21"/>
      <c r="AR323" s="196"/>
      <c r="AS323" s="196"/>
      <c r="AT323" s="21"/>
      <c r="AU323" s="21"/>
      <c r="AV323" s="22"/>
      <c r="AW323" s="21"/>
    </row>
    <row r="324" spans="1:49">
      <c r="A324" s="528"/>
      <c r="B324" s="531"/>
      <c r="C324" s="564"/>
      <c r="D324" s="537"/>
      <c r="E324" s="564"/>
      <c r="F324" s="571"/>
      <c r="G324" s="172" t="s">
        <v>472</v>
      </c>
      <c r="H324" s="168" t="s">
        <v>21</v>
      </c>
      <c r="I324" s="186">
        <f>$P$333*$D$287/5</f>
        <v>7400</v>
      </c>
      <c r="J324" s="187"/>
      <c r="K324" s="188"/>
      <c r="L324" s="186">
        <f t="shared" ref="L324:O324" si="118">$P$333*$D$287/5</f>
        <v>7400</v>
      </c>
      <c r="M324" s="186">
        <f t="shared" si="118"/>
        <v>7400</v>
      </c>
      <c r="N324" s="186">
        <f t="shared" si="118"/>
        <v>7400</v>
      </c>
      <c r="O324" s="186">
        <f t="shared" si="118"/>
        <v>7400</v>
      </c>
      <c r="P324" s="186">
        <f>$P$333*$D$287/5</f>
        <v>7400</v>
      </c>
      <c r="Q324" s="187"/>
      <c r="R324" s="188"/>
      <c r="S324" s="189"/>
      <c r="T324" s="186">
        <f t="shared" ref="T324:W324" si="119">$P$333*$D$287/5</f>
        <v>7400</v>
      </c>
      <c r="U324" s="186">
        <f t="shared" si="119"/>
        <v>7400</v>
      </c>
      <c r="V324" s="186">
        <f t="shared" si="119"/>
        <v>7400</v>
      </c>
      <c r="W324" s="186">
        <f t="shared" si="119"/>
        <v>7400</v>
      </c>
      <c r="X324" s="187"/>
      <c r="Y324" s="188"/>
      <c r="Z324" s="186">
        <f t="shared" ref="Z324:AD324" si="120">$P$333*$D$287/5</f>
        <v>7400</v>
      </c>
      <c r="AA324" s="186">
        <f t="shared" si="120"/>
        <v>7400</v>
      </c>
      <c r="AB324" s="186">
        <f t="shared" si="120"/>
        <v>7400</v>
      </c>
      <c r="AC324" s="186">
        <f t="shared" si="120"/>
        <v>7400</v>
      </c>
      <c r="AD324" s="186">
        <f t="shared" si="120"/>
        <v>7400</v>
      </c>
      <c r="AE324" s="187"/>
      <c r="AF324" s="188"/>
      <c r="AG324" s="186">
        <f t="shared" ref="AG324:AJ324" si="121">$P$333*$D$287/5</f>
        <v>7400</v>
      </c>
      <c r="AH324" s="186">
        <f t="shared" si="121"/>
        <v>7400</v>
      </c>
      <c r="AI324" s="186">
        <f t="shared" si="121"/>
        <v>7400</v>
      </c>
      <c r="AJ324" s="186">
        <f t="shared" si="121"/>
        <v>7400</v>
      </c>
      <c r="AK324" s="189"/>
      <c r="AL324" s="217"/>
      <c r="AM324" s="171"/>
      <c r="AN324" s="196"/>
      <c r="AO324" s="196"/>
      <c r="AP324" s="196"/>
      <c r="AQ324" s="21"/>
      <c r="AR324" s="196"/>
      <c r="AS324" s="196"/>
      <c r="AT324" s="21"/>
      <c r="AU324" s="21"/>
      <c r="AV324" s="22"/>
      <c r="AW324" s="21"/>
    </row>
    <row r="325" spans="1:49">
      <c r="A325" s="528"/>
      <c r="B325" s="531"/>
      <c r="C325" s="564"/>
      <c r="D325" s="537"/>
      <c r="E325" s="564"/>
      <c r="F325" s="571"/>
      <c r="G325" s="172"/>
      <c r="H325" s="168" t="s">
        <v>24</v>
      </c>
      <c r="I325" s="186"/>
      <c r="J325" s="187"/>
      <c r="K325" s="188"/>
      <c r="L325" s="186"/>
      <c r="M325" s="186"/>
      <c r="N325" s="186"/>
      <c r="O325" s="186"/>
      <c r="P325" s="186"/>
      <c r="Q325" s="187"/>
      <c r="R325" s="188"/>
      <c r="S325" s="189"/>
      <c r="T325" s="186"/>
      <c r="U325" s="186"/>
      <c r="V325" s="186"/>
      <c r="W325" s="186"/>
      <c r="X325" s="187"/>
      <c r="Y325" s="188"/>
      <c r="Z325" s="186"/>
      <c r="AA325" s="186"/>
      <c r="AB325" s="186"/>
      <c r="AC325" s="186"/>
      <c r="AD325" s="186"/>
      <c r="AE325" s="187"/>
      <c r="AF325" s="188"/>
      <c r="AG325" s="186"/>
      <c r="AH325" s="186"/>
      <c r="AI325" s="186"/>
      <c r="AJ325" s="186"/>
      <c r="AK325" s="189"/>
      <c r="AL325" s="217"/>
      <c r="AM325" s="171"/>
      <c r="AN325" s="196"/>
      <c r="AO325" s="196"/>
      <c r="AP325" s="196"/>
      <c r="AQ325" s="21"/>
      <c r="AR325" s="196"/>
      <c r="AS325" s="196"/>
      <c r="AT325" s="21"/>
      <c r="AU325" s="21"/>
      <c r="AV325" s="22"/>
      <c r="AW325" s="21"/>
    </row>
    <row r="326" spans="1:49">
      <c r="A326" s="528"/>
      <c r="B326" s="531"/>
      <c r="C326" s="564"/>
      <c r="D326" s="537"/>
      <c r="E326" s="564"/>
      <c r="F326" s="571"/>
      <c r="G326" s="172"/>
      <c r="H326" s="173" t="s">
        <v>16</v>
      </c>
      <c r="I326" s="186"/>
      <c r="J326" s="187"/>
      <c r="K326" s="188"/>
      <c r="L326" s="186"/>
      <c r="M326" s="186"/>
      <c r="N326" s="186"/>
      <c r="O326" s="186"/>
      <c r="P326" s="186"/>
      <c r="Q326" s="187"/>
      <c r="R326" s="188"/>
      <c r="S326" s="189"/>
      <c r="T326" s="186"/>
      <c r="U326" s="186"/>
      <c r="V326" s="186"/>
      <c r="W326" s="186"/>
      <c r="X326" s="187"/>
      <c r="Y326" s="188"/>
      <c r="Z326" s="186"/>
      <c r="AA326" s="186"/>
      <c r="AB326" s="186"/>
      <c r="AC326" s="186"/>
      <c r="AD326" s="186"/>
      <c r="AE326" s="187"/>
      <c r="AF326" s="188"/>
      <c r="AG326" s="186"/>
      <c r="AH326" s="186"/>
      <c r="AI326" s="186"/>
      <c r="AJ326" s="186"/>
      <c r="AK326" s="189"/>
      <c r="AL326" s="217"/>
      <c r="AM326" s="171"/>
      <c r="AN326" s="196"/>
      <c r="AO326" s="196"/>
      <c r="AP326" s="196"/>
      <c r="AQ326" s="21"/>
      <c r="AR326" s="196"/>
      <c r="AS326" s="196"/>
      <c r="AT326" s="21"/>
      <c r="AU326" s="21"/>
      <c r="AV326" s="22"/>
      <c r="AW326" s="21"/>
    </row>
    <row r="327" spans="1:49">
      <c r="A327" s="528"/>
      <c r="B327" s="531"/>
      <c r="C327" s="564"/>
      <c r="D327" s="537"/>
      <c r="E327" s="564"/>
      <c r="F327" s="571"/>
      <c r="G327" s="219"/>
      <c r="H327" s="168" t="s">
        <v>100</v>
      </c>
      <c r="I327" s="186">
        <f>$P$333*$D$287/5</f>
        <v>7400</v>
      </c>
      <c r="J327" s="187"/>
      <c r="K327" s="188"/>
      <c r="L327" s="186">
        <f>$P$333*$D$287/5</f>
        <v>7400</v>
      </c>
      <c r="M327" s="186">
        <f>$P$333*$D$287/5</f>
        <v>7400</v>
      </c>
      <c r="N327" s="186">
        <f>$P$333*$D$287/5</f>
        <v>7400</v>
      </c>
      <c r="O327" s="186">
        <f>$P$333*$D$287/5</f>
        <v>7400</v>
      </c>
      <c r="P327" s="186">
        <f>$P$333*$D$287/5</f>
        <v>7400</v>
      </c>
      <c r="Q327" s="187"/>
      <c r="R327" s="188"/>
      <c r="S327" s="189"/>
      <c r="T327" s="186">
        <f t="shared" ref="T327:W327" si="122">$P$333*$D$287/5</f>
        <v>7400</v>
      </c>
      <c r="U327" s="186">
        <f t="shared" si="122"/>
        <v>7400</v>
      </c>
      <c r="V327" s="186">
        <f t="shared" si="122"/>
        <v>7400</v>
      </c>
      <c r="W327" s="186">
        <f t="shared" si="122"/>
        <v>7400</v>
      </c>
      <c r="X327" s="187"/>
      <c r="Y327" s="188"/>
      <c r="Z327" s="186">
        <f t="shared" ref="Z327:AD327" si="123">$P$333*$D$287/5</f>
        <v>7400</v>
      </c>
      <c r="AA327" s="186">
        <f t="shared" si="123"/>
        <v>7400</v>
      </c>
      <c r="AB327" s="186">
        <f t="shared" si="123"/>
        <v>7400</v>
      </c>
      <c r="AC327" s="186">
        <f t="shared" si="123"/>
        <v>7400</v>
      </c>
      <c r="AD327" s="186">
        <f t="shared" si="123"/>
        <v>7400</v>
      </c>
      <c r="AE327" s="187"/>
      <c r="AF327" s="188"/>
      <c r="AG327" s="186">
        <f t="shared" ref="AG327:AJ327" si="124">$P$333*$D$287/5</f>
        <v>7400</v>
      </c>
      <c r="AH327" s="186">
        <f t="shared" si="124"/>
        <v>7400</v>
      </c>
      <c r="AI327" s="186">
        <f t="shared" si="124"/>
        <v>7400</v>
      </c>
      <c r="AJ327" s="186">
        <f t="shared" si="124"/>
        <v>7400</v>
      </c>
      <c r="AK327" s="189"/>
      <c r="AL327" s="217"/>
      <c r="AM327" s="171"/>
      <c r="AN327" s="196"/>
      <c r="AO327" s="196"/>
      <c r="AP327" s="196"/>
      <c r="AQ327" s="21"/>
      <c r="AR327" s="196"/>
      <c r="AS327" s="196"/>
      <c r="AT327" s="21"/>
      <c r="AU327" s="21"/>
      <c r="AV327" s="22"/>
      <c r="AW327" s="21"/>
    </row>
    <row r="328" spans="1:49">
      <c r="A328" s="528"/>
      <c r="B328" s="531"/>
      <c r="C328" s="564"/>
      <c r="D328" s="537"/>
      <c r="E328" s="564"/>
      <c r="F328" s="571"/>
      <c r="G328" s="219"/>
      <c r="H328" s="168" t="s">
        <v>28</v>
      </c>
      <c r="I328" s="186"/>
      <c r="J328" s="187"/>
      <c r="K328" s="188"/>
      <c r="L328" s="186"/>
      <c r="M328" s="186"/>
      <c r="N328" s="186"/>
      <c r="O328" s="186"/>
      <c r="P328" s="186"/>
      <c r="Q328" s="187"/>
      <c r="R328" s="188"/>
      <c r="S328" s="189"/>
      <c r="T328" s="186"/>
      <c r="U328" s="186"/>
      <c r="V328" s="186"/>
      <c r="W328" s="186"/>
      <c r="X328" s="187"/>
      <c r="Y328" s="188"/>
      <c r="Z328" s="186"/>
      <c r="AA328" s="186"/>
      <c r="AB328" s="186"/>
      <c r="AC328" s="186"/>
      <c r="AD328" s="186"/>
      <c r="AE328" s="187"/>
      <c r="AF328" s="188"/>
      <c r="AG328" s="186"/>
      <c r="AH328" s="186"/>
      <c r="AI328" s="186"/>
      <c r="AJ328" s="186"/>
      <c r="AK328" s="189"/>
      <c r="AL328" s="217"/>
      <c r="AM328" s="171"/>
      <c r="AN328" s="196"/>
      <c r="AO328" s="196"/>
      <c r="AP328" s="196"/>
      <c r="AQ328" s="21"/>
      <c r="AR328" s="196"/>
      <c r="AS328" s="196"/>
      <c r="AT328" s="21"/>
      <c r="AU328" s="21"/>
      <c r="AV328" s="22"/>
      <c r="AW328" s="21"/>
    </row>
    <row r="329" spans="1:49">
      <c r="A329" s="528"/>
      <c r="B329" s="531"/>
      <c r="C329" s="564"/>
      <c r="D329" s="537"/>
      <c r="E329" s="564"/>
      <c r="F329" s="571"/>
      <c r="G329" s="219"/>
      <c r="H329" s="173" t="s">
        <v>16</v>
      </c>
      <c r="I329" s="186"/>
      <c r="J329" s="187"/>
      <c r="K329" s="188"/>
      <c r="L329" s="186"/>
      <c r="M329" s="186"/>
      <c r="N329" s="186"/>
      <c r="O329" s="186"/>
      <c r="P329" s="186"/>
      <c r="Q329" s="187"/>
      <c r="R329" s="188"/>
      <c r="S329" s="189"/>
      <c r="T329" s="186"/>
      <c r="U329" s="186"/>
      <c r="V329" s="186"/>
      <c r="W329" s="186"/>
      <c r="X329" s="187"/>
      <c r="Y329" s="188"/>
      <c r="Z329" s="186"/>
      <c r="AA329" s="186"/>
      <c r="AB329" s="186"/>
      <c r="AC329" s="186"/>
      <c r="AD329" s="186"/>
      <c r="AE329" s="187"/>
      <c r="AF329" s="188"/>
      <c r="AG329" s="186"/>
      <c r="AH329" s="186"/>
      <c r="AI329" s="186"/>
      <c r="AJ329" s="186"/>
      <c r="AK329" s="189"/>
      <c r="AL329" s="217"/>
      <c r="AM329" s="171"/>
      <c r="AN329" s="196"/>
      <c r="AO329" s="196"/>
      <c r="AP329" s="196"/>
      <c r="AQ329" s="21"/>
      <c r="AR329" s="196"/>
      <c r="AS329" s="196"/>
      <c r="AT329" s="21"/>
      <c r="AU329" s="21"/>
      <c r="AV329" s="22"/>
      <c r="AW329" s="21"/>
    </row>
    <row r="330" spans="1:49">
      <c r="A330" s="528"/>
      <c r="B330" s="531"/>
      <c r="C330" s="564"/>
      <c r="D330" s="537"/>
      <c r="E330" s="564"/>
      <c r="F330" s="571"/>
      <c r="G330" s="219"/>
      <c r="H330" s="168" t="s">
        <v>101</v>
      </c>
      <c r="I330" s="186">
        <f>$P$333*$D$287/5</f>
        <v>7400</v>
      </c>
      <c r="J330" s="187"/>
      <c r="K330" s="188"/>
      <c r="L330" s="186">
        <f>$P$333*$D$287/5</f>
        <v>7400</v>
      </c>
      <c r="M330" s="186">
        <f>$P$333*$D$287/5</f>
        <v>7400</v>
      </c>
      <c r="N330" s="186">
        <f>$P$333*$D$287/5</f>
        <v>7400</v>
      </c>
      <c r="O330" s="186">
        <f>$P$333*$D$287/5</f>
        <v>7400</v>
      </c>
      <c r="P330" s="186">
        <f>$P$333*$D$287/5</f>
        <v>7400</v>
      </c>
      <c r="Q330" s="187"/>
      <c r="R330" s="188"/>
      <c r="S330" s="189"/>
      <c r="T330" s="186">
        <f t="shared" ref="T330:W330" si="125">$P$333*$D$287/5</f>
        <v>7400</v>
      </c>
      <c r="U330" s="186">
        <f t="shared" si="125"/>
        <v>7400</v>
      </c>
      <c r="V330" s="186">
        <f t="shared" si="125"/>
        <v>7400</v>
      </c>
      <c r="W330" s="186">
        <f t="shared" si="125"/>
        <v>7400</v>
      </c>
      <c r="X330" s="187"/>
      <c r="Y330" s="188"/>
      <c r="Z330" s="186">
        <f t="shared" ref="Z330:AD330" si="126">$P$333*$D$287/5</f>
        <v>7400</v>
      </c>
      <c r="AA330" s="186">
        <f t="shared" si="126"/>
        <v>7400</v>
      </c>
      <c r="AB330" s="186">
        <f t="shared" si="126"/>
        <v>7400</v>
      </c>
      <c r="AC330" s="186">
        <f t="shared" si="126"/>
        <v>7400</v>
      </c>
      <c r="AD330" s="186">
        <f t="shared" si="126"/>
        <v>7400</v>
      </c>
      <c r="AE330" s="187"/>
      <c r="AF330" s="188"/>
      <c r="AG330" s="186">
        <f t="shared" ref="AG330:AJ330" si="127">$P$333*$D$287/5</f>
        <v>7400</v>
      </c>
      <c r="AH330" s="186">
        <f t="shared" si="127"/>
        <v>7400</v>
      </c>
      <c r="AI330" s="186">
        <f t="shared" si="127"/>
        <v>7400</v>
      </c>
      <c r="AJ330" s="186">
        <f t="shared" si="127"/>
        <v>7400</v>
      </c>
      <c r="AK330" s="189"/>
      <c r="AL330" s="217"/>
      <c r="AM330" s="171"/>
      <c r="AN330" s="196"/>
      <c r="AO330" s="196"/>
      <c r="AP330" s="196"/>
      <c r="AQ330" s="21"/>
      <c r="AR330" s="196"/>
      <c r="AS330" s="196"/>
      <c r="AT330" s="21"/>
      <c r="AU330" s="21"/>
      <c r="AV330" s="22"/>
      <c r="AW330" s="21"/>
    </row>
    <row r="331" spans="1:49">
      <c r="A331" s="528"/>
      <c r="B331" s="531"/>
      <c r="C331" s="564"/>
      <c r="D331" s="537"/>
      <c r="E331" s="564"/>
      <c r="F331" s="571"/>
      <c r="G331" s="219"/>
      <c r="H331" s="168" t="s">
        <v>79</v>
      </c>
      <c r="I331" s="186"/>
      <c r="J331" s="187"/>
      <c r="K331" s="188"/>
      <c r="L331" s="186"/>
      <c r="M331" s="186"/>
      <c r="N331" s="186"/>
      <c r="O331" s="186"/>
      <c r="P331" s="186"/>
      <c r="Q331" s="187"/>
      <c r="R331" s="188"/>
      <c r="S331" s="189"/>
      <c r="T331" s="186"/>
      <c r="U331" s="186"/>
      <c r="V331" s="186"/>
      <c r="W331" s="186"/>
      <c r="X331" s="187"/>
      <c r="Y331" s="188"/>
      <c r="Z331" s="186"/>
      <c r="AA331" s="186"/>
      <c r="AB331" s="186"/>
      <c r="AC331" s="186"/>
      <c r="AD331" s="186"/>
      <c r="AE331" s="187"/>
      <c r="AF331" s="188"/>
      <c r="AG331" s="186"/>
      <c r="AH331" s="186"/>
      <c r="AI331" s="186"/>
      <c r="AJ331" s="186"/>
      <c r="AK331" s="189"/>
      <c r="AL331" s="217"/>
      <c r="AM331" s="171"/>
      <c r="AN331" s="196"/>
      <c r="AO331" s="196"/>
      <c r="AP331" s="196"/>
      <c r="AQ331" s="21"/>
      <c r="AR331" s="196"/>
      <c r="AS331" s="196"/>
      <c r="AT331" s="21"/>
      <c r="AU331" s="21"/>
      <c r="AV331" s="22"/>
      <c r="AW331" s="21"/>
    </row>
    <row r="332" spans="1:49">
      <c r="A332" s="528"/>
      <c r="B332" s="531"/>
      <c r="C332" s="564"/>
      <c r="D332" s="537"/>
      <c r="E332" s="564"/>
      <c r="F332" s="571"/>
      <c r="G332" s="219"/>
      <c r="H332" s="173" t="s">
        <v>16</v>
      </c>
      <c r="I332" s="186"/>
      <c r="J332" s="187"/>
      <c r="K332" s="188"/>
      <c r="L332" s="186"/>
      <c r="M332" s="186"/>
      <c r="N332" s="186"/>
      <c r="O332" s="186"/>
      <c r="P332" s="186"/>
      <c r="Q332" s="187"/>
      <c r="R332" s="188"/>
      <c r="S332" s="189"/>
      <c r="T332" s="186"/>
      <c r="U332" s="186"/>
      <c r="V332" s="186"/>
      <c r="W332" s="186"/>
      <c r="X332" s="187"/>
      <c r="Y332" s="188"/>
      <c r="Z332" s="186"/>
      <c r="AA332" s="186"/>
      <c r="AB332" s="186"/>
      <c r="AC332" s="186"/>
      <c r="AD332" s="186"/>
      <c r="AE332" s="187"/>
      <c r="AF332" s="188"/>
      <c r="AG332" s="186"/>
      <c r="AH332" s="186"/>
      <c r="AI332" s="186"/>
      <c r="AJ332" s="186"/>
      <c r="AK332" s="189"/>
      <c r="AL332" s="217"/>
      <c r="AM332" s="171"/>
      <c r="AN332" s="196"/>
      <c r="AO332" s="196"/>
      <c r="AP332" s="196"/>
      <c r="AQ332" s="21"/>
      <c r="AR332" s="196"/>
      <c r="AS332" s="196"/>
      <c r="AT332" s="21"/>
      <c r="AU332" s="21"/>
      <c r="AV332" s="22"/>
      <c r="AW332" s="21"/>
    </row>
    <row r="333" spans="1:49">
      <c r="A333" s="528"/>
      <c r="B333" s="531"/>
      <c r="C333" s="564"/>
      <c r="D333" s="537"/>
      <c r="E333" s="564"/>
      <c r="F333" s="571"/>
      <c r="G333" s="219"/>
      <c r="H333" s="168" t="s">
        <v>29</v>
      </c>
      <c r="I333" s="186"/>
      <c r="J333" s="187"/>
      <c r="K333" s="188"/>
      <c r="L333" s="186"/>
      <c r="M333" s="186"/>
      <c r="N333" s="186"/>
      <c r="O333" s="227"/>
      <c r="P333" s="186">
        <f>$C$287*5</f>
        <v>25000</v>
      </c>
      <c r="Q333" s="187"/>
      <c r="R333" s="188"/>
      <c r="S333" s="189"/>
      <c r="T333" s="186"/>
      <c r="U333" s="186"/>
      <c r="V333" s="186"/>
      <c r="W333" s="186"/>
      <c r="X333" s="187"/>
      <c r="Y333" s="188"/>
      <c r="Z333" s="186">
        <f>$C$287*5</f>
        <v>25000</v>
      </c>
      <c r="AA333" s="186"/>
      <c r="AB333" s="186"/>
      <c r="AC333" s="186"/>
      <c r="AD333" s="186"/>
      <c r="AE333" s="187"/>
      <c r="AF333" s="188"/>
      <c r="AG333" s="186">
        <f>$C$287*5</f>
        <v>25000</v>
      </c>
      <c r="AH333" s="186"/>
      <c r="AI333" s="186"/>
      <c r="AJ333" s="186"/>
      <c r="AK333" s="189"/>
      <c r="AL333" s="217"/>
      <c r="AM333" s="171"/>
      <c r="AN333" s="196"/>
      <c r="AO333" s="196"/>
      <c r="AP333" s="196"/>
      <c r="AQ333" s="21"/>
      <c r="AR333" s="196"/>
      <c r="AS333" s="196"/>
      <c r="AT333" s="21"/>
      <c r="AU333" s="21"/>
      <c r="AV333" s="22"/>
      <c r="AW333" s="21"/>
    </row>
    <row r="334" spans="1:49">
      <c r="A334" s="528"/>
      <c r="B334" s="531"/>
      <c r="C334" s="564"/>
      <c r="D334" s="537"/>
      <c r="E334" s="564"/>
      <c r="F334" s="571"/>
      <c r="G334" s="219"/>
      <c r="H334" s="168" t="s">
        <v>30</v>
      </c>
      <c r="I334" s="186"/>
      <c r="J334" s="187"/>
      <c r="K334" s="188"/>
      <c r="L334" s="186"/>
      <c r="M334" s="186"/>
      <c r="N334" s="186"/>
      <c r="O334" s="186"/>
      <c r="P334" s="186"/>
      <c r="Q334" s="187"/>
      <c r="R334" s="188"/>
      <c r="S334" s="189"/>
      <c r="T334" s="186"/>
      <c r="U334" s="186"/>
      <c r="V334" s="186"/>
      <c r="W334" s="186"/>
      <c r="X334" s="187"/>
      <c r="Y334" s="188"/>
      <c r="Z334" s="186"/>
      <c r="AA334" s="186"/>
      <c r="AB334" s="186"/>
      <c r="AC334" s="186"/>
      <c r="AD334" s="186"/>
      <c r="AE334" s="187"/>
      <c r="AF334" s="188"/>
      <c r="AG334" s="186"/>
      <c r="AH334" s="186"/>
      <c r="AI334" s="186"/>
      <c r="AJ334" s="186"/>
      <c r="AK334" s="189"/>
      <c r="AL334" s="217"/>
      <c r="AM334" s="171"/>
      <c r="AN334" s="196"/>
      <c r="AO334" s="196"/>
      <c r="AP334" s="196"/>
      <c r="AQ334" s="21"/>
      <c r="AR334" s="196"/>
      <c r="AS334" s="196"/>
      <c r="AT334" s="21"/>
      <c r="AU334" s="21"/>
      <c r="AV334" s="22"/>
      <c r="AW334" s="21"/>
    </row>
    <row r="335" spans="1:49" ht="15.75" thickBot="1">
      <c r="A335" s="529"/>
      <c r="B335" s="532"/>
      <c r="C335" s="565"/>
      <c r="D335" s="538"/>
      <c r="E335" s="565"/>
      <c r="F335" s="614"/>
      <c r="G335" s="207"/>
      <c r="H335" s="272" t="s">
        <v>16</v>
      </c>
      <c r="I335" s="239"/>
      <c r="J335" s="240"/>
      <c r="K335" s="241"/>
      <c r="L335" s="239"/>
      <c r="M335" s="239"/>
      <c r="N335" s="239"/>
      <c r="O335" s="239"/>
      <c r="P335" s="239"/>
      <c r="Q335" s="240"/>
      <c r="R335" s="241"/>
      <c r="S335" s="242"/>
      <c r="T335" s="239"/>
      <c r="U335" s="239"/>
      <c r="V335" s="239"/>
      <c r="W335" s="239"/>
      <c r="X335" s="240"/>
      <c r="Y335" s="241"/>
      <c r="Z335" s="239"/>
      <c r="AA335" s="239"/>
      <c r="AB335" s="239"/>
      <c r="AC335" s="239"/>
      <c r="AD335" s="239"/>
      <c r="AE335" s="240"/>
      <c r="AF335" s="241"/>
      <c r="AG335" s="239"/>
      <c r="AH335" s="239"/>
      <c r="AI335" s="239"/>
      <c r="AJ335" s="239"/>
      <c r="AK335" s="242"/>
      <c r="AL335" s="262"/>
      <c r="AM335" s="263"/>
      <c r="AN335" s="196"/>
      <c r="AO335" s="196"/>
      <c r="AP335" s="196"/>
      <c r="AQ335" s="21"/>
      <c r="AR335" s="196"/>
      <c r="AS335" s="196"/>
      <c r="AT335" s="21"/>
      <c r="AU335" s="21"/>
      <c r="AV335" s="22"/>
      <c r="AW335" s="21"/>
    </row>
    <row r="336" spans="1:49">
      <c r="A336" s="309"/>
      <c r="B336" s="309"/>
      <c r="C336" s="310"/>
      <c r="D336" s="311"/>
      <c r="E336" s="310"/>
      <c r="F336" s="312"/>
      <c r="G336" s="313"/>
      <c r="H336" s="314"/>
      <c r="I336" s="315"/>
      <c r="J336" s="316"/>
      <c r="K336" s="317"/>
      <c r="L336" s="315"/>
      <c r="M336" s="315"/>
      <c r="N336" s="315"/>
      <c r="O336" s="315"/>
      <c r="P336" s="315"/>
      <c r="Q336" s="316"/>
      <c r="R336" s="317"/>
      <c r="S336" s="318"/>
      <c r="T336" s="315"/>
      <c r="U336" s="315"/>
      <c r="V336" s="315"/>
      <c r="W336" s="315"/>
      <c r="X336" s="316"/>
      <c r="Y336" s="317"/>
      <c r="Z336" s="315"/>
      <c r="AA336" s="315"/>
      <c r="AB336" s="315"/>
      <c r="AC336" s="315"/>
      <c r="AD336" s="315"/>
      <c r="AE336" s="316"/>
      <c r="AF336" s="317"/>
      <c r="AG336" s="315"/>
      <c r="AH336" s="315"/>
      <c r="AI336" s="315"/>
      <c r="AJ336" s="315"/>
      <c r="AK336" s="318"/>
      <c r="AL336" s="319"/>
      <c r="AM336" s="320"/>
      <c r="AN336" s="196"/>
      <c r="AO336" s="196"/>
      <c r="AP336" s="196"/>
      <c r="AQ336" s="21"/>
      <c r="AR336" s="196"/>
      <c r="AS336" s="196"/>
      <c r="AT336" s="21"/>
      <c r="AU336" s="21"/>
      <c r="AV336" s="22"/>
      <c r="AW336" s="21"/>
    </row>
    <row r="337" spans="10:46">
      <c r="J337" s="145"/>
      <c r="K337" s="145"/>
      <c r="L337" s="145"/>
      <c r="M337" s="145"/>
      <c r="N337" s="145"/>
      <c r="O337" s="145"/>
      <c r="P337" s="145"/>
      <c r="Q337" s="145"/>
      <c r="R337" s="145"/>
      <c r="S337" s="145"/>
      <c r="T337" s="145"/>
      <c r="U337" s="145"/>
      <c r="V337" s="145"/>
      <c r="W337" s="145"/>
      <c r="X337" s="145"/>
      <c r="Y337" s="145"/>
      <c r="Z337" s="145"/>
      <c r="AA337" s="145"/>
      <c r="AB337" s="145"/>
      <c r="AC337" s="145"/>
      <c r="AD337" s="145"/>
      <c r="AE337" s="145"/>
      <c r="AF337" s="145"/>
      <c r="AG337" s="145"/>
      <c r="AH337" s="145"/>
      <c r="AI337" s="145"/>
      <c r="AJ337" s="145"/>
      <c r="AK337" s="145"/>
      <c r="AL337" s="145"/>
      <c r="AM337" s="321"/>
      <c r="AN337" s="321"/>
      <c r="AO337" s="321"/>
      <c r="AP337" s="321"/>
      <c r="AQ337" s="321"/>
      <c r="AR337" s="321"/>
      <c r="AS337" s="321"/>
      <c r="AT337" s="321"/>
    </row>
    <row r="338" spans="10:46">
      <c r="J338" s="145"/>
      <c r="K338" s="145"/>
      <c r="L338" s="145"/>
      <c r="M338" s="145"/>
      <c r="N338" s="145"/>
      <c r="O338" s="145"/>
      <c r="P338" s="145"/>
      <c r="Q338" s="145"/>
      <c r="R338" s="145"/>
      <c r="S338" s="145"/>
      <c r="T338" s="145"/>
      <c r="U338" s="145"/>
      <c r="V338" s="145"/>
      <c r="W338" s="145"/>
      <c r="X338" s="145"/>
      <c r="Y338" s="145"/>
      <c r="Z338" s="145"/>
      <c r="AA338" s="145"/>
      <c r="AB338" s="145"/>
      <c r="AC338" s="145"/>
      <c r="AD338" s="145"/>
      <c r="AE338" s="145"/>
      <c r="AF338" s="145"/>
      <c r="AG338" s="145"/>
      <c r="AH338" s="145"/>
      <c r="AI338" s="145"/>
      <c r="AJ338" s="145"/>
      <c r="AK338" s="145"/>
      <c r="AL338" s="145"/>
      <c r="AM338" s="321"/>
      <c r="AN338" s="321"/>
      <c r="AO338" s="321"/>
      <c r="AP338" s="321"/>
      <c r="AQ338" s="321"/>
      <c r="AR338" s="321"/>
      <c r="AS338" s="321"/>
      <c r="AT338" s="321"/>
    </row>
    <row r="339" spans="10:46">
      <c r="J339" s="145"/>
      <c r="K339" s="145"/>
      <c r="L339" s="145"/>
      <c r="M339" s="145"/>
      <c r="N339" s="145"/>
      <c r="O339" s="145"/>
      <c r="P339" s="145"/>
      <c r="Q339" s="145"/>
      <c r="R339" s="145"/>
      <c r="S339" s="145"/>
      <c r="T339" s="145"/>
      <c r="U339" s="145"/>
      <c r="V339" s="145"/>
      <c r="W339" s="145"/>
      <c r="X339" s="145"/>
      <c r="Y339" s="145"/>
      <c r="Z339" s="145"/>
      <c r="AA339" s="145"/>
      <c r="AB339" s="145"/>
      <c r="AC339" s="145"/>
      <c r="AD339" s="145"/>
      <c r="AE339" s="145"/>
      <c r="AF339" s="145"/>
      <c r="AG339" s="145"/>
      <c r="AH339" s="145"/>
      <c r="AI339" s="145"/>
      <c r="AJ339" s="145"/>
      <c r="AK339" s="145"/>
      <c r="AL339" s="145"/>
      <c r="AM339" s="321"/>
      <c r="AN339" s="321"/>
      <c r="AO339" s="321"/>
      <c r="AP339" s="321"/>
      <c r="AQ339" s="321"/>
      <c r="AR339" s="321"/>
      <c r="AS339" s="321"/>
      <c r="AT339" s="321"/>
    </row>
    <row r="340" spans="10:46">
      <c r="J340" s="145"/>
      <c r="K340" s="145"/>
      <c r="L340" s="145"/>
      <c r="M340" s="145"/>
      <c r="N340" s="145"/>
      <c r="O340" s="145"/>
      <c r="P340" s="145"/>
      <c r="Q340" s="145"/>
      <c r="R340" s="145"/>
      <c r="S340" s="145"/>
      <c r="T340" s="145"/>
      <c r="U340" s="145"/>
      <c r="V340" s="145"/>
      <c r="W340" s="145"/>
      <c r="X340" s="145"/>
      <c r="Y340" s="145"/>
      <c r="Z340" s="145"/>
      <c r="AA340" s="145"/>
      <c r="AB340" s="145"/>
      <c r="AC340" s="145"/>
      <c r="AD340" s="145"/>
      <c r="AE340" s="145"/>
      <c r="AF340" s="145"/>
      <c r="AG340" s="145"/>
      <c r="AH340" s="145"/>
      <c r="AI340" s="145"/>
      <c r="AJ340" s="145"/>
      <c r="AK340" s="145"/>
      <c r="AL340" s="145"/>
      <c r="AM340" s="321"/>
      <c r="AN340" s="321"/>
      <c r="AO340" s="321"/>
      <c r="AP340" s="321"/>
      <c r="AQ340" s="321"/>
      <c r="AR340" s="321"/>
      <c r="AS340" s="321"/>
      <c r="AT340" s="321"/>
    </row>
    <row r="341" spans="10:46" ht="15.75" customHeight="1">
      <c r="J341" s="145"/>
      <c r="K341" s="145"/>
      <c r="L341" s="145"/>
      <c r="M341" s="145"/>
      <c r="N341" s="145"/>
      <c r="O341" s="145"/>
      <c r="P341" s="145"/>
      <c r="Q341" s="145"/>
      <c r="R341" s="145"/>
      <c r="S341" s="145"/>
      <c r="T341" s="145"/>
      <c r="U341" s="145"/>
      <c r="V341" s="145"/>
      <c r="W341" s="145"/>
      <c r="X341" s="145"/>
      <c r="Y341" s="145"/>
      <c r="Z341" s="145"/>
      <c r="AA341" s="145"/>
      <c r="AB341" s="145"/>
      <c r="AC341" s="145"/>
      <c r="AD341" s="145"/>
      <c r="AE341" s="145"/>
      <c r="AF341" s="145"/>
      <c r="AG341" s="145"/>
      <c r="AH341" s="145"/>
      <c r="AI341" s="145"/>
      <c r="AJ341" s="145"/>
      <c r="AK341" s="145"/>
      <c r="AL341" s="145"/>
      <c r="AM341" s="321"/>
      <c r="AN341" s="321"/>
      <c r="AO341" s="321"/>
      <c r="AP341" s="321"/>
      <c r="AQ341" s="321"/>
      <c r="AR341" s="321"/>
      <c r="AS341" s="321"/>
      <c r="AT341" s="321"/>
    </row>
    <row r="342" spans="10:46" ht="15.75" customHeight="1">
      <c r="J342" s="145"/>
      <c r="K342" s="145"/>
      <c r="L342" s="145"/>
      <c r="M342" s="145"/>
      <c r="N342" s="145"/>
      <c r="O342" s="145"/>
      <c r="P342" s="145"/>
      <c r="Q342" s="145"/>
      <c r="R342" s="145"/>
      <c r="S342" s="145"/>
      <c r="T342" s="145"/>
      <c r="U342" s="145"/>
      <c r="V342" s="145"/>
      <c r="W342" s="145"/>
      <c r="X342" s="145"/>
      <c r="Y342" s="145"/>
      <c r="Z342" s="145"/>
      <c r="AA342" s="145"/>
      <c r="AB342" s="145"/>
      <c r="AC342" s="145"/>
      <c r="AD342" s="145"/>
      <c r="AE342" s="145"/>
      <c r="AF342" s="145"/>
      <c r="AG342" s="145"/>
      <c r="AH342" s="145"/>
      <c r="AI342" s="145"/>
      <c r="AJ342" s="145"/>
      <c r="AK342" s="145"/>
      <c r="AL342" s="145"/>
      <c r="AM342" s="321"/>
      <c r="AN342" s="321"/>
      <c r="AO342" s="321"/>
      <c r="AP342" s="321"/>
      <c r="AQ342" s="321"/>
      <c r="AR342" s="321"/>
      <c r="AS342" s="321"/>
      <c r="AT342" s="321"/>
    </row>
    <row r="343" spans="10:46" ht="15.75" customHeight="1">
      <c r="J343" s="145"/>
      <c r="K343" s="145"/>
      <c r="L343" s="145"/>
      <c r="M343" s="145"/>
      <c r="N343" s="145"/>
      <c r="O343" s="145"/>
      <c r="P343" s="145"/>
      <c r="Q343" s="145"/>
      <c r="R343" s="145"/>
      <c r="S343" s="145"/>
      <c r="T343" s="145"/>
      <c r="U343" s="145"/>
      <c r="V343" s="145"/>
      <c r="W343" s="145"/>
      <c r="X343" s="145"/>
      <c r="Y343" s="145"/>
      <c r="Z343" s="145"/>
      <c r="AA343" s="145"/>
      <c r="AB343" s="145"/>
      <c r="AC343" s="145"/>
      <c r="AD343" s="145"/>
      <c r="AE343" s="145"/>
      <c r="AF343" s="145"/>
      <c r="AG343" s="145"/>
      <c r="AH343" s="145"/>
      <c r="AI343" s="145"/>
      <c r="AJ343" s="145"/>
      <c r="AK343" s="145"/>
      <c r="AL343" s="145"/>
      <c r="AM343" s="321"/>
      <c r="AN343" s="321"/>
      <c r="AO343" s="321"/>
      <c r="AP343" s="321"/>
      <c r="AQ343" s="321"/>
      <c r="AR343" s="321"/>
      <c r="AS343" s="321"/>
      <c r="AT343" s="321"/>
    </row>
    <row r="344" spans="10:46">
      <c r="J344" s="145"/>
      <c r="K344" s="145"/>
      <c r="L344" s="145"/>
      <c r="M344" s="145"/>
      <c r="N344" s="145"/>
      <c r="O344" s="145"/>
      <c r="P344" s="145"/>
      <c r="Q344" s="145"/>
      <c r="R344" s="145"/>
      <c r="S344" s="145"/>
      <c r="T344" s="145"/>
      <c r="U344" s="145"/>
      <c r="V344" s="145"/>
      <c r="W344" s="145"/>
      <c r="X344" s="145"/>
      <c r="Y344" s="145"/>
      <c r="Z344" s="145"/>
      <c r="AA344" s="145"/>
      <c r="AB344" s="145"/>
      <c r="AC344" s="145"/>
      <c r="AD344" s="145"/>
      <c r="AE344" s="145"/>
      <c r="AF344" s="145"/>
      <c r="AG344" s="145"/>
      <c r="AH344" s="145"/>
      <c r="AI344" s="145"/>
      <c r="AJ344" s="145"/>
      <c r="AK344" s="145"/>
      <c r="AL344" s="145"/>
      <c r="AM344" s="321"/>
      <c r="AN344" s="321"/>
      <c r="AO344" s="321"/>
      <c r="AP344" s="321"/>
      <c r="AQ344" s="321"/>
      <c r="AR344" s="321"/>
      <c r="AS344" s="321"/>
      <c r="AT344" s="321"/>
    </row>
    <row r="345" spans="10:46">
      <c r="J345" s="145"/>
      <c r="K345" s="145"/>
      <c r="L345" s="145"/>
      <c r="M345" s="145"/>
      <c r="N345" s="145"/>
      <c r="O345" s="145"/>
      <c r="P345" s="145"/>
      <c r="Q345" s="145"/>
      <c r="R345" s="145"/>
      <c r="S345" s="145"/>
      <c r="T345" s="145"/>
      <c r="U345" s="145"/>
      <c r="V345" s="145"/>
      <c r="W345" s="145"/>
      <c r="X345" s="145"/>
      <c r="Y345" s="145"/>
      <c r="Z345" s="145"/>
      <c r="AA345" s="145"/>
      <c r="AB345" s="145"/>
      <c r="AC345" s="145"/>
      <c r="AD345" s="145"/>
      <c r="AE345" s="145"/>
      <c r="AF345" s="145"/>
      <c r="AG345" s="145"/>
      <c r="AH345" s="145"/>
      <c r="AI345" s="145"/>
      <c r="AJ345" s="145"/>
      <c r="AK345" s="145"/>
      <c r="AL345" s="145"/>
      <c r="AM345" s="321"/>
      <c r="AN345" s="321"/>
      <c r="AO345" s="321"/>
      <c r="AP345" s="321"/>
      <c r="AQ345" s="321"/>
      <c r="AR345" s="321"/>
      <c r="AS345" s="321"/>
      <c r="AT345" s="321"/>
    </row>
    <row r="346" spans="10:46">
      <c r="J346" s="145"/>
      <c r="K346" s="145"/>
      <c r="L346" s="145"/>
      <c r="M346" s="145"/>
      <c r="N346" s="145"/>
      <c r="O346" s="145"/>
      <c r="P346" s="145"/>
      <c r="Q346" s="145"/>
      <c r="R346" s="145"/>
      <c r="S346" s="145"/>
      <c r="T346" s="145"/>
      <c r="U346" s="145"/>
      <c r="V346" s="145"/>
      <c r="W346" s="145"/>
      <c r="X346" s="145"/>
      <c r="Y346" s="145"/>
      <c r="Z346" s="145"/>
      <c r="AA346" s="145"/>
      <c r="AB346" s="145"/>
      <c r="AC346" s="145"/>
      <c r="AD346" s="145"/>
      <c r="AE346" s="145"/>
      <c r="AF346" s="145"/>
      <c r="AG346" s="145"/>
      <c r="AH346" s="145"/>
      <c r="AI346" s="145"/>
      <c r="AJ346" s="145"/>
      <c r="AK346" s="145"/>
      <c r="AL346" s="145"/>
      <c r="AM346" s="321"/>
      <c r="AN346" s="321"/>
      <c r="AO346" s="321"/>
      <c r="AP346" s="321"/>
      <c r="AQ346" s="321"/>
      <c r="AR346" s="321"/>
      <c r="AS346" s="321"/>
      <c r="AT346" s="321"/>
    </row>
    <row r="347" spans="10:46">
      <c r="J347" s="145"/>
      <c r="K347" s="145"/>
      <c r="L347" s="145"/>
      <c r="M347" s="145"/>
      <c r="N347" s="145"/>
      <c r="O347" s="145"/>
      <c r="P347" s="145"/>
      <c r="Q347" s="145"/>
      <c r="R347" s="145"/>
      <c r="S347" s="145"/>
      <c r="T347" s="145"/>
      <c r="U347" s="145"/>
      <c r="V347" s="145"/>
      <c r="W347" s="145"/>
      <c r="X347" s="145"/>
      <c r="Y347" s="145"/>
      <c r="Z347" s="145"/>
      <c r="AA347" s="145"/>
      <c r="AB347" s="145"/>
      <c r="AC347" s="145"/>
      <c r="AD347" s="145"/>
      <c r="AE347" s="145"/>
      <c r="AF347" s="145"/>
      <c r="AG347" s="145"/>
      <c r="AH347" s="145"/>
      <c r="AI347" s="145"/>
      <c r="AJ347" s="145"/>
      <c r="AK347" s="145"/>
      <c r="AL347" s="145"/>
      <c r="AM347" s="321"/>
      <c r="AN347" s="321"/>
      <c r="AO347" s="321"/>
      <c r="AP347" s="321"/>
      <c r="AQ347" s="321"/>
      <c r="AR347" s="321"/>
      <c r="AS347" s="321"/>
      <c r="AT347" s="321"/>
    </row>
    <row r="348" spans="10:46">
      <c r="J348" s="145"/>
      <c r="K348" s="145"/>
      <c r="L348" s="145"/>
      <c r="M348" s="145"/>
      <c r="N348" s="145"/>
      <c r="O348" s="145"/>
      <c r="P348" s="145"/>
      <c r="Q348" s="145"/>
      <c r="R348" s="145"/>
      <c r="S348" s="145"/>
      <c r="T348" s="145"/>
      <c r="U348" s="145"/>
      <c r="V348" s="145"/>
      <c r="W348" s="145"/>
      <c r="X348" s="145"/>
      <c r="Y348" s="145"/>
      <c r="Z348" s="145"/>
      <c r="AA348" s="145"/>
      <c r="AB348" s="145"/>
      <c r="AC348" s="145"/>
      <c r="AD348" s="145"/>
      <c r="AE348" s="145"/>
      <c r="AF348" s="145"/>
      <c r="AG348" s="145"/>
      <c r="AH348" s="145"/>
      <c r="AI348" s="145"/>
      <c r="AJ348" s="145"/>
      <c r="AK348" s="145"/>
      <c r="AL348" s="145"/>
      <c r="AM348" s="321"/>
      <c r="AN348" s="321"/>
      <c r="AO348" s="321"/>
      <c r="AP348" s="321"/>
      <c r="AQ348" s="321"/>
      <c r="AR348" s="321"/>
      <c r="AS348" s="321"/>
      <c r="AT348" s="321"/>
    </row>
    <row r="349" spans="10:46">
      <c r="J349" s="145"/>
      <c r="K349" s="145"/>
      <c r="L349" s="145"/>
      <c r="M349" s="145"/>
      <c r="N349" s="145"/>
      <c r="O349" s="145"/>
      <c r="P349" s="145"/>
      <c r="Q349" s="145"/>
      <c r="R349" s="145"/>
      <c r="S349" s="145"/>
      <c r="T349" s="145"/>
      <c r="U349" s="145"/>
      <c r="V349" s="145"/>
      <c r="W349" s="145"/>
      <c r="X349" s="145"/>
      <c r="Y349" s="145"/>
      <c r="Z349" s="145"/>
      <c r="AA349" s="145"/>
      <c r="AB349" s="145"/>
      <c r="AC349" s="145"/>
      <c r="AD349" s="145"/>
      <c r="AE349" s="145"/>
      <c r="AF349" s="145"/>
      <c r="AG349" s="145"/>
      <c r="AH349" s="145"/>
      <c r="AI349" s="145"/>
      <c r="AJ349" s="145"/>
      <c r="AK349" s="145"/>
      <c r="AL349" s="145"/>
      <c r="AM349" s="321"/>
      <c r="AN349" s="321"/>
      <c r="AO349" s="321"/>
      <c r="AP349" s="321"/>
      <c r="AQ349" s="321"/>
      <c r="AR349" s="321"/>
      <c r="AS349" s="321"/>
      <c r="AT349" s="321"/>
    </row>
    <row r="350" spans="10:46">
      <c r="J350" s="145"/>
      <c r="K350" s="145"/>
      <c r="L350" s="145"/>
      <c r="M350" s="145"/>
      <c r="N350" s="145"/>
      <c r="O350" s="145"/>
      <c r="P350" s="145"/>
      <c r="Q350" s="145"/>
      <c r="R350" s="145"/>
      <c r="S350" s="145"/>
      <c r="T350" s="145"/>
      <c r="U350" s="145"/>
      <c r="V350" s="145"/>
      <c r="W350" s="145"/>
      <c r="X350" s="145"/>
      <c r="Y350" s="145"/>
      <c r="Z350" s="145"/>
      <c r="AA350" s="145"/>
      <c r="AB350" s="145"/>
      <c r="AC350" s="145"/>
      <c r="AD350" s="145"/>
      <c r="AE350" s="145"/>
      <c r="AF350" s="145"/>
      <c r="AG350" s="145"/>
      <c r="AH350" s="145"/>
      <c r="AI350" s="145"/>
      <c r="AJ350" s="145"/>
      <c r="AK350" s="145"/>
      <c r="AL350" s="145"/>
      <c r="AM350" s="321"/>
      <c r="AN350" s="321"/>
      <c r="AO350" s="321"/>
      <c r="AP350" s="321"/>
      <c r="AQ350" s="321"/>
      <c r="AR350" s="321"/>
      <c r="AS350" s="321"/>
      <c r="AT350" s="321"/>
    </row>
    <row r="351" spans="10:46">
      <c r="J351" s="145"/>
      <c r="K351" s="145"/>
      <c r="L351" s="145"/>
      <c r="M351" s="145"/>
      <c r="N351" s="145"/>
      <c r="O351" s="145"/>
      <c r="P351" s="145"/>
      <c r="Q351" s="145"/>
      <c r="R351" s="145"/>
      <c r="S351" s="145"/>
      <c r="T351" s="145"/>
      <c r="U351" s="145"/>
      <c r="V351" s="145"/>
      <c r="W351" s="145"/>
      <c r="X351" s="145"/>
      <c r="Y351" s="145"/>
      <c r="Z351" s="145"/>
      <c r="AA351" s="145"/>
      <c r="AB351" s="145"/>
      <c r="AC351" s="145"/>
      <c r="AD351" s="145"/>
      <c r="AE351" s="145"/>
      <c r="AF351" s="145"/>
      <c r="AG351" s="145"/>
      <c r="AH351" s="145"/>
      <c r="AI351" s="145"/>
      <c r="AJ351" s="145"/>
      <c r="AK351" s="145"/>
      <c r="AL351" s="145"/>
      <c r="AM351" s="321"/>
      <c r="AN351" s="321"/>
      <c r="AO351" s="321"/>
      <c r="AP351" s="321"/>
      <c r="AQ351" s="321"/>
      <c r="AR351" s="321"/>
      <c r="AS351" s="321"/>
      <c r="AT351" s="321"/>
    </row>
    <row r="352" spans="10:46">
      <c r="J352" s="145"/>
      <c r="K352" s="145"/>
      <c r="L352" s="145"/>
      <c r="M352" s="145"/>
      <c r="N352" s="145"/>
      <c r="O352" s="145"/>
      <c r="P352" s="145"/>
      <c r="Q352" s="145"/>
      <c r="R352" s="145"/>
      <c r="S352" s="145"/>
      <c r="T352" s="145"/>
      <c r="U352" s="145"/>
      <c r="V352" s="145"/>
      <c r="W352" s="145"/>
      <c r="X352" s="145"/>
      <c r="Y352" s="145"/>
      <c r="Z352" s="145"/>
      <c r="AA352" s="145"/>
      <c r="AB352" s="145"/>
      <c r="AC352" s="145"/>
      <c r="AD352" s="145"/>
      <c r="AE352" s="145"/>
      <c r="AF352" s="145"/>
      <c r="AG352" s="145"/>
      <c r="AH352" s="145"/>
      <c r="AI352" s="145"/>
      <c r="AJ352" s="145"/>
      <c r="AK352" s="145"/>
      <c r="AL352" s="145"/>
      <c r="AM352" s="321"/>
      <c r="AN352" s="321"/>
      <c r="AO352" s="321"/>
      <c r="AP352" s="321"/>
      <c r="AQ352" s="321"/>
      <c r="AR352" s="321"/>
      <c r="AS352" s="321"/>
      <c r="AT352" s="321"/>
    </row>
    <row r="353" spans="10:46">
      <c r="J353" s="145"/>
      <c r="K353" s="145"/>
      <c r="L353" s="145"/>
      <c r="M353" s="145"/>
      <c r="N353" s="145"/>
      <c r="O353" s="145"/>
      <c r="P353" s="145"/>
      <c r="Q353" s="145"/>
      <c r="R353" s="145"/>
      <c r="S353" s="145"/>
      <c r="T353" s="145"/>
      <c r="U353" s="145"/>
      <c r="V353" s="145"/>
      <c r="W353" s="145"/>
      <c r="X353" s="145"/>
      <c r="Y353" s="145"/>
      <c r="Z353" s="145"/>
      <c r="AA353" s="145"/>
      <c r="AB353" s="145"/>
      <c r="AC353" s="145"/>
      <c r="AD353" s="145"/>
      <c r="AE353" s="145"/>
      <c r="AF353" s="145"/>
      <c r="AG353" s="145"/>
      <c r="AH353" s="145"/>
      <c r="AI353" s="145"/>
      <c r="AJ353" s="145"/>
      <c r="AK353" s="145"/>
      <c r="AL353" s="145"/>
      <c r="AM353" s="321"/>
      <c r="AN353" s="321"/>
      <c r="AO353" s="321"/>
      <c r="AP353" s="321"/>
      <c r="AQ353" s="321"/>
      <c r="AR353" s="321"/>
      <c r="AS353" s="321"/>
      <c r="AT353" s="321"/>
    </row>
    <row r="354" spans="10:46">
      <c r="J354" s="145"/>
      <c r="K354" s="145"/>
      <c r="L354" s="145"/>
      <c r="M354" s="145"/>
      <c r="N354" s="145"/>
      <c r="O354" s="145"/>
      <c r="P354" s="145"/>
      <c r="Q354" s="145"/>
      <c r="R354" s="145"/>
      <c r="S354" s="145"/>
      <c r="T354" s="145"/>
      <c r="U354" s="145"/>
      <c r="V354" s="145"/>
      <c r="W354" s="145"/>
      <c r="X354" s="145"/>
      <c r="Y354" s="145"/>
      <c r="Z354" s="145"/>
      <c r="AA354" s="145"/>
      <c r="AB354" s="145"/>
      <c r="AC354" s="145"/>
      <c r="AD354" s="145"/>
      <c r="AE354" s="145"/>
      <c r="AF354" s="145"/>
      <c r="AG354" s="145"/>
      <c r="AH354" s="145"/>
      <c r="AI354" s="145"/>
      <c r="AJ354" s="145"/>
      <c r="AK354" s="145"/>
      <c r="AL354" s="145"/>
      <c r="AM354" s="321"/>
      <c r="AN354" s="321"/>
      <c r="AO354" s="321"/>
      <c r="AP354" s="321"/>
      <c r="AQ354" s="321"/>
      <c r="AR354" s="321"/>
      <c r="AS354" s="321"/>
      <c r="AT354" s="321"/>
    </row>
    <row r="355" spans="10:46">
      <c r="J355" s="145"/>
      <c r="K355" s="145"/>
      <c r="L355" s="145"/>
      <c r="M355" s="145"/>
      <c r="N355" s="145"/>
      <c r="O355" s="145"/>
      <c r="P355" s="145"/>
      <c r="Q355" s="145"/>
      <c r="R355" s="145"/>
      <c r="S355" s="145"/>
      <c r="T355" s="145"/>
      <c r="U355" s="145"/>
      <c r="V355" s="145"/>
      <c r="W355" s="145"/>
      <c r="X355" s="145"/>
      <c r="Y355" s="145"/>
      <c r="Z355" s="145"/>
      <c r="AA355" s="145"/>
      <c r="AB355" s="145"/>
      <c r="AC355" s="145"/>
      <c r="AD355" s="145"/>
      <c r="AE355" s="145"/>
      <c r="AF355" s="145"/>
      <c r="AG355" s="145"/>
      <c r="AH355" s="145"/>
      <c r="AI355" s="145"/>
      <c r="AJ355" s="145"/>
      <c r="AK355" s="145"/>
      <c r="AL355" s="145"/>
      <c r="AM355" s="321"/>
      <c r="AN355" s="321"/>
      <c r="AO355" s="321"/>
      <c r="AP355" s="321"/>
      <c r="AQ355" s="321"/>
      <c r="AR355" s="321"/>
      <c r="AS355" s="321"/>
      <c r="AT355" s="321"/>
    </row>
    <row r="356" spans="10:46">
      <c r="J356" s="145"/>
      <c r="K356" s="145"/>
      <c r="L356" s="145"/>
      <c r="M356" s="145"/>
      <c r="N356" s="145"/>
      <c r="O356" s="145"/>
      <c r="P356" s="145"/>
      <c r="Q356" s="145"/>
      <c r="R356" s="145"/>
      <c r="S356" s="145"/>
      <c r="T356" s="145"/>
      <c r="U356" s="145"/>
      <c r="V356" s="145"/>
      <c r="W356" s="145"/>
      <c r="X356" s="145"/>
      <c r="Y356" s="145"/>
      <c r="Z356" s="145"/>
      <c r="AA356" s="145"/>
      <c r="AB356" s="145"/>
      <c r="AC356" s="145"/>
      <c r="AD356" s="145"/>
      <c r="AE356" s="145"/>
      <c r="AF356" s="145"/>
      <c r="AG356" s="145"/>
      <c r="AH356" s="145"/>
      <c r="AI356" s="145"/>
      <c r="AJ356" s="145"/>
      <c r="AK356" s="145"/>
      <c r="AL356" s="145"/>
      <c r="AM356" s="321"/>
      <c r="AN356" s="321"/>
      <c r="AO356" s="321"/>
      <c r="AP356" s="321"/>
      <c r="AQ356" s="321"/>
      <c r="AR356" s="321"/>
      <c r="AS356" s="321"/>
      <c r="AT356" s="321"/>
    </row>
    <row r="357" spans="10:46">
      <c r="J357" s="145"/>
      <c r="K357" s="145"/>
      <c r="L357" s="145"/>
      <c r="M357" s="145"/>
      <c r="N357" s="145"/>
      <c r="O357" s="145"/>
      <c r="P357" s="145"/>
      <c r="Q357" s="145"/>
      <c r="R357" s="145"/>
      <c r="S357" s="145"/>
      <c r="T357" s="145"/>
      <c r="U357" s="145"/>
      <c r="V357" s="145"/>
      <c r="W357" s="145"/>
      <c r="X357" s="145"/>
      <c r="Y357" s="145"/>
      <c r="Z357" s="145"/>
      <c r="AA357" s="145"/>
      <c r="AB357" s="145"/>
      <c r="AC357" s="145"/>
      <c r="AD357" s="145"/>
      <c r="AE357" s="145"/>
      <c r="AF357" s="145"/>
      <c r="AG357" s="145"/>
      <c r="AH357" s="145"/>
      <c r="AI357" s="145"/>
      <c r="AJ357" s="145"/>
      <c r="AK357" s="145"/>
      <c r="AL357" s="145"/>
      <c r="AM357" s="321"/>
      <c r="AN357" s="321"/>
      <c r="AO357" s="321"/>
      <c r="AP357" s="321"/>
      <c r="AQ357" s="321"/>
      <c r="AR357" s="321"/>
      <c r="AS357" s="321"/>
      <c r="AT357" s="321"/>
    </row>
    <row r="358" spans="10:46">
      <c r="J358" s="145"/>
      <c r="K358" s="145"/>
      <c r="L358" s="145"/>
      <c r="M358" s="145"/>
      <c r="N358" s="145"/>
      <c r="O358" s="145"/>
      <c r="P358" s="145"/>
      <c r="Q358" s="145"/>
      <c r="R358" s="145"/>
      <c r="S358" s="145"/>
      <c r="T358" s="145"/>
      <c r="U358" s="145"/>
      <c r="V358" s="145"/>
      <c r="W358" s="145"/>
      <c r="X358" s="145"/>
      <c r="Y358" s="145"/>
      <c r="Z358" s="145"/>
      <c r="AA358" s="145"/>
      <c r="AB358" s="145"/>
      <c r="AC358" s="145"/>
      <c r="AD358" s="145"/>
      <c r="AE358" s="145"/>
      <c r="AF358" s="145"/>
      <c r="AG358" s="145"/>
      <c r="AH358" s="145"/>
      <c r="AI358" s="145"/>
      <c r="AJ358" s="145"/>
      <c r="AK358" s="145"/>
      <c r="AL358" s="145"/>
      <c r="AM358" s="321"/>
      <c r="AN358" s="321"/>
      <c r="AO358" s="321"/>
      <c r="AP358" s="321"/>
      <c r="AQ358" s="321"/>
      <c r="AR358" s="321"/>
      <c r="AS358" s="321"/>
      <c r="AT358" s="321"/>
    </row>
    <row r="359" spans="10:46">
      <c r="J359" s="145"/>
      <c r="K359" s="145"/>
      <c r="L359" s="145"/>
      <c r="M359" s="145"/>
      <c r="N359" s="145"/>
      <c r="O359" s="145"/>
      <c r="P359" s="145"/>
      <c r="Q359" s="145"/>
      <c r="R359" s="145"/>
      <c r="S359" s="145"/>
      <c r="T359" s="145"/>
      <c r="U359" s="145"/>
      <c r="V359" s="145"/>
      <c r="W359" s="145"/>
      <c r="X359" s="145"/>
      <c r="Y359" s="145"/>
      <c r="Z359" s="145"/>
      <c r="AA359" s="145"/>
      <c r="AB359" s="145"/>
      <c r="AC359" s="145"/>
      <c r="AD359" s="145"/>
      <c r="AE359" s="145"/>
      <c r="AF359" s="145"/>
      <c r="AG359" s="145"/>
      <c r="AH359" s="145"/>
      <c r="AI359" s="145"/>
      <c r="AJ359" s="145"/>
      <c r="AK359" s="145"/>
      <c r="AL359" s="145"/>
      <c r="AM359" s="321"/>
      <c r="AN359" s="321"/>
      <c r="AO359" s="321"/>
      <c r="AP359" s="321"/>
      <c r="AQ359" s="321"/>
      <c r="AR359" s="321"/>
      <c r="AS359" s="321"/>
      <c r="AT359" s="321"/>
    </row>
    <row r="360" spans="10:46">
      <c r="J360" s="145"/>
      <c r="K360" s="145"/>
      <c r="L360" s="145"/>
      <c r="M360" s="145"/>
      <c r="N360" s="145"/>
      <c r="O360" s="145"/>
      <c r="P360" s="145"/>
      <c r="Q360" s="145"/>
      <c r="R360" s="145"/>
      <c r="S360" s="145"/>
      <c r="T360" s="145"/>
      <c r="U360" s="145"/>
      <c r="V360" s="145"/>
      <c r="W360" s="145"/>
      <c r="X360" s="145"/>
      <c r="Y360" s="145"/>
      <c r="Z360" s="145"/>
      <c r="AA360" s="145"/>
      <c r="AB360" s="145"/>
      <c r="AC360" s="145"/>
      <c r="AD360" s="145"/>
      <c r="AE360" s="145"/>
      <c r="AF360" s="145"/>
      <c r="AG360" s="145"/>
      <c r="AH360" s="145"/>
      <c r="AI360" s="145"/>
      <c r="AJ360" s="145"/>
      <c r="AK360" s="145"/>
      <c r="AL360" s="145"/>
      <c r="AM360" s="321"/>
      <c r="AN360" s="321"/>
      <c r="AO360" s="321"/>
      <c r="AP360" s="321"/>
      <c r="AQ360" s="321"/>
      <c r="AR360" s="321"/>
      <c r="AS360" s="321"/>
      <c r="AT360" s="321"/>
    </row>
    <row r="361" spans="10:46">
      <c r="J361" s="145"/>
      <c r="K361" s="145"/>
      <c r="L361" s="145"/>
      <c r="M361" s="145"/>
      <c r="N361" s="145"/>
      <c r="O361" s="145"/>
      <c r="P361" s="145"/>
      <c r="Q361" s="145"/>
      <c r="R361" s="145"/>
      <c r="S361" s="145"/>
      <c r="T361" s="145"/>
      <c r="U361" s="145"/>
      <c r="V361" s="145"/>
      <c r="W361" s="145"/>
      <c r="X361" s="145"/>
      <c r="Y361" s="145"/>
      <c r="Z361" s="145"/>
      <c r="AA361" s="145"/>
      <c r="AB361" s="145"/>
      <c r="AC361" s="145"/>
      <c r="AD361" s="145"/>
      <c r="AE361" s="145"/>
      <c r="AF361" s="145"/>
      <c r="AG361" s="145"/>
      <c r="AH361" s="145"/>
      <c r="AI361" s="145"/>
      <c r="AJ361" s="145"/>
      <c r="AK361" s="145"/>
      <c r="AL361" s="145"/>
      <c r="AM361" s="321"/>
      <c r="AN361" s="321"/>
      <c r="AO361" s="321"/>
      <c r="AP361" s="321"/>
      <c r="AQ361" s="321"/>
      <c r="AR361" s="321"/>
      <c r="AS361" s="321"/>
      <c r="AT361" s="321"/>
    </row>
    <row r="362" spans="10:46">
      <c r="J362" s="145"/>
      <c r="K362" s="145"/>
      <c r="L362" s="145"/>
      <c r="M362" s="145"/>
      <c r="N362" s="145"/>
      <c r="O362" s="145"/>
      <c r="P362" s="145"/>
      <c r="Q362" s="145"/>
      <c r="R362" s="145"/>
      <c r="S362" s="145"/>
      <c r="T362" s="145"/>
      <c r="U362" s="145"/>
      <c r="V362" s="145"/>
      <c r="W362" s="145"/>
      <c r="X362" s="145"/>
      <c r="Y362" s="145"/>
      <c r="Z362" s="145"/>
      <c r="AA362" s="145"/>
      <c r="AB362" s="145"/>
      <c r="AC362" s="145"/>
      <c r="AD362" s="145"/>
      <c r="AE362" s="145"/>
      <c r="AF362" s="145"/>
      <c r="AG362" s="145"/>
      <c r="AH362" s="145"/>
      <c r="AI362" s="145"/>
      <c r="AJ362" s="145"/>
      <c r="AK362" s="145"/>
      <c r="AL362" s="145"/>
      <c r="AM362" s="321"/>
      <c r="AN362" s="321"/>
      <c r="AO362" s="321"/>
      <c r="AP362" s="321"/>
      <c r="AQ362" s="321"/>
      <c r="AR362" s="321"/>
      <c r="AS362" s="321"/>
      <c r="AT362" s="321"/>
    </row>
    <row r="363" spans="10:46">
      <c r="J363" s="145"/>
      <c r="K363" s="145"/>
      <c r="L363" s="145"/>
      <c r="M363" s="145"/>
      <c r="N363" s="145"/>
      <c r="O363" s="145"/>
      <c r="P363" s="145"/>
      <c r="Q363" s="145"/>
      <c r="R363" s="145"/>
      <c r="S363" s="145"/>
      <c r="T363" s="145"/>
      <c r="U363" s="145"/>
      <c r="V363" s="145"/>
      <c r="W363" s="145"/>
      <c r="X363" s="145"/>
      <c r="Y363" s="145"/>
      <c r="Z363" s="145"/>
      <c r="AA363" s="145"/>
      <c r="AB363" s="145"/>
      <c r="AC363" s="145"/>
      <c r="AD363" s="145"/>
      <c r="AE363" s="145"/>
      <c r="AF363" s="145"/>
      <c r="AG363" s="145"/>
      <c r="AH363" s="145"/>
      <c r="AI363" s="145"/>
      <c r="AJ363" s="145"/>
      <c r="AK363" s="145"/>
      <c r="AL363" s="145"/>
      <c r="AM363" s="321"/>
      <c r="AN363" s="321"/>
      <c r="AO363" s="321"/>
      <c r="AP363" s="321"/>
      <c r="AQ363" s="321"/>
      <c r="AR363" s="321"/>
      <c r="AS363" s="321"/>
      <c r="AT363" s="321"/>
    </row>
    <row r="364" spans="10:46">
      <c r="J364" s="145"/>
      <c r="K364" s="145"/>
      <c r="L364" s="145"/>
      <c r="M364" s="145"/>
      <c r="N364" s="145"/>
      <c r="O364" s="145"/>
      <c r="P364" s="145"/>
      <c r="Q364" s="145"/>
      <c r="R364" s="145"/>
      <c r="S364" s="145"/>
      <c r="T364" s="145"/>
      <c r="U364" s="145"/>
      <c r="V364" s="145"/>
      <c r="W364" s="145"/>
      <c r="X364" s="145"/>
      <c r="Y364" s="145"/>
      <c r="Z364" s="145"/>
      <c r="AA364" s="145"/>
      <c r="AB364" s="145"/>
      <c r="AC364" s="145"/>
      <c r="AD364" s="145"/>
      <c r="AE364" s="145"/>
      <c r="AF364" s="145"/>
      <c r="AG364" s="145"/>
      <c r="AH364" s="145"/>
      <c r="AI364" s="145"/>
      <c r="AJ364" s="145"/>
      <c r="AK364" s="145"/>
      <c r="AL364" s="145"/>
      <c r="AM364" s="321"/>
      <c r="AN364" s="321"/>
      <c r="AO364" s="321"/>
      <c r="AP364" s="321"/>
      <c r="AQ364" s="321"/>
      <c r="AR364" s="321"/>
      <c r="AS364" s="321"/>
      <c r="AT364" s="321"/>
    </row>
    <row r="365" spans="10:46">
      <c r="J365" s="145"/>
      <c r="K365" s="145"/>
      <c r="L365" s="145"/>
      <c r="M365" s="145"/>
      <c r="N365" s="145"/>
      <c r="O365" s="145"/>
      <c r="P365" s="145"/>
      <c r="Q365" s="145"/>
      <c r="R365" s="145"/>
      <c r="S365" s="145"/>
      <c r="T365" s="145"/>
      <c r="U365" s="145"/>
      <c r="V365" s="145"/>
      <c r="W365" s="145"/>
      <c r="X365" s="145"/>
      <c r="Y365" s="145"/>
      <c r="Z365" s="145"/>
      <c r="AA365" s="145"/>
      <c r="AB365" s="145"/>
      <c r="AC365" s="145"/>
      <c r="AD365" s="145"/>
      <c r="AE365" s="145"/>
      <c r="AF365" s="145"/>
      <c r="AG365" s="145"/>
      <c r="AH365" s="145"/>
      <c r="AI365" s="145"/>
      <c r="AJ365" s="145"/>
      <c r="AK365" s="145"/>
      <c r="AL365" s="145"/>
      <c r="AM365" s="321"/>
      <c r="AN365" s="321"/>
      <c r="AO365" s="321"/>
      <c r="AP365" s="321"/>
      <c r="AQ365" s="321"/>
      <c r="AR365" s="321"/>
      <c r="AS365" s="321"/>
      <c r="AT365" s="321"/>
    </row>
    <row r="366" spans="10:46">
      <c r="J366" s="145"/>
      <c r="K366" s="145"/>
      <c r="L366" s="145"/>
      <c r="M366" s="145"/>
      <c r="N366" s="145"/>
      <c r="O366" s="145"/>
      <c r="P366" s="145"/>
      <c r="Q366" s="145"/>
      <c r="R366" s="145"/>
      <c r="S366" s="145"/>
      <c r="T366" s="145"/>
      <c r="U366" s="145"/>
      <c r="V366" s="145"/>
      <c r="W366" s="145"/>
      <c r="X366" s="145"/>
      <c r="Y366" s="145"/>
      <c r="Z366" s="145"/>
      <c r="AA366" s="145"/>
      <c r="AB366" s="145"/>
      <c r="AC366" s="145"/>
      <c r="AD366" s="145"/>
      <c r="AE366" s="145"/>
      <c r="AF366" s="145"/>
      <c r="AG366" s="145"/>
      <c r="AH366" s="145"/>
      <c r="AI366" s="145"/>
      <c r="AJ366" s="145"/>
      <c r="AK366" s="145"/>
      <c r="AL366" s="145"/>
      <c r="AM366" s="321"/>
      <c r="AN366" s="321"/>
      <c r="AO366" s="321"/>
      <c r="AP366" s="321"/>
      <c r="AQ366" s="321"/>
      <c r="AR366" s="321"/>
      <c r="AS366" s="321"/>
      <c r="AT366" s="321"/>
    </row>
    <row r="367" spans="10:46">
      <c r="J367" s="145"/>
      <c r="K367" s="145"/>
      <c r="L367" s="145"/>
      <c r="M367" s="145"/>
      <c r="N367" s="145"/>
      <c r="O367" s="145"/>
      <c r="P367" s="145"/>
      <c r="Q367" s="145"/>
      <c r="R367" s="145"/>
      <c r="S367" s="145"/>
      <c r="T367" s="145"/>
      <c r="U367" s="145"/>
      <c r="V367" s="145"/>
      <c r="W367" s="145"/>
      <c r="X367" s="145"/>
      <c r="Y367" s="145"/>
      <c r="Z367" s="145"/>
      <c r="AA367" s="145"/>
      <c r="AB367" s="145"/>
      <c r="AC367" s="145"/>
      <c r="AD367" s="145"/>
      <c r="AE367" s="145"/>
      <c r="AF367" s="145"/>
      <c r="AG367" s="145"/>
      <c r="AH367" s="145"/>
      <c r="AI367" s="145"/>
      <c r="AJ367" s="145"/>
      <c r="AK367" s="145"/>
      <c r="AL367" s="145"/>
      <c r="AM367" s="321"/>
      <c r="AN367" s="321"/>
      <c r="AO367" s="321"/>
      <c r="AP367" s="321"/>
      <c r="AQ367" s="321"/>
      <c r="AR367" s="321"/>
      <c r="AS367" s="321"/>
      <c r="AT367" s="321"/>
    </row>
    <row r="368" spans="10:46">
      <c r="J368" s="145"/>
      <c r="K368" s="145"/>
      <c r="L368" s="145"/>
      <c r="M368" s="145"/>
      <c r="N368" s="145"/>
      <c r="O368" s="145"/>
      <c r="P368" s="145"/>
      <c r="Q368" s="145"/>
      <c r="R368" s="145"/>
      <c r="S368" s="145"/>
      <c r="T368" s="145"/>
      <c r="U368" s="145"/>
      <c r="V368" s="145"/>
      <c r="W368" s="145"/>
      <c r="X368" s="145"/>
      <c r="Y368" s="145"/>
      <c r="Z368" s="145"/>
      <c r="AA368" s="145"/>
      <c r="AB368" s="145"/>
      <c r="AC368" s="145"/>
      <c r="AD368" s="145"/>
      <c r="AE368" s="145"/>
      <c r="AF368" s="145"/>
      <c r="AG368" s="145"/>
      <c r="AH368" s="145"/>
      <c r="AI368" s="145"/>
      <c r="AJ368" s="145"/>
      <c r="AK368" s="145"/>
      <c r="AL368" s="145"/>
      <c r="AM368" s="321"/>
      <c r="AN368" s="321"/>
      <c r="AO368" s="321"/>
      <c r="AP368" s="321"/>
      <c r="AQ368" s="321"/>
      <c r="AR368" s="321"/>
      <c r="AS368" s="321"/>
      <c r="AT368" s="321"/>
    </row>
    <row r="369" spans="10:46">
      <c r="J369" s="145"/>
      <c r="K369" s="145"/>
      <c r="L369" s="145"/>
      <c r="M369" s="145"/>
      <c r="N369" s="145"/>
      <c r="O369" s="145"/>
      <c r="P369" s="145"/>
      <c r="Q369" s="145"/>
      <c r="R369" s="145"/>
      <c r="S369" s="145"/>
      <c r="T369" s="145"/>
      <c r="U369" s="145"/>
      <c r="V369" s="145"/>
      <c r="W369" s="145"/>
      <c r="X369" s="145"/>
      <c r="Y369" s="145"/>
      <c r="Z369" s="145"/>
      <c r="AA369" s="145"/>
      <c r="AB369" s="145"/>
      <c r="AC369" s="145"/>
      <c r="AD369" s="145"/>
      <c r="AE369" s="145"/>
      <c r="AF369" s="145"/>
      <c r="AG369" s="145"/>
      <c r="AH369" s="145"/>
      <c r="AI369" s="145"/>
      <c r="AJ369" s="145"/>
      <c r="AK369" s="145"/>
      <c r="AL369" s="145"/>
      <c r="AM369" s="321"/>
      <c r="AN369" s="321"/>
      <c r="AO369" s="321"/>
      <c r="AP369" s="321"/>
      <c r="AQ369" s="321"/>
      <c r="AR369" s="321"/>
      <c r="AS369" s="321"/>
      <c r="AT369" s="321"/>
    </row>
    <row r="370" spans="10:46">
      <c r="J370" s="145"/>
      <c r="K370" s="145"/>
      <c r="L370" s="145"/>
      <c r="M370" s="145"/>
      <c r="N370" s="145"/>
      <c r="O370" s="145"/>
      <c r="P370" s="145"/>
      <c r="Q370" s="145"/>
      <c r="R370" s="145"/>
      <c r="S370" s="145"/>
      <c r="T370" s="145"/>
      <c r="U370" s="145"/>
      <c r="V370" s="145"/>
      <c r="W370" s="145"/>
      <c r="X370" s="145"/>
      <c r="Y370" s="145"/>
      <c r="Z370" s="145"/>
      <c r="AA370" s="145"/>
      <c r="AB370" s="145"/>
      <c r="AC370" s="145"/>
      <c r="AD370" s="145"/>
      <c r="AE370" s="145"/>
      <c r="AF370" s="145"/>
      <c r="AG370" s="145"/>
      <c r="AH370" s="145"/>
      <c r="AI370" s="145"/>
      <c r="AJ370" s="145"/>
      <c r="AK370" s="145"/>
      <c r="AL370" s="145"/>
      <c r="AM370" s="321"/>
      <c r="AN370" s="321"/>
      <c r="AO370" s="321"/>
      <c r="AP370" s="321"/>
      <c r="AQ370" s="321"/>
      <c r="AR370" s="321"/>
      <c r="AS370" s="321"/>
      <c r="AT370" s="321"/>
    </row>
    <row r="371" spans="10:46">
      <c r="J371" s="145"/>
      <c r="K371" s="145"/>
      <c r="L371" s="145"/>
      <c r="M371" s="145"/>
      <c r="N371" s="145"/>
      <c r="O371" s="145"/>
      <c r="P371" s="145"/>
      <c r="Q371" s="145"/>
      <c r="R371" s="145"/>
      <c r="S371" s="145"/>
      <c r="T371" s="145"/>
      <c r="U371" s="145"/>
      <c r="V371" s="145"/>
      <c r="W371" s="145"/>
      <c r="X371" s="145"/>
      <c r="Y371" s="145"/>
      <c r="Z371" s="145"/>
      <c r="AA371" s="145"/>
      <c r="AB371" s="145"/>
      <c r="AC371" s="145"/>
      <c r="AD371" s="145"/>
      <c r="AE371" s="145"/>
      <c r="AF371" s="145"/>
      <c r="AG371" s="145"/>
      <c r="AH371" s="145"/>
      <c r="AI371" s="145"/>
      <c r="AJ371" s="145"/>
      <c r="AK371" s="145"/>
      <c r="AL371" s="145"/>
      <c r="AM371" s="321"/>
      <c r="AN371" s="321"/>
      <c r="AO371" s="321"/>
      <c r="AP371" s="321"/>
      <c r="AQ371" s="321"/>
      <c r="AR371" s="321"/>
      <c r="AS371" s="321"/>
      <c r="AT371" s="321"/>
    </row>
    <row r="372" spans="10:46">
      <c r="J372" s="145"/>
      <c r="K372" s="145"/>
      <c r="L372" s="145"/>
      <c r="M372" s="145"/>
      <c r="N372" s="145"/>
      <c r="O372" s="145"/>
      <c r="P372" s="145"/>
      <c r="Q372" s="145"/>
      <c r="R372" s="145"/>
      <c r="S372" s="145"/>
      <c r="T372" s="145"/>
      <c r="U372" s="145"/>
      <c r="V372" s="145"/>
      <c r="W372" s="145"/>
      <c r="X372" s="145"/>
      <c r="Y372" s="145"/>
      <c r="Z372" s="145"/>
      <c r="AA372" s="145"/>
      <c r="AB372" s="145"/>
      <c r="AC372" s="145"/>
      <c r="AD372" s="145"/>
      <c r="AE372" s="145"/>
      <c r="AF372" s="145"/>
      <c r="AG372" s="145"/>
      <c r="AH372" s="145"/>
      <c r="AI372" s="145"/>
      <c r="AJ372" s="145"/>
      <c r="AK372" s="145"/>
      <c r="AL372" s="145"/>
      <c r="AM372" s="321"/>
      <c r="AN372" s="321"/>
      <c r="AO372" s="321"/>
      <c r="AP372" s="321"/>
      <c r="AQ372" s="321"/>
      <c r="AR372" s="321"/>
      <c r="AS372" s="321"/>
      <c r="AT372" s="321"/>
    </row>
    <row r="373" spans="10:46">
      <c r="J373" s="145"/>
      <c r="K373" s="145"/>
      <c r="L373" s="145"/>
      <c r="M373" s="145"/>
      <c r="N373" s="145"/>
      <c r="O373" s="145"/>
      <c r="P373" s="145"/>
      <c r="Q373" s="145"/>
      <c r="R373" s="145"/>
      <c r="S373" s="145"/>
      <c r="T373" s="145"/>
      <c r="U373" s="145"/>
      <c r="V373" s="145"/>
      <c r="W373" s="145"/>
      <c r="X373" s="145"/>
      <c r="Y373" s="145"/>
      <c r="Z373" s="145"/>
      <c r="AA373" s="145"/>
      <c r="AB373" s="145"/>
      <c r="AC373" s="145"/>
      <c r="AD373" s="145"/>
      <c r="AE373" s="145"/>
      <c r="AF373" s="145"/>
      <c r="AG373" s="145"/>
      <c r="AH373" s="145"/>
      <c r="AI373" s="145"/>
      <c r="AJ373" s="145"/>
      <c r="AK373" s="145"/>
      <c r="AL373" s="145"/>
      <c r="AM373" s="321"/>
      <c r="AN373" s="321"/>
      <c r="AO373" s="321"/>
      <c r="AP373" s="321"/>
      <c r="AQ373" s="321"/>
      <c r="AR373" s="321"/>
      <c r="AS373" s="321"/>
      <c r="AT373" s="321"/>
    </row>
    <row r="374" spans="10:46">
      <c r="J374" s="145"/>
      <c r="K374" s="145"/>
      <c r="L374" s="145"/>
      <c r="M374" s="145"/>
      <c r="N374" s="145"/>
      <c r="O374" s="145"/>
      <c r="P374" s="145"/>
      <c r="Q374" s="145"/>
      <c r="R374" s="145"/>
      <c r="S374" s="145"/>
      <c r="T374" s="145"/>
      <c r="U374" s="145"/>
      <c r="V374" s="145"/>
      <c r="W374" s="145"/>
      <c r="X374" s="145"/>
      <c r="Y374" s="145"/>
      <c r="Z374" s="145"/>
      <c r="AA374" s="145"/>
      <c r="AB374" s="145"/>
      <c r="AC374" s="145"/>
      <c r="AD374" s="145"/>
      <c r="AE374" s="145"/>
      <c r="AF374" s="145"/>
      <c r="AG374" s="145"/>
      <c r="AH374" s="145"/>
      <c r="AI374" s="145"/>
      <c r="AJ374" s="145"/>
      <c r="AK374" s="145"/>
      <c r="AL374" s="145"/>
      <c r="AM374" s="321"/>
      <c r="AN374" s="321"/>
      <c r="AO374" s="321"/>
      <c r="AP374" s="321"/>
      <c r="AQ374" s="321"/>
      <c r="AR374" s="321"/>
      <c r="AS374" s="321"/>
      <c r="AT374" s="321"/>
    </row>
    <row r="375" spans="10:46">
      <c r="J375" s="145"/>
      <c r="K375" s="145"/>
      <c r="L375" s="145"/>
      <c r="M375" s="145"/>
      <c r="N375" s="145"/>
      <c r="O375" s="145"/>
      <c r="P375" s="145"/>
      <c r="Q375" s="145"/>
      <c r="R375" s="145"/>
      <c r="S375" s="145"/>
      <c r="T375" s="145"/>
      <c r="U375" s="145"/>
      <c r="V375" s="145"/>
      <c r="W375" s="145"/>
      <c r="X375" s="145"/>
      <c r="Y375" s="145"/>
      <c r="Z375" s="145"/>
      <c r="AA375" s="145"/>
      <c r="AB375" s="145"/>
      <c r="AC375" s="145"/>
      <c r="AD375" s="145"/>
      <c r="AE375" s="145"/>
      <c r="AF375" s="145"/>
      <c r="AG375" s="145"/>
      <c r="AH375" s="145"/>
      <c r="AI375" s="145"/>
      <c r="AJ375" s="145"/>
      <c r="AK375" s="145"/>
      <c r="AL375" s="145"/>
      <c r="AM375" s="321"/>
      <c r="AN375" s="321"/>
      <c r="AO375" s="321"/>
      <c r="AP375" s="321"/>
      <c r="AQ375" s="321"/>
      <c r="AR375" s="321"/>
      <c r="AS375" s="321"/>
      <c r="AT375" s="321"/>
    </row>
    <row r="376" spans="10:46">
      <c r="J376" s="145"/>
      <c r="K376" s="145"/>
      <c r="L376" s="145"/>
      <c r="M376" s="145"/>
      <c r="N376" s="145"/>
      <c r="O376" s="145"/>
      <c r="P376" s="145"/>
      <c r="Q376" s="145"/>
      <c r="R376" s="145"/>
      <c r="S376" s="145"/>
      <c r="T376" s="145"/>
      <c r="U376" s="145"/>
      <c r="V376" s="145"/>
      <c r="W376" s="145"/>
      <c r="X376" s="145"/>
      <c r="Y376" s="145"/>
      <c r="Z376" s="145"/>
      <c r="AA376" s="145"/>
      <c r="AB376" s="145"/>
      <c r="AC376" s="145"/>
      <c r="AD376" s="145"/>
      <c r="AE376" s="145"/>
      <c r="AF376" s="145"/>
      <c r="AG376" s="145"/>
      <c r="AH376" s="145"/>
      <c r="AI376" s="145"/>
      <c r="AJ376" s="145"/>
      <c r="AK376" s="145"/>
      <c r="AL376" s="145"/>
      <c r="AM376" s="321"/>
      <c r="AN376" s="321"/>
      <c r="AO376" s="321"/>
      <c r="AP376" s="321"/>
      <c r="AQ376" s="321"/>
      <c r="AR376" s="321"/>
      <c r="AS376" s="321"/>
      <c r="AT376" s="321"/>
    </row>
    <row r="377" spans="10:46">
      <c r="J377" s="145"/>
      <c r="K377" s="145"/>
      <c r="L377" s="145"/>
      <c r="M377" s="145"/>
      <c r="N377" s="145"/>
      <c r="O377" s="145"/>
      <c r="P377" s="145"/>
      <c r="Q377" s="145"/>
      <c r="R377" s="145"/>
      <c r="S377" s="145"/>
      <c r="T377" s="145"/>
      <c r="U377" s="145"/>
      <c r="V377" s="145"/>
      <c r="W377" s="145"/>
      <c r="X377" s="145"/>
      <c r="Y377" s="145"/>
      <c r="Z377" s="145"/>
      <c r="AA377" s="145"/>
      <c r="AB377" s="145"/>
      <c r="AC377" s="145"/>
      <c r="AD377" s="145"/>
      <c r="AE377" s="145"/>
      <c r="AF377" s="145"/>
      <c r="AG377" s="145"/>
      <c r="AH377" s="145"/>
      <c r="AI377" s="145"/>
      <c r="AJ377" s="145"/>
      <c r="AK377" s="145"/>
      <c r="AL377" s="145"/>
      <c r="AM377" s="321"/>
      <c r="AN377" s="321"/>
      <c r="AO377" s="321"/>
      <c r="AP377" s="321"/>
      <c r="AQ377" s="321"/>
      <c r="AR377" s="321"/>
      <c r="AS377" s="321"/>
      <c r="AT377" s="321"/>
    </row>
    <row r="378" spans="10:46">
      <c r="J378" s="145"/>
      <c r="K378" s="145"/>
      <c r="L378" s="145"/>
      <c r="M378" s="145"/>
      <c r="N378" s="145"/>
      <c r="O378" s="145"/>
      <c r="P378" s="145"/>
      <c r="Q378" s="145"/>
      <c r="R378" s="145"/>
      <c r="S378" s="145"/>
      <c r="T378" s="145"/>
      <c r="U378" s="145"/>
      <c r="V378" s="145"/>
      <c r="W378" s="145"/>
      <c r="X378" s="145"/>
      <c r="Y378" s="145"/>
      <c r="Z378" s="145"/>
      <c r="AA378" s="145"/>
      <c r="AB378" s="145"/>
      <c r="AC378" s="145"/>
      <c r="AD378" s="145"/>
      <c r="AE378" s="145"/>
      <c r="AF378" s="145"/>
      <c r="AG378" s="145"/>
      <c r="AH378" s="145"/>
      <c r="AI378" s="145"/>
      <c r="AJ378" s="145"/>
      <c r="AK378" s="145"/>
      <c r="AL378" s="145"/>
      <c r="AM378" s="321"/>
      <c r="AN378" s="321"/>
      <c r="AO378" s="321"/>
      <c r="AP378" s="321"/>
      <c r="AQ378" s="321"/>
      <c r="AR378" s="321"/>
      <c r="AS378" s="321"/>
      <c r="AT378" s="321"/>
    </row>
    <row r="379" spans="10:46">
      <c r="J379" s="145"/>
      <c r="K379" s="145"/>
      <c r="L379" s="145"/>
      <c r="M379" s="145"/>
      <c r="N379" s="145"/>
      <c r="O379" s="145"/>
      <c r="P379" s="145"/>
      <c r="Q379" s="145"/>
      <c r="R379" s="145"/>
      <c r="S379" s="145"/>
      <c r="T379" s="145"/>
      <c r="U379" s="145"/>
      <c r="V379" s="145"/>
      <c r="W379" s="145"/>
      <c r="X379" s="145"/>
      <c r="Y379" s="145"/>
      <c r="Z379" s="145"/>
      <c r="AA379" s="145"/>
      <c r="AB379" s="145"/>
      <c r="AC379" s="145"/>
      <c r="AD379" s="145"/>
      <c r="AE379" s="145"/>
      <c r="AF379" s="145"/>
      <c r="AG379" s="145"/>
      <c r="AH379" s="145"/>
      <c r="AI379" s="145"/>
      <c r="AJ379" s="145"/>
      <c r="AK379" s="145"/>
      <c r="AL379" s="145"/>
      <c r="AM379" s="321"/>
      <c r="AN379" s="321"/>
      <c r="AO379" s="321"/>
      <c r="AP379" s="321"/>
      <c r="AQ379" s="321"/>
      <c r="AR379" s="321"/>
      <c r="AS379" s="321"/>
      <c r="AT379" s="321"/>
    </row>
    <row r="380" spans="10:46">
      <c r="J380" s="145"/>
      <c r="K380" s="145"/>
      <c r="L380" s="145"/>
      <c r="M380" s="145"/>
      <c r="N380" s="145"/>
      <c r="O380" s="145"/>
      <c r="P380" s="145"/>
      <c r="Q380" s="145"/>
      <c r="R380" s="145"/>
      <c r="S380" s="145"/>
      <c r="T380" s="145"/>
      <c r="U380" s="145"/>
      <c r="V380" s="145"/>
      <c r="W380" s="145"/>
      <c r="X380" s="145"/>
      <c r="Y380" s="145"/>
      <c r="Z380" s="145"/>
      <c r="AA380" s="145"/>
      <c r="AB380" s="145"/>
      <c r="AC380" s="145"/>
      <c r="AD380" s="145"/>
      <c r="AE380" s="145"/>
      <c r="AF380" s="145"/>
      <c r="AG380" s="145"/>
      <c r="AH380" s="145"/>
      <c r="AI380" s="145"/>
      <c r="AJ380" s="145"/>
      <c r="AK380" s="145"/>
      <c r="AL380" s="145"/>
      <c r="AM380" s="321"/>
      <c r="AN380" s="321"/>
      <c r="AO380" s="321"/>
      <c r="AP380" s="321"/>
      <c r="AQ380" s="321"/>
      <c r="AR380" s="321"/>
      <c r="AS380" s="321"/>
      <c r="AT380" s="321"/>
    </row>
    <row r="381" spans="10:46">
      <c r="J381" s="145"/>
      <c r="K381" s="145"/>
      <c r="L381" s="145"/>
      <c r="M381" s="145"/>
      <c r="N381" s="145"/>
      <c r="O381" s="145"/>
      <c r="P381" s="145"/>
      <c r="Q381" s="145"/>
      <c r="R381" s="145"/>
      <c r="S381" s="145"/>
      <c r="T381" s="145"/>
      <c r="U381" s="145"/>
      <c r="V381" s="145"/>
      <c r="W381" s="145"/>
      <c r="X381" s="145"/>
      <c r="Y381" s="145"/>
      <c r="Z381" s="145"/>
      <c r="AA381" s="145"/>
      <c r="AB381" s="145"/>
      <c r="AC381" s="145"/>
      <c r="AD381" s="145"/>
      <c r="AE381" s="145"/>
      <c r="AF381" s="145"/>
      <c r="AG381" s="145"/>
      <c r="AH381" s="145"/>
      <c r="AI381" s="145"/>
      <c r="AJ381" s="145"/>
      <c r="AK381" s="145"/>
      <c r="AL381" s="145"/>
      <c r="AM381" s="321"/>
      <c r="AN381" s="321"/>
      <c r="AO381" s="321"/>
      <c r="AP381" s="321"/>
      <c r="AQ381" s="321"/>
      <c r="AR381" s="321"/>
      <c r="AS381" s="321"/>
      <c r="AT381" s="321"/>
    </row>
    <row r="382" spans="10:46">
      <c r="J382" s="145"/>
      <c r="K382" s="145"/>
      <c r="L382" s="145"/>
      <c r="M382" s="145"/>
      <c r="N382" s="145"/>
      <c r="O382" s="145"/>
      <c r="P382" s="145"/>
      <c r="Q382" s="145"/>
      <c r="R382" s="145"/>
      <c r="S382" s="145"/>
      <c r="T382" s="145"/>
      <c r="U382" s="145"/>
      <c r="V382" s="145"/>
      <c r="W382" s="145"/>
      <c r="X382" s="145"/>
      <c r="Y382" s="145"/>
      <c r="Z382" s="145"/>
      <c r="AA382" s="145"/>
      <c r="AB382" s="145"/>
      <c r="AC382" s="145"/>
      <c r="AD382" s="145"/>
      <c r="AE382" s="145"/>
      <c r="AF382" s="145"/>
      <c r="AG382" s="145"/>
      <c r="AH382" s="145"/>
      <c r="AI382" s="145"/>
      <c r="AJ382" s="145"/>
      <c r="AK382" s="145"/>
      <c r="AL382" s="145"/>
      <c r="AM382" s="321"/>
      <c r="AN382" s="321"/>
      <c r="AO382" s="321"/>
      <c r="AP382" s="321"/>
      <c r="AQ382" s="321"/>
      <c r="AR382" s="321"/>
      <c r="AS382" s="321"/>
      <c r="AT382" s="321"/>
    </row>
    <row r="383" spans="10:46">
      <c r="J383" s="145"/>
      <c r="K383" s="145"/>
      <c r="L383" s="145"/>
      <c r="M383" s="145"/>
      <c r="N383" s="145"/>
      <c r="O383" s="145"/>
      <c r="P383" s="145"/>
      <c r="Q383" s="145"/>
      <c r="R383" s="145"/>
      <c r="S383" s="145"/>
      <c r="T383" s="145"/>
      <c r="U383" s="145"/>
      <c r="V383" s="145"/>
      <c r="W383" s="145"/>
      <c r="X383" s="145"/>
      <c r="Y383" s="145"/>
      <c r="Z383" s="145"/>
      <c r="AA383" s="145"/>
      <c r="AB383" s="145"/>
      <c r="AC383" s="145"/>
      <c r="AD383" s="145"/>
      <c r="AE383" s="145"/>
      <c r="AF383" s="145"/>
      <c r="AG383" s="145"/>
      <c r="AH383" s="145"/>
      <c r="AI383" s="145"/>
      <c r="AJ383" s="145"/>
      <c r="AK383" s="145"/>
      <c r="AL383" s="145"/>
      <c r="AM383" s="321"/>
      <c r="AN383" s="321"/>
      <c r="AO383" s="321"/>
      <c r="AP383" s="321"/>
      <c r="AQ383" s="321"/>
      <c r="AR383" s="321"/>
      <c r="AS383" s="321"/>
      <c r="AT383" s="321"/>
    </row>
    <row r="384" spans="10:46">
      <c r="J384" s="145"/>
      <c r="K384" s="145"/>
      <c r="L384" s="145"/>
      <c r="M384" s="145"/>
      <c r="N384" s="145"/>
      <c r="O384" s="145"/>
      <c r="P384" s="145"/>
      <c r="Q384" s="145"/>
      <c r="R384" s="145"/>
      <c r="S384" s="145"/>
      <c r="T384" s="145"/>
      <c r="U384" s="145"/>
      <c r="V384" s="145"/>
      <c r="W384" s="145"/>
      <c r="X384" s="145"/>
      <c r="Y384" s="145"/>
      <c r="Z384" s="145"/>
      <c r="AA384" s="145"/>
      <c r="AB384" s="145"/>
      <c r="AC384" s="145"/>
      <c r="AD384" s="145"/>
      <c r="AE384" s="145"/>
      <c r="AF384" s="145"/>
      <c r="AG384" s="145"/>
      <c r="AH384" s="145"/>
      <c r="AI384" s="145"/>
      <c r="AJ384" s="145"/>
      <c r="AK384" s="145"/>
      <c r="AL384" s="145"/>
      <c r="AM384" s="321"/>
      <c r="AN384" s="321"/>
      <c r="AO384" s="321"/>
      <c r="AP384" s="321"/>
      <c r="AQ384" s="321"/>
      <c r="AR384" s="321"/>
      <c r="AS384" s="321"/>
      <c r="AT384" s="321"/>
    </row>
    <row r="385" spans="10:46">
      <c r="J385" s="145"/>
      <c r="K385" s="145"/>
      <c r="L385" s="145"/>
      <c r="M385" s="145"/>
      <c r="N385" s="145"/>
      <c r="O385" s="145"/>
      <c r="P385" s="145"/>
      <c r="Q385" s="145"/>
      <c r="R385" s="145"/>
      <c r="S385" s="145"/>
      <c r="T385" s="145"/>
      <c r="U385" s="145"/>
      <c r="V385" s="145"/>
      <c r="W385" s="145"/>
      <c r="X385" s="145"/>
      <c r="Y385" s="145"/>
      <c r="Z385" s="145"/>
      <c r="AA385" s="145"/>
      <c r="AB385" s="145"/>
      <c r="AC385" s="145"/>
      <c r="AD385" s="145"/>
      <c r="AE385" s="145"/>
      <c r="AF385" s="145"/>
      <c r="AG385" s="145"/>
      <c r="AH385" s="145"/>
      <c r="AI385" s="145"/>
      <c r="AJ385" s="145"/>
      <c r="AK385" s="145"/>
      <c r="AL385" s="145"/>
      <c r="AM385" s="321"/>
      <c r="AN385" s="321"/>
      <c r="AO385" s="321"/>
      <c r="AP385" s="321"/>
      <c r="AQ385" s="321"/>
      <c r="AR385" s="321"/>
      <c r="AS385" s="321"/>
      <c r="AT385" s="321"/>
    </row>
    <row r="386" spans="10:46">
      <c r="J386" s="145"/>
      <c r="K386" s="145"/>
      <c r="L386" s="145"/>
      <c r="M386" s="145"/>
      <c r="N386" s="145"/>
      <c r="O386" s="145"/>
      <c r="P386" s="145"/>
      <c r="Q386" s="145"/>
      <c r="R386" s="145"/>
      <c r="S386" s="145"/>
      <c r="T386" s="145"/>
      <c r="U386" s="145"/>
      <c r="V386" s="145"/>
      <c r="W386" s="145"/>
      <c r="X386" s="145"/>
      <c r="Y386" s="145"/>
      <c r="Z386" s="145"/>
      <c r="AA386" s="145"/>
      <c r="AB386" s="145"/>
      <c r="AC386" s="145"/>
      <c r="AD386" s="145"/>
      <c r="AE386" s="145"/>
      <c r="AF386" s="145"/>
      <c r="AG386" s="145"/>
      <c r="AH386" s="145"/>
      <c r="AI386" s="145"/>
      <c r="AJ386" s="145"/>
      <c r="AK386" s="145"/>
      <c r="AL386" s="145"/>
      <c r="AM386" s="321"/>
      <c r="AN386" s="321"/>
      <c r="AO386" s="321"/>
      <c r="AP386" s="321"/>
      <c r="AQ386" s="321"/>
      <c r="AR386" s="321"/>
      <c r="AS386" s="321"/>
      <c r="AT386" s="321"/>
    </row>
    <row r="387" spans="10:46">
      <c r="J387" s="145"/>
      <c r="K387" s="145"/>
      <c r="L387" s="145"/>
      <c r="M387" s="145"/>
      <c r="N387" s="145"/>
      <c r="O387" s="145"/>
      <c r="P387" s="145"/>
      <c r="Q387" s="145"/>
      <c r="R387" s="145"/>
      <c r="S387" s="145"/>
      <c r="T387" s="145"/>
      <c r="U387" s="145"/>
      <c r="V387" s="145"/>
      <c r="W387" s="145"/>
      <c r="X387" s="145"/>
      <c r="Y387" s="145"/>
      <c r="Z387" s="145"/>
      <c r="AA387" s="145"/>
      <c r="AB387" s="145"/>
      <c r="AC387" s="145"/>
      <c r="AD387" s="145"/>
      <c r="AE387" s="145"/>
      <c r="AF387" s="145"/>
      <c r="AG387" s="145"/>
      <c r="AH387" s="145"/>
      <c r="AI387" s="145"/>
      <c r="AJ387" s="145"/>
      <c r="AK387" s="145"/>
      <c r="AL387" s="145"/>
      <c r="AM387" s="321"/>
      <c r="AN387" s="321"/>
      <c r="AO387" s="321"/>
      <c r="AP387" s="321"/>
      <c r="AQ387" s="321"/>
      <c r="AR387" s="321"/>
      <c r="AS387" s="321"/>
      <c r="AT387" s="321"/>
    </row>
    <row r="388" spans="10:46">
      <c r="J388" s="145"/>
      <c r="K388" s="145"/>
      <c r="L388" s="145"/>
      <c r="M388" s="145"/>
      <c r="N388" s="145"/>
      <c r="O388" s="145"/>
      <c r="P388" s="145"/>
      <c r="Q388" s="145"/>
      <c r="R388" s="145"/>
      <c r="S388" s="145"/>
      <c r="T388" s="145"/>
      <c r="U388" s="145"/>
      <c r="V388" s="145"/>
      <c r="W388" s="145"/>
      <c r="X388" s="145"/>
      <c r="Y388" s="145"/>
      <c r="Z388" s="145"/>
      <c r="AA388" s="145"/>
      <c r="AB388" s="145"/>
      <c r="AC388" s="145"/>
      <c r="AD388" s="145"/>
      <c r="AE388" s="145"/>
      <c r="AF388" s="145"/>
      <c r="AG388" s="145"/>
      <c r="AH388" s="145"/>
      <c r="AI388" s="145"/>
      <c r="AJ388" s="145"/>
      <c r="AK388" s="145"/>
      <c r="AL388" s="145"/>
      <c r="AM388" s="321"/>
      <c r="AN388" s="321"/>
      <c r="AO388" s="321"/>
      <c r="AP388" s="321"/>
      <c r="AQ388" s="321"/>
      <c r="AR388" s="321"/>
      <c r="AS388" s="321"/>
      <c r="AT388" s="321"/>
    </row>
    <row r="389" spans="10:46">
      <c r="J389" s="145"/>
      <c r="K389" s="145"/>
      <c r="L389" s="145"/>
      <c r="M389" s="145"/>
      <c r="N389" s="145"/>
      <c r="O389" s="145"/>
      <c r="P389" s="145"/>
      <c r="Q389" s="145"/>
      <c r="R389" s="145"/>
      <c r="S389" s="145"/>
      <c r="T389" s="145"/>
      <c r="U389" s="145"/>
      <c r="V389" s="145"/>
      <c r="W389" s="145"/>
      <c r="X389" s="145"/>
      <c r="Y389" s="145"/>
      <c r="Z389" s="145"/>
      <c r="AA389" s="145"/>
      <c r="AB389" s="145"/>
      <c r="AC389" s="145"/>
      <c r="AD389" s="145"/>
      <c r="AE389" s="145"/>
      <c r="AF389" s="145"/>
      <c r="AG389" s="145"/>
      <c r="AH389" s="145"/>
      <c r="AI389" s="145"/>
      <c r="AJ389" s="145"/>
      <c r="AK389" s="145"/>
      <c r="AL389" s="145"/>
      <c r="AM389" s="321"/>
      <c r="AN389" s="321"/>
      <c r="AO389" s="321"/>
      <c r="AP389" s="321"/>
      <c r="AQ389" s="321"/>
      <c r="AR389" s="321"/>
      <c r="AS389" s="321"/>
      <c r="AT389" s="321"/>
    </row>
    <row r="390" spans="10:46">
      <c r="J390" s="145"/>
      <c r="K390" s="145"/>
      <c r="L390" s="145"/>
      <c r="M390" s="145"/>
      <c r="N390" s="145"/>
      <c r="O390" s="145"/>
      <c r="P390" s="145"/>
      <c r="Q390" s="145"/>
      <c r="R390" s="145"/>
      <c r="S390" s="145"/>
      <c r="T390" s="145"/>
      <c r="U390" s="145"/>
      <c r="V390" s="145"/>
      <c r="W390" s="145"/>
      <c r="X390" s="145"/>
      <c r="Y390" s="145"/>
      <c r="Z390" s="145"/>
      <c r="AA390" s="145"/>
      <c r="AB390" s="145"/>
      <c r="AC390" s="145"/>
      <c r="AD390" s="145"/>
      <c r="AE390" s="145"/>
      <c r="AF390" s="145"/>
      <c r="AG390" s="145"/>
      <c r="AH390" s="145"/>
      <c r="AI390" s="145"/>
      <c r="AJ390" s="145"/>
      <c r="AK390" s="145"/>
      <c r="AL390" s="145"/>
      <c r="AM390" s="321"/>
      <c r="AN390" s="321"/>
      <c r="AO390" s="321"/>
      <c r="AP390" s="321"/>
      <c r="AQ390" s="321"/>
      <c r="AR390" s="321"/>
      <c r="AS390" s="321"/>
      <c r="AT390" s="321"/>
    </row>
    <row r="391" spans="10:46">
      <c r="J391" s="145"/>
      <c r="K391" s="145"/>
      <c r="L391" s="145"/>
      <c r="M391" s="145"/>
      <c r="N391" s="145"/>
      <c r="O391" s="145"/>
      <c r="P391" s="145"/>
      <c r="Q391" s="145"/>
      <c r="R391" s="145"/>
      <c r="S391" s="145"/>
      <c r="T391" s="145"/>
      <c r="U391" s="145"/>
      <c r="V391" s="145"/>
      <c r="W391" s="145"/>
      <c r="X391" s="145"/>
      <c r="Y391" s="145"/>
      <c r="Z391" s="145"/>
      <c r="AA391" s="145"/>
      <c r="AB391" s="145"/>
      <c r="AC391" s="145"/>
      <c r="AD391" s="145"/>
      <c r="AE391" s="145"/>
      <c r="AF391" s="145"/>
      <c r="AG391" s="145"/>
      <c r="AH391" s="145"/>
      <c r="AI391" s="145"/>
      <c r="AJ391" s="145"/>
      <c r="AK391" s="145"/>
      <c r="AL391" s="145"/>
      <c r="AM391" s="321"/>
      <c r="AN391" s="321"/>
      <c r="AO391" s="321"/>
      <c r="AP391" s="321"/>
      <c r="AQ391" s="321"/>
      <c r="AR391" s="321"/>
      <c r="AS391" s="321"/>
      <c r="AT391" s="321"/>
    </row>
    <row r="392" spans="10:46">
      <c r="J392" s="145"/>
      <c r="K392" s="145"/>
      <c r="L392" s="145"/>
      <c r="M392" s="145"/>
      <c r="N392" s="145"/>
      <c r="O392" s="145"/>
      <c r="P392" s="145"/>
      <c r="Q392" s="145"/>
      <c r="R392" s="145"/>
      <c r="S392" s="145"/>
      <c r="T392" s="145"/>
      <c r="U392" s="145"/>
      <c r="V392" s="145"/>
      <c r="W392" s="145"/>
      <c r="X392" s="145"/>
      <c r="Y392" s="145"/>
      <c r="Z392" s="145"/>
      <c r="AA392" s="145"/>
      <c r="AB392" s="145"/>
      <c r="AC392" s="145"/>
      <c r="AD392" s="145"/>
      <c r="AE392" s="145"/>
      <c r="AF392" s="145"/>
      <c r="AG392" s="145"/>
      <c r="AH392" s="145"/>
      <c r="AI392" s="145"/>
      <c r="AJ392" s="145"/>
      <c r="AK392" s="145"/>
      <c r="AL392" s="145"/>
      <c r="AM392" s="321"/>
      <c r="AN392" s="321"/>
      <c r="AO392" s="321"/>
      <c r="AP392" s="321"/>
      <c r="AQ392" s="321"/>
      <c r="AR392" s="321"/>
      <c r="AS392" s="321"/>
      <c r="AT392" s="321"/>
    </row>
    <row r="393" spans="10:46">
      <c r="J393" s="145"/>
      <c r="K393" s="145"/>
      <c r="L393" s="145"/>
      <c r="M393" s="145"/>
      <c r="N393" s="145"/>
      <c r="O393" s="145"/>
      <c r="P393" s="145"/>
      <c r="Q393" s="145"/>
      <c r="R393" s="145"/>
      <c r="S393" s="145"/>
      <c r="T393" s="145"/>
      <c r="U393" s="145"/>
      <c r="V393" s="145"/>
      <c r="W393" s="145"/>
      <c r="X393" s="145"/>
      <c r="Y393" s="145"/>
      <c r="Z393" s="145"/>
      <c r="AA393" s="145"/>
      <c r="AB393" s="145"/>
      <c r="AC393" s="145"/>
      <c r="AD393" s="145"/>
      <c r="AE393" s="145"/>
      <c r="AF393" s="145"/>
      <c r="AG393" s="145"/>
      <c r="AH393" s="145"/>
      <c r="AI393" s="145"/>
      <c r="AJ393" s="145"/>
      <c r="AK393" s="145"/>
      <c r="AL393" s="145"/>
      <c r="AM393" s="321"/>
      <c r="AN393" s="321"/>
      <c r="AO393" s="321"/>
      <c r="AP393" s="321"/>
      <c r="AQ393" s="321"/>
      <c r="AR393" s="321"/>
      <c r="AS393" s="321"/>
      <c r="AT393" s="321"/>
    </row>
    <row r="394" spans="10:46">
      <c r="J394" s="145"/>
      <c r="K394" s="145"/>
      <c r="L394" s="145"/>
      <c r="M394" s="145"/>
      <c r="N394" s="145"/>
      <c r="O394" s="145"/>
      <c r="P394" s="145"/>
      <c r="Q394" s="145"/>
      <c r="R394" s="145"/>
      <c r="S394" s="145"/>
      <c r="T394" s="145"/>
      <c r="U394" s="145"/>
      <c r="V394" s="145"/>
      <c r="W394" s="145"/>
      <c r="X394" s="145"/>
      <c r="Y394" s="145"/>
      <c r="Z394" s="145"/>
      <c r="AA394" s="145"/>
      <c r="AB394" s="145"/>
      <c r="AC394" s="145"/>
      <c r="AD394" s="145"/>
      <c r="AE394" s="145"/>
      <c r="AF394" s="145"/>
      <c r="AG394" s="145"/>
      <c r="AH394" s="145"/>
      <c r="AI394" s="145"/>
      <c r="AJ394" s="145"/>
      <c r="AK394" s="145"/>
      <c r="AL394" s="145"/>
      <c r="AM394" s="321"/>
      <c r="AN394" s="321"/>
      <c r="AO394" s="321"/>
      <c r="AP394" s="321"/>
      <c r="AQ394" s="321"/>
      <c r="AR394" s="321"/>
      <c r="AS394" s="321"/>
      <c r="AT394" s="321"/>
    </row>
    <row r="395" spans="10:46">
      <c r="J395" s="145"/>
      <c r="K395" s="145"/>
      <c r="L395" s="145"/>
      <c r="M395" s="145"/>
      <c r="N395" s="145"/>
      <c r="O395" s="145"/>
      <c r="P395" s="145"/>
      <c r="Q395" s="145"/>
      <c r="R395" s="145"/>
      <c r="S395" s="145"/>
      <c r="T395" s="145"/>
      <c r="U395" s="145"/>
      <c r="V395" s="145"/>
      <c r="W395" s="145"/>
      <c r="X395" s="145"/>
      <c r="Y395" s="145"/>
      <c r="Z395" s="145"/>
      <c r="AA395" s="145"/>
      <c r="AB395" s="145"/>
      <c r="AC395" s="145"/>
      <c r="AD395" s="145"/>
      <c r="AE395" s="145"/>
      <c r="AF395" s="145"/>
      <c r="AG395" s="145"/>
      <c r="AH395" s="145"/>
      <c r="AI395" s="145"/>
      <c r="AJ395" s="145"/>
      <c r="AK395" s="145"/>
      <c r="AL395" s="145"/>
      <c r="AM395" s="321"/>
      <c r="AN395" s="321"/>
      <c r="AO395" s="321"/>
      <c r="AP395" s="321"/>
      <c r="AQ395" s="321"/>
      <c r="AR395" s="321"/>
      <c r="AS395" s="321"/>
      <c r="AT395" s="321"/>
    </row>
    <row r="396" spans="10:46">
      <c r="J396" s="145"/>
      <c r="K396" s="145"/>
      <c r="L396" s="145"/>
      <c r="M396" s="145"/>
      <c r="N396" s="145"/>
      <c r="O396" s="145"/>
      <c r="P396" s="145"/>
      <c r="Q396" s="145"/>
      <c r="R396" s="145"/>
      <c r="S396" s="145"/>
      <c r="T396" s="145"/>
      <c r="U396" s="145"/>
      <c r="V396" s="145"/>
      <c r="W396" s="145"/>
      <c r="X396" s="145"/>
      <c r="Y396" s="145"/>
      <c r="Z396" s="145"/>
      <c r="AA396" s="145"/>
      <c r="AB396" s="145"/>
      <c r="AC396" s="145"/>
      <c r="AD396" s="145"/>
      <c r="AE396" s="145"/>
      <c r="AF396" s="145"/>
      <c r="AG396" s="145"/>
      <c r="AH396" s="145"/>
      <c r="AI396" s="145"/>
      <c r="AJ396" s="145"/>
      <c r="AK396" s="145"/>
      <c r="AL396" s="145"/>
      <c r="AM396" s="321"/>
      <c r="AN396" s="321"/>
      <c r="AO396" s="321"/>
      <c r="AP396" s="321"/>
      <c r="AQ396" s="321"/>
      <c r="AR396" s="321"/>
      <c r="AS396" s="321"/>
      <c r="AT396" s="321"/>
    </row>
    <row r="397" spans="10:46">
      <c r="J397" s="145"/>
      <c r="K397" s="145"/>
      <c r="L397" s="145"/>
      <c r="M397" s="145"/>
      <c r="N397" s="145"/>
      <c r="O397" s="145"/>
      <c r="P397" s="145"/>
      <c r="Q397" s="145"/>
      <c r="R397" s="145"/>
      <c r="S397" s="145"/>
      <c r="T397" s="145"/>
      <c r="U397" s="145"/>
      <c r="V397" s="145"/>
      <c r="W397" s="145"/>
      <c r="X397" s="145"/>
      <c r="Y397" s="145"/>
      <c r="Z397" s="145"/>
      <c r="AA397" s="145"/>
      <c r="AB397" s="145"/>
      <c r="AC397" s="145"/>
      <c r="AD397" s="145"/>
      <c r="AE397" s="145"/>
      <c r="AF397" s="145"/>
      <c r="AG397" s="145"/>
      <c r="AH397" s="145"/>
      <c r="AI397" s="145"/>
      <c r="AJ397" s="145"/>
      <c r="AK397" s="145"/>
      <c r="AL397" s="145"/>
      <c r="AM397" s="321"/>
      <c r="AN397" s="321"/>
      <c r="AO397" s="321"/>
      <c r="AP397" s="321"/>
      <c r="AQ397" s="321"/>
      <c r="AR397" s="321"/>
      <c r="AS397" s="321"/>
      <c r="AT397" s="321"/>
    </row>
    <row r="398" spans="10:46">
      <c r="J398" s="145"/>
      <c r="K398" s="145"/>
      <c r="L398" s="145"/>
      <c r="M398" s="145"/>
      <c r="N398" s="145"/>
      <c r="O398" s="145"/>
      <c r="P398" s="145"/>
      <c r="Q398" s="145"/>
      <c r="R398" s="145"/>
      <c r="S398" s="145"/>
      <c r="T398" s="145"/>
      <c r="U398" s="145"/>
      <c r="V398" s="145"/>
      <c r="W398" s="145"/>
      <c r="X398" s="145"/>
      <c r="Y398" s="145"/>
      <c r="Z398" s="145"/>
      <c r="AA398" s="145"/>
      <c r="AB398" s="145"/>
      <c r="AC398" s="145"/>
      <c r="AD398" s="145"/>
      <c r="AE398" s="145"/>
      <c r="AF398" s="145"/>
      <c r="AG398" s="145"/>
      <c r="AH398" s="145"/>
      <c r="AI398" s="145"/>
      <c r="AJ398" s="145"/>
      <c r="AK398" s="145"/>
      <c r="AL398" s="145"/>
      <c r="AM398" s="321"/>
      <c r="AN398" s="321"/>
      <c r="AO398" s="321"/>
      <c r="AP398" s="321"/>
      <c r="AQ398" s="321"/>
      <c r="AR398" s="321"/>
      <c r="AS398" s="321"/>
      <c r="AT398" s="321"/>
    </row>
    <row r="399" spans="10:46">
      <c r="J399" s="145"/>
      <c r="K399" s="145"/>
      <c r="L399" s="145"/>
      <c r="M399" s="145"/>
      <c r="N399" s="145"/>
      <c r="O399" s="145"/>
      <c r="P399" s="145"/>
      <c r="Q399" s="145"/>
      <c r="R399" s="145"/>
      <c r="S399" s="145"/>
      <c r="T399" s="145"/>
      <c r="U399" s="145"/>
      <c r="V399" s="145"/>
      <c r="W399" s="145"/>
      <c r="X399" s="145"/>
      <c r="Y399" s="145"/>
      <c r="Z399" s="145"/>
      <c r="AA399" s="145"/>
      <c r="AB399" s="145"/>
      <c r="AC399" s="145"/>
      <c r="AD399" s="145"/>
      <c r="AE399" s="145"/>
      <c r="AF399" s="145"/>
      <c r="AG399" s="145"/>
      <c r="AH399" s="145"/>
      <c r="AI399" s="145"/>
      <c r="AJ399" s="145"/>
      <c r="AK399" s="145"/>
      <c r="AL399" s="145"/>
      <c r="AM399" s="321"/>
      <c r="AN399" s="321"/>
      <c r="AO399" s="321"/>
      <c r="AP399" s="321"/>
      <c r="AQ399" s="321"/>
      <c r="AR399" s="321"/>
      <c r="AS399" s="321"/>
      <c r="AT399" s="321"/>
    </row>
    <row r="400" spans="10:46">
      <c r="J400" s="145"/>
      <c r="K400" s="145"/>
      <c r="L400" s="145"/>
      <c r="M400" s="145"/>
      <c r="N400" s="145"/>
      <c r="O400" s="145"/>
      <c r="P400" s="145"/>
      <c r="Q400" s="145"/>
      <c r="R400" s="145"/>
      <c r="S400" s="145"/>
      <c r="T400" s="145"/>
      <c r="U400" s="145"/>
      <c r="V400" s="145"/>
      <c r="W400" s="145"/>
      <c r="X400" s="145"/>
      <c r="Y400" s="145"/>
      <c r="Z400" s="145"/>
      <c r="AA400" s="145"/>
      <c r="AB400" s="145"/>
      <c r="AC400" s="145"/>
      <c r="AD400" s="145"/>
      <c r="AE400" s="145"/>
      <c r="AF400" s="145"/>
      <c r="AG400" s="145"/>
      <c r="AH400" s="145"/>
      <c r="AI400" s="145"/>
      <c r="AJ400" s="145"/>
      <c r="AK400" s="145"/>
      <c r="AL400" s="145"/>
      <c r="AM400" s="321"/>
      <c r="AN400" s="321"/>
      <c r="AO400" s="321"/>
      <c r="AP400" s="321"/>
      <c r="AQ400" s="321"/>
      <c r="AR400" s="321"/>
      <c r="AS400" s="321"/>
      <c r="AT400" s="321"/>
    </row>
    <row r="401" spans="10:46">
      <c r="J401" s="145"/>
      <c r="K401" s="145"/>
      <c r="L401" s="145"/>
      <c r="M401" s="145"/>
      <c r="N401" s="145"/>
      <c r="O401" s="145"/>
      <c r="P401" s="145"/>
      <c r="Q401" s="145"/>
      <c r="R401" s="145"/>
      <c r="S401" s="145"/>
      <c r="T401" s="145"/>
      <c r="U401" s="145"/>
      <c r="V401" s="145"/>
      <c r="W401" s="145"/>
      <c r="X401" s="145"/>
      <c r="Y401" s="145"/>
      <c r="Z401" s="145"/>
      <c r="AA401" s="145"/>
      <c r="AB401" s="145"/>
      <c r="AC401" s="145"/>
      <c r="AD401" s="145"/>
      <c r="AE401" s="145"/>
      <c r="AF401" s="145"/>
      <c r="AG401" s="145"/>
      <c r="AH401" s="145"/>
      <c r="AI401" s="145"/>
      <c r="AJ401" s="145"/>
      <c r="AK401" s="145"/>
      <c r="AL401" s="145"/>
      <c r="AM401" s="321"/>
      <c r="AN401" s="321"/>
      <c r="AO401" s="321"/>
      <c r="AP401" s="321"/>
      <c r="AQ401" s="321"/>
      <c r="AR401" s="321"/>
      <c r="AS401" s="321"/>
      <c r="AT401" s="321"/>
    </row>
    <row r="402" spans="10:46">
      <c r="J402" s="145"/>
      <c r="K402" s="145"/>
      <c r="L402" s="145"/>
      <c r="M402" s="145"/>
      <c r="N402" s="145"/>
      <c r="O402" s="145"/>
      <c r="P402" s="145"/>
      <c r="Q402" s="145"/>
      <c r="R402" s="145"/>
      <c r="S402" s="145"/>
      <c r="T402" s="145"/>
      <c r="U402" s="145"/>
      <c r="V402" s="145"/>
      <c r="W402" s="145"/>
      <c r="X402" s="145"/>
      <c r="Y402" s="145"/>
      <c r="Z402" s="145"/>
      <c r="AA402" s="145"/>
      <c r="AB402" s="145"/>
      <c r="AC402" s="145"/>
      <c r="AD402" s="145"/>
      <c r="AE402" s="145"/>
      <c r="AF402" s="145"/>
      <c r="AG402" s="145"/>
      <c r="AH402" s="145"/>
      <c r="AI402" s="145"/>
      <c r="AJ402" s="145"/>
      <c r="AK402" s="145"/>
      <c r="AL402" s="145"/>
      <c r="AM402" s="321"/>
      <c r="AN402" s="321"/>
      <c r="AO402" s="321"/>
      <c r="AP402" s="321"/>
      <c r="AQ402" s="321"/>
      <c r="AR402" s="321"/>
      <c r="AS402" s="321"/>
      <c r="AT402" s="321"/>
    </row>
    <row r="403" spans="10:46">
      <c r="J403" s="145"/>
      <c r="K403" s="145"/>
      <c r="L403" s="145"/>
      <c r="M403" s="145"/>
      <c r="N403" s="145"/>
      <c r="O403" s="145"/>
      <c r="P403" s="145"/>
      <c r="Q403" s="145"/>
      <c r="R403" s="145"/>
      <c r="S403" s="145"/>
      <c r="T403" s="145"/>
      <c r="U403" s="145"/>
      <c r="V403" s="145"/>
      <c r="W403" s="145"/>
      <c r="X403" s="145"/>
      <c r="Y403" s="145"/>
      <c r="Z403" s="145"/>
      <c r="AA403" s="145"/>
      <c r="AB403" s="145"/>
      <c r="AC403" s="145"/>
      <c r="AD403" s="145"/>
      <c r="AE403" s="145"/>
      <c r="AF403" s="145"/>
      <c r="AG403" s="145"/>
      <c r="AH403" s="145"/>
      <c r="AI403" s="145"/>
      <c r="AJ403" s="145"/>
      <c r="AK403" s="145"/>
      <c r="AL403" s="145"/>
      <c r="AM403" s="321"/>
      <c r="AN403" s="321"/>
      <c r="AO403" s="321"/>
      <c r="AP403" s="321"/>
      <c r="AQ403" s="321"/>
      <c r="AR403" s="321"/>
      <c r="AS403" s="321"/>
      <c r="AT403" s="321"/>
    </row>
    <row r="404" spans="10:46">
      <c r="J404" s="145"/>
      <c r="K404" s="145"/>
      <c r="L404" s="145"/>
      <c r="M404" s="145"/>
      <c r="N404" s="145"/>
      <c r="O404" s="145"/>
      <c r="P404" s="145"/>
      <c r="Q404" s="145"/>
      <c r="R404" s="145"/>
      <c r="S404" s="145"/>
      <c r="T404" s="145"/>
      <c r="U404" s="145"/>
      <c r="V404" s="145"/>
      <c r="W404" s="145"/>
      <c r="X404" s="145"/>
      <c r="Y404" s="145"/>
      <c r="Z404" s="145"/>
      <c r="AA404" s="145"/>
      <c r="AB404" s="145"/>
      <c r="AC404" s="145"/>
      <c r="AD404" s="145"/>
      <c r="AE404" s="145"/>
      <c r="AF404" s="145"/>
      <c r="AG404" s="145"/>
      <c r="AH404" s="145"/>
      <c r="AI404" s="145"/>
      <c r="AJ404" s="145"/>
      <c r="AK404" s="145"/>
      <c r="AL404" s="145"/>
      <c r="AM404" s="321"/>
      <c r="AN404" s="321"/>
      <c r="AO404" s="321"/>
      <c r="AP404" s="321"/>
      <c r="AQ404" s="321"/>
      <c r="AR404" s="321"/>
      <c r="AS404" s="321"/>
      <c r="AT404" s="321"/>
    </row>
    <row r="405" spans="10:46">
      <c r="J405" s="145"/>
      <c r="K405" s="145"/>
      <c r="L405" s="145"/>
      <c r="M405" s="145"/>
      <c r="N405" s="145"/>
      <c r="O405" s="145"/>
      <c r="P405" s="145"/>
      <c r="Q405" s="145"/>
      <c r="R405" s="145"/>
      <c r="S405" s="145"/>
      <c r="T405" s="145"/>
      <c r="U405" s="145"/>
      <c r="V405" s="145"/>
      <c r="W405" s="145"/>
      <c r="X405" s="145"/>
      <c r="Y405" s="145"/>
      <c r="Z405" s="145"/>
      <c r="AA405" s="145"/>
      <c r="AB405" s="145"/>
      <c r="AC405" s="145"/>
      <c r="AD405" s="145"/>
      <c r="AE405" s="145"/>
      <c r="AF405" s="145"/>
      <c r="AG405" s="145"/>
      <c r="AH405" s="145"/>
      <c r="AI405" s="145"/>
      <c r="AJ405" s="145"/>
      <c r="AK405" s="145"/>
      <c r="AL405" s="145"/>
      <c r="AM405" s="321"/>
      <c r="AN405" s="321"/>
      <c r="AO405" s="321"/>
      <c r="AP405" s="321"/>
      <c r="AQ405" s="321"/>
      <c r="AR405" s="321"/>
      <c r="AS405" s="321"/>
      <c r="AT405" s="321"/>
    </row>
    <row r="406" spans="10:46">
      <c r="J406" s="145"/>
      <c r="K406" s="145"/>
      <c r="L406" s="145"/>
      <c r="M406" s="145"/>
      <c r="N406" s="145"/>
      <c r="O406" s="145"/>
      <c r="P406" s="145"/>
      <c r="Q406" s="145"/>
      <c r="R406" s="145"/>
      <c r="S406" s="145"/>
      <c r="T406" s="145"/>
      <c r="U406" s="145"/>
      <c r="V406" s="145"/>
      <c r="W406" s="145"/>
      <c r="X406" s="145"/>
      <c r="Y406" s="145"/>
      <c r="Z406" s="145"/>
      <c r="AA406" s="145"/>
      <c r="AB406" s="145"/>
      <c r="AC406" s="145"/>
      <c r="AD406" s="145"/>
      <c r="AE406" s="145"/>
      <c r="AF406" s="145"/>
      <c r="AG406" s="145"/>
      <c r="AH406" s="145"/>
      <c r="AI406" s="145"/>
      <c r="AJ406" s="145"/>
      <c r="AK406" s="145"/>
      <c r="AL406" s="145"/>
      <c r="AM406" s="321"/>
      <c r="AN406" s="321"/>
      <c r="AO406" s="321"/>
      <c r="AP406" s="321"/>
      <c r="AQ406" s="321"/>
      <c r="AR406" s="321"/>
      <c r="AS406" s="321"/>
      <c r="AT406" s="321"/>
    </row>
    <row r="407" spans="10:46">
      <c r="J407" s="145"/>
      <c r="K407" s="145"/>
      <c r="L407" s="145"/>
      <c r="M407" s="145"/>
      <c r="N407" s="145"/>
      <c r="O407" s="145"/>
      <c r="P407" s="145"/>
      <c r="Q407" s="145"/>
      <c r="R407" s="145"/>
      <c r="S407" s="145"/>
      <c r="T407" s="145"/>
      <c r="U407" s="145"/>
      <c r="V407" s="145"/>
      <c r="W407" s="145"/>
      <c r="X407" s="145"/>
      <c r="Y407" s="145"/>
      <c r="Z407" s="145"/>
      <c r="AA407" s="145"/>
      <c r="AB407" s="145"/>
      <c r="AC407" s="145"/>
      <c r="AD407" s="145"/>
      <c r="AE407" s="145"/>
      <c r="AF407" s="145"/>
      <c r="AG407" s="145"/>
      <c r="AH407" s="145"/>
      <c r="AI407" s="145"/>
      <c r="AJ407" s="145"/>
      <c r="AK407" s="145"/>
      <c r="AL407" s="145"/>
      <c r="AM407" s="321"/>
      <c r="AN407" s="321"/>
      <c r="AO407" s="321"/>
      <c r="AP407" s="321"/>
      <c r="AQ407" s="321"/>
      <c r="AR407" s="321"/>
      <c r="AS407" s="321"/>
      <c r="AT407" s="321"/>
    </row>
    <row r="408" spans="10:46">
      <c r="J408" s="145"/>
      <c r="K408" s="145"/>
      <c r="L408" s="145"/>
      <c r="M408" s="145"/>
      <c r="N408" s="145"/>
      <c r="O408" s="145"/>
      <c r="P408" s="145"/>
      <c r="Q408" s="145"/>
      <c r="R408" s="145"/>
      <c r="S408" s="145"/>
      <c r="T408" s="145"/>
      <c r="U408" s="145"/>
      <c r="V408" s="145"/>
      <c r="W408" s="145"/>
      <c r="X408" s="145"/>
      <c r="Y408" s="145"/>
      <c r="Z408" s="145"/>
      <c r="AA408" s="145"/>
      <c r="AB408" s="145"/>
      <c r="AC408" s="145"/>
      <c r="AD408" s="145"/>
      <c r="AE408" s="145"/>
      <c r="AF408" s="145"/>
      <c r="AG408" s="145"/>
      <c r="AH408" s="145"/>
      <c r="AI408" s="145"/>
      <c r="AJ408" s="145"/>
      <c r="AK408" s="145"/>
      <c r="AL408" s="145"/>
      <c r="AM408" s="321"/>
      <c r="AN408" s="321"/>
      <c r="AO408" s="321"/>
      <c r="AP408" s="321"/>
      <c r="AQ408" s="321"/>
      <c r="AR408" s="321"/>
      <c r="AS408" s="321"/>
      <c r="AT408" s="321"/>
    </row>
    <row r="409" spans="10:46">
      <c r="J409" s="145"/>
      <c r="K409" s="145"/>
      <c r="L409" s="145"/>
      <c r="M409" s="145"/>
      <c r="N409" s="145"/>
      <c r="O409" s="145"/>
      <c r="P409" s="145"/>
      <c r="Q409" s="145"/>
      <c r="R409" s="145"/>
      <c r="S409" s="145"/>
      <c r="T409" s="145"/>
      <c r="U409" s="145"/>
      <c r="V409" s="145"/>
      <c r="W409" s="145"/>
      <c r="X409" s="145"/>
      <c r="Y409" s="145"/>
      <c r="Z409" s="145"/>
      <c r="AA409" s="145"/>
      <c r="AB409" s="145"/>
      <c r="AC409" s="145"/>
      <c r="AD409" s="145"/>
      <c r="AE409" s="145"/>
      <c r="AF409" s="145"/>
      <c r="AG409" s="145"/>
      <c r="AH409" s="145"/>
      <c r="AI409" s="145"/>
      <c r="AJ409" s="145"/>
      <c r="AK409" s="145"/>
      <c r="AL409" s="145"/>
      <c r="AM409" s="321"/>
      <c r="AN409" s="321"/>
      <c r="AO409" s="321"/>
      <c r="AP409" s="321"/>
      <c r="AQ409" s="321"/>
      <c r="AR409" s="321"/>
      <c r="AS409" s="321"/>
      <c r="AT409" s="321"/>
    </row>
    <row r="410" spans="10:46">
      <c r="J410" s="145"/>
      <c r="K410" s="145"/>
      <c r="L410" s="145"/>
      <c r="M410" s="145"/>
      <c r="N410" s="145"/>
      <c r="O410" s="145"/>
      <c r="P410" s="145"/>
      <c r="Q410" s="145"/>
      <c r="R410" s="145"/>
      <c r="S410" s="145"/>
      <c r="T410" s="145"/>
      <c r="U410" s="145"/>
      <c r="V410" s="145"/>
      <c r="W410" s="145"/>
      <c r="X410" s="145"/>
      <c r="Y410" s="145"/>
      <c r="Z410" s="145"/>
      <c r="AA410" s="145"/>
      <c r="AB410" s="145"/>
      <c r="AC410" s="145"/>
      <c r="AD410" s="145"/>
      <c r="AE410" s="145"/>
      <c r="AF410" s="145"/>
      <c r="AG410" s="145"/>
      <c r="AH410" s="145"/>
      <c r="AI410" s="145"/>
      <c r="AJ410" s="145"/>
      <c r="AK410" s="145"/>
      <c r="AL410" s="145"/>
      <c r="AM410" s="321"/>
      <c r="AN410" s="321"/>
      <c r="AO410" s="321"/>
      <c r="AP410" s="321"/>
      <c r="AQ410" s="321"/>
      <c r="AR410" s="321"/>
      <c r="AS410" s="321"/>
      <c r="AT410" s="321"/>
    </row>
    <row r="411" spans="10:46">
      <c r="J411" s="145"/>
      <c r="K411" s="145"/>
      <c r="L411" s="145"/>
      <c r="M411" s="145"/>
      <c r="N411" s="145"/>
      <c r="O411" s="145"/>
      <c r="P411" s="145"/>
      <c r="Q411" s="145"/>
      <c r="R411" s="145"/>
      <c r="S411" s="145"/>
      <c r="T411" s="145"/>
      <c r="U411" s="145"/>
      <c r="V411" s="145"/>
      <c r="W411" s="145"/>
      <c r="X411" s="145"/>
      <c r="Y411" s="145"/>
      <c r="Z411" s="145"/>
      <c r="AA411" s="145"/>
      <c r="AB411" s="145"/>
      <c r="AC411" s="145"/>
      <c r="AD411" s="145"/>
      <c r="AE411" s="145"/>
      <c r="AF411" s="145"/>
      <c r="AG411" s="145"/>
      <c r="AH411" s="145"/>
      <c r="AI411" s="145"/>
      <c r="AJ411" s="145"/>
      <c r="AK411" s="145"/>
      <c r="AL411" s="145"/>
      <c r="AM411" s="321"/>
      <c r="AN411" s="321"/>
      <c r="AO411" s="321"/>
      <c r="AP411" s="321"/>
      <c r="AQ411" s="321"/>
      <c r="AR411" s="321"/>
      <c r="AS411" s="321"/>
      <c r="AT411" s="321"/>
    </row>
    <row r="412" spans="10:46">
      <c r="J412" s="145"/>
      <c r="K412" s="145"/>
      <c r="L412" s="145"/>
      <c r="M412" s="145"/>
      <c r="N412" s="145"/>
      <c r="O412" s="145"/>
      <c r="P412" s="145"/>
      <c r="Q412" s="145"/>
      <c r="R412" s="145"/>
      <c r="S412" s="145"/>
      <c r="T412" s="145"/>
      <c r="U412" s="145"/>
      <c r="V412" s="145"/>
      <c r="W412" s="145"/>
      <c r="X412" s="145"/>
      <c r="Y412" s="145"/>
      <c r="Z412" s="145"/>
      <c r="AA412" s="145"/>
      <c r="AB412" s="145"/>
      <c r="AC412" s="145"/>
      <c r="AD412" s="145"/>
      <c r="AE412" s="145"/>
      <c r="AF412" s="145"/>
      <c r="AG412" s="145"/>
      <c r="AH412" s="145"/>
      <c r="AI412" s="145"/>
      <c r="AJ412" s="145"/>
      <c r="AK412" s="145"/>
      <c r="AL412" s="145"/>
      <c r="AM412" s="321"/>
      <c r="AN412" s="321"/>
      <c r="AO412" s="321"/>
      <c r="AP412" s="321"/>
      <c r="AQ412" s="321"/>
      <c r="AR412" s="321"/>
      <c r="AS412" s="321"/>
      <c r="AT412" s="321"/>
    </row>
    <row r="413" spans="10:46">
      <c r="J413" s="145"/>
      <c r="K413" s="145"/>
      <c r="L413" s="145"/>
      <c r="M413" s="145"/>
      <c r="N413" s="145"/>
      <c r="O413" s="145"/>
      <c r="P413" s="145"/>
      <c r="Q413" s="145"/>
      <c r="R413" s="145"/>
      <c r="S413" s="145"/>
      <c r="T413" s="145"/>
      <c r="U413" s="145"/>
      <c r="V413" s="145"/>
      <c r="W413" s="145"/>
      <c r="X413" s="145"/>
      <c r="Y413" s="145"/>
      <c r="Z413" s="145"/>
      <c r="AA413" s="145"/>
      <c r="AB413" s="145"/>
      <c r="AC413" s="145"/>
      <c r="AD413" s="145"/>
      <c r="AE413" s="145"/>
      <c r="AF413" s="145"/>
      <c r="AG413" s="145"/>
      <c r="AH413" s="145"/>
      <c r="AI413" s="145"/>
      <c r="AJ413" s="145"/>
      <c r="AK413" s="145"/>
      <c r="AL413" s="145"/>
      <c r="AM413" s="321"/>
      <c r="AN413" s="321"/>
      <c r="AO413" s="321"/>
      <c r="AP413" s="321"/>
      <c r="AQ413" s="321"/>
      <c r="AR413" s="321"/>
      <c r="AS413" s="321"/>
      <c r="AT413" s="321"/>
    </row>
    <row r="414" spans="10:46">
      <c r="J414" s="145"/>
      <c r="K414" s="145"/>
      <c r="L414" s="145"/>
      <c r="M414" s="145"/>
      <c r="N414" s="145"/>
      <c r="O414" s="145"/>
      <c r="P414" s="145"/>
      <c r="Q414" s="145"/>
      <c r="R414" s="145"/>
      <c r="S414" s="145"/>
      <c r="T414" s="145"/>
      <c r="U414" s="145"/>
      <c r="V414" s="145"/>
      <c r="W414" s="145"/>
      <c r="X414" s="145"/>
      <c r="Y414" s="145"/>
      <c r="Z414" s="145"/>
      <c r="AA414" s="145"/>
      <c r="AB414" s="145"/>
      <c r="AC414" s="145"/>
      <c r="AD414" s="145"/>
      <c r="AE414" s="145"/>
      <c r="AF414" s="145"/>
      <c r="AG414" s="145"/>
      <c r="AH414" s="145"/>
      <c r="AI414" s="145"/>
      <c r="AJ414" s="145"/>
      <c r="AK414" s="145"/>
      <c r="AL414" s="145"/>
      <c r="AM414" s="321"/>
      <c r="AN414" s="321"/>
      <c r="AO414" s="321"/>
      <c r="AP414" s="321"/>
      <c r="AQ414" s="321"/>
      <c r="AR414" s="321"/>
      <c r="AS414" s="321"/>
      <c r="AT414" s="321"/>
    </row>
    <row r="415" spans="10:46">
      <c r="J415" s="145"/>
      <c r="K415" s="145"/>
      <c r="L415" s="145"/>
      <c r="M415" s="145"/>
      <c r="N415" s="145"/>
      <c r="O415" s="145"/>
      <c r="P415" s="145"/>
      <c r="Q415" s="145"/>
      <c r="R415" s="145"/>
      <c r="S415" s="145"/>
      <c r="T415" s="145"/>
      <c r="U415" s="145"/>
      <c r="V415" s="145"/>
      <c r="W415" s="145"/>
      <c r="X415" s="145"/>
      <c r="Y415" s="145"/>
      <c r="Z415" s="145"/>
      <c r="AA415" s="145"/>
      <c r="AB415" s="145"/>
      <c r="AC415" s="145"/>
      <c r="AD415" s="145"/>
      <c r="AE415" s="145"/>
      <c r="AF415" s="145"/>
      <c r="AG415" s="145"/>
      <c r="AH415" s="145"/>
      <c r="AI415" s="145"/>
      <c r="AJ415" s="145"/>
      <c r="AK415" s="145"/>
      <c r="AL415" s="145"/>
      <c r="AM415" s="321"/>
      <c r="AN415" s="321"/>
      <c r="AO415" s="321"/>
      <c r="AP415" s="321"/>
      <c r="AQ415" s="321"/>
      <c r="AR415" s="321"/>
      <c r="AS415" s="321"/>
      <c r="AT415" s="321"/>
    </row>
    <row r="416" spans="10:46">
      <c r="J416" s="145"/>
      <c r="K416" s="145"/>
      <c r="L416" s="145"/>
      <c r="M416" s="145"/>
      <c r="N416" s="145"/>
      <c r="O416" s="145"/>
      <c r="P416" s="145"/>
      <c r="Q416" s="145"/>
      <c r="R416" s="145"/>
      <c r="S416" s="145"/>
      <c r="T416" s="145"/>
      <c r="U416" s="145"/>
      <c r="V416" s="145"/>
      <c r="W416" s="145"/>
      <c r="X416" s="145"/>
      <c r="Y416" s="145"/>
      <c r="Z416" s="145"/>
      <c r="AA416" s="145"/>
      <c r="AB416" s="145"/>
      <c r="AC416" s="145"/>
      <c r="AD416" s="145"/>
      <c r="AE416" s="145"/>
      <c r="AF416" s="145"/>
      <c r="AG416" s="145"/>
      <c r="AH416" s="145"/>
      <c r="AI416" s="145"/>
      <c r="AJ416" s="145"/>
      <c r="AK416" s="145"/>
      <c r="AL416" s="145"/>
      <c r="AM416" s="321"/>
      <c r="AN416" s="321"/>
      <c r="AO416" s="321"/>
      <c r="AP416" s="321"/>
      <c r="AQ416" s="321"/>
      <c r="AR416" s="321"/>
      <c r="AS416" s="321"/>
      <c r="AT416" s="321"/>
    </row>
    <row r="417" spans="10:46">
      <c r="J417" s="145"/>
      <c r="K417" s="145"/>
      <c r="L417" s="145"/>
      <c r="M417" s="145"/>
      <c r="N417" s="145"/>
      <c r="O417" s="145"/>
      <c r="P417" s="145"/>
      <c r="Q417" s="145"/>
      <c r="R417" s="145"/>
      <c r="S417" s="145"/>
      <c r="T417" s="145"/>
      <c r="U417" s="145"/>
      <c r="V417" s="145"/>
      <c r="W417" s="145"/>
      <c r="X417" s="145"/>
      <c r="Y417" s="145"/>
      <c r="Z417" s="145"/>
      <c r="AA417" s="145"/>
      <c r="AB417" s="145"/>
      <c r="AC417" s="145"/>
      <c r="AD417" s="145"/>
      <c r="AE417" s="145"/>
      <c r="AF417" s="145"/>
      <c r="AG417" s="145"/>
      <c r="AH417" s="145"/>
      <c r="AI417" s="145"/>
      <c r="AJ417" s="145"/>
      <c r="AK417" s="145"/>
      <c r="AL417" s="145"/>
      <c r="AM417" s="321"/>
      <c r="AN417" s="321"/>
      <c r="AO417" s="321"/>
      <c r="AP417" s="321"/>
      <c r="AQ417" s="321"/>
      <c r="AR417" s="321"/>
      <c r="AS417" s="321"/>
      <c r="AT417" s="321"/>
    </row>
    <row r="418" spans="10:46">
      <c r="J418" s="145"/>
      <c r="K418" s="145"/>
      <c r="L418" s="145"/>
      <c r="M418" s="145"/>
      <c r="N418" s="145"/>
      <c r="O418" s="145"/>
      <c r="P418" s="145"/>
      <c r="Q418" s="145"/>
      <c r="R418" s="145"/>
      <c r="S418" s="145"/>
      <c r="T418" s="145"/>
      <c r="U418" s="145"/>
      <c r="V418" s="145"/>
      <c r="W418" s="145"/>
      <c r="X418" s="145"/>
      <c r="Y418" s="145"/>
      <c r="Z418" s="145"/>
      <c r="AA418" s="145"/>
      <c r="AB418" s="145"/>
      <c r="AC418" s="145"/>
      <c r="AD418" s="145"/>
      <c r="AE418" s="145"/>
      <c r="AF418" s="145"/>
      <c r="AG418" s="145"/>
      <c r="AH418" s="145"/>
      <c r="AI418" s="145"/>
      <c r="AJ418" s="145"/>
      <c r="AK418" s="145"/>
      <c r="AL418" s="145"/>
      <c r="AM418" s="321"/>
      <c r="AN418" s="321"/>
      <c r="AO418" s="321"/>
      <c r="AP418" s="321"/>
      <c r="AQ418" s="321"/>
      <c r="AR418" s="321"/>
      <c r="AS418" s="321"/>
      <c r="AT418" s="321"/>
    </row>
    <row r="419" spans="10:46">
      <c r="J419" s="145"/>
      <c r="K419" s="145"/>
      <c r="L419" s="145"/>
      <c r="M419" s="145"/>
      <c r="N419" s="145"/>
      <c r="O419" s="145"/>
      <c r="P419" s="145"/>
      <c r="Q419" s="145"/>
      <c r="R419" s="145"/>
      <c r="S419" s="145"/>
      <c r="T419" s="145"/>
      <c r="U419" s="145"/>
      <c r="V419" s="145"/>
      <c r="W419" s="145"/>
      <c r="X419" s="145"/>
      <c r="Y419" s="145"/>
      <c r="Z419" s="145"/>
      <c r="AA419" s="145"/>
      <c r="AB419" s="145"/>
      <c r="AC419" s="145"/>
      <c r="AD419" s="145"/>
      <c r="AE419" s="145"/>
      <c r="AF419" s="145"/>
      <c r="AG419" s="145"/>
      <c r="AH419" s="145"/>
      <c r="AI419" s="145"/>
      <c r="AJ419" s="145"/>
      <c r="AK419" s="145"/>
      <c r="AL419" s="145"/>
      <c r="AM419" s="321"/>
      <c r="AN419" s="321"/>
      <c r="AO419" s="321"/>
      <c r="AP419" s="321"/>
      <c r="AQ419" s="321"/>
      <c r="AR419" s="321"/>
      <c r="AS419" s="321"/>
      <c r="AT419" s="321"/>
    </row>
    <row r="420" spans="10:46">
      <c r="J420" s="145"/>
      <c r="K420" s="145"/>
      <c r="L420" s="145"/>
      <c r="M420" s="145"/>
      <c r="N420" s="145"/>
      <c r="O420" s="145"/>
      <c r="P420" s="145"/>
      <c r="Q420" s="145"/>
      <c r="R420" s="145"/>
      <c r="S420" s="145"/>
      <c r="T420" s="145"/>
      <c r="U420" s="145"/>
      <c r="V420" s="145"/>
      <c r="W420" s="145"/>
      <c r="X420" s="145"/>
      <c r="Y420" s="145"/>
      <c r="Z420" s="145"/>
      <c r="AA420" s="145"/>
      <c r="AB420" s="145"/>
      <c r="AC420" s="145"/>
      <c r="AD420" s="145"/>
      <c r="AE420" s="145"/>
      <c r="AF420" s="145"/>
      <c r="AG420" s="145"/>
      <c r="AH420" s="145"/>
      <c r="AI420" s="145"/>
      <c r="AJ420" s="145"/>
      <c r="AK420" s="145"/>
      <c r="AL420" s="145"/>
      <c r="AM420" s="321"/>
      <c r="AN420" s="321"/>
      <c r="AO420" s="321"/>
      <c r="AP420" s="321"/>
      <c r="AQ420" s="321"/>
      <c r="AR420" s="321"/>
      <c r="AS420" s="321"/>
      <c r="AT420" s="321"/>
    </row>
    <row r="421" spans="10:46">
      <c r="J421" s="145"/>
      <c r="K421" s="145"/>
      <c r="L421" s="145"/>
      <c r="M421" s="145"/>
      <c r="N421" s="145"/>
      <c r="O421" s="145"/>
      <c r="P421" s="145"/>
      <c r="Q421" s="145"/>
      <c r="R421" s="145"/>
      <c r="S421" s="145"/>
      <c r="T421" s="145"/>
      <c r="U421" s="145"/>
      <c r="V421" s="145"/>
      <c r="W421" s="145"/>
      <c r="X421" s="145"/>
      <c r="Y421" s="145"/>
      <c r="Z421" s="145"/>
      <c r="AA421" s="145"/>
      <c r="AB421" s="145"/>
      <c r="AC421" s="145"/>
      <c r="AD421" s="145"/>
      <c r="AE421" s="145"/>
      <c r="AF421" s="145"/>
      <c r="AG421" s="145"/>
      <c r="AH421" s="145"/>
      <c r="AI421" s="145"/>
      <c r="AJ421" s="145"/>
      <c r="AK421" s="145"/>
      <c r="AL421" s="145"/>
      <c r="AM421" s="321"/>
      <c r="AN421" s="321"/>
      <c r="AO421" s="321"/>
      <c r="AP421" s="321"/>
      <c r="AQ421" s="321"/>
      <c r="AR421" s="321"/>
      <c r="AS421" s="321"/>
      <c r="AT421" s="321"/>
    </row>
    <row r="422" spans="10:46">
      <c r="J422" s="145"/>
      <c r="K422" s="145"/>
      <c r="L422" s="145"/>
      <c r="M422" s="145"/>
      <c r="N422" s="145"/>
      <c r="O422" s="145"/>
      <c r="P422" s="145"/>
      <c r="Q422" s="145"/>
      <c r="R422" s="145"/>
      <c r="S422" s="145"/>
      <c r="T422" s="145"/>
      <c r="U422" s="145"/>
      <c r="V422" s="145"/>
      <c r="W422" s="145"/>
      <c r="X422" s="145"/>
      <c r="Y422" s="145"/>
      <c r="Z422" s="145"/>
      <c r="AA422" s="145"/>
      <c r="AB422" s="145"/>
      <c r="AC422" s="145"/>
      <c r="AD422" s="145"/>
      <c r="AE422" s="145"/>
      <c r="AF422" s="145"/>
      <c r="AG422" s="145"/>
      <c r="AH422" s="145"/>
      <c r="AI422" s="145"/>
      <c r="AJ422" s="145"/>
      <c r="AK422" s="145"/>
      <c r="AL422" s="145"/>
      <c r="AM422" s="321"/>
      <c r="AN422" s="321"/>
      <c r="AO422" s="321"/>
      <c r="AP422" s="321"/>
      <c r="AQ422" s="321"/>
      <c r="AR422" s="321"/>
      <c r="AS422" s="321"/>
      <c r="AT422" s="321"/>
    </row>
    <row r="423" spans="10:46">
      <c r="J423" s="145"/>
      <c r="K423" s="145"/>
      <c r="L423" s="145"/>
      <c r="M423" s="145"/>
      <c r="N423" s="145"/>
      <c r="O423" s="145"/>
      <c r="P423" s="145"/>
      <c r="Q423" s="145"/>
      <c r="R423" s="145"/>
      <c r="S423" s="145"/>
      <c r="T423" s="145"/>
      <c r="U423" s="145"/>
      <c r="V423" s="145"/>
      <c r="W423" s="145"/>
      <c r="X423" s="145"/>
      <c r="Y423" s="145"/>
      <c r="Z423" s="145"/>
      <c r="AA423" s="145"/>
      <c r="AB423" s="145"/>
      <c r="AC423" s="145"/>
      <c r="AD423" s="145"/>
      <c r="AE423" s="145"/>
      <c r="AF423" s="145"/>
      <c r="AG423" s="145"/>
      <c r="AH423" s="145"/>
      <c r="AI423" s="145"/>
      <c r="AJ423" s="145"/>
      <c r="AK423" s="145"/>
      <c r="AL423" s="145"/>
      <c r="AM423" s="321"/>
      <c r="AN423" s="321"/>
      <c r="AO423" s="321"/>
      <c r="AP423" s="321"/>
      <c r="AQ423" s="321"/>
      <c r="AR423" s="321"/>
      <c r="AS423" s="321"/>
      <c r="AT423" s="321"/>
    </row>
    <row r="424" spans="10:46">
      <c r="J424" s="145"/>
      <c r="K424" s="145"/>
      <c r="L424" s="145"/>
      <c r="M424" s="145"/>
      <c r="N424" s="145"/>
      <c r="O424" s="145"/>
      <c r="P424" s="145"/>
      <c r="Q424" s="145"/>
      <c r="R424" s="145"/>
      <c r="S424" s="145"/>
      <c r="T424" s="145"/>
      <c r="U424" s="145"/>
      <c r="V424" s="145"/>
      <c r="W424" s="145"/>
      <c r="X424" s="145"/>
      <c r="Y424" s="145"/>
      <c r="Z424" s="145"/>
      <c r="AA424" s="145"/>
      <c r="AB424" s="145"/>
      <c r="AC424" s="145"/>
      <c r="AD424" s="145"/>
      <c r="AE424" s="145"/>
      <c r="AF424" s="145"/>
      <c r="AG424" s="145"/>
      <c r="AH424" s="145"/>
      <c r="AI424" s="145"/>
      <c r="AJ424" s="145"/>
      <c r="AK424" s="145"/>
      <c r="AL424" s="145"/>
      <c r="AM424" s="321"/>
      <c r="AN424" s="321"/>
      <c r="AO424" s="321"/>
      <c r="AP424" s="321"/>
      <c r="AQ424" s="321"/>
      <c r="AR424" s="321"/>
      <c r="AS424" s="321"/>
      <c r="AT424" s="321"/>
    </row>
    <row r="425" spans="10:46">
      <c r="J425" s="145"/>
      <c r="K425" s="145"/>
      <c r="L425" s="145"/>
      <c r="M425" s="145"/>
      <c r="N425" s="145"/>
      <c r="O425" s="145"/>
      <c r="P425" s="145"/>
      <c r="Q425" s="145"/>
      <c r="R425" s="145"/>
      <c r="S425" s="145"/>
      <c r="T425" s="145"/>
      <c r="U425" s="145"/>
      <c r="V425" s="145"/>
      <c r="W425" s="145"/>
      <c r="X425" s="145"/>
      <c r="Y425" s="145"/>
      <c r="Z425" s="145"/>
      <c r="AA425" s="145"/>
      <c r="AB425" s="145"/>
      <c r="AC425" s="145"/>
      <c r="AD425" s="145"/>
      <c r="AE425" s="145"/>
      <c r="AF425" s="145"/>
      <c r="AG425" s="145"/>
      <c r="AH425" s="145"/>
      <c r="AI425" s="145"/>
      <c r="AJ425" s="145"/>
      <c r="AK425" s="145"/>
      <c r="AL425" s="145"/>
      <c r="AM425" s="321"/>
      <c r="AN425" s="321"/>
      <c r="AO425" s="321"/>
      <c r="AP425" s="321"/>
      <c r="AQ425" s="321"/>
      <c r="AR425" s="321"/>
      <c r="AS425" s="321"/>
      <c r="AT425" s="321"/>
    </row>
    <row r="426" spans="10:46">
      <c r="J426" s="145"/>
      <c r="K426" s="145"/>
      <c r="L426" s="145"/>
      <c r="M426" s="145"/>
      <c r="N426" s="145"/>
      <c r="O426" s="145"/>
      <c r="P426" s="145"/>
      <c r="Q426" s="145"/>
      <c r="R426" s="145"/>
      <c r="S426" s="145"/>
      <c r="T426" s="145"/>
      <c r="U426" s="145"/>
      <c r="V426" s="145"/>
      <c r="W426" s="145"/>
      <c r="X426" s="145"/>
      <c r="Y426" s="145"/>
      <c r="Z426" s="145"/>
      <c r="AA426" s="145"/>
      <c r="AB426" s="145"/>
      <c r="AC426" s="145"/>
      <c r="AD426" s="145"/>
      <c r="AE426" s="145"/>
      <c r="AF426" s="145"/>
      <c r="AG426" s="145"/>
      <c r="AH426" s="145"/>
      <c r="AI426" s="145"/>
      <c r="AJ426" s="145"/>
      <c r="AK426" s="145"/>
      <c r="AL426" s="145"/>
      <c r="AM426" s="321"/>
      <c r="AN426" s="321"/>
      <c r="AO426" s="321"/>
      <c r="AP426" s="321"/>
      <c r="AQ426" s="321"/>
      <c r="AR426" s="321"/>
      <c r="AS426" s="321"/>
      <c r="AT426" s="321"/>
    </row>
    <row r="427" spans="10:46">
      <c r="J427" s="145"/>
      <c r="K427" s="145"/>
      <c r="L427" s="145"/>
      <c r="M427" s="145"/>
      <c r="N427" s="145"/>
      <c r="O427" s="145"/>
      <c r="P427" s="145"/>
      <c r="Q427" s="145"/>
      <c r="R427" s="145"/>
      <c r="S427" s="145"/>
      <c r="T427" s="145"/>
      <c r="U427" s="145"/>
      <c r="V427" s="145"/>
      <c r="W427" s="145"/>
      <c r="X427" s="145"/>
      <c r="Y427" s="145"/>
      <c r="Z427" s="145"/>
      <c r="AA427" s="145"/>
      <c r="AB427" s="145"/>
      <c r="AC427" s="145"/>
      <c r="AD427" s="145"/>
      <c r="AE427" s="145"/>
      <c r="AF427" s="145"/>
      <c r="AG427" s="145"/>
      <c r="AH427" s="145"/>
      <c r="AI427" s="145"/>
      <c r="AJ427" s="145"/>
      <c r="AK427" s="145"/>
      <c r="AL427" s="145"/>
      <c r="AM427" s="321"/>
      <c r="AN427" s="321"/>
      <c r="AO427" s="321"/>
      <c r="AP427" s="321"/>
      <c r="AQ427" s="321"/>
      <c r="AR427" s="321"/>
      <c r="AS427" s="321"/>
      <c r="AT427" s="321"/>
    </row>
    <row r="428" spans="10:46">
      <c r="J428" s="145"/>
      <c r="K428" s="145"/>
      <c r="L428" s="145"/>
      <c r="M428" s="145"/>
      <c r="N428" s="145"/>
      <c r="O428" s="145"/>
      <c r="P428" s="145"/>
      <c r="Q428" s="145"/>
      <c r="R428" s="145"/>
      <c r="S428" s="145"/>
      <c r="T428" s="145"/>
      <c r="U428" s="145"/>
      <c r="V428" s="145"/>
      <c r="W428" s="145"/>
      <c r="X428" s="145"/>
      <c r="Y428" s="145"/>
      <c r="Z428" s="145"/>
      <c r="AA428" s="145"/>
      <c r="AB428" s="145"/>
      <c r="AC428" s="145"/>
      <c r="AD428" s="145"/>
      <c r="AE428" s="145"/>
      <c r="AF428" s="145"/>
      <c r="AG428" s="145"/>
      <c r="AH428" s="145"/>
      <c r="AI428" s="145"/>
      <c r="AJ428" s="145"/>
      <c r="AK428" s="145"/>
      <c r="AL428" s="145"/>
      <c r="AM428" s="321"/>
      <c r="AN428" s="321"/>
      <c r="AO428" s="321"/>
      <c r="AP428" s="321"/>
      <c r="AQ428" s="321"/>
      <c r="AR428" s="321"/>
      <c r="AS428" s="321"/>
      <c r="AT428" s="321"/>
    </row>
    <row r="429" spans="10:46">
      <c r="J429" s="145"/>
      <c r="K429" s="145"/>
      <c r="L429" s="145"/>
      <c r="M429" s="145"/>
      <c r="N429" s="145"/>
      <c r="O429" s="145"/>
      <c r="P429" s="145"/>
      <c r="Q429" s="145"/>
      <c r="R429" s="145"/>
      <c r="S429" s="145"/>
      <c r="T429" s="145"/>
      <c r="U429" s="145"/>
      <c r="V429" s="145"/>
      <c r="W429" s="145"/>
      <c r="X429" s="145"/>
      <c r="Y429" s="145"/>
      <c r="Z429" s="145"/>
      <c r="AA429" s="145"/>
      <c r="AB429" s="145"/>
      <c r="AC429" s="145"/>
      <c r="AD429" s="145"/>
      <c r="AE429" s="145"/>
      <c r="AF429" s="145"/>
      <c r="AG429" s="145"/>
      <c r="AH429" s="145"/>
      <c r="AI429" s="145"/>
      <c r="AJ429" s="145"/>
      <c r="AK429" s="145"/>
      <c r="AL429" s="145"/>
      <c r="AM429" s="321"/>
      <c r="AN429" s="321"/>
      <c r="AO429" s="321"/>
      <c r="AP429" s="321"/>
      <c r="AQ429" s="321"/>
      <c r="AR429" s="321"/>
      <c r="AS429" s="321"/>
      <c r="AT429" s="321"/>
    </row>
    <row r="430" spans="10:46">
      <c r="J430" s="145"/>
      <c r="K430" s="145"/>
      <c r="L430" s="145"/>
      <c r="M430" s="145"/>
      <c r="N430" s="145"/>
      <c r="O430" s="145"/>
      <c r="P430" s="145"/>
      <c r="Q430" s="145"/>
      <c r="R430" s="145"/>
      <c r="S430" s="145"/>
      <c r="T430" s="145"/>
      <c r="U430" s="145"/>
      <c r="V430" s="145"/>
      <c r="W430" s="145"/>
      <c r="X430" s="145"/>
      <c r="Y430" s="145"/>
      <c r="Z430" s="145"/>
      <c r="AA430" s="145"/>
      <c r="AB430" s="145"/>
      <c r="AC430" s="145"/>
      <c r="AD430" s="145"/>
      <c r="AE430" s="145"/>
      <c r="AF430" s="145"/>
      <c r="AG430" s="145"/>
      <c r="AH430" s="145"/>
      <c r="AI430" s="145"/>
      <c r="AJ430" s="145"/>
      <c r="AK430" s="145"/>
      <c r="AL430" s="145"/>
      <c r="AM430" s="321"/>
      <c r="AN430" s="321"/>
      <c r="AO430" s="321"/>
      <c r="AP430" s="321"/>
      <c r="AQ430" s="321"/>
      <c r="AR430" s="321"/>
      <c r="AS430" s="321"/>
      <c r="AT430" s="321"/>
    </row>
    <row r="431" spans="10:46">
      <c r="J431" s="145"/>
      <c r="K431" s="145"/>
      <c r="L431" s="145"/>
      <c r="M431" s="145"/>
      <c r="N431" s="145"/>
      <c r="O431" s="145"/>
      <c r="P431" s="145"/>
      <c r="Q431" s="145"/>
      <c r="R431" s="145"/>
      <c r="S431" s="145"/>
      <c r="T431" s="145"/>
      <c r="U431" s="145"/>
      <c r="V431" s="145"/>
      <c r="W431" s="145"/>
      <c r="X431" s="145"/>
      <c r="Y431" s="145"/>
      <c r="Z431" s="145"/>
      <c r="AA431" s="145"/>
      <c r="AB431" s="145"/>
      <c r="AC431" s="145"/>
      <c r="AD431" s="145"/>
      <c r="AE431" s="145"/>
      <c r="AF431" s="145"/>
      <c r="AG431" s="145"/>
      <c r="AH431" s="145"/>
      <c r="AI431" s="145"/>
      <c r="AJ431" s="145"/>
      <c r="AK431" s="145"/>
      <c r="AL431" s="145"/>
      <c r="AM431" s="321"/>
      <c r="AN431" s="321"/>
      <c r="AO431" s="321"/>
      <c r="AP431" s="321"/>
      <c r="AQ431" s="321"/>
      <c r="AR431" s="321"/>
      <c r="AS431" s="321"/>
      <c r="AT431" s="321"/>
    </row>
    <row r="432" spans="10:46">
      <c r="J432" s="145"/>
      <c r="K432" s="145"/>
      <c r="L432" s="145"/>
      <c r="M432" s="145"/>
      <c r="N432" s="145"/>
      <c r="O432" s="145"/>
      <c r="P432" s="145"/>
      <c r="Q432" s="145"/>
      <c r="R432" s="145"/>
      <c r="S432" s="145"/>
      <c r="T432" s="145"/>
      <c r="U432" s="145"/>
      <c r="V432" s="145"/>
      <c r="W432" s="145"/>
      <c r="X432" s="145"/>
      <c r="Y432" s="145"/>
      <c r="Z432" s="145"/>
      <c r="AA432" s="145"/>
      <c r="AB432" s="145"/>
      <c r="AC432" s="145"/>
      <c r="AD432" s="145"/>
      <c r="AE432" s="145"/>
      <c r="AF432" s="145"/>
      <c r="AG432" s="145"/>
      <c r="AH432" s="145"/>
      <c r="AI432" s="145"/>
      <c r="AJ432" s="145"/>
      <c r="AK432" s="145"/>
      <c r="AL432" s="145"/>
      <c r="AM432" s="321"/>
      <c r="AN432" s="321"/>
      <c r="AO432" s="321"/>
      <c r="AP432" s="321"/>
      <c r="AQ432" s="321"/>
      <c r="AR432" s="321"/>
      <c r="AS432" s="321"/>
      <c r="AT432" s="321"/>
    </row>
    <row r="433" spans="10:46">
      <c r="J433" s="145"/>
      <c r="K433" s="145"/>
      <c r="L433" s="145"/>
      <c r="M433" s="145"/>
      <c r="N433" s="145"/>
      <c r="O433" s="145"/>
      <c r="P433" s="145"/>
      <c r="Q433" s="145"/>
      <c r="R433" s="145"/>
      <c r="S433" s="145"/>
      <c r="T433" s="145"/>
      <c r="U433" s="145"/>
      <c r="V433" s="145"/>
      <c r="W433" s="145"/>
      <c r="X433" s="145"/>
      <c r="Y433" s="145"/>
      <c r="Z433" s="145"/>
      <c r="AA433" s="145"/>
      <c r="AB433" s="145"/>
      <c r="AC433" s="145"/>
      <c r="AD433" s="145"/>
      <c r="AE433" s="145"/>
      <c r="AF433" s="145"/>
      <c r="AG433" s="145"/>
      <c r="AH433" s="145"/>
      <c r="AI433" s="145"/>
      <c r="AJ433" s="145"/>
      <c r="AK433" s="145"/>
      <c r="AL433" s="145"/>
      <c r="AM433" s="321"/>
      <c r="AN433" s="321"/>
      <c r="AO433" s="321"/>
      <c r="AP433" s="321"/>
      <c r="AQ433" s="321"/>
      <c r="AR433" s="321"/>
      <c r="AS433" s="321"/>
      <c r="AT433" s="321"/>
    </row>
    <row r="434" spans="10:46">
      <c r="J434" s="145"/>
      <c r="K434" s="145"/>
      <c r="L434" s="145"/>
      <c r="M434" s="145"/>
      <c r="N434" s="145"/>
      <c r="O434" s="145"/>
      <c r="P434" s="145"/>
      <c r="Q434" s="145"/>
      <c r="R434" s="145"/>
      <c r="S434" s="145"/>
      <c r="T434" s="145"/>
      <c r="U434" s="145"/>
      <c r="V434" s="145"/>
      <c r="W434" s="145"/>
      <c r="X434" s="145"/>
      <c r="Y434" s="145"/>
      <c r="Z434" s="145"/>
      <c r="AA434" s="145"/>
      <c r="AB434" s="145"/>
      <c r="AC434" s="145"/>
      <c r="AD434" s="145"/>
      <c r="AE434" s="145"/>
      <c r="AF434" s="145"/>
      <c r="AG434" s="145"/>
      <c r="AH434" s="145"/>
      <c r="AI434" s="145"/>
      <c r="AJ434" s="145"/>
      <c r="AK434" s="145"/>
      <c r="AL434" s="145"/>
      <c r="AM434" s="321"/>
      <c r="AN434" s="321"/>
      <c r="AO434" s="321"/>
      <c r="AP434" s="321"/>
      <c r="AQ434" s="321"/>
      <c r="AR434" s="321"/>
      <c r="AS434" s="321"/>
      <c r="AT434" s="321"/>
    </row>
    <row r="435" spans="10:46">
      <c r="J435" s="145"/>
      <c r="K435" s="145"/>
      <c r="L435" s="145"/>
      <c r="M435" s="145"/>
      <c r="N435" s="145"/>
      <c r="O435" s="145"/>
      <c r="P435" s="145"/>
      <c r="Q435" s="145"/>
      <c r="R435" s="145"/>
      <c r="S435" s="145"/>
      <c r="T435" s="145"/>
      <c r="U435" s="145"/>
      <c r="V435" s="145"/>
      <c r="W435" s="145"/>
      <c r="X435" s="145"/>
      <c r="Y435" s="145"/>
      <c r="Z435" s="145"/>
      <c r="AA435" s="145"/>
      <c r="AB435" s="145"/>
      <c r="AC435" s="145"/>
      <c r="AD435" s="145"/>
      <c r="AE435" s="145"/>
      <c r="AF435" s="145"/>
      <c r="AG435" s="145"/>
      <c r="AH435" s="145"/>
      <c r="AI435" s="145"/>
      <c r="AJ435" s="145"/>
      <c r="AK435" s="145"/>
      <c r="AL435" s="145"/>
      <c r="AM435" s="321"/>
      <c r="AN435" s="321"/>
      <c r="AO435" s="321"/>
      <c r="AP435" s="321"/>
      <c r="AQ435" s="321"/>
      <c r="AR435" s="321"/>
      <c r="AS435" s="321"/>
      <c r="AT435" s="321"/>
    </row>
    <row r="436" spans="10:46">
      <c r="J436" s="145"/>
      <c r="K436" s="145"/>
      <c r="L436" s="145"/>
      <c r="M436" s="145"/>
      <c r="N436" s="145"/>
      <c r="O436" s="145"/>
      <c r="P436" s="145"/>
      <c r="Q436" s="145"/>
      <c r="R436" s="145"/>
      <c r="S436" s="145"/>
      <c r="T436" s="145"/>
      <c r="U436" s="145"/>
      <c r="V436" s="145"/>
      <c r="W436" s="145"/>
      <c r="X436" s="145"/>
      <c r="Y436" s="145"/>
      <c r="Z436" s="145"/>
      <c r="AA436" s="145"/>
      <c r="AB436" s="145"/>
      <c r="AC436" s="145"/>
      <c r="AD436" s="145"/>
      <c r="AE436" s="145"/>
      <c r="AF436" s="145"/>
      <c r="AG436" s="145"/>
      <c r="AH436" s="145"/>
      <c r="AI436" s="145"/>
      <c r="AJ436" s="145"/>
      <c r="AK436" s="145"/>
      <c r="AL436" s="145"/>
      <c r="AM436" s="321"/>
      <c r="AN436" s="321"/>
      <c r="AO436" s="321"/>
      <c r="AP436" s="321"/>
      <c r="AQ436" s="321"/>
      <c r="AR436" s="321"/>
      <c r="AS436" s="321"/>
      <c r="AT436" s="321"/>
    </row>
    <row r="437" spans="10:46">
      <c r="J437" s="145"/>
      <c r="K437" s="145"/>
      <c r="L437" s="145"/>
      <c r="M437" s="145"/>
      <c r="N437" s="145"/>
      <c r="O437" s="145"/>
      <c r="P437" s="145"/>
      <c r="Q437" s="145"/>
      <c r="R437" s="145"/>
      <c r="S437" s="145"/>
      <c r="T437" s="145"/>
      <c r="U437" s="145"/>
      <c r="V437" s="145"/>
      <c r="W437" s="145"/>
      <c r="X437" s="145"/>
      <c r="Y437" s="145"/>
      <c r="Z437" s="145"/>
      <c r="AA437" s="145"/>
      <c r="AB437" s="145"/>
      <c r="AC437" s="145"/>
      <c r="AD437" s="145"/>
      <c r="AE437" s="145"/>
      <c r="AF437" s="145"/>
      <c r="AG437" s="145"/>
      <c r="AH437" s="145"/>
      <c r="AI437" s="145"/>
      <c r="AJ437" s="145"/>
      <c r="AK437" s="145"/>
      <c r="AL437" s="145"/>
      <c r="AM437" s="321"/>
      <c r="AN437" s="321"/>
      <c r="AO437" s="321"/>
      <c r="AP437" s="321"/>
      <c r="AQ437" s="321"/>
      <c r="AR437" s="321"/>
      <c r="AS437" s="321"/>
      <c r="AT437" s="321"/>
    </row>
    <row r="438" spans="10:46">
      <c r="J438" s="145"/>
      <c r="K438" s="145"/>
      <c r="L438" s="145"/>
      <c r="M438" s="145"/>
      <c r="N438" s="145"/>
      <c r="O438" s="145"/>
      <c r="P438" s="145"/>
      <c r="Q438" s="145"/>
      <c r="R438" s="145"/>
      <c r="S438" s="145"/>
      <c r="T438" s="145"/>
      <c r="U438" s="145"/>
      <c r="V438" s="145"/>
      <c r="W438" s="145"/>
      <c r="X438" s="145"/>
      <c r="Y438" s="145"/>
      <c r="Z438" s="145"/>
      <c r="AA438" s="145"/>
      <c r="AB438" s="145"/>
      <c r="AC438" s="145"/>
      <c r="AD438" s="145"/>
      <c r="AE438" s="145"/>
      <c r="AF438" s="145"/>
      <c r="AG438" s="145"/>
      <c r="AH438" s="145"/>
      <c r="AI438" s="145"/>
      <c r="AJ438" s="145"/>
      <c r="AK438" s="145"/>
      <c r="AL438" s="145"/>
      <c r="AM438" s="321"/>
      <c r="AN438" s="321"/>
      <c r="AO438" s="321"/>
      <c r="AP438" s="321"/>
      <c r="AQ438" s="321"/>
      <c r="AR438" s="321"/>
      <c r="AS438" s="321"/>
      <c r="AT438" s="321"/>
    </row>
    <row r="439" spans="10:46">
      <c r="J439" s="145"/>
      <c r="K439" s="145"/>
      <c r="L439" s="145"/>
      <c r="M439" s="145"/>
      <c r="N439" s="145"/>
      <c r="O439" s="145"/>
      <c r="P439" s="145"/>
      <c r="Q439" s="145"/>
      <c r="R439" s="145"/>
      <c r="S439" s="145"/>
      <c r="T439" s="145"/>
      <c r="U439" s="145"/>
      <c r="V439" s="145"/>
      <c r="W439" s="145"/>
      <c r="X439" s="145"/>
      <c r="Y439" s="145"/>
      <c r="Z439" s="145"/>
      <c r="AA439" s="145"/>
      <c r="AB439" s="145"/>
      <c r="AC439" s="145"/>
      <c r="AD439" s="145"/>
      <c r="AE439" s="145"/>
      <c r="AF439" s="145"/>
      <c r="AG439" s="145"/>
      <c r="AH439" s="145"/>
      <c r="AI439" s="145"/>
      <c r="AJ439" s="145"/>
      <c r="AK439" s="145"/>
      <c r="AL439" s="145"/>
      <c r="AM439" s="321"/>
      <c r="AN439" s="321"/>
      <c r="AO439" s="321"/>
      <c r="AP439" s="321"/>
      <c r="AQ439" s="321"/>
      <c r="AR439" s="321"/>
      <c r="AS439" s="321"/>
      <c r="AT439" s="321"/>
    </row>
    <row r="440" spans="10:46">
      <c r="J440" s="145"/>
      <c r="K440" s="145"/>
      <c r="L440" s="145"/>
      <c r="M440" s="145"/>
      <c r="N440" s="145"/>
      <c r="O440" s="145"/>
      <c r="P440" s="145"/>
      <c r="Q440" s="145"/>
      <c r="R440" s="145"/>
      <c r="S440" s="145"/>
      <c r="T440" s="145"/>
      <c r="U440" s="145"/>
      <c r="V440" s="145"/>
      <c r="W440" s="145"/>
      <c r="X440" s="145"/>
      <c r="Y440" s="145"/>
      <c r="Z440" s="145"/>
      <c r="AA440" s="145"/>
      <c r="AB440" s="145"/>
      <c r="AC440" s="145"/>
      <c r="AD440" s="145"/>
      <c r="AE440" s="145"/>
      <c r="AF440" s="145"/>
      <c r="AG440" s="145"/>
      <c r="AH440" s="145"/>
      <c r="AI440" s="145"/>
      <c r="AJ440" s="145"/>
      <c r="AK440" s="145"/>
      <c r="AL440" s="145"/>
      <c r="AM440" s="321"/>
      <c r="AN440" s="321"/>
      <c r="AO440" s="321"/>
      <c r="AP440" s="321"/>
      <c r="AQ440" s="321"/>
      <c r="AR440" s="321"/>
      <c r="AS440" s="321"/>
      <c r="AT440" s="321"/>
    </row>
    <row r="441" spans="10:46">
      <c r="J441" s="145"/>
      <c r="K441" s="145"/>
      <c r="L441" s="145"/>
      <c r="M441" s="145"/>
      <c r="N441" s="145"/>
      <c r="O441" s="145"/>
      <c r="P441" s="145"/>
      <c r="Q441" s="145"/>
      <c r="R441" s="145"/>
      <c r="S441" s="145"/>
      <c r="T441" s="145"/>
      <c r="U441" s="145"/>
      <c r="V441" s="145"/>
      <c r="W441" s="145"/>
      <c r="X441" s="145"/>
      <c r="Y441" s="145"/>
      <c r="Z441" s="145"/>
      <c r="AA441" s="145"/>
      <c r="AB441" s="145"/>
      <c r="AC441" s="145"/>
      <c r="AD441" s="145"/>
      <c r="AE441" s="145"/>
      <c r="AF441" s="145"/>
      <c r="AG441" s="145"/>
      <c r="AH441" s="145"/>
      <c r="AI441" s="145"/>
      <c r="AJ441" s="145"/>
      <c r="AK441" s="145"/>
      <c r="AL441" s="145"/>
      <c r="AM441" s="321"/>
      <c r="AN441" s="321"/>
      <c r="AO441" s="321"/>
      <c r="AP441" s="321"/>
      <c r="AQ441" s="321"/>
      <c r="AR441" s="321"/>
      <c r="AS441" s="321"/>
      <c r="AT441" s="321"/>
    </row>
    <row r="442" spans="10:46">
      <c r="J442" s="145"/>
      <c r="K442" s="145"/>
      <c r="L442" s="145"/>
      <c r="M442" s="145"/>
      <c r="N442" s="145"/>
      <c r="O442" s="145"/>
      <c r="P442" s="145"/>
      <c r="Q442" s="145"/>
      <c r="R442" s="145"/>
      <c r="S442" s="145"/>
      <c r="T442" s="145"/>
      <c r="U442" s="145"/>
      <c r="V442" s="145"/>
      <c r="W442" s="145"/>
      <c r="X442" s="145"/>
      <c r="Y442" s="145"/>
      <c r="Z442" s="145"/>
      <c r="AA442" s="145"/>
      <c r="AB442" s="145"/>
      <c r="AC442" s="145"/>
      <c r="AD442" s="145"/>
      <c r="AE442" s="145"/>
      <c r="AF442" s="145"/>
      <c r="AG442" s="145"/>
      <c r="AH442" s="145"/>
      <c r="AI442" s="145"/>
      <c r="AJ442" s="145"/>
      <c r="AK442" s="145"/>
      <c r="AL442" s="145"/>
      <c r="AM442" s="321"/>
      <c r="AN442" s="321"/>
      <c r="AO442" s="321"/>
      <c r="AP442" s="321"/>
      <c r="AQ442" s="321"/>
      <c r="AR442" s="321"/>
      <c r="AS442" s="321"/>
      <c r="AT442" s="321"/>
    </row>
    <row r="443" spans="10:46">
      <c r="J443" s="145"/>
      <c r="K443" s="145"/>
      <c r="L443" s="145"/>
      <c r="M443" s="145"/>
      <c r="N443" s="145"/>
      <c r="O443" s="145"/>
      <c r="P443" s="145"/>
      <c r="Q443" s="145"/>
      <c r="R443" s="145"/>
      <c r="S443" s="145"/>
      <c r="T443" s="145"/>
      <c r="U443" s="145"/>
      <c r="V443" s="145"/>
      <c r="W443" s="145"/>
      <c r="X443" s="145"/>
      <c r="Y443" s="145"/>
      <c r="Z443" s="145"/>
      <c r="AA443" s="145"/>
      <c r="AB443" s="145"/>
      <c r="AC443" s="145"/>
      <c r="AD443" s="145"/>
      <c r="AE443" s="145"/>
      <c r="AF443" s="145"/>
      <c r="AG443" s="145"/>
      <c r="AH443" s="145"/>
      <c r="AI443" s="145"/>
      <c r="AJ443" s="145"/>
      <c r="AK443" s="145"/>
      <c r="AL443" s="145"/>
      <c r="AM443" s="321"/>
      <c r="AN443" s="321"/>
      <c r="AO443" s="321"/>
      <c r="AP443" s="321"/>
      <c r="AQ443" s="321"/>
      <c r="AR443" s="321"/>
      <c r="AS443" s="321"/>
      <c r="AT443" s="321"/>
    </row>
    <row r="444" spans="10:46">
      <c r="J444" s="145"/>
      <c r="K444" s="145"/>
      <c r="L444" s="145"/>
      <c r="M444" s="145"/>
      <c r="N444" s="145"/>
      <c r="O444" s="145"/>
      <c r="P444" s="145"/>
      <c r="Q444" s="145"/>
      <c r="R444" s="145"/>
      <c r="S444" s="145"/>
      <c r="T444" s="145"/>
      <c r="U444" s="145"/>
      <c r="V444" s="145"/>
      <c r="W444" s="145"/>
      <c r="X444" s="145"/>
      <c r="Y444" s="145"/>
      <c r="Z444" s="145"/>
      <c r="AA444" s="145"/>
      <c r="AB444" s="145"/>
      <c r="AC444" s="145"/>
      <c r="AD444" s="145"/>
      <c r="AE444" s="145"/>
      <c r="AF444" s="145"/>
      <c r="AG444" s="145"/>
      <c r="AH444" s="145"/>
      <c r="AI444" s="145"/>
      <c r="AJ444" s="145"/>
      <c r="AK444" s="145"/>
      <c r="AL444" s="145"/>
      <c r="AM444" s="321"/>
      <c r="AN444" s="321"/>
      <c r="AO444" s="321"/>
      <c r="AP444" s="321"/>
      <c r="AQ444" s="321"/>
      <c r="AR444" s="321"/>
      <c r="AS444" s="321"/>
      <c r="AT444" s="321"/>
    </row>
    <row r="445" spans="10:46">
      <c r="J445" s="145"/>
      <c r="K445" s="145"/>
      <c r="L445" s="145"/>
      <c r="M445" s="145"/>
      <c r="N445" s="145"/>
      <c r="O445" s="145"/>
      <c r="P445" s="145"/>
      <c r="Q445" s="145"/>
      <c r="R445" s="145"/>
      <c r="S445" s="145"/>
      <c r="T445" s="145"/>
      <c r="U445" s="145"/>
      <c r="V445" s="145"/>
      <c r="W445" s="145"/>
      <c r="X445" s="145"/>
      <c r="Y445" s="145"/>
      <c r="Z445" s="145"/>
      <c r="AA445" s="145"/>
      <c r="AB445" s="145"/>
      <c r="AC445" s="145"/>
      <c r="AD445" s="145"/>
      <c r="AE445" s="145"/>
      <c r="AF445" s="145"/>
      <c r="AG445" s="145"/>
      <c r="AH445" s="145"/>
      <c r="AI445" s="145"/>
      <c r="AJ445" s="145"/>
      <c r="AK445" s="145"/>
      <c r="AL445" s="145"/>
      <c r="AM445" s="321"/>
      <c r="AN445" s="321"/>
      <c r="AO445" s="321"/>
      <c r="AP445" s="321"/>
      <c r="AQ445" s="321"/>
      <c r="AR445" s="321"/>
      <c r="AS445" s="321"/>
      <c r="AT445" s="321"/>
    </row>
    <row r="446" spans="10:46">
      <c r="J446" s="145"/>
      <c r="K446" s="145"/>
      <c r="L446" s="145"/>
      <c r="M446" s="145"/>
      <c r="N446" s="145"/>
      <c r="O446" s="145"/>
      <c r="P446" s="145"/>
      <c r="Q446" s="145"/>
      <c r="R446" s="145"/>
      <c r="S446" s="145"/>
      <c r="T446" s="145"/>
      <c r="U446" s="145"/>
      <c r="V446" s="145"/>
      <c r="W446" s="145"/>
      <c r="X446" s="145"/>
      <c r="Y446" s="145"/>
      <c r="Z446" s="145"/>
      <c r="AA446" s="145"/>
      <c r="AB446" s="145"/>
      <c r="AC446" s="145"/>
      <c r="AD446" s="145"/>
      <c r="AE446" s="145"/>
      <c r="AF446" s="145"/>
      <c r="AG446" s="145"/>
      <c r="AH446" s="145"/>
      <c r="AI446" s="145"/>
      <c r="AJ446" s="145"/>
      <c r="AK446" s="145"/>
      <c r="AL446" s="145"/>
      <c r="AM446" s="321"/>
      <c r="AN446" s="321"/>
      <c r="AO446" s="321"/>
      <c r="AP446" s="321"/>
      <c r="AQ446" s="321"/>
      <c r="AR446" s="321"/>
      <c r="AS446" s="321"/>
      <c r="AT446" s="321"/>
    </row>
    <row r="447" spans="10:46">
      <c r="J447" s="145"/>
      <c r="K447" s="145"/>
      <c r="L447" s="145"/>
      <c r="M447" s="145"/>
      <c r="N447" s="145"/>
      <c r="O447" s="145"/>
      <c r="P447" s="145"/>
      <c r="Q447" s="145"/>
      <c r="R447" s="145"/>
      <c r="S447" s="145"/>
      <c r="T447" s="145"/>
      <c r="U447" s="145"/>
      <c r="V447" s="145"/>
      <c r="W447" s="145"/>
      <c r="X447" s="145"/>
      <c r="Y447" s="145"/>
      <c r="Z447" s="145"/>
      <c r="AA447" s="145"/>
      <c r="AB447" s="145"/>
      <c r="AC447" s="145"/>
      <c r="AD447" s="145"/>
      <c r="AE447" s="145"/>
      <c r="AF447" s="145"/>
      <c r="AG447" s="145"/>
      <c r="AH447" s="145"/>
      <c r="AI447" s="145"/>
      <c r="AJ447" s="145"/>
      <c r="AK447" s="145"/>
      <c r="AL447" s="145"/>
      <c r="AM447" s="321"/>
      <c r="AN447" s="321"/>
      <c r="AO447" s="321"/>
      <c r="AP447" s="321"/>
      <c r="AQ447" s="321"/>
      <c r="AR447" s="321"/>
      <c r="AS447" s="321"/>
      <c r="AT447" s="321"/>
    </row>
    <row r="448" spans="10:46">
      <c r="J448" s="145"/>
      <c r="K448" s="145"/>
      <c r="L448" s="145"/>
      <c r="M448" s="145"/>
      <c r="N448" s="145"/>
      <c r="O448" s="145"/>
      <c r="P448" s="145"/>
      <c r="Q448" s="145"/>
      <c r="R448" s="145"/>
      <c r="S448" s="145"/>
      <c r="T448" s="145"/>
      <c r="U448" s="145"/>
      <c r="V448" s="145"/>
      <c r="W448" s="145"/>
      <c r="X448" s="145"/>
      <c r="Y448" s="145"/>
      <c r="Z448" s="145"/>
      <c r="AA448" s="145"/>
      <c r="AB448" s="145"/>
      <c r="AC448" s="145"/>
      <c r="AD448" s="145"/>
      <c r="AE448" s="145"/>
      <c r="AF448" s="145"/>
      <c r="AG448" s="145"/>
      <c r="AH448" s="145"/>
      <c r="AI448" s="145"/>
      <c r="AJ448" s="145"/>
      <c r="AK448" s="145"/>
      <c r="AL448" s="145"/>
      <c r="AM448" s="321"/>
      <c r="AN448" s="321"/>
      <c r="AO448" s="321"/>
      <c r="AP448" s="321"/>
      <c r="AQ448" s="321"/>
      <c r="AR448" s="321"/>
      <c r="AS448" s="321"/>
      <c r="AT448" s="321"/>
    </row>
    <row r="449" spans="10:46">
      <c r="J449" s="145"/>
      <c r="K449" s="145"/>
      <c r="L449" s="145"/>
      <c r="M449" s="145"/>
      <c r="N449" s="145"/>
      <c r="O449" s="145"/>
      <c r="P449" s="145"/>
      <c r="Q449" s="145"/>
      <c r="R449" s="145"/>
      <c r="S449" s="145"/>
      <c r="T449" s="145"/>
      <c r="U449" s="145"/>
      <c r="V449" s="145"/>
      <c r="W449" s="145"/>
      <c r="X449" s="145"/>
      <c r="Y449" s="145"/>
      <c r="Z449" s="145"/>
      <c r="AA449" s="145"/>
      <c r="AB449" s="145"/>
      <c r="AC449" s="145"/>
      <c r="AD449" s="145"/>
      <c r="AE449" s="145"/>
      <c r="AF449" s="145"/>
      <c r="AG449" s="145"/>
      <c r="AH449" s="145"/>
      <c r="AI449" s="145"/>
      <c r="AJ449" s="145"/>
      <c r="AK449" s="145"/>
      <c r="AL449" s="145"/>
      <c r="AM449" s="321"/>
      <c r="AN449" s="321"/>
      <c r="AO449" s="321"/>
      <c r="AP449" s="321"/>
      <c r="AQ449" s="321"/>
      <c r="AR449" s="321"/>
      <c r="AS449" s="321"/>
      <c r="AT449" s="321"/>
    </row>
    <row r="450" spans="10:46">
      <c r="J450" s="145"/>
      <c r="K450" s="145"/>
      <c r="L450" s="145"/>
      <c r="M450" s="145"/>
      <c r="N450" s="145"/>
      <c r="O450" s="145"/>
      <c r="P450" s="145"/>
      <c r="Q450" s="145"/>
      <c r="R450" s="145"/>
      <c r="S450" s="145"/>
      <c r="T450" s="145"/>
      <c r="U450" s="145"/>
      <c r="V450" s="145"/>
      <c r="W450" s="145"/>
      <c r="X450" s="145"/>
      <c r="Y450" s="145"/>
      <c r="Z450" s="145"/>
      <c r="AA450" s="145"/>
      <c r="AB450" s="145"/>
      <c r="AC450" s="145"/>
      <c r="AD450" s="145"/>
      <c r="AE450" s="145"/>
      <c r="AF450" s="145"/>
      <c r="AG450" s="145"/>
      <c r="AH450" s="145"/>
      <c r="AI450" s="145"/>
      <c r="AJ450" s="145"/>
      <c r="AK450" s="145"/>
      <c r="AL450" s="145"/>
      <c r="AM450" s="321"/>
      <c r="AN450" s="321"/>
      <c r="AO450" s="321"/>
      <c r="AP450" s="321"/>
      <c r="AQ450" s="321"/>
      <c r="AR450" s="321"/>
      <c r="AS450" s="321"/>
      <c r="AT450" s="321"/>
    </row>
    <row r="451" spans="10:46">
      <c r="J451" s="145"/>
      <c r="K451" s="145"/>
      <c r="L451" s="145"/>
      <c r="M451" s="145"/>
      <c r="N451" s="145"/>
      <c r="O451" s="145"/>
      <c r="P451" s="145"/>
      <c r="Q451" s="145"/>
      <c r="R451" s="145"/>
      <c r="S451" s="145"/>
      <c r="T451" s="145"/>
      <c r="U451" s="145"/>
      <c r="V451" s="145"/>
      <c r="W451" s="145"/>
      <c r="X451" s="145"/>
      <c r="Y451" s="145"/>
      <c r="Z451" s="145"/>
      <c r="AA451" s="145"/>
      <c r="AB451" s="145"/>
      <c r="AC451" s="145"/>
      <c r="AD451" s="145"/>
      <c r="AE451" s="145"/>
      <c r="AF451" s="145"/>
      <c r="AG451" s="145"/>
      <c r="AH451" s="145"/>
      <c r="AI451" s="145"/>
      <c r="AJ451" s="145"/>
      <c r="AK451" s="145"/>
      <c r="AL451" s="145"/>
      <c r="AM451" s="321"/>
      <c r="AN451" s="321"/>
      <c r="AO451" s="321"/>
      <c r="AP451" s="321"/>
      <c r="AQ451" s="321"/>
      <c r="AR451" s="321"/>
      <c r="AS451" s="321"/>
      <c r="AT451" s="321"/>
    </row>
    <row r="452" spans="10:46">
      <c r="J452" s="145"/>
      <c r="K452" s="145"/>
      <c r="L452" s="145"/>
      <c r="M452" s="145"/>
      <c r="N452" s="145"/>
      <c r="O452" s="145"/>
      <c r="P452" s="145"/>
      <c r="Q452" s="145"/>
      <c r="R452" s="145"/>
      <c r="S452" s="145"/>
      <c r="T452" s="145"/>
      <c r="U452" s="145"/>
      <c r="V452" s="145"/>
      <c r="W452" s="145"/>
      <c r="X452" s="145"/>
      <c r="Y452" s="145"/>
      <c r="Z452" s="145"/>
      <c r="AA452" s="145"/>
      <c r="AB452" s="145"/>
      <c r="AC452" s="145"/>
      <c r="AD452" s="145"/>
      <c r="AE452" s="145"/>
      <c r="AF452" s="145"/>
      <c r="AG452" s="145"/>
      <c r="AH452" s="145"/>
      <c r="AI452" s="145"/>
      <c r="AJ452" s="145"/>
      <c r="AK452" s="145"/>
      <c r="AL452" s="145"/>
      <c r="AM452" s="321"/>
      <c r="AN452" s="321"/>
      <c r="AO452" s="321"/>
      <c r="AP452" s="321"/>
      <c r="AQ452" s="321"/>
      <c r="AR452" s="321"/>
      <c r="AS452" s="321"/>
      <c r="AT452" s="321"/>
    </row>
    <row r="453" spans="10:46">
      <c r="J453" s="145"/>
      <c r="K453" s="145"/>
      <c r="L453" s="145"/>
      <c r="M453" s="145"/>
      <c r="N453" s="145"/>
      <c r="O453" s="145"/>
      <c r="P453" s="145"/>
      <c r="Q453" s="145"/>
      <c r="R453" s="145"/>
      <c r="S453" s="145"/>
      <c r="T453" s="145"/>
      <c r="U453" s="145"/>
      <c r="V453" s="145"/>
      <c r="W453" s="145"/>
      <c r="X453" s="145"/>
      <c r="Y453" s="145"/>
      <c r="Z453" s="145"/>
      <c r="AA453" s="145"/>
      <c r="AB453" s="145"/>
      <c r="AC453" s="145"/>
      <c r="AD453" s="145"/>
      <c r="AE453" s="145"/>
      <c r="AF453" s="145"/>
      <c r="AG453" s="145"/>
      <c r="AH453" s="145"/>
      <c r="AI453" s="145"/>
      <c r="AJ453" s="145"/>
      <c r="AK453" s="145"/>
      <c r="AL453" s="145"/>
      <c r="AM453" s="321"/>
      <c r="AN453" s="321"/>
      <c r="AO453" s="321"/>
      <c r="AP453" s="321"/>
      <c r="AQ453" s="321"/>
      <c r="AR453" s="321"/>
      <c r="AS453" s="321"/>
      <c r="AT453" s="321"/>
    </row>
    <row r="454" spans="10:46">
      <c r="J454" s="145"/>
      <c r="K454" s="145"/>
      <c r="L454" s="145"/>
      <c r="M454" s="145"/>
      <c r="N454" s="145"/>
      <c r="O454" s="145"/>
      <c r="P454" s="145"/>
      <c r="Q454" s="145"/>
      <c r="R454" s="145"/>
      <c r="S454" s="145"/>
      <c r="T454" s="145"/>
      <c r="U454" s="145"/>
      <c r="V454" s="145"/>
      <c r="W454" s="145"/>
      <c r="X454" s="145"/>
      <c r="Y454" s="145"/>
      <c r="Z454" s="145"/>
      <c r="AA454" s="145"/>
      <c r="AB454" s="145"/>
      <c r="AC454" s="145"/>
      <c r="AD454" s="145"/>
      <c r="AE454" s="145"/>
      <c r="AF454" s="145"/>
      <c r="AG454" s="145"/>
      <c r="AH454" s="145"/>
      <c r="AI454" s="145"/>
      <c r="AJ454" s="145"/>
      <c r="AK454" s="145"/>
      <c r="AL454" s="145"/>
      <c r="AM454" s="321"/>
      <c r="AN454" s="321"/>
      <c r="AO454" s="321"/>
      <c r="AP454" s="321"/>
      <c r="AQ454" s="321"/>
      <c r="AR454" s="321"/>
      <c r="AS454" s="321"/>
      <c r="AT454" s="321"/>
    </row>
    <row r="455" spans="10:46">
      <c r="J455" s="145"/>
      <c r="K455" s="145"/>
      <c r="L455" s="145"/>
      <c r="M455" s="145"/>
      <c r="N455" s="145"/>
      <c r="O455" s="145"/>
      <c r="P455" s="145"/>
      <c r="Q455" s="145"/>
      <c r="R455" s="145"/>
      <c r="S455" s="145"/>
      <c r="T455" s="145"/>
      <c r="U455" s="145"/>
      <c r="V455" s="145"/>
      <c r="W455" s="145"/>
      <c r="X455" s="145"/>
      <c r="Y455" s="145"/>
      <c r="Z455" s="145"/>
      <c r="AA455" s="145"/>
      <c r="AB455" s="145"/>
      <c r="AC455" s="145"/>
      <c r="AD455" s="145"/>
      <c r="AE455" s="145"/>
      <c r="AF455" s="145"/>
      <c r="AG455" s="145"/>
      <c r="AH455" s="145"/>
      <c r="AI455" s="145"/>
      <c r="AJ455" s="145"/>
      <c r="AK455" s="145"/>
      <c r="AL455" s="145"/>
      <c r="AM455" s="321"/>
      <c r="AN455" s="321"/>
      <c r="AO455" s="321"/>
      <c r="AP455" s="321"/>
      <c r="AQ455" s="321"/>
      <c r="AR455" s="321"/>
      <c r="AS455" s="321"/>
      <c r="AT455" s="321"/>
    </row>
    <row r="456" spans="10:46">
      <c r="J456" s="145"/>
      <c r="K456" s="145"/>
      <c r="L456" s="145"/>
      <c r="M456" s="145"/>
      <c r="N456" s="145"/>
      <c r="O456" s="145"/>
      <c r="P456" s="145"/>
      <c r="Q456" s="145"/>
      <c r="R456" s="145"/>
      <c r="S456" s="145"/>
      <c r="T456" s="145"/>
      <c r="U456" s="145"/>
      <c r="V456" s="145"/>
      <c r="W456" s="145"/>
      <c r="X456" s="145"/>
      <c r="Y456" s="145"/>
      <c r="Z456" s="145"/>
      <c r="AA456" s="145"/>
      <c r="AB456" s="145"/>
      <c r="AC456" s="145"/>
      <c r="AD456" s="145"/>
      <c r="AE456" s="145"/>
      <c r="AF456" s="145"/>
      <c r="AG456" s="145"/>
      <c r="AH456" s="145"/>
      <c r="AI456" s="145"/>
      <c r="AJ456" s="145"/>
      <c r="AK456" s="145"/>
      <c r="AL456" s="145"/>
      <c r="AM456" s="321"/>
      <c r="AN456" s="321"/>
      <c r="AO456" s="321"/>
      <c r="AP456" s="321"/>
      <c r="AQ456" s="321"/>
      <c r="AR456" s="321"/>
      <c r="AS456" s="321"/>
      <c r="AT456" s="321"/>
    </row>
    <row r="457" spans="10:46">
      <c r="J457" s="145"/>
      <c r="K457" s="145"/>
      <c r="L457" s="145"/>
      <c r="M457" s="145"/>
      <c r="N457" s="145"/>
      <c r="O457" s="145"/>
      <c r="P457" s="145"/>
      <c r="Q457" s="145"/>
      <c r="R457" s="145"/>
      <c r="S457" s="145"/>
      <c r="T457" s="145"/>
      <c r="U457" s="145"/>
      <c r="V457" s="145"/>
      <c r="W457" s="145"/>
      <c r="X457" s="145"/>
      <c r="Y457" s="145"/>
      <c r="Z457" s="145"/>
      <c r="AA457" s="145"/>
      <c r="AB457" s="145"/>
      <c r="AC457" s="145"/>
      <c r="AD457" s="145"/>
      <c r="AE457" s="145"/>
      <c r="AF457" s="145"/>
      <c r="AG457" s="145"/>
      <c r="AH457" s="145"/>
      <c r="AI457" s="145"/>
      <c r="AJ457" s="145"/>
      <c r="AK457" s="145"/>
      <c r="AL457" s="145"/>
      <c r="AM457" s="321"/>
      <c r="AN457" s="321"/>
      <c r="AO457" s="321"/>
      <c r="AP457" s="321"/>
      <c r="AQ457" s="321"/>
      <c r="AR457" s="321"/>
      <c r="AS457" s="321"/>
      <c r="AT457" s="321"/>
    </row>
    <row r="458" spans="10:46">
      <c r="J458" s="145"/>
      <c r="K458" s="145"/>
      <c r="L458" s="145"/>
      <c r="M458" s="145"/>
      <c r="N458" s="145"/>
      <c r="O458" s="145"/>
      <c r="P458" s="145"/>
      <c r="Q458" s="145"/>
      <c r="R458" s="145"/>
      <c r="S458" s="145"/>
      <c r="T458" s="145"/>
      <c r="U458" s="145"/>
      <c r="V458" s="145"/>
      <c r="W458" s="145"/>
      <c r="X458" s="145"/>
      <c r="Y458" s="145"/>
      <c r="Z458" s="145"/>
      <c r="AA458" s="145"/>
      <c r="AB458" s="145"/>
      <c r="AC458" s="145"/>
      <c r="AD458" s="145"/>
      <c r="AE458" s="145"/>
      <c r="AF458" s="145"/>
      <c r="AG458" s="145"/>
      <c r="AH458" s="145"/>
      <c r="AI458" s="145"/>
      <c r="AJ458" s="145"/>
      <c r="AK458" s="145"/>
      <c r="AL458" s="145"/>
      <c r="AM458" s="321"/>
      <c r="AN458" s="321"/>
      <c r="AO458" s="321"/>
      <c r="AP458" s="321"/>
      <c r="AQ458" s="321"/>
      <c r="AR458" s="321"/>
      <c r="AS458" s="321"/>
      <c r="AT458" s="321"/>
    </row>
    <row r="459" spans="10:46">
      <c r="J459" s="145"/>
      <c r="K459" s="145"/>
      <c r="L459" s="145"/>
      <c r="M459" s="145"/>
      <c r="N459" s="145"/>
      <c r="O459" s="145"/>
      <c r="P459" s="145"/>
      <c r="Q459" s="145"/>
      <c r="R459" s="145"/>
      <c r="S459" s="145"/>
      <c r="T459" s="145"/>
      <c r="U459" s="145"/>
      <c r="V459" s="145"/>
      <c r="W459" s="145"/>
      <c r="X459" s="145"/>
      <c r="Y459" s="145"/>
      <c r="Z459" s="145"/>
      <c r="AA459" s="145"/>
      <c r="AB459" s="145"/>
      <c r="AC459" s="145"/>
      <c r="AD459" s="145"/>
      <c r="AE459" s="145"/>
      <c r="AF459" s="145"/>
      <c r="AG459" s="145"/>
      <c r="AH459" s="145"/>
      <c r="AI459" s="145"/>
      <c r="AJ459" s="145"/>
      <c r="AK459" s="145"/>
      <c r="AL459" s="145"/>
      <c r="AM459" s="321"/>
      <c r="AN459" s="321"/>
      <c r="AO459" s="321"/>
      <c r="AP459" s="321"/>
      <c r="AQ459" s="321"/>
      <c r="AR459" s="321"/>
      <c r="AS459" s="321"/>
      <c r="AT459" s="321"/>
    </row>
    <row r="460" spans="10:46">
      <c r="J460" s="145"/>
      <c r="K460" s="145"/>
      <c r="L460" s="145"/>
      <c r="M460" s="145"/>
      <c r="N460" s="145"/>
      <c r="O460" s="145"/>
      <c r="P460" s="145"/>
      <c r="Q460" s="145"/>
      <c r="R460" s="145"/>
      <c r="S460" s="145"/>
      <c r="T460" s="145"/>
      <c r="U460" s="145"/>
      <c r="V460" s="145"/>
      <c r="W460" s="145"/>
      <c r="X460" s="145"/>
      <c r="Y460" s="145"/>
      <c r="Z460" s="145"/>
      <c r="AA460" s="145"/>
      <c r="AB460" s="145"/>
      <c r="AC460" s="145"/>
      <c r="AD460" s="145"/>
      <c r="AE460" s="145"/>
      <c r="AF460" s="145"/>
      <c r="AG460" s="145"/>
      <c r="AH460" s="145"/>
      <c r="AI460" s="145"/>
      <c r="AJ460" s="145"/>
      <c r="AK460" s="145"/>
      <c r="AL460" s="145"/>
      <c r="AM460" s="321"/>
      <c r="AN460" s="321"/>
      <c r="AO460" s="321"/>
      <c r="AP460" s="321"/>
      <c r="AQ460" s="321"/>
      <c r="AR460" s="321"/>
      <c r="AS460" s="321"/>
      <c r="AT460" s="321"/>
    </row>
    <row r="461" spans="10:46">
      <c r="J461" s="145"/>
      <c r="K461" s="145"/>
      <c r="L461" s="145"/>
      <c r="M461" s="145"/>
      <c r="N461" s="145"/>
      <c r="O461" s="145"/>
      <c r="P461" s="145"/>
      <c r="Q461" s="145"/>
      <c r="R461" s="145"/>
      <c r="S461" s="145"/>
      <c r="T461" s="145"/>
      <c r="U461" s="145"/>
      <c r="V461" s="145"/>
      <c r="W461" s="145"/>
      <c r="X461" s="145"/>
      <c r="Y461" s="145"/>
      <c r="Z461" s="145"/>
      <c r="AA461" s="145"/>
      <c r="AB461" s="145"/>
      <c r="AC461" s="145"/>
      <c r="AD461" s="145"/>
      <c r="AE461" s="145"/>
      <c r="AF461" s="145"/>
      <c r="AG461" s="145"/>
      <c r="AH461" s="145"/>
      <c r="AI461" s="145"/>
      <c r="AJ461" s="145"/>
      <c r="AK461" s="145"/>
      <c r="AL461" s="145"/>
      <c r="AM461" s="321"/>
      <c r="AN461" s="321"/>
      <c r="AO461" s="321"/>
      <c r="AP461" s="321"/>
      <c r="AQ461" s="321"/>
      <c r="AR461" s="321"/>
      <c r="AS461" s="321"/>
      <c r="AT461" s="321"/>
    </row>
    <row r="462" spans="10:46">
      <c r="J462" s="145"/>
      <c r="K462" s="145"/>
      <c r="L462" s="145"/>
      <c r="M462" s="145"/>
      <c r="N462" s="145"/>
      <c r="O462" s="145"/>
      <c r="P462" s="145"/>
      <c r="Q462" s="145"/>
      <c r="R462" s="145"/>
      <c r="S462" s="145"/>
      <c r="T462" s="145"/>
      <c r="U462" s="145"/>
      <c r="V462" s="145"/>
      <c r="W462" s="145"/>
      <c r="X462" s="145"/>
      <c r="Y462" s="145"/>
      <c r="Z462" s="145"/>
      <c r="AA462" s="145"/>
      <c r="AB462" s="145"/>
      <c r="AC462" s="145"/>
      <c r="AD462" s="145"/>
      <c r="AE462" s="145"/>
      <c r="AF462" s="145"/>
      <c r="AG462" s="145"/>
      <c r="AH462" s="145"/>
      <c r="AI462" s="145"/>
      <c r="AJ462" s="145"/>
      <c r="AK462" s="145"/>
      <c r="AL462" s="145"/>
      <c r="AM462" s="321"/>
      <c r="AN462" s="321"/>
      <c r="AO462" s="321"/>
      <c r="AP462" s="321"/>
      <c r="AQ462" s="321"/>
      <c r="AR462" s="321"/>
      <c r="AS462" s="321"/>
      <c r="AT462" s="321"/>
    </row>
    <row r="463" spans="10:46">
      <c r="J463" s="145"/>
      <c r="K463" s="145"/>
      <c r="L463" s="145"/>
      <c r="M463" s="145"/>
      <c r="N463" s="145"/>
      <c r="O463" s="145"/>
      <c r="P463" s="145"/>
      <c r="Q463" s="145"/>
      <c r="R463" s="145"/>
      <c r="S463" s="145"/>
      <c r="T463" s="145"/>
      <c r="U463" s="145"/>
      <c r="V463" s="145"/>
      <c r="W463" s="145"/>
      <c r="X463" s="145"/>
      <c r="Y463" s="145"/>
      <c r="Z463" s="145"/>
      <c r="AA463" s="145"/>
      <c r="AB463" s="145"/>
      <c r="AC463" s="145"/>
      <c r="AD463" s="145"/>
      <c r="AE463" s="145"/>
      <c r="AF463" s="145"/>
      <c r="AG463" s="145"/>
      <c r="AH463" s="145"/>
      <c r="AI463" s="145"/>
      <c r="AJ463" s="145"/>
      <c r="AK463" s="145"/>
      <c r="AL463" s="145"/>
      <c r="AM463" s="321"/>
      <c r="AN463" s="321"/>
      <c r="AO463" s="321"/>
      <c r="AP463" s="321"/>
      <c r="AQ463" s="321"/>
      <c r="AR463" s="321"/>
      <c r="AS463" s="321"/>
      <c r="AT463" s="321"/>
    </row>
    <row r="464" spans="10:46">
      <c r="J464" s="145"/>
      <c r="K464" s="145"/>
      <c r="L464" s="145"/>
      <c r="M464" s="145"/>
      <c r="N464" s="145"/>
      <c r="O464" s="145"/>
      <c r="P464" s="145"/>
      <c r="Q464" s="145"/>
      <c r="R464" s="145"/>
      <c r="S464" s="145"/>
      <c r="T464" s="145"/>
      <c r="U464" s="145"/>
      <c r="V464" s="145"/>
      <c r="W464" s="145"/>
      <c r="X464" s="145"/>
      <c r="Y464" s="145"/>
      <c r="Z464" s="145"/>
      <c r="AA464" s="145"/>
      <c r="AB464" s="145"/>
      <c r="AC464" s="145"/>
      <c r="AD464" s="145"/>
      <c r="AE464" s="145"/>
      <c r="AF464" s="145"/>
      <c r="AG464" s="145"/>
      <c r="AH464" s="145"/>
      <c r="AI464" s="145"/>
      <c r="AJ464" s="145"/>
      <c r="AK464" s="145"/>
      <c r="AL464" s="145"/>
      <c r="AM464" s="321"/>
      <c r="AN464" s="321"/>
      <c r="AO464" s="321"/>
      <c r="AP464" s="321"/>
      <c r="AQ464" s="321"/>
      <c r="AR464" s="321"/>
      <c r="AS464" s="321"/>
      <c r="AT464" s="321"/>
    </row>
    <row r="465" spans="10:46">
      <c r="J465" s="145"/>
      <c r="K465" s="145"/>
      <c r="L465" s="145"/>
      <c r="M465" s="145"/>
      <c r="N465" s="145"/>
      <c r="O465" s="145"/>
      <c r="P465" s="145"/>
      <c r="Q465" s="145"/>
      <c r="R465" s="145"/>
      <c r="S465" s="145"/>
      <c r="T465" s="145"/>
      <c r="U465" s="145"/>
      <c r="V465" s="145"/>
      <c r="W465" s="145"/>
      <c r="X465" s="145"/>
      <c r="Y465" s="145"/>
      <c r="Z465" s="145"/>
      <c r="AA465" s="145"/>
      <c r="AB465" s="145"/>
      <c r="AC465" s="145"/>
      <c r="AD465" s="145"/>
      <c r="AE465" s="145"/>
      <c r="AF465" s="145"/>
      <c r="AG465" s="145"/>
      <c r="AH465" s="145"/>
      <c r="AI465" s="145"/>
      <c r="AJ465" s="145"/>
      <c r="AK465" s="145"/>
      <c r="AL465" s="145"/>
      <c r="AM465" s="321"/>
      <c r="AN465" s="321"/>
      <c r="AO465" s="321"/>
      <c r="AP465" s="321"/>
      <c r="AQ465" s="321"/>
      <c r="AR465" s="321"/>
      <c r="AS465" s="321"/>
      <c r="AT465" s="321"/>
    </row>
    <row r="466" spans="10:46">
      <c r="J466" s="145"/>
      <c r="K466" s="145"/>
      <c r="L466" s="145"/>
      <c r="M466" s="145"/>
      <c r="N466" s="145"/>
      <c r="O466" s="145"/>
      <c r="P466" s="145"/>
      <c r="Q466" s="145"/>
      <c r="R466" s="145"/>
      <c r="S466" s="145"/>
      <c r="T466" s="145"/>
      <c r="U466" s="145"/>
      <c r="V466" s="145"/>
      <c r="W466" s="145"/>
      <c r="X466" s="145"/>
      <c r="Y466" s="145"/>
      <c r="Z466" s="145"/>
      <c r="AA466" s="145"/>
      <c r="AB466" s="145"/>
      <c r="AC466" s="145"/>
      <c r="AD466" s="145"/>
      <c r="AE466" s="145"/>
      <c r="AF466" s="145"/>
      <c r="AG466" s="145"/>
      <c r="AH466" s="145"/>
      <c r="AI466" s="145"/>
      <c r="AJ466" s="145"/>
      <c r="AK466" s="145"/>
      <c r="AL466" s="145"/>
      <c r="AM466" s="321"/>
      <c r="AN466" s="321"/>
      <c r="AO466" s="321"/>
      <c r="AP466" s="321"/>
      <c r="AQ466" s="321"/>
      <c r="AR466" s="321"/>
      <c r="AS466" s="321"/>
      <c r="AT466" s="321"/>
    </row>
    <row r="467" spans="10:46">
      <c r="J467" s="145"/>
      <c r="K467" s="145"/>
      <c r="L467" s="145"/>
      <c r="M467" s="145"/>
      <c r="N467" s="145"/>
      <c r="O467" s="145"/>
      <c r="P467" s="145"/>
      <c r="Q467" s="145"/>
      <c r="R467" s="145"/>
      <c r="S467" s="145"/>
      <c r="T467" s="145"/>
      <c r="U467" s="145"/>
      <c r="V467" s="145"/>
      <c r="W467" s="145"/>
      <c r="X467" s="145"/>
      <c r="Y467" s="145"/>
      <c r="Z467" s="145"/>
      <c r="AA467" s="145"/>
      <c r="AB467" s="145"/>
      <c r="AC467" s="145"/>
      <c r="AD467" s="145"/>
      <c r="AE467" s="145"/>
      <c r="AF467" s="145"/>
      <c r="AG467" s="145"/>
      <c r="AH467" s="145"/>
      <c r="AI467" s="145"/>
      <c r="AJ467" s="145"/>
      <c r="AK467" s="145"/>
      <c r="AL467" s="145"/>
      <c r="AM467" s="321"/>
      <c r="AN467" s="321"/>
      <c r="AO467" s="321"/>
      <c r="AP467" s="321"/>
      <c r="AQ467" s="321"/>
      <c r="AR467" s="321"/>
      <c r="AS467" s="321"/>
      <c r="AT467" s="321"/>
    </row>
    <row r="468" spans="10:46">
      <c r="J468" s="145"/>
      <c r="K468" s="145"/>
      <c r="L468" s="145"/>
      <c r="M468" s="145"/>
      <c r="N468" s="145"/>
      <c r="O468" s="145"/>
      <c r="P468" s="145"/>
      <c r="Q468" s="145"/>
      <c r="R468" s="145"/>
      <c r="S468" s="145"/>
      <c r="T468" s="145"/>
      <c r="U468" s="145"/>
      <c r="V468" s="145"/>
      <c r="W468" s="145"/>
      <c r="X468" s="145"/>
      <c r="Y468" s="145"/>
      <c r="Z468" s="145"/>
      <c r="AA468" s="145"/>
      <c r="AB468" s="145"/>
      <c r="AC468" s="145"/>
      <c r="AD468" s="145"/>
      <c r="AE468" s="145"/>
      <c r="AF468" s="145"/>
      <c r="AG468" s="145"/>
      <c r="AH468" s="145"/>
      <c r="AI468" s="145"/>
      <c r="AJ468" s="145"/>
      <c r="AK468" s="145"/>
      <c r="AL468" s="145"/>
      <c r="AM468" s="321"/>
      <c r="AN468" s="321"/>
      <c r="AO468" s="321"/>
      <c r="AP468" s="321"/>
      <c r="AQ468" s="321"/>
      <c r="AR468" s="321"/>
      <c r="AS468" s="321"/>
      <c r="AT468" s="321"/>
    </row>
    <row r="469" spans="10:46">
      <c r="J469" s="145"/>
      <c r="K469" s="145"/>
      <c r="L469" s="145"/>
      <c r="M469" s="145"/>
      <c r="N469" s="145"/>
      <c r="O469" s="145"/>
      <c r="P469" s="145"/>
      <c r="Q469" s="145"/>
      <c r="R469" s="145"/>
      <c r="S469" s="145"/>
      <c r="T469" s="145"/>
      <c r="U469" s="145"/>
      <c r="V469" s="145"/>
      <c r="W469" s="145"/>
      <c r="X469" s="145"/>
      <c r="Y469" s="145"/>
      <c r="Z469" s="145"/>
      <c r="AA469" s="145"/>
      <c r="AB469" s="145"/>
      <c r="AC469" s="145"/>
      <c r="AD469" s="145"/>
      <c r="AE469" s="145"/>
      <c r="AF469" s="145"/>
      <c r="AG469" s="145"/>
      <c r="AH469" s="145"/>
      <c r="AI469" s="145"/>
      <c r="AJ469" s="145"/>
      <c r="AK469" s="145"/>
      <c r="AL469" s="145"/>
      <c r="AM469" s="321"/>
      <c r="AN469" s="321"/>
      <c r="AO469" s="321"/>
      <c r="AP469" s="321"/>
      <c r="AQ469" s="321"/>
      <c r="AR469" s="321"/>
      <c r="AS469" s="321"/>
      <c r="AT469" s="321"/>
    </row>
    <row r="470" spans="10:46">
      <c r="J470" s="145"/>
      <c r="K470" s="145"/>
      <c r="L470" s="145"/>
      <c r="M470" s="145"/>
      <c r="N470" s="145"/>
      <c r="O470" s="145"/>
      <c r="P470" s="145"/>
      <c r="Q470" s="145"/>
      <c r="R470" s="145"/>
      <c r="S470" s="145"/>
      <c r="T470" s="145"/>
      <c r="U470" s="145"/>
      <c r="V470" s="145"/>
      <c r="W470" s="145"/>
      <c r="X470" s="145"/>
      <c r="Y470" s="145"/>
      <c r="Z470" s="145"/>
      <c r="AA470" s="145"/>
      <c r="AB470" s="145"/>
      <c r="AC470" s="145"/>
      <c r="AD470" s="145"/>
      <c r="AE470" s="145"/>
      <c r="AF470" s="145"/>
      <c r="AG470" s="145"/>
      <c r="AH470" s="145"/>
      <c r="AI470" s="145"/>
      <c r="AJ470" s="145"/>
      <c r="AK470" s="145"/>
      <c r="AL470" s="145"/>
      <c r="AM470" s="321"/>
      <c r="AN470" s="321"/>
      <c r="AO470" s="321"/>
      <c r="AP470" s="321"/>
      <c r="AQ470" s="321"/>
      <c r="AR470" s="321"/>
      <c r="AS470" s="321"/>
      <c r="AT470" s="321"/>
    </row>
    <row r="471" spans="10:46">
      <c r="J471" s="145"/>
      <c r="K471" s="145"/>
      <c r="L471" s="145"/>
      <c r="M471" s="145"/>
      <c r="N471" s="145"/>
      <c r="O471" s="145"/>
      <c r="P471" s="145"/>
      <c r="Q471" s="145"/>
      <c r="R471" s="145"/>
      <c r="S471" s="145"/>
      <c r="T471" s="145"/>
      <c r="U471" s="145"/>
      <c r="V471" s="145"/>
      <c r="W471" s="145"/>
      <c r="X471" s="145"/>
      <c r="Y471" s="145"/>
      <c r="Z471" s="145"/>
      <c r="AA471" s="145"/>
      <c r="AB471" s="145"/>
      <c r="AC471" s="145"/>
      <c r="AD471" s="145"/>
      <c r="AE471" s="145"/>
      <c r="AF471" s="145"/>
      <c r="AG471" s="145"/>
      <c r="AH471" s="145"/>
      <c r="AI471" s="145"/>
      <c r="AJ471" s="145"/>
      <c r="AK471" s="145"/>
      <c r="AL471" s="145"/>
      <c r="AM471" s="321"/>
      <c r="AN471" s="321"/>
      <c r="AO471" s="321"/>
      <c r="AP471" s="321"/>
      <c r="AQ471" s="321"/>
      <c r="AR471" s="321"/>
      <c r="AS471" s="321"/>
      <c r="AT471" s="321"/>
    </row>
    <row r="472" spans="10:46">
      <c r="J472" s="145"/>
      <c r="K472" s="145"/>
      <c r="L472" s="145"/>
      <c r="M472" s="145"/>
      <c r="N472" s="145"/>
      <c r="O472" s="145"/>
      <c r="P472" s="145"/>
      <c r="Q472" s="145"/>
      <c r="R472" s="145"/>
      <c r="S472" s="145"/>
      <c r="T472" s="145"/>
      <c r="U472" s="145"/>
      <c r="V472" s="145"/>
      <c r="W472" s="145"/>
      <c r="X472" s="145"/>
      <c r="Y472" s="145"/>
      <c r="Z472" s="145"/>
      <c r="AA472" s="145"/>
      <c r="AB472" s="145"/>
      <c r="AC472" s="145"/>
      <c r="AD472" s="145"/>
      <c r="AE472" s="145"/>
      <c r="AF472" s="145"/>
      <c r="AG472" s="145"/>
      <c r="AH472" s="145"/>
      <c r="AI472" s="145"/>
      <c r="AJ472" s="145"/>
      <c r="AK472" s="145"/>
      <c r="AL472" s="145"/>
      <c r="AM472" s="321"/>
      <c r="AN472" s="321"/>
      <c r="AO472" s="321"/>
      <c r="AP472" s="321"/>
      <c r="AQ472" s="321"/>
      <c r="AR472" s="321"/>
      <c r="AS472" s="321"/>
      <c r="AT472" s="321"/>
    </row>
    <row r="473" spans="10:46">
      <c r="J473" s="145"/>
      <c r="K473" s="145"/>
      <c r="L473" s="145"/>
      <c r="M473" s="145"/>
      <c r="N473" s="145"/>
      <c r="O473" s="145"/>
      <c r="P473" s="145"/>
      <c r="Q473" s="145"/>
      <c r="R473" s="145"/>
      <c r="S473" s="145"/>
      <c r="T473" s="145"/>
      <c r="U473" s="145"/>
      <c r="V473" s="145"/>
      <c r="W473" s="145"/>
      <c r="X473" s="145"/>
      <c r="Y473" s="145"/>
      <c r="Z473" s="145"/>
      <c r="AA473" s="145"/>
      <c r="AB473" s="145"/>
      <c r="AC473" s="145"/>
      <c r="AD473" s="145"/>
      <c r="AE473" s="145"/>
      <c r="AF473" s="145"/>
      <c r="AG473" s="145"/>
      <c r="AH473" s="145"/>
      <c r="AI473" s="145"/>
      <c r="AJ473" s="145"/>
      <c r="AK473" s="145"/>
      <c r="AL473" s="145"/>
      <c r="AM473" s="321"/>
      <c r="AN473" s="321"/>
      <c r="AO473" s="321"/>
      <c r="AP473" s="321"/>
      <c r="AQ473" s="321"/>
      <c r="AR473" s="321"/>
      <c r="AS473" s="321"/>
      <c r="AT473" s="321"/>
    </row>
    <row r="474" spans="10:46">
      <c r="J474" s="145"/>
      <c r="K474" s="145"/>
      <c r="L474" s="145"/>
      <c r="M474" s="145"/>
      <c r="N474" s="145"/>
      <c r="O474" s="145"/>
      <c r="P474" s="145"/>
      <c r="Q474" s="145"/>
      <c r="R474" s="145"/>
      <c r="S474" s="145"/>
      <c r="T474" s="145"/>
      <c r="U474" s="145"/>
      <c r="V474" s="145"/>
      <c r="W474" s="145"/>
      <c r="X474" s="145"/>
      <c r="Y474" s="145"/>
      <c r="Z474" s="145"/>
      <c r="AA474" s="145"/>
      <c r="AB474" s="145"/>
      <c r="AC474" s="145"/>
      <c r="AD474" s="145"/>
      <c r="AE474" s="145"/>
      <c r="AF474" s="145"/>
      <c r="AG474" s="145"/>
      <c r="AH474" s="145"/>
      <c r="AI474" s="145"/>
      <c r="AJ474" s="145"/>
      <c r="AK474" s="145"/>
      <c r="AL474" s="145"/>
      <c r="AM474" s="321"/>
      <c r="AN474" s="321"/>
      <c r="AO474" s="321"/>
      <c r="AP474" s="321"/>
      <c r="AQ474" s="321"/>
      <c r="AR474" s="321"/>
      <c r="AS474" s="321"/>
      <c r="AT474" s="321"/>
    </row>
    <row r="475" spans="10:46">
      <c r="J475" s="145"/>
      <c r="K475" s="145"/>
      <c r="L475" s="145"/>
      <c r="M475" s="145"/>
      <c r="N475" s="145"/>
      <c r="O475" s="145"/>
      <c r="P475" s="145"/>
      <c r="Q475" s="145"/>
      <c r="R475" s="145"/>
      <c r="S475" s="145"/>
      <c r="T475" s="145"/>
      <c r="U475" s="145"/>
      <c r="V475" s="145"/>
      <c r="W475" s="145"/>
      <c r="X475" s="145"/>
      <c r="Y475" s="145"/>
      <c r="Z475" s="145"/>
      <c r="AA475" s="145"/>
      <c r="AB475" s="145"/>
      <c r="AC475" s="145"/>
      <c r="AD475" s="145"/>
      <c r="AE475" s="145"/>
      <c r="AF475" s="145"/>
      <c r="AG475" s="145"/>
      <c r="AH475" s="145"/>
      <c r="AI475" s="145"/>
      <c r="AJ475" s="145"/>
      <c r="AK475" s="145"/>
      <c r="AL475" s="145"/>
      <c r="AM475" s="321"/>
      <c r="AN475" s="321"/>
      <c r="AO475" s="321"/>
      <c r="AP475" s="321"/>
      <c r="AQ475" s="321"/>
      <c r="AR475" s="321"/>
      <c r="AS475" s="321"/>
      <c r="AT475" s="321"/>
    </row>
    <row r="476" spans="10:46">
      <c r="J476" s="145"/>
      <c r="K476" s="145"/>
      <c r="L476" s="145"/>
      <c r="M476" s="145"/>
      <c r="N476" s="145"/>
      <c r="O476" s="145"/>
      <c r="P476" s="145"/>
      <c r="Q476" s="145"/>
      <c r="R476" s="145"/>
      <c r="S476" s="145"/>
      <c r="T476" s="145"/>
      <c r="U476" s="145"/>
      <c r="V476" s="145"/>
      <c r="W476" s="145"/>
      <c r="X476" s="145"/>
      <c r="Y476" s="145"/>
      <c r="Z476" s="145"/>
      <c r="AA476" s="145"/>
      <c r="AB476" s="145"/>
      <c r="AC476" s="145"/>
      <c r="AD476" s="145"/>
      <c r="AE476" s="145"/>
      <c r="AF476" s="145"/>
      <c r="AG476" s="145"/>
      <c r="AH476" s="145"/>
      <c r="AI476" s="145"/>
      <c r="AJ476" s="145"/>
      <c r="AK476" s="145"/>
      <c r="AL476" s="145"/>
      <c r="AM476" s="321"/>
      <c r="AN476" s="321"/>
      <c r="AO476" s="321"/>
      <c r="AP476" s="321"/>
      <c r="AQ476" s="321"/>
      <c r="AR476" s="321"/>
      <c r="AS476" s="321"/>
      <c r="AT476" s="321"/>
    </row>
    <row r="477" spans="10:46">
      <c r="J477" s="145"/>
      <c r="K477" s="145"/>
      <c r="L477" s="145"/>
      <c r="M477" s="145"/>
      <c r="N477" s="145"/>
      <c r="O477" s="145"/>
      <c r="P477" s="145"/>
      <c r="Q477" s="145"/>
      <c r="R477" s="145"/>
      <c r="S477" s="145"/>
      <c r="T477" s="145"/>
      <c r="U477" s="145"/>
      <c r="V477" s="145"/>
      <c r="W477" s="145"/>
      <c r="X477" s="145"/>
      <c r="Y477" s="145"/>
      <c r="Z477" s="145"/>
      <c r="AA477" s="145"/>
      <c r="AB477" s="145"/>
      <c r="AC477" s="145"/>
      <c r="AD477" s="145"/>
      <c r="AE477" s="145"/>
      <c r="AF477" s="145"/>
      <c r="AG477" s="145"/>
      <c r="AH477" s="145"/>
      <c r="AI477" s="145"/>
      <c r="AJ477" s="145"/>
      <c r="AK477" s="145"/>
      <c r="AL477" s="145"/>
      <c r="AM477" s="321"/>
      <c r="AN477" s="321"/>
      <c r="AO477" s="321"/>
      <c r="AP477" s="321"/>
      <c r="AQ477" s="321"/>
      <c r="AR477" s="321"/>
      <c r="AS477" s="321"/>
      <c r="AT477" s="321"/>
    </row>
    <row r="478" spans="10:46">
      <c r="J478" s="145"/>
      <c r="K478" s="145"/>
      <c r="L478" s="145"/>
      <c r="M478" s="145"/>
      <c r="N478" s="145"/>
      <c r="O478" s="145"/>
      <c r="P478" s="145"/>
      <c r="Q478" s="145"/>
      <c r="R478" s="145"/>
      <c r="S478" s="145"/>
      <c r="T478" s="145"/>
      <c r="U478" s="145"/>
      <c r="V478" s="145"/>
      <c r="W478" s="145"/>
      <c r="X478" s="145"/>
      <c r="Y478" s="145"/>
      <c r="Z478" s="145"/>
      <c r="AA478" s="145"/>
      <c r="AB478" s="145"/>
      <c r="AC478" s="145"/>
      <c r="AD478" s="145"/>
      <c r="AE478" s="145"/>
      <c r="AF478" s="145"/>
      <c r="AG478" s="145"/>
      <c r="AH478" s="145"/>
      <c r="AI478" s="145"/>
      <c r="AJ478" s="145"/>
      <c r="AK478" s="145"/>
      <c r="AL478" s="145"/>
      <c r="AM478" s="321"/>
      <c r="AN478" s="321"/>
      <c r="AO478" s="321"/>
      <c r="AP478" s="321"/>
      <c r="AQ478" s="321"/>
      <c r="AR478" s="321"/>
      <c r="AS478" s="321"/>
      <c r="AT478" s="321"/>
    </row>
    <row r="479" spans="10:46">
      <c r="J479" s="145"/>
      <c r="K479" s="145"/>
      <c r="L479" s="145"/>
      <c r="M479" s="145"/>
      <c r="N479" s="145"/>
      <c r="O479" s="145"/>
      <c r="P479" s="145"/>
      <c r="Q479" s="145"/>
      <c r="R479" s="145"/>
      <c r="S479" s="145"/>
      <c r="T479" s="145"/>
      <c r="U479" s="145"/>
      <c r="V479" s="145"/>
      <c r="W479" s="145"/>
      <c r="X479" s="145"/>
      <c r="Y479" s="145"/>
      <c r="Z479" s="145"/>
      <c r="AA479" s="145"/>
      <c r="AB479" s="145"/>
      <c r="AC479" s="145"/>
      <c r="AD479" s="145"/>
      <c r="AE479" s="145"/>
      <c r="AF479" s="145"/>
      <c r="AG479" s="145"/>
      <c r="AH479" s="145"/>
      <c r="AI479" s="145"/>
      <c r="AJ479" s="145"/>
      <c r="AK479" s="145"/>
      <c r="AL479" s="145"/>
      <c r="AM479" s="321"/>
      <c r="AN479" s="321"/>
      <c r="AO479" s="321"/>
      <c r="AP479" s="321"/>
      <c r="AQ479" s="321"/>
      <c r="AR479" s="321"/>
      <c r="AS479" s="321"/>
      <c r="AT479" s="321"/>
    </row>
    <row r="480" spans="10:46">
      <c r="J480" s="145"/>
      <c r="K480" s="145"/>
      <c r="L480" s="145"/>
      <c r="M480" s="145"/>
      <c r="N480" s="145"/>
      <c r="O480" s="145"/>
      <c r="P480" s="145"/>
      <c r="Q480" s="145"/>
      <c r="R480" s="145"/>
      <c r="S480" s="145"/>
      <c r="T480" s="145"/>
      <c r="U480" s="145"/>
      <c r="V480" s="145"/>
      <c r="W480" s="145"/>
      <c r="X480" s="145"/>
      <c r="Y480" s="145"/>
      <c r="Z480" s="145"/>
      <c r="AA480" s="145"/>
      <c r="AB480" s="145"/>
      <c r="AC480" s="145"/>
      <c r="AD480" s="145"/>
      <c r="AE480" s="145"/>
      <c r="AF480" s="145"/>
      <c r="AG480" s="145"/>
      <c r="AH480" s="145"/>
      <c r="AI480" s="145"/>
      <c r="AJ480" s="145"/>
      <c r="AK480" s="145"/>
      <c r="AL480" s="145"/>
      <c r="AM480" s="321"/>
      <c r="AN480" s="321"/>
      <c r="AO480" s="321"/>
      <c r="AP480" s="321"/>
      <c r="AQ480" s="321"/>
      <c r="AR480" s="321"/>
      <c r="AS480" s="321"/>
      <c r="AT480" s="321"/>
    </row>
    <row r="481" spans="10:46">
      <c r="J481" s="145"/>
      <c r="K481" s="145"/>
      <c r="L481" s="145"/>
      <c r="M481" s="145"/>
      <c r="N481" s="145"/>
      <c r="O481" s="145"/>
      <c r="P481" s="145"/>
      <c r="Q481" s="145"/>
      <c r="R481" s="145"/>
      <c r="S481" s="145"/>
      <c r="T481" s="145"/>
      <c r="U481" s="145"/>
      <c r="V481" s="145"/>
      <c r="W481" s="145"/>
      <c r="X481" s="145"/>
      <c r="Y481" s="145"/>
      <c r="Z481" s="145"/>
      <c r="AA481" s="145"/>
      <c r="AB481" s="145"/>
      <c r="AC481" s="145"/>
      <c r="AD481" s="145"/>
      <c r="AE481" s="145"/>
      <c r="AF481" s="145"/>
      <c r="AG481" s="145"/>
      <c r="AH481" s="145"/>
      <c r="AI481" s="145"/>
      <c r="AJ481" s="145"/>
      <c r="AK481" s="145"/>
      <c r="AL481" s="145"/>
      <c r="AM481" s="321"/>
      <c r="AN481" s="321"/>
      <c r="AO481" s="321"/>
      <c r="AP481" s="321"/>
      <c r="AQ481" s="321"/>
      <c r="AR481" s="321"/>
      <c r="AS481" s="321"/>
      <c r="AT481" s="321"/>
    </row>
    <row r="482" spans="10:46">
      <c r="J482" s="145"/>
      <c r="K482" s="145"/>
      <c r="L482" s="145"/>
      <c r="M482" s="145"/>
      <c r="N482" s="145"/>
      <c r="O482" s="145"/>
      <c r="P482" s="145"/>
      <c r="Q482" s="145"/>
      <c r="R482" s="145"/>
      <c r="S482" s="145"/>
      <c r="T482" s="145"/>
      <c r="U482" s="145"/>
      <c r="V482" s="145"/>
      <c r="W482" s="145"/>
      <c r="X482" s="145"/>
      <c r="Y482" s="145"/>
      <c r="Z482" s="145"/>
      <c r="AA482" s="145"/>
      <c r="AB482" s="145"/>
      <c r="AC482" s="145"/>
      <c r="AD482" s="145"/>
      <c r="AE482" s="145"/>
      <c r="AF482" s="145"/>
      <c r="AG482" s="145"/>
      <c r="AH482" s="145"/>
      <c r="AI482" s="145"/>
      <c r="AJ482" s="145"/>
      <c r="AK482" s="145"/>
      <c r="AL482" s="145"/>
      <c r="AM482" s="321"/>
      <c r="AN482" s="321"/>
      <c r="AO482" s="321"/>
      <c r="AP482" s="321"/>
      <c r="AQ482" s="321"/>
      <c r="AR482" s="321"/>
      <c r="AS482" s="321"/>
      <c r="AT482" s="321"/>
    </row>
    <row r="483" spans="10:46">
      <c r="J483" s="145"/>
      <c r="K483" s="145"/>
      <c r="L483" s="145"/>
      <c r="M483" s="145"/>
      <c r="N483" s="145"/>
      <c r="O483" s="145"/>
      <c r="P483" s="145"/>
      <c r="Q483" s="145"/>
      <c r="R483" s="145"/>
      <c r="S483" s="145"/>
      <c r="T483" s="145"/>
      <c r="U483" s="145"/>
      <c r="V483" s="145"/>
      <c r="W483" s="145"/>
      <c r="X483" s="145"/>
      <c r="Y483" s="145"/>
      <c r="Z483" s="145"/>
      <c r="AA483" s="145"/>
      <c r="AB483" s="145"/>
      <c r="AC483" s="145"/>
      <c r="AD483" s="145"/>
      <c r="AE483" s="145"/>
      <c r="AF483" s="145"/>
      <c r="AG483" s="145"/>
      <c r="AH483" s="145"/>
      <c r="AI483" s="145"/>
      <c r="AJ483" s="145"/>
      <c r="AK483" s="145"/>
      <c r="AL483" s="145"/>
      <c r="AM483" s="321"/>
      <c r="AN483" s="321"/>
      <c r="AO483" s="321"/>
      <c r="AP483" s="321"/>
      <c r="AQ483" s="321"/>
      <c r="AR483" s="321"/>
      <c r="AS483" s="321"/>
      <c r="AT483" s="321"/>
    </row>
    <row r="484" spans="10:46">
      <c r="J484" s="145"/>
      <c r="K484" s="145"/>
      <c r="L484" s="145"/>
      <c r="M484" s="145"/>
      <c r="N484" s="145"/>
      <c r="O484" s="145"/>
      <c r="P484" s="145"/>
      <c r="Q484" s="145"/>
      <c r="R484" s="145"/>
      <c r="S484" s="145"/>
      <c r="T484" s="145"/>
      <c r="U484" s="145"/>
      <c r="V484" s="145"/>
      <c r="W484" s="145"/>
      <c r="X484" s="145"/>
      <c r="Y484" s="145"/>
      <c r="Z484" s="145"/>
      <c r="AA484" s="145"/>
      <c r="AB484" s="145"/>
      <c r="AC484" s="145"/>
      <c r="AD484" s="145"/>
      <c r="AE484" s="145"/>
      <c r="AF484" s="145"/>
      <c r="AG484" s="145"/>
      <c r="AH484" s="145"/>
      <c r="AI484" s="145"/>
      <c r="AJ484" s="145"/>
      <c r="AK484" s="145"/>
      <c r="AL484" s="145"/>
      <c r="AM484" s="321"/>
      <c r="AN484" s="321"/>
      <c r="AO484" s="321"/>
      <c r="AP484" s="321"/>
      <c r="AQ484" s="321"/>
      <c r="AR484" s="321"/>
      <c r="AS484" s="321"/>
      <c r="AT484" s="321"/>
    </row>
    <row r="485" spans="10:46">
      <c r="J485" s="145"/>
      <c r="K485" s="145"/>
      <c r="L485" s="145"/>
      <c r="M485" s="145"/>
      <c r="N485" s="145"/>
      <c r="O485" s="145"/>
      <c r="P485" s="145"/>
      <c r="Q485" s="145"/>
      <c r="R485" s="145"/>
      <c r="S485" s="145"/>
      <c r="T485" s="145"/>
      <c r="U485" s="145"/>
      <c r="V485" s="145"/>
      <c r="W485" s="145"/>
      <c r="X485" s="145"/>
      <c r="Y485" s="145"/>
      <c r="Z485" s="145"/>
      <c r="AA485" s="145"/>
      <c r="AB485" s="145"/>
      <c r="AC485" s="145"/>
      <c r="AD485" s="145"/>
      <c r="AE485" s="145"/>
      <c r="AF485" s="145"/>
      <c r="AG485" s="145"/>
      <c r="AH485" s="145"/>
      <c r="AI485" s="145"/>
      <c r="AJ485" s="145"/>
      <c r="AK485" s="145"/>
      <c r="AL485" s="145"/>
      <c r="AM485" s="321"/>
      <c r="AN485" s="321"/>
      <c r="AO485" s="321"/>
      <c r="AP485" s="321"/>
      <c r="AQ485" s="321"/>
      <c r="AR485" s="321"/>
      <c r="AS485" s="321"/>
      <c r="AT485" s="321"/>
    </row>
    <row r="486" spans="10:46">
      <c r="J486" s="145"/>
      <c r="K486" s="145"/>
      <c r="L486" s="145"/>
      <c r="M486" s="145"/>
      <c r="N486" s="145"/>
      <c r="O486" s="145"/>
      <c r="P486" s="145"/>
      <c r="Q486" s="145"/>
      <c r="R486" s="145"/>
      <c r="S486" s="145"/>
      <c r="T486" s="145"/>
      <c r="U486" s="145"/>
      <c r="V486" s="145"/>
      <c r="W486" s="145"/>
      <c r="X486" s="145"/>
      <c r="Y486" s="145"/>
      <c r="Z486" s="145"/>
      <c r="AA486" s="145"/>
      <c r="AB486" s="145"/>
      <c r="AC486" s="145"/>
      <c r="AD486" s="145"/>
      <c r="AE486" s="145"/>
      <c r="AF486" s="145"/>
      <c r="AG486" s="145"/>
      <c r="AH486" s="145"/>
      <c r="AI486" s="145"/>
      <c r="AJ486" s="145"/>
      <c r="AK486" s="145"/>
      <c r="AL486" s="145"/>
      <c r="AM486" s="321"/>
      <c r="AN486" s="321"/>
      <c r="AO486" s="321"/>
      <c r="AP486" s="321"/>
      <c r="AQ486" s="321"/>
      <c r="AR486" s="321"/>
      <c r="AS486" s="321"/>
      <c r="AT486" s="321"/>
    </row>
    <row r="487" spans="10:46">
      <c r="J487" s="145"/>
      <c r="K487" s="145"/>
      <c r="L487" s="145"/>
      <c r="M487" s="145"/>
      <c r="N487" s="145"/>
      <c r="O487" s="145"/>
      <c r="P487" s="145"/>
      <c r="Q487" s="145"/>
      <c r="R487" s="145"/>
      <c r="S487" s="145"/>
      <c r="T487" s="145"/>
      <c r="U487" s="145"/>
      <c r="V487" s="145"/>
      <c r="W487" s="145"/>
      <c r="X487" s="145"/>
      <c r="Y487" s="145"/>
      <c r="Z487" s="145"/>
      <c r="AA487" s="145"/>
      <c r="AB487" s="145"/>
      <c r="AC487" s="145"/>
      <c r="AD487" s="145"/>
      <c r="AE487" s="145"/>
      <c r="AF487" s="145"/>
      <c r="AG487" s="145"/>
      <c r="AH487" s="145"/>
      <c r="AI487" s="145"/>
      <c r="AJ487" s="145"/>
      <c r="AK487" s="145"/>
      <c r="AL487" s="145"/>
      <c r="AM487" s="321"/>
      <c r="AN487" s="321"/>
      <c r="AO487" s="321"/>
      <c r="AP487" s="321"/>
      <c r="AQ487" s="321"/>
      <c r="AR487" s="321"/>
      <c r="AS487" s="321"/>
      <c r="AT487" s="321"/>
    </row>
    <row r="488" spans="10:46">
      <c r="J488" s="145"/>
      <c r="K488" s="145"/>
      <c r="L488" s="145"/>
      <c r="M488" s="145"/>
      <c r="N488" s="145"/>
      <c r="O488" s="145"/>
      <c r="P488" s="145"/>
      <c r="Q488" s="145"/>
      <c r="R488" s="145"/>
      <c r="S488" s="145"/>
      <c r="T488" s="145"/>
      <c r="U488" s="145"/>
      <c r="V488" s="145"/>
      <c r="W488" s="145"/>
      <c r="X488" s="145"/>
      <c r="Y488" s="145"/>
      <c r="Z488" s="145"/>
      <c r="AA488" s="145"/>
      <c r="AB488" s="145"/>
      <c r="AC488" s="145"/>
      <c r="AD488" s="145"/>
      <c r="AE488" s="145"/>
      <c r="AF488" s="145"/>
      <c r="AG488" s="145"/>
      <c r="AH488" s="145"/>
      <c r="AI488" s="145"/>
      <c r="AJ488" s="145"/>
      <c r="AK488" s="145"/>
      <c r="AL488" s="145"/>
      <c r="AM488" s="321"/>
      <c r="AN488" s="321"/>
      <c r="AO488" s="321"/>
      <c r="AP488" s="321"/>
      <c r="AQ488" s="321"/>
      <c r="AR488" s="321"/>
      <c r="AS488" s="321"/>
      <c r="AT488" s="321"/>
    </row>
    <row r="489" spans="10:46">
      <c r="J489" s="145"/>
      <c r="K489" s="145"/>
      <c r="L489" s="145"/>
      <c r="M489" s="145"/>
      <c r="N489" s="145"/>
      <c r="O489" s="145"/>
      <c r="P489" s="145"/>
      <c r="Q489" s="145"/>
      <c r="R489" s="145"/>
      <c r="S489" s="145"/>
      <c r="T489" s="145"/>
      <c r="U489" s="145"/>
      <c r="V489" s="145"/>
      <c r="W489" s="145"/>
      <c r="X489" s="145"/>
      <c r="Y489" s="145"/>
      <c r="Z489" s="145"/>
      <c r="AA489" s="145"/>
      <c r="AB489" s="145"/>
      <c r="AC489" s="145"/>
      <c r="AD489" s="145"/>
      <c r="AE489" s="145"/>
      <c r="AF489" s="145"/>
      <c r="AG489" s="145"/>
      <c r="AH489" s="145"/>
      <c r="AI489" s="145"/>
      <c r="AJ489" s="145"/>
      <c r="AK489" s="145"/>
      <c r="AL489" s="145"/>
      <c r="AM489" s="321"/>
      <c r="AN489" s="321"/>
      <c r="AO489" s="321"/>
      <c r="AP489" s="321"/>
      <c r="AQ489" s="321"/>
      <c r="AR489" s="321"/>
      <c r="AS489" s="321"/>
      <c r="AT489" s="321"/>
    </row>
    <row r="490" spans="10:46">
      <c r="J490" s="145"/>
      <c r="K490" s="145"/>
      <c r="L490" s="145"/>
      <c r="M490" s="145"/>
      <c r="N490" s="145"/>
      <c r="O490" s="145"/>
      <c r="P490" s="145"/>
      <c r="Q490" s="145"/>
      <c r="R490" s="145"/>
      <c r="S490" s="145"/>
      <c r="T490" s="145"/>
      <c r="U490" s="145"/>
      <c r="V490" s="145"/>
      <c r="W490" s="145"/>
      <c r="X490" s="145"/>
      <c r="Y490" s="145"/>
      <c r="Z490" s="145"/>
      <c r="AA490" s="145"/>
      <c r="AB490" s="145"/>
      <c r="AC490" s="145"/>
      <c r="AD490" s="145"/>
      <c r="AE490" s="145"/>
      <c r="AF490" s="145"/>
      <c r="AG490" s="145"/>
      <c r="AH490" s="145"/>
      <c r="AI490" s="145"/>
      <c r="AJ490" s="145"/>
      <c r="AK490" s="145"/>
      <c r="AL490" s="145"/>
      <c r="AM490" s="321"/>
      <c r="AN490" s="321"/>
      <c r="AO490" s="321"/>
      <c r="AP490" s="321"/>
      <c r="AQ490" s="321"/>
      <c r="AR490" s="321"/>
      <c r="AS490" s="321"/>
      <c r="AT490" s="321"/>
    </row>
    <row r="491" spans="10:46">
      <c r="J491" s="145"/>
      <c r="K491" s="145"/>
      <c r="L491" s="145"/>
      <c r="M491" s="145"/>
      <c r="N491" s="145"/>
      <c r="O491" s="145"/>
      <c r="P491" s="145"/>
      <c r="Q491" s="145"/>
      <c r="R491" s="145"/>
      <c r="S491" s="145"/>
      <c r="T491" s="145"/>
      <c r="U491" s="145"/>
      <c r="V491" s="145"/>
      <c r="W491" s="145"/>
      <c r="X491" s="145"/>
      <c r="Y491" s="145"/>
      <c r="Z491" s="145"/>
      <c r="AA491" s="145"/>
      <c r="AB491" s="145"/>
      <c r="AC491" s="145"/>
      <c r="AD491" s="145"/>
      <c r="AE491" s="145"/>
      <c r="AF491" s="145"/>
      <c r="AG491" s="145"/>
      <c r="AH491" s="145"/>
      <c r="AI491" s="145"/>
      <c r="AJ491" s="145"/>
      <c r="AK491" s="145"/>
      <c r="AL491" s="145"/>
      <c r="AM491" s="321"/>
      <c r="AN491" s="321"/>
      <c r="AO491" s="321"/>
      <c r="AP491" s="321"/>
      <c r="AQ491" s="321"/>
      <c r="AR491" s="321"/>
      <c r="AS491" s="321"/>
      <c r="AT491" s="321"/>
    </row>
    <row r="492" spans="10:46">
      <c r="J492" s="145"/>
      <c r="K492" s="145"/>
      <c r="L492" s="145"/>
      <c r="M492" s="145"/>
      <c r="N492" s="145"/>
      <c r="O492" s="145"/>
      <c r="P492" s="145"/>
      <c r="Q492" s="145"/>
      <c r="R492" s="145"/>
      <c r="S492" s="145"/>
      <c r="T492" s="145"/>
      <c r="U492" s="145"/>
      <c r="V492" s="145"/>
      <c r="W492" s="145"/>
      <c r="X492" s="145"/>
      <c r="Y492" s="145"/>
      <c r="Z492" s="145"/>
      <c r="AA492" s="145"/>
      <c r="AB492" s="145"/>
      <c r="AC492" s="145"/>
      <c r="AD492" s="145"/>
      <c r="AE492" s="145"/>
      <c r="AF492" s="145"/>
      <c r="AG492" s="145"/>
      <c r="AH492" s="145"/>
      <c r="AI492" s="145"/>
      <c r="AJ492" s="145"/>
      <c r="AK492" s="145"/>
      <c r="AL492" s="145"/>
      <c r="AM492" s="321"/>
      <c r="AN492" s="321"/>
      <c r="AO492" s="321"/>
      <c r="AP492" s="321"/>
      <c r="AQ492" s="321"/>
      <c r="AR492" s="321"/>
      <c r="AS492" s="321"/>
      <c r="AT492" s="321"/>
    </row>
    <row r="493" spans="10:46">
      <c r="J493" s="145"/>
      <c r="K493" s="145"/>
      <c r="L493" s="145"/>
      <c r="M493" s="145"/>
      <c r="N493" s="145"/>
      <c r="O493" s="145"/>
      <c r="P493" s="145"/>
      <c r="Q493" s="145"/>
      <c r="R493" s="145"/>
      <c r="S493" s="145"/>
      <c r="T493" s="145"/>
      <c r="U493" s="145"/>
      <c r="V493" s="145"/>
      <c r="W493" s="145"/>
      <c r="X493" s="145"/>
      <c r="Y493" s="145"/>
      <c r="Z493" s="145"/>
      <c r="AA493" s="145"/>
      <c r="AB493" s="145"/>
      <c r="AC493" s="145"/>
      <c r="AD493" s="145"/>
      <c r="AE493" s="145"/>
      <c r="AF493" s="145"/>
      <c r="AG493" s="145"/>
      <c r="AH493" s="145"/>
      <c r="AI493" s="145"/>
      <c r="AJ493" s="145"/>
      <c r="AK493" s="145"/>
      <c r="AL493" s="145"/>
      <c r="AM493" s="321"/>
      <c r="AN493" s="321"/>
      <c r="AO493" s="321"/>
      <c r="AP493" s="321"/>
      <c r="AQ493" s="321"/>
      <c r="AR493" s="321"/>
      <c r="AS493" s="321"/>
      <c r="AT493" s="321"/>
    </row>
    <row r="494" spans="10:46">
      <c r="J494" s="145"/>
      <c r="K494" s="145"/>
      <c r="L494" s="145"/>
      <c r="M494" s="145"/>
      <c r="N494" s="145"/>
      <c r="O494" s="145"/>
      <c r="P494" s="145"/>
      <c r="Q494" s="145"/>
      <c r="R494" s="145"/>
      <c r="S494" s="145"/>
      <c r="T494" s="145"/>
      <c r="U494" s="145"/>
      <c r="V494" s="145"/>
      <c r="W494" s="145"/>
      <c r="X494" s="145"/>
      <c r="Y494" s="145"/>
      <c r="Z494" s="145"/>
      <c r="AA494" s="145"/>
      <c r="AB494" s="145"/>
      <c r="AC494" s="145"/>
      <c r="AD494" s="145"/>
      <c r="AE494" s="145"/>
      <c r="AF494" s="145"/>
      <c r="AG494" s="145"/>
      <c r="AH494" s="145"/>
      <c r="AI494" s="145"/>
      <c r="AJ494" s="145"/>
      <c r="AK494" s="145"/>
      <c r="AL494" s="145"/>
      <c r="AM494" s="321"/>
      <c r="AN494" s="321"/>
      <c r="AO494" s="321"/>
      <c r="AP494" s="321"/>
      <c r="AQ494" s="321"/>
      <c r="AR494" s="321"/>
      <c r="AS494" s="321"/>
      <c r="AT494" s="321"/>
    </row>
    <row r="495" spans="10:46">
      <c r="J495" s="145"/>
      <c r="K495" s="145"/>
      <c r="L495" s="145"/>
      <c r="M495" s="145"/>
      <c r="N495" s="145"/>
      <c r="O495" s="145"/>
      <c r="P495" s="145"/>
      <c r="Q495" s="145"/>
      <c r="R495" s="145"/>
      <c r="S495" s="145"/>
      <c r="T495" s="145"/>
      <c r="U495" s="145"/>
      <c r="V495" s="145"/>
      <c r="W495" s="145"/>
      <c r="X495" s="145"/>
      <c r="Y495" s="145"/>
      <c r="Z495" s="145"/>
      <c r="AA495" s="145"/>
      <c r="AB495" s="145"/>
      <c r="AC495" s="145"/>
      <c r="AD495" s="145"/>
      <c r="AE495" s="145"/>
      <c r="AF495" s="145"/>
      <c r="AG495" s="145"/>
      <c r="AH495" s="145"/>
      <c r="AI495" s="145"/>
      <c r="AJ495" s="145"/>
      <c r="AK495" s="145"/>
      <c r="AL495" s="145"/>
      <c r="AM495" s="321"/>
      <c r="AN495" s="321"/>
      <c r="AO495" s="321"/>
      <c r="AP495" s="321"/>
      <c r="AQ495" s="321"/>
      <c r="AR495" s="321"/>
      <c r="AS495" s="321"/>
      <c r="AT495" s="321"/>
    </row>
    <row r="496" spans="10:46">
      <c r="J496" s="145"/>
      <c r="K496" s="145"/>
      <c r="L496" s="145"/>
      <c r="M496" s="145"/>
      <c r="N496" s="145"/>
      <c r="O496" s="145"/>
      <c r="P496" s="145"/>
      <c r="Q496" s="145"/>
      <c r="R496" s="145"/>
      <c r="S496" s="145"/>
      <c r="T496" s="145"/>
      <c r="U496" s="145"/>
      <c r="V496" s="145"/>
      <c r="W496" s="145"/>
      <c r="X496" s="145"/>
      <c r="Y496" s="145"/>
      <c r="Z496" s="145"/>
      <c r="AA496" s="145"/>
      <c r="AB496" s="145"/>
      <c r="AC496" s="145"/>
      <c r="AD496" s="145"/>
      <c r="AE496" s="145"/>
      <c r="AF496" s="145"/>
      <c r="AG496" s="145"/>
      <c r="AH496" s="145"/>
      <c r="AI496" s="145"/>
      <c r="AJ496" s="145"/>
      <c r="AK496" s="145"/>
      <c r="AL496" s="145"/>
      <c r="AM496" s="321"/>
      <c r="AN496" s="321"/>
      <c r="AO496" s="321"/>
      <c r="AP496" s="321"/>
      <c r="AQ496" s="321"/>
      <c r="AR496" s="321"/>
      <c r="AS496" s="321"/>
      <c r="AT496" s="321"/>
    </row>
    <row r="497" spans="10:46">
      <c r="J497" s="145"/>
      <c r="K497" s="145"/>
      <c r="L497" s="145"/>
      <c r="M497" s="145"/>
      <c r="N497" s="145"/>
      <c r="O497" s="145"/>
      <c r="P497" s="145"/>
      <c r="Q497" s="145"/>
      <c r="R497" s="145"/>
      <c r="S497" s="145"/>
      <c r="T497" s="145"/>
      <c r="U497" s="145"/>
      <c r="V497" s="145"/>
      <c r="W497" s="145"/>
      <c r="X497" s="145"/>
      <c r="Y497" s="145"/>
      <c r="Z497" s="145"/>
      <c r="AA497" s="145"/>
      <c r="AB497" s="145"/>
      <c r="AC497" s="145"/>
      <c r="AD497" s="145"/>
      <c r="AE497" s="145"/>
      <c r="AF497" s="145"/>
      <c r="AG497" s="145"/>
      <c r="AH497" s="145"/>
      <c r="AI497" s="145"/>
      <c r="AJ497" s="145"/>
      <c r="AK497" s="145"/>
      <c r="AL497" s="145"/>
      <c r="AM497" s="321"/>
      <c r="AN497" s="321"/>
      <c r="AO497" s="321"/>
      <c r="AP497" s="321"/>
      <c r="AQ497" s="321"/>
      <c r="AR497" s="321"/>
      <c r="AS497" s="321"/>
      <c r="AT497" s="321"/>
    </row>
    <row r="498" spans="10:46">
      <c r="J498" s="145"/>
      <c r="K498" s="145"/>
      <c r="L498" s="145"/>
      <c r="M498" s="145"/>
      <c r="N498" s="145"/>
      <c r="O498" s="145"/>
      <c r="P498" s="145"/>
      <c r="Q498" s="145"/>
      <c r="R498" s="145"/>
      <c r="S498" s="145"/>
      <c r="T498" s="145"/>
      <c r="U498" s="145"/>
      <c r="V498" s="145"/>
      <c r="W498" s="145"/>
      <c r="X498" s="145"/>
      <c r="Y498" s="145"/>
      <c r="Z498" s="145"/>
      <c r="AA498" s="145"/>
      <c r="AB498" s="145"/>
      <c r="AC498" s="145"/>
      <c r="AD498" s="145"/>
      <c r="AE498" s="145"/>
      <c r="AF498" s="145"/>
      <c r="AG498" s="145"/>
      <c r="AH498" s="145"/>
      <c r="AI498" s="145"/>
      <c r="AJ498" s="145"/>
      <c r="AK498" s="145"/>
      <c r="AL498" s="145"/>
      <c r="AM498" s="321"/>
      <c r="AN498" s="321"/>
      <c r="AO498" s="321"/>
      <c r="AP498" s="321"/>
      <c r="AQ498" s="321"/>
      <c r="AR498" s="321"/>
      <c r="AS498" s="321"/>
      <c r="AT498" s="321"/>
    </row>
    <row r="499" spans="10:46">
      <c r="J499" s="145"/>
      <c r="K499" s="145"/>
      <c r="L499" s="145"/>
      <c r="M499" s="145"/>
      <c r="N499" s="145"/>
      <c r="O499" s="145"/>
      <c r="P499" s="145"/>
      <c r="Q499" s="145"/>
      <c r="R499" s="145"/>
      <c r="S499" s="145"/>
      <c r="T499" s="145"/>
      <c r="U499" s="145"/>
      <c r="V499" s="145"/>
      <c r="W499" s="145"/>
      <c r="X499" s="145"/>
      <c r="Y499" s="145"/>
      <c r="Z499" s="145"/>
      <c r="AA499" s="145"/>
      <c r="AB499" s="145"/>
      <c r="AC499" s="145"/>
      <c r="AD499" s="145"/>
      <c r="AE499" s="145"/>
      <c r="AF499" s="145"/>
      <c r="AG499" s="145"/>
      <c r="AH499" s="145"/>
      <c r="AI499" s="145"/>
      <c r="AJ499" s="145"/>
      <c r="AK499" s="145"/>
      <c r="AL499" s="145"/>
      <c r="AM499" s="321"/>
      <c r="AN499" s="321"/>
      <c r="AO499" s="321"/>
      <c r="AP499" s="321"/>
      <c r="AQ499" s="321"/>
      <c r="AR499" s="321"/>
      <c r="AS499" s="321"/>
      <c r="AT499" s="321"/>
    </row>
    <row r="500" spans="10:46">
      <c r="J500" s="145"/>
      <c r="K500" s="145"/>
      <c r="L500" s="145"/>
      <c r="M500" s="145"/>
      <c r="N500" s="145"/>
      <c r="O500" s="145"/>
      <c r="P500" s="145"/>
      <c r="Q500" s="145"/>
      <c r="R500" s="145"/>
      <c r="S500" s="145"/>
      <c r="T500" s="145"/>
      <c r="U500" s="145"/>
      <c r="V500" s="145"/>
      <c r="W500" s="145"/>
      <c r="X500" s="145"/>
      <c r="Y500" s="145"/>
      <c r="Z500" s="145"/>
      <c r="AA500" s="145"/>
      <c r="AB500" s="145"/>
      <c r="AC500" s="145"/>
      <c r="AD500" s="145"/>
      <c r="AE500" s="145"/>
      <c r="AF500" s="145"/>
      <c r="AG500" s="145"/>
      <c r="AH500" s="145"/>
      <c r="AI500" s="145"/>
      <c r="AJ500" s="145"/>
      <c r="AK500" s="145"/>
      <c r="AL500" s="145"/>
      <c r="AM500" s="321"/>
      <c r="AN500" s="321"/>
      <c r="AO500" s="321"/>
      <c r="AP500" s="321"/>
      <c r="AQ500" s="321"/>
      <c r="AR500" s="321"/>
      <c r="AS500" s="321"/>
      <c r="AT500" s="321"/>
    </row>
    <row r="501" spans="10:46">
      <c r="J501" s="145"/>
      <c r="K501" s="145"/>
      <c r="L501" s="145"/>
      <c r="M501" s="145"/>
      <c r="N501" s="145"/>
      <c r="O501" s="145"/>
      <c r="P501" s="145"/>
      <c r="Q501" s="145"/>
      <c r="R501" s="145"/>
      <c r="S501" s="145"/>
      <c r="T501" s="145"/>
      <c r="U501" s="145"/>
      <c r="V501" s="145"/>
      <c r="W501" s="145"/>
      <c r="X501" s="145"/>
      <c r="Y501" s="145"/>
      <c r="Z501" s="145"/>
      <c r="AA501" s="145"/>
      <c r="AB501" s="145"/>
      <c r="AC501" s="145"/>
      <c r="AD501" s="145"/>
      <c r="AE501" s="145"/>
      <c r="AF501" s="145"/>
      <c r="AG501" s="145"/>
      <c r="AH501" s="145"/>
      <c r="AI501" s="145"/>
      <c r="AJ501" s="145"/>
      <c r="AK501" s="145"/>
      <c r="AL501" s="145"/>
      <c r="AM501" s="321"/>
      <c r="AN501" s="321"/>
      <c r="AO501" s="321"/>
      <c r="AP501" s="321"/>
      <c r="AQ501" s="321"/>
      <c r="AR501" s="321"/>
      <c r="AS501" s="321"/>
      <c r="AT501" s="321"/>
    </row>
    <row r="502" spans="10:46">
      <c r="J502" s="145"/>
      <c r="K502" s="145"/>
      <c r="L502" s="145"/>
      <c r="M502" s="145"/>
      <c r="N502" s="145"/>
      <c r="O502" s="145"/>
      <c r="P502" s="145"/>
      <c r="Q502" s="145"/>
      <c r="R502" s="145"/>
      <c r="S502" s="145"/>
      <c r="T502" s="145"/>
      <c r="U502" s="145"/>
      <c r="V502" s="145"/>
      <c r="W502" s="145"/>
      <c r="X502" s="145"/>
      <c r="Y502" s="145"/>
      <c r="Z502" s="145"/>
      <c r="AA502" s="145"/>
      <c r="AB502" s="145"/>
      <c r="AC502" s="145"/>
      <c r="AD502" s="145"/>
      <c r="AE502" s="145"/>
      <c r="AF502" s="145"/>
      <c r="AG502" s="145"/>
      <c r="AH502" s="145"/>
      <c r="AI502" s="145"/>
      <c r="AJ502" s="145"/>
      <c r="AK502" s="145"/>
      <c r="AL502" s="145"/>
      <c r="AM502" s="321"/>
      <c r="AN502" s="321"/>
      <c r="AO502" s="321"/>
      <c r="AP502" s="321"/>
      <c r="AQ502" s="321"/>
      <c r="AR502" s="321"/>
      <c r="AS502" s="321"/>
      <c r="AT502" s="321"/>
    </row>
    <row r="503" spans="10:46">
      <c r="J503" s="145"/>
      <c r="K503" s="145"/>
      <c r="L503" s="145"/>
      <c r="M503" s="145"/>
      <c r="N503" s="145"/>
      <c r="O503" s="145"/>
      <c r="P503" s="145"/>
      <c r="Q503" s="145"/>
      <c r="R503" s="145"/>
      <c r="S503" s="145"/>
      <c r="T503" s="145"/>
      <c r="U503" s="145"/>
      <c r="V503" s="145"/>
      <c r="W503" s="145"/>
      <c r="X503" s="145"/>
      <c r="Y503" s="145"/>
      <c r="Z503" s="145"/>
      <c r="AA503" s="145"/>
      <c r="AB503" s="145"/>
      <c r="AC503" s="145"/>
      <c r="AD503" s="145"/>
      <c r="AE503" s="145"/>
      <c r="AF503" s="145"/>
      <c r="AG503" s="145"/>
      <c r="AH503" s="145"/>
      <c r="AI503" s="145"/>
      <c r="AJ503" s="145"/>
      <c r="AK503" s="145"/>
      <c r="AL503" s="145"/>
      <c r="AM503" s="321"/>
      <c r="AN503" s="321"/>
      <c r="AO503" s="321"/>
      <c r="AP503" s="321"/>
      <c r="AQ503" s="321"/>
      <c r="AR503" s="321"/>
      <c r="AS503" s="321"/>
      <c r="AT503" s="321"/>
    </row>
    <row r="504" spans="10:46">
      <c r="J504" s="145"/>
      <c r="K504" s="145"/>
      <c r="L504" s="145"/>
      <c r="M504" s="145"/>
      <c r="N504" s="145"/>
      <c r="O504" s="145"/>
      <c r="P504" s="145"/>
      <c r="Q504" s="145"/>
      <c r="R504" s="145"/>
      <c r="S504" s="145"/>
      <c r="T504" s="145"/>
      <c r="U504" s="145"/>
      <c r="V504" s="145"/>
      <c r="W504" s="145"/>
      <c r="X504" s="145"/>
      <c r="Y504" s="145"/>
      <c r="Z504" s="145"/>
      <c r="AA504" s="145"/>
      <c r="AB504" s="145"/>
      <c r="AC504" s="145"/>
      <c r="AD504" s="145"/>
      <c r="AE504" s="145"/>
      <c r="AF504" s="145"/>
      <c r="AG504" s="145"/>
      <c r="AH504" s="145"/>
      <c r="AI504" s="145"/>
      <c r="AJ504" s="145"/>
      <c r="AK504" s="145"/>
      <c r="AL504" s="145"/>
      <c r="AM504" s="321"/>
      <c r="AN504" s="321"/>
      <c r="AO504" s="321"/>
      <c r="AP504" s="321"/>
      <c r="AQ504" s="321"/>
      <c r="AR504" s="321"/>
      <c r="AS504" s="321"/>
      <c r="AT504" s="321"/>
    </row>
    <row r="505" spans="10:46">
      <c r="J505" s="145"/>
      <c r="K505" s="145"/>
      <c r="L505" s="145"/>
      <c r="M505" s="145"/>
      <c r="N505" s="145"/>
      <c r="O505" s="145"/>
      <c r="P505" s="145"/>
      <c r="Q505" s="145"/>
      <c r="R505" s="145"/>
      <c r="S505" s="145"/>
      <c r="T505" s="145"/>
      <c r="U505" s="145"/>
      <c r="V505" s="145"/>
      <c r="W505" s="145"/>
      <c r="X505" s="145"/>
      <c r="Y505" s="145"/>
      <c r="Z505" s="145"/>
      <c r="AA505" s="145"/>
      <c r="AB505" s="145"/>
      <c r="AC505" s="145"/>
      <c r="AD505" s="145"/>
      <c r="AE505" s="145"/>
      <c r="AF505" s="145"/>
      <c r="AG505" s="145"/>
      <c r="AH505" s="145"/>
      <c r="AI505" s="145"/>
      <c r="AJ505" s="145"/>
      <c r="AK505" s="145"/>
      <c r="AL505" s="145"/>
      <c r="AM505" s="321"/>
      <c r="AN505" s="321"/>
      <c r="AO505" s="321"/>
      <c r="AP505" s="321"/>
      <c r="AQ505" s="321"/>
      <c r="AR505" s="321"/>
      <c r="AS505" s="321"/>
      <c r="AT505" s="321"/>
    </row>
    <row r="506" spans="10:46">
      <c r="J506" s="145"/>
      <c r="K506" s="145"/>
      <c r="L506" s="145"/>
      <c r="M506" s="145"/>
      <c r="N506" s="145"/>
      <c r="O506" s="145"/>
      <c r="P506" s="145"/>
      <c r="Q506" s="145"/>
      <c r="R506" s="145"/>
      <c r="S506" s="145"/>
      <c r="T506" s="145"/>
      <c r="U506" s="145"/>
      <c r="V506" s="145"/>
      <c r="W506" s="145"/>
      <c r="X506" s="145"/>
      <c r="Y506" s="145"/>
      <c r="Z506" s="145"/>
      <c r="AA506" s="145"/>
      <c r="AB506" s="145"/>
      <c r="AC506" s="145"/>
      <c r="AD506" s="145"/>
      <c r="AE506" s="145"/>
      <c r="AF506" s="145"/>
      <c r="AG506" s="145"/>
      <c r="AH506" s="145"/>
      <c r="AI506" s="145"/>
      <c r="AJ506" s="145"/>
      <c r="AK506" s="145"/>
      <c r="AL506" s="145"/>
      <c r="AM506" s="321"/>
      <c r="AN506" s="321"/>
      <c r="AO506" s="321"/>
      <c r="AP506" s="321"/>
      <c r="AQ506" s="321"/>
      <c r="AR506" s="321"/>
      <c r="AS506" s="321"/>
      <c r="AT506" s="321"/>
    </row>
    <row r="507" spans="10:46">
      <c r="J507" s="145"/>
      <c r="K507" s="145"/>
      <c r="L507" s="145"/>
      <c r="M507" s="145"/>
      <c r="N507" s="145"/>
      <c r="O507" s="145"/>
      <c r="P507" s="145"/>
      <c r="Q507" s="145"/>
      <c r="R507" s="145"/>
      <c r="S507" s="145"/>
      <c r="T507" s="145"/>
      <c r="U507" s="145"/>
      <c r="V507" s="145"/>
      <c r="W507" s="145"/>
      <c r="X507" s="145"/>
      <c r="Y507" s="145"/>
      <c r="Z507" s="145"/>
      <c r="AA507" s="145"/>
      <c r="AB507" s="145"/>
      <c r="AC507" s="145"/>
      <c r="AD507" s="145"/>
      <c r="AE507" s="145"/>
      <c r="AF507" s="145"/>
      <c r="AG507" s="145"/>
      <c r="AH507" s="145"/>
      <c r="AI507" s="145"/>
      <c r="AJ507" s="145"/>
      <c r="AK507" s="145"/>
      <c r="AL507" s="145"/>
      <c r="AM507" s="321"/>
      <c r="AN507" s="321"/>
      <c r="AO507" s="321"/>
      <c r="AP507" s="321"/>
      <c r="AQ507" s="321"/>
      <c r="AR507" s="321"/>
      <c r="AS507" s="321"/>
      <c r="AT507" s="321"/>
    </row>
    <row r="508" spans="10:46">
      <c r="J508" s="145"/>
      <c r="K508" s="145"/>
      <c r="L508" s="145"/>
      <c r="M508" s="145"/>
      <c r="N508" s="145"/>
      <c r="O508" s="145"/>
      <c r="P508" s="145"/>
      <c r="Q508" s="145"/>
      <c r="R508" s="145"/>
      <c r="S508" s="145"/>
      <c r="T508" s="145"/>
      <c r="U508" s="145"/>
      <c r="V508" s="145"/>
      <c r="W508" s="145"/>
      <c r="X508" s="145"/>
      <c r="Y508" s="145"/>
      <c r="Z508" s="145"/>
      <c r="AA508" s="145"/>
      <c r="AB508" s="145"/>
      <c r="AC508" s="145"/>
      <c r="AD508" s="145"/>
      <c r="AE508" s="145"/>
      <c r="AF508" s="145"/>
      <c r="AG508" s="145"/>
      <c r="AH508" s="145"/>
      <c r="AI508" s="145"/>
      <c r="AJ508" s="145"/>
      <c r="AK508" s="145"/>
      <c r="AL508" s="145"/>
      <c r="AM508" s="321"/>
      <c r="AN508" s="321"/>
      <c r="AO508" s="321"/>
      <c r="AP508" s="321"/>
      <c r="AQ508" s="321"/>
      <c r="AR508" s="321"/>
      <c r="AS508" s="321"/>
      <c r="AT508" s="321"/>
    </row>
    <row r="509" spans="10:46">
      <c r="J509" s="145"/>
      <c r="K509" s="145"/>
      <c r="L509" s="145"/>
      <c r="M509" s="145"/>
      <c r="N509" s="145"/>
      <c r="O509" s="145"/>
      <c r="P509" s="145"/>
      <c r="Q509" s="145"/>
      <c r="R509" s="145"/>
      <c r="S509" s="145"/>
      <c r="T509" s="145"/>
      <c r="U509" s="145"/>
      <c r="V509" s="145"/>
      <c r="W509" s="145"/>
      <c r="X509" s="145"/>
      <c r="Y509" s="145"/>
      <c r="Z509" s="145"/>
      <c r="AA509" s="145"/>
      <c r="AB509" s="145"/>
      <c r="AC509" s="145"/>
      <c r="AD509" s="145"/>
      <c r="AE509" s="145"/>
      <c r="AF509" s="145"/>
      <c r="AG509" s="145"/>
      <c r="AH509" s="145"/>
      <c r="AI509" s="145"/>
      <c r="AJ509" s="145"/>
      <c r="AK509" s="145"/>
      <c r="AL509" s="145"/>
      <c r="AM509" s="321"/>
      <c r="AN509" s="321"/>
      <c r="AO509" s="321"/>
      <c r="AP509" s="321"/>
      <c r="AQ509" s="321"/>
      <c r="AR509" s="321"/>
      <c r="AS509" s="321"/>
      <c r="AT509" s="321"/>
    </row>
    <row r="510" spans="10:46">
      <c r="J510" s="145"/>
      <c r="K510" s="145"/>
      <c r="L510" s="145"/>
      <c r="M510" s="145"/>
      <c r="N510" s="145"/>
      <c r="O510" s="145"/>
      <c r="P510" s="145"/>
      <c r="Q510" s="145"/>
      <c r="R510" s="145"/>
      <c r="S510" s="145"/>
      <c r="T510" s="145"/>
      <c r="U510" s="145"/>
      <c r="V510" s="145"/>
      <c r="W510" s="145"/>
      <c r="X510" s="145"/>
      <c r="Y510" s="145"/>
      <c r="Z510" s="145"/>
      <c r="AA510" s="145"/>
      <c r="AB510" s="145"/>
      <c r="AC510" s="145"/>
      <c r="AD510" s="145"/>
      <c r="AE510" s="145"/>
      <c r="AF510" s="145"/>
      <c r="AG510" s="145"/>
      <c r="AH510" s="145"/>
      <c r="AI510" s="145"/>
      <c r="AJ510" s="145"/>
      <c r="AK510" s="145"/>
      <c r="AL510" s="145"/>
      <c r="AM510" s="321"/>
      <c r="AN510" s="321"/>
      <c r="AO510" s="321"/>
      <c r="AP510" s="321"/>
      <c r="AQ510" s="321"/>
      <c r="AR510" s="321"/>
      <c r="AS510" s="321"/>
      <c r="AT510" s="321"/>
    </row>
    <row r="511" spans="10:46">
      <c r="J511" s="145"/>
      <c r="K511" s="145"/>
      <c r="L511" s="145"/>
      <c r="M511" s="145"/>
      <c r="N511" s="145"/>
      <c r="O511" s="145"/>
      <c r="P511" s="145"/>
      <c r="Q511" s="145"/>
      <c r="R511" s="145"/>
      <c r="S511" s="145"/>
      <c r="T511" s="145"/>
      <c r="U511" s="145"/>
      <c r="V511" s="145"/>
      <c r="W511" s="145"/>
      <c r="X511" s="145"/>
      <c r="Y511" s="145"/>
      <c r="Z511" s="145"/>
      <c r="AA511" s="145"/>
      <c r="AB511" s="145"/>
      <c r="AC511" s="145"/>
      <c r="AD511" s="145"/>
      <c r="AE511" s="145"/>
      <c r="AF511" s="145"/>
      <c r="AG511" s="145"/>
      <c r="AH511" s="145"/>
      <c r="AI511" s="145"/>
      <c r="AJ511" s="145"/>
      <c r="AK511" s="145"/>
      <c r="AL511" s="145"/>
      <c r="AM511" s="321"/>
      <c r="AN511" s="321"/>
      <c r="AO511" s="321"/>
      <c r="AP511" s="321"/>
      <c r="AQ511" s="321"/>
      <c r="AR511" s="321"/>
      <c r="AS511" s="321"/>
      <c r="AT511" s="321"/>
    </row>
    <row r="512" spans="10:46">
      <c r="J512" s="145"/>
      <c r="K512" s="145"/>
      <c r="L512" s="145"/>
      <c r="M512" s="145"/>
      <c r="N512" s="145"/>
      <c r="O512" s="145"/>
      <c r="P512" s="145"/>
      <c r="Q512" s="145"/>
      <c r="R512" s="145"/>
      <c r="S512" s="145"/>
      <c r="T512" s="145"/>
      <c r="U512" s="145"/>
      <c r="V512" s="145"/>
      <c r="W512" s="145"/>
      <c r="X512" s="145"/>
      <c r="Y512" s="145"/>
      <c r="Z512" s="145"/>
      <c r="AA512" s="145"/>
      <c r="AB512" s="145"/>
      <c r="AC512" s="145"/>
      <c r="AD512" s="145"/>
      <c r="AE512" s="145"/>
      <c r="AF512" s="145"/>
      <c r="AG512" s="145"/>
      <c r="AH512" s="145"/>
      <c r="AI512" s="145"/>
      <c r="AJ512" s="145"/>
      <c r="AK512" s="145"/>
      <c r="AL512" s="145"/>
      <c r="AM512" s="321"/>
      <c r="AN512" s="321"/>
      <c r="AO512" s="321"/>
      <c r="AP512" s="321"/>
      <c r="AQ512" s="321"/>
      <c r="AR512" s="321"/>
      <c r="AS512" s="321"/>
      <c r="AT512" s="321"/>
    </row>
    <row r="513" spans="10:46">
      <c r="J513" s="145"/>
      <c r="K513" s="145"/>
      <c r="L513" s="145"/>
      <c r="M513" s="145"/>
      <c r="N513" s="145"/>
      <c r="O513" s="145"/>
      <c r="P513" s="145"/>
      <c r="Q513" s="145"/>
      <c r="R513" s="145"/>
      <c r="S513" s="145"/>
      <c r="T513" s="145"/>
      <c r="U513" s="145"/>
      <c r="V513" s="145"/>
      <c r="W513" s="145"/>
      <c r="X513" s="145"/>
      <c r="Y513" s="145"/>
      <c r="Z513" s="145"/>
      <c r="AA513" s="145"/>
      <c r="AB513" s="145"/>
      <c r="AC513" s="145"/>
      <c r="AD513" s="145"/>
      <c r="AE513" s="145"/>
      <c r="AF513" s="145"/>
      <c r="AG513" s="145"/>
      <c r="AH513" s="145"/>
      <c r="AI513" s="145"/>
      <c r="AJ513" s="145"/>
      <c r="AK513" s="145"/>
      <c r="AL513" s="145"/>
      <c r="AM513" s="321"/>
      <c r="AN513" s="321"/>
      <c r="AO513" s="321"/>
      <c r="AP513" s="321"/>
      <c r="AQ513" s="321"/>
      <c r="AR513" s="321"/>
      <c r="AS513" s="321"/>
      <c r="AT513" s="321"/>
    </row>
    <row r="514" spans="10:46">
      <c r="J514" s="145"/>
      <c r="K514" s="145"/>
      <c r="L514" s="145"/>
      <c r="M514" s="145"/>
      <c r="N514" s="145"/>
      <c r="O514" s="145"/>
      <c r="P514" s="145"/>
      <c r="Q514" s="145"/>
      <c r="R514" s="145"/>
      <c r="S514" s="145"/>
      <c r="T514" s="145"/>
      <c r="U514" s="145"/>
      <c r="V514" s="145"/>
      <c r="W514" s="145"/>
      <c r="X514" s="145"/>
      <c r="Y514" s="145"/>
      <c r="Z514" s="145"/>
      <c r="AA514" s="145"/>
      <c r="AB514" s="145"/>
      <c r="AC514" s="145"/>
      <c r="AD514" s="145"/>
      <c r="AE514" s="145"/>
      <c r="AF514" s="145"/>
      <c r="AG514" s="145"/>
      <c r="AH514" s="145"/>
      <c r="AI514" s="145"/>
      <c r="AJ514" s="145"/>
      <c r="AK514" s="145"/>
      <c r="AL514" s="145"/>
      <c r="AM514" s="321"/>
      <c r="AN514" s="321"/>
      <c r="AO514" s="321"/>
      <c r="AP514" s="321"/>
      <c r="AQ514" s="321"/>
      <c r="AR514" s="321"/>
      <c r="AS514" s="321"/>
      <c r="AT514" s="321"/>
    </row>
    <row r="515" spans="10:46">
      <c r="J515" s="145"/>
      <c r="K515" s="145"/>
      <c r="L515" s="145"/>
      <c r="M515" s="145"/>
      <c r="N515" s="145"/>
      <c r="O515" s="145"/>
      <c r="P515" s="145"/>
      <c r="Q515" s="145"/>
      <c r="R515" s="145"/>
      <c r="S515" s="145"/>
      <c r="T515" s="145"/>
      <c r="U515" s="145"/>
      <c r="V515" s="145"/>
      <c r="W515" s="145"/>
      <c r="X515" s="145"/>
      <c r="Y515" s="145"/>
      <c r="Z515" s="145"/>
      <c r="AA515" s="145"/>
      <c r="AB515" s="145"/>
      <c r="AC515" s="145"/>
      <c r="AD515" s="145"/>
      <c r="AE515" s="145"/>
      <c r="AF515" s="145"/>
      <c r="AG515" s="145"/>
      <c r="AH515" s="145"/>
      <c r="AI515" s="145"/>
      <c r="AJ515" s="145"/>
      <c r="AK515" s="145"/>
      <c r="AL515" s="145"/>
      <c r="AM515" s="321"/>
      <c r="AN515" s="321"/>
      <c r="AO515" s="321"/>
      <c r="AP515" s="321"/>
      <c r="AQ515" s="321"/>
      <c r="AR515" s="321"/>
      <c r="AS515" s="321"/>
      <c r="AT515" s="321"/>
    </row>
    <row r="516" spans="10:46">
      <c r="J516" s="145"/>
      <c r="K516" s="145"/>
      <c r="L516" s="145"/>
      <c r="M516" s="145"/>
      <c r="N516" s="145"/>
      <c r="O516" s="145"/>
      <c r="P516" s="145"/>
      <c r="Q516" s="145"/>
      <c r="R516" s="145"/>
      <c r="S516" s="145"/>
      <c r="T516" s="145"/>
      <c r="U516" s="145"/>
      <c r="V516" s="145"/>
      <c r="W516" s="145"/>
      <c r="X516" s="145"/>
      <c r="Y516" s="145"/>
      <c r="Z516" s="145"/>
      <c r="AA516" s="145"/>
      <c r="AB516" s="145"/>
      <c r="AC516" s="145"/>
      <c r="AD516" s="145"/>
      <c r="AE516" s="145"/>
      <c r="AF516" s="145"/>
      <c r="AG516" s="145"/>
      <c r="AH516" s="145"/>
      <c r="AI516" s="145"/>
      <c r="AJ516" s="145"/>
      <c r="AK516" s="145"/>
      <c r="AL516" s="145"/>
      <c r="AM516" s="321"/>
      <c r="AN516" s="321"/>
      <c r="AO516" s="321"/>
      <c r="AP516" s="321"/>
      <c r="AQ516" s="321"/>
      <c r="AR516" s="321"/>
      <c r="AS516" s="321"/>
      <c r="AT516" s="321"/>
    </row>
    <row r="517" spans="10:46">
      <c r="J517" s="145"/>
      <c r="K517" s="145"/>
      <c r="L517" s="145"/>
      <c r="M517" s="145"/>
      <c r="N517" s="145"/>
      <c r="O517" s="145"/>
      <c r="P517" s="145"/>
      <c r="Q517" s="145"/>
      <c r="R517" s="145"/>
      <c r="S517" s="145"/>
      <c r="T517" s="145"/>
      <c r="U517" s="145"/>
      <c r="V517" s="145"/>
      <c r="W517" s="145"/>
      <c r="X517" s="145"/>
      <c r="Y517" s="145"/>
      <c r="Z517" s="145"/>
      <c r="AA517" s="145"/>
      <c r="AB517" s="145"/>
      <c r="AC517" s="145"/>
      <c r="AD517" s="145"/>
      <c r="AE517" s="145"/>
      <c r="AF517" s="145"/>
      <c r="AG517" s="145"/>
      <c r="AH517" s="145"/>
      <c r="AI517" s="145"/>
      <c r="AJ517" s="145"/>
      <c r="AK517" s="145"/>
      <c r="AL517" s="145"/>
      <c r="AM517" s="321"/>
      <c r="AN517" s="321"/>
      <c r="AO517" s="321"/>
      <c r="AP517" s="321"/>
      <c r="AQ517" s="321"/>
      <c r="AR517" s="321"/>
      <c r="AS517" s="321"/>
      <c r="AT517" s="321"/>
    </row>
    <row r="518" spans="10:46">
      <c r="J518" s="145"/>
      <c r="K518" s="145"/>
      <c r="L518" s="145"/>
      <c r="M518" s="145"/>
      <c r="N518" s="145"/>
      <c r="O518" s="145"/>
      <c r="P518" s="145"/>
      <c r="Q518" s="145"/>
      <c r="R518" s="145"/>
      <c r="S518" s="145"/>
      <c r="T518" s="145"/>
      <c r="U518" s="145"/>
      <c r="V518" s="145"/>
      <c r="W518" s="145"/>
      <c r="X518" s="145"/>
      <c r="Y518" s="145"/>
      <c r="Z518" s="145"/>
      <c r="AA518" s="145"/>
      <c r="AB518" s="145"/>
      <c r="AC518" s="145"/>
      <c r="AD518" s="145"/>
      <c r="AE518" s="145"/>
      <c r="AF518" s="145"/>
      <c r="AG518" s="145"/>
      <c r="AH518" s="145"/>
      <c r="AI518" s="145"/>
      <c r="AJ518" s="145"/>
      <c r="AK518" s="145"/>
      <c r="AL518" s="145"/>
      <c r="AM518" s="321"/>
      <c r="AN518" s="321"/>
      <c r="AO518" s="321"/>
      <c r="AP518" s="321"/>
      <c r="AQ518" s="321"/>
      <c r="AR518" s="321"/>
      <c r="AS518" s="321"/>
      <c r="AT518" s="321"/>
    </row>
    <row r="519" spans="10:46">
      <c r="J519" s="145"/>
      <c r="K519" s="145"/>
      <c r="L519" s="145"/>
      <c r="M519" s="145"/>
      <c r="N519" s="145"/>
      <c r="O519" s="145"/>
      <c r="P519" s="145"/>
      <c r="Q519" s="145"/>
      <c r="R519" s="145"/>
      <c r="S519" s="145"/>
      <c r="T519" s="145"/>
      <c r="U519" s="145"/>
      <c r="V519" s="145"/>
      <c r="W519" s="145"/>
      <c r="X519" s="145"/>
      <c r="Y519" s="145"/>
      <c r="Z519" s="145"/>
      <c r="AA519" s="145"/>
      <c r="AB519" s="145"/>
      <c r="AC519" s="145"/>
      <c r="AD519" s="145"/>
      <c r="AE519" s="145"/>
      <c r="AF519" s="145"/>
      <c r="AG519" s="145"/>
      <c r="AH519" s="145"/>
      <c r="AI519" s="145"/>
      <c r="AJ519" s="145"/>
      <c r="AK519" s="145"/>
      <c r="AL519" s="145"/>
      <c r="AM519" s="321"/>
      <c r="AN519" s="321"/>
      <c r="AO519" s="321"/>
      <c r="AP519" s="321"/>
      <c r="AQ519" s="321"/>
      <c r="AR519" s="321"/>
      <c r="AS519" s="321"/>
      <c r="AT519" s="321"/>
    </row>
    <row r="520" spans="10:46">
      <c r="J520" s="145"/>
      <c r="K520" s="145"/>
      <c r="L520" s="145"/>
      <c r="M520" s="145"/>
      <c r="N520" s="145"/>
      <c r="O520" s="145"/>
      <c r="P520" s="145"/>
      <c r="Q520" s="145"/>
      <c r="R520" s="145"/>
      <c r="S520" s="145"/>
      <c r="T520" s="145"/>
      <c r="U520" s="145"/>
      <c r="V520" s="145"/>
      <c r="W520" s="145"/>
      <c r="X520" s="145"/>
      <c r="Y520" s="145"/>
      <c r="Z520" s="145"/>
      <c r="AA520" s="145"/>
      <c r="AB520" s="145"/>
      <c r="AC520" s="145"/>
      <c r="AD520" s="145"/>
      <c r="AE520" s="145"/>
      <c r="AF520" s="145"/>
      <c r="AG520" s="145"/>
      <c r="AH520" s="145"/>
      <c r="AI520" s="145"/>
      <c r="AJ520" s="145"/>
      <c r="AK520" s="145"/>
      <c r="AL520" s="145"/>
      <c r="AM520" s="321"/>
      <c r="AN520" s="321"/>
      <c r="AO520" s="321"/>
      <c r="AP520" s="321"/>
      <c r="AQ520" s="321"/>
      <c r="AR520" s="321"/>
      <c r="AS520" s="321"/>
      <c r="AT520" s="321"/>
    </row>
    <row r="521" spans="10:46">
      <c r="J521" s="145"/>
      <c r="K521" s="145"/>
      <c r="L521" s="145"/>
      <c r="M521" s="145"/>
      <c r="N521" s="145"/>
      <c r="O521" s="145"/>
      <c r="P521" s="145"/>
      <c r="Q521" s="145"/>
      <c r="R521" s="145"/>
      <c r="S521" s="145"/>
      <c r="T521" s="145"/>
      <c r="U521" s="145"/>
      <c r="V521" s="145"/>
      <c r="W521" s="145"/>
      <c r="X521" s="145"/>
      <c r="Y521" s="145"/>
      <c r="Z521" s="145"/>
      <c r="AA521" s="145"/>
      <c r="AB521" s="145"/>
      <c r="AC521" s="145"/>
      <c r="AD521" s="145"/>
      <c r="AE521" s="145"/>
      <c r="AF521" s="145"/>
      <c r="AG521" s="145"/>
      <c r="AH521" s="145"/>
      <c r="AI521" s="145"/>
      <c r="AJ521" s="145"/>
      <c r="AK521" s="145"/>
      <c r="AL521" s="145"/>
      <c r="AM521" s="321"/>
      <c r="AN521" s="321"/>
      <c r="AO521" s="321"/>
      <c r="AP521" s="321"/>
      <c r="AQ521" s="321"/>
      <c r="AR521" s="321"/>
      <c r="AS521" s="321"/>
      <c r="AT521" s="321"/>
    </row>
    <row r="522" spans="10:46">
      <c r="J522" s="145"/>
      <c r="K522" s="145"/>
      <c r="L522" s="145"/>
      <c r="M522" s="145"/>
      <c r="N522" s="145"/>
      <c r="O522" s="145"/>
      <c r="P522" s="145"/>
      <c r="Q522" s="145"/>
      <c r="R522" s="145"/>
      <c r="S522" s="145"/>
      <c r="T522" s="145"/>
      <c r="U522" s="145"/>
      <c r="V522" s="145"/>
      <c r="W522" s="145"/>
      <c r="X522" s="145"/>
      <c r="Y522" s="145"/>
      <c r="Z522" s="145"/>
      <c r="AA522" s="145"/>
      <c r="AB522" s="145"/>
      <c r="AC522" s="145"/>
      <c r="AD522" s="145"/>
      <c r="AE522" s="145"/>
      <c r="AF522" s="145"/>
      <c r="AG522" s="145"/>
      <c r="AH522" s="145"/>
      <c r="AI522" s="145"/>
      <c r="AJ522" s="145"/>
      <c r="AK522" s="145"/>
      <c r="AL522" s="145"/>
      <c r="AM522" s="321"/>
      <c r="AN522" s="321"/>
      <c r="AO522" s="321"/>
      <c r="AP522" s="321"/>
      <c r="AQ522" s="321"/>
      <c r="AR522" s="321"/>
      <c r="AS522" s="321"/>
      <c r="AT522" s="321"/>
    </row>
    <row r="523" spans="10:46">
      <c r="J523" s="145"/>
      <c r="K523" s="145"/>
      <c r="L523" s="145"/>
      <c r="M523" s="145"/>
      <c r="N523" s="145"/>
      <c r="O523" s="145"/>
      <c r="P523" s="145"/>
      <c r="Q523" s="145"/>
      <c r="R523" s="145"/>
      <c r="S523" s="145"/>
      <c r="T523" s="145"/>
      <c r="U523" s="145"/>
      <c r="V523" s="145"/>
      <c r="W523" s="145"/>
      <c r="X523" s="145"/>
      <c r="Y523" s="145"/>
      <c r="Z523" s="145"/>
      <c r="AA523" s="145"/>
      <c r="AB523" s="145"/>
      <c r="AC523" s="145"/>
      <c r="AD523" s="145"/>
      <c r="AE523" s="145"/>
      <c r="AF523" s="145"/>
      <c r="AG523" s="145"/>
      <c r="AH523" s="145"/>
      <c r="AI523" s="145"/>
      <c r="AJ523" s="145"/>
      <c r="AK523" s="145"/>
      <c r="AL523" s="145"/>
      <c r="AM523" s="321"/>
      <c r="AN523" s="321"/>
      <c r="AO523" s="321"/>
      <c r="AP523" s="321"/>
      <c r="AQ523" s="321"/>
      <c r="AR523" s="321"/>
      <c r="AS523" s="321"/>
      <c r="AT523" s="321"/>
    </row>
    <row r="524" spans="10:46">
      <c r="J524" s="145"/>
      <c r="K524" s="145"/>
      <c r="L524" s="145"/>
      <c r="M524" s="145"/>
      <c r="N524" s="145"/>
      <c r="O524" s="145"/>
      <c r="P524" s="145"/>
      <c r="Q524" s="145"/>
      <c r="R524" s="145"/>
      <c r="S524" s="145"/>
      <c r="T524" s="145"/>
      <c r="U524" s="145"/>
      <c r="V524" s="145"/>
      <c r="W524" s="145"/>
      <c r="X524" s="145"/>
      <c r="Y524" s="145"/>
      <c r="Z524" s="145"/>
      <c r="AA524" s="145"/>
      <c r="AB524" s="145"/>
      <c r="AC524" s="145"/>
      <c r="AD524" s="145"/>
      <c r="AE524" s="145"/>
      <c r="AF524" s="145"/>
      <c r="AG524" s="145"/>
      <c r="AH524" s="145"/>
      <c r="AI524" s="145"/>
      <c r="AJ524" s="145"/>
      <c r="AK524" s="145"/>
      <c r="AL524" s="145"/>
      <c r="AM524" s="321"/>
      <c r="AN524" s="321"/>
      <c r="AO524" s="321"/>
      <c r="AP524" s="321"/>
      <c r="AQ524" s="321"/>
      <c r="AR524" s="321"/>
      <c r="AS524" s="321"/>
      <c r="AT524" s="321"/>
    </row>
    <row r="525" spans="10:46">
      <c r="J525" s="145"/>
      <c r="K525" s="145"/>
      <c r="L525" s="145"/>
      <c r="M525" s="145"/>
      <c r="N525" s="145"/>
      <c r="O525" s="145"/>
      <c r="P525" s="145"/>
      <c r="Q525" s="145"/>
      <c r="R525" s="145"/>
      <c r="S525" s="145"/>
      <c r="T525" s="145"/>
      <c r="U525" s="145"/>
      <c r="V525" s="145"/>
      <c r="W525" s="145"/>
      <c r="X525" s="145"/>
      <c r="Y525" s="145"/>
      <c r="Z525" s="145"/>
      <c r="AA525" s="145"/>
      <c r="AB525" s="145"/>
      <c r="AC525" s="145"/>
      <c r="AD525" s="145"/>
      <c r="AE525" s="145"/>
      <c r="AF525" s="145"/>
      <c r="AG525" s="145"/>
      <c r="AH525" s="145"/>
      <c r="AI525" s="145"/>
      <c r="AJ525" s="145"/>
      <c r="AK525" s="145"/>
      <c r="AL525" s="145"/>
      <c r="AM525" s="321"/>
      <c r="AN525" s="321"/>
      <c r="AO525" s="321"/>
      <c r="AP525" s="321"/>
      <c r="AQ525" s="321"/>
      <c r="AR525" s="321"/>
      <c r="AS525" s="321"/>
      <c r="AT525" s="321"/>
    </row>
    <row r="526" spans="10:46">
      <c r="J526" s="145"/>
      <c r="K526" s="145"/>
      <c r="L526" s="145"/>
      <c r="M526" s="145"/>
      <c r="N526" s="145"/>
      <c r="O526" s="145"/>
      <c r="P526" s="145"/>
      <c r="Q526" s="145"/>
      <c r="R526" s="145"/>
      <c r="S526" s="145"/>
      <c r="T526" s="145"/>
      <c r="U526" s="145"/>
      <c r="V526" s="145"/>
      <c r="W526" s="145"/>
      <c r="X526" s="145"/>
      <c r="Y526" s="145"/>
      <c r="Z526" s="145"/>
      <c r="AA526" s="145"/>
      <c r="AB526" s="145"/>
      <c r="AC526" s="145"/>
      <c r="AD526" s="145"/>
      <c r="AE526" s="145"/>
      <c r="AF526" s="145"/>
      <c r="AG526" s="145"/>
      <c r="AH526" s="145"/>
      <c r="AI526" s="145"/>
      <c r="AJ526" s="145"/>
      <c r="AK526" s="145"/>
      <c r="AL526" s="145"/>
      <c r="AM526" s="321"/>
      <c r="AN526" s="321"/>
      <c r="AO526" s="321"/>
      <c r="AP526" s="321"/>
      <c r="AQ526" s="321"/>
      <c r="AR526" s="321"/>
      <c r="AS526" s="321"/>
      <c r="AT526" s="321"/>
    </row>
    <row r="527" spans="10:46">
      <c r="J527" s="145"/>
      <c r="K527" s="145"/>
      <c r="L527" s="145"/>
      <c r="M527" s="145"/>
      <c r="N527" s="145"/>
      <c r="O527" s="145"/>
      <c r="P527" s="145"/>
      <c r="Q527" s="145"/>
      <c r="R527" s="145"/>
      <c r="S527" s="145"/>
      <c r="T527" s="145"/>
      <c r="U527" s="145"/>
      <c r="V527" s="145"/>
      <c r="W527" s="145"/>
      <c r="X527" s="145"/>
      <c r="Y527" s="145"/>
      <c r="Z527" s="145"/>
      <c r="AA527" s="145"/>
      <c r="AB527" s="145"/>
      <c r="AC527" s="145"/>
      <c r="AD527" s="145"/>
      <c r="AE527" s="145"/>
      <c r="AF527" s="145"/>
      <c r="AG527" s="145"/>
      <c r="AH527" s="145"/>
      <c r="AI527" s="145"/>
      <c r="AJ527" s="145"/>
      <c r="AK527" s="145"/>
      <c r="AL527" s="145"/>
      <c r="AM527" s="321"/>
      <c r="AN527" s="321"/>
      <c r="AO527" s="321"/>
      <c r="AP527" s="321"/>
      <c r="AQ527" s="321"/>
      <c r="AR527" s="321"/>
      <c r="AS527" s="321"/>
      <c r="AT527" s="321"/>
    </row>
    <row r="528" spans="10:46">
      <c r="J528" s="145"/>
      <c r="K528" s="145"/>
      <c r="L528" s="145"/>
      <c r="M528" s="145"/>
      <c r="N528" s="145"/>
      <c r="O528" s="145"/>
      <c r="P528" s="145"/>
      <c r="Q528" s="145"/>
      <c r="R528" s="145"/>
      <c r="S528" s="145"/>
      <c r="T528" s="145"/>
      <c r="U528" s="145"/>
      <c r="V528" s="145"/>
      <c r="W528" s="145"/>
      <c r="X528" s="145"/>
      <c r="Y528" s="145"/>
      <c r="Z528" s="145"/>
      <c r="AA528" s="145"/>
      <c r="AB528" s="145"/>
      <c r="AC528" s="145"/>
      <c r="AD528" s="145"/>
      <c r="AE528" s="145"/>
      <c r="AF528" s="145"/>
      <c r="AG528" s="145"/>
      <c r="AH528" s="145"/>
      <c r="AI528" s="145"/>
      <c r="AJ528" s="145"/>
      <c r="AK528" s="145"/>
      <c r="AL528" s="145"/>
      <c r="AM528" s="321"/>
      <c r="AN528" s="321"/>
      <c r="AO528" s="321"/>
      <c r="AP528" s="321"/>
      <c r="AQ528" s="321"/>
      <c r="AR528" s="321"/>
      <c r="AS528" s="321"/>
      <c r="AT528" s="321"/>
    </row>
    <row r="529" spans="10:46">
      <c r="J529" s="145"/>
      <c r="K529" s="145"/>
      <c r="L529" s="145"/>
      <c r="M529" s="145"/>
      <c r="N529" s="145"/>
      <c r="O529" s="145"/>
      <c r="P529" s="145"/>
      <c r="Q529" s="145"/>
      <c r="R529" s="145"/>
      <c r="S529" s="145"/>
      <c r="T529" s="145"/>
      <c r="U529" s="145"/>
      <c r="V529" s="145"/>
      <c r="W529" s="145"/>
      <c r="X529" s="145"/>
      <c r="Y529" s="145"/>
      <c r="Z529" s="145"/>
      <c r="AA529" s="145"/>
      <c r="AB529" s="145"/>
      <c r="AC529" s="145"/>
      <c r="AD529" s="145"/>
      <c r="AE529" s="145"/>
      <c r="AF529" s="145"/>
      <c r="AG529" s="145"/>
      <c r="AH529" s="145"/>
      <c r="AI529" s="145"/>
      <c r="AJ529" s="145"/>
      <c r="AK529" s="145"/>
      <c r="AL529" s="145"/>
      <c r="AM529" s="321"/>
      <c r="AN529" s="321"/>
      <c r="AO529" s="321"/>
      <c r="AP529" s="321"/>
      <c r="AQ529" s="321"/>
      <c r="AR529" s="321"/>
      <c r="AS529" s="321"/>
      <c r="AT529" s="321"/>
    </row>
    <row r="530" spans="10:46">
      <c r="J530" s="145"/>
      <c r="K530" s="145"/>
      <c r="L530" s="145"/>
      <c r="M530" s="145"/>
      <c r="N530" s="145"/>
      <c r="O530" s="145"/>
      <c r="P530" s="145"/>
      <c r="Q530" s="145"/>
      <c r="R530" s="145"/>
      <c r="S530" s="145"/>
      <c r="T530" s="145"/>
      <c r="U530" s="145"/>
      <c r="V530" s="145"/>
      <c r="W530" s="145"/>
      <c r="X530" s="145"/>
      <c r="Y530" s="145"/>
      <c r="Z530" s="145"/>
      <c r="AA530" s="145"/>
      <c r="AB530" s="145"/>
      <c r="AC530" s="145"/>
      <c r="AD530" s="145"/>
      <c r="AE530" s="145"/>
      <c r="AF530" s="145"/>
      <c r="AG530" s="145"/>
      <c r="AH530" s="145"/>
      <c r="AI530" s="145"/>
      <c r="AJ530" s="145"/>
      <c r="AK530" s="145"/>
      <c r="AL530" s="145"/>
      <c r="AM530" s="321"/>
      <c r="AN530" s="321"/>
      <c r="AO530" s="321"/>
      <c r="AP530" s="321"/>
      <c r="AQ530" s="321"/>
      <c r="AR530" s="321"/>
      <c r="AS530" s="321"/>
      <c r="AT530" s="321"/>
    </row>
    <row r="531" spans="10:46">
      <c r="J531" s="145"/>
      <c r="K531" s="145"/>
      <c r="L531" s="145"/>
      <c r="M531" s="145"/>
      <c r="N531" s="145"/>
      <c r="O531" s="145"/>
      <c r="P531" s="145"/>
      <c r="Q531" s="145"/>
      <c r="R531" s="145"/>
      <c r="S531" s="145"/>
      <c r="T531" s="145"/>
      <c r="U531" s="145"/>
      <c r="V531" s="145"/>
      <c r="W531" s="145"/>
      <c r="X531" s="145"/>
      <c r="Y531" s="145"/>
      <c r="Z531" s="145"/>
      <c r="AA531" s="145"/>
      <c r="AB531" s="145"/>
      <c r="AC531" s="145"/>
      <c r="AD531" s="145"/>
      <c r="AE531" s="145"/>
      <c r="AF531" s="145"/>
      <c r="AG531" s="145"/>
      <c r="AH531" s="145"/>
      <c r="AI531" s="145"/>
      <c r="AJ531" s="145"/>
      <c r="AK531" s="145"/>
      <c r="AL531" s="145"/>
      <c r="AM531" s="321"/>
      <c r="AN531" s="321"/>
      <c r="AO531" s="321"/>
      <c r="AP531" s="321"/>
      <c r="AQ531" s="321"/>
      <c r="AR531" s="321"/>
      <c r="AS531" s="321"/>
      <c r="AT531" s="321"/>
    </row>
    <row r="532" spans="10:46">
      <c r="J532" s="145"/>
      <c r="K532" s="145"/>
      <c r="L532" s="145"/>
      <c r="M532" s="145"/>
      <c r="N532" s="145"/>
      <c r="O532" s="145"/>
      <c r="P532" s="145"/>
      <c r="Q532" s="145"/>
      <c r="R532" s="145"/>
      <c r="S532" s="145"/>
      <c r="T532" s="145"/>
      <c r="U532" s="145"/>
      <c r="V532" s="145"/>
      <c r="W532" s="145"/>
      <c r="X532" s="145"/>
      <c r="Y532" s="145"/>
      <c r="Z532" s="145"/>
      <c r="AA532" s="145"/>
      <c r="AB532" s="145"/>
      <c r="AC532" s="145"/>
      <c r="AD532" s="145"/>
      <c r="AE532" s="145"/>
      <c r="AF532" s="145"/>
      <c r="AG532" s="145"/>
      <c r="AH532" s="145"/>
      <c r="AI532" s="145"/>
      <c r="AJ532" s="145"/>
      <c r="AK532" s="145"/>
      <c r="AL532" s="145"/>
      <c r="AM532" s="321"/>
      <c r="AN532" s="321"/>
      <c r="AO532" s="321"/>
      <c r="AP532" s="321"/>
      <c r="AQ532" s="321"/>
      <c r="AR532" s="321"/>
      <c r="AS532" s="321"/>
      <c r="AT532" s="321"/>
    </row>
    <row r="533" spans="10:46">
      <c r="J533" s="145"/>
      <c r="K533" s="145"/>
      <c r="L533" s="145"/>
      <c r="M533" s="145"/>
      <c r="N533" s="145"/>
      <c r="O533" s="145"/>
      <c r="P533" s="145"/>
      <c r="Q533" s="145"/>
      <c r="R533" s="145"/>
      <c r="S533" s="145"/>
      <c r="T533" s="145"/>
      <c r="U533" s="145"/>
      <c r="V533" s="145"/>
      <c r="W533" s="145"/>
      <c r="X533" s="145"/>
      <c r="Y533" s="145"/>
      <c r="Z533" s="145"/>
      <c r="AA533" s="145"/>
      <c r="AB533" s="145"/>
      <c r="AC533" s="145"/>
      <c r="AD533" s="145"/>
      <c r="AE533" s="145"/>
      <c r="AF533" s="145"/>
      <c r="AG533" s="145"/>
      <c r="AH533" s="145"/>
      <c r="AI533" s="145"/>
      <c r="AJ533" s="145"/>
      <c r="AK533" s="145"/>
      <c r="AL533" s="145"/>
      <c r="AM533" s="321"/>
      <c r="AN533" s="321"/>
      <c r="AO533" s="321"/>
      <c r="AP533" s="321"/>
      <c r="AQ533" s="321"/>
      <c r="AR533" s="321"/>
      <c r="AS533" s="321"/>
      <c r="AT533" s="321"/>
    </row>
    <row r="534" spans="10:46">
      <c r="J534" s="145"/>
      <c r="K534" s="145"/>
      <c r="L534" s="145"/>
      <c r="M534" s="145"/>
      <c r="N534" s="145"/>
      <c r="O534" s="145"/>
      <c r="P534" s="145"/>
      <c r="Q534" s="145"/>
      <c r="R534" s="145"/>
      <c r="S534" s="145"/>
      <c r="T534" s="145"/>
      <c r="U534" s="145"/>
      <c r="V534" s="145"/>
      <c r="W534" s="145"/>
      <c r="X534" s="145"/>
      <c r="Y534" s="145"/>
      <c r="Z534" s="145"/>
      <c r="AA534" s="145"/>
      <c r="AB534" s="145"/>
      <c r="AC534" s="145"/>
      <c r="AD534" s="145"/>
      <c r="AE534" s="145"/>
      <c r="AF534" s="145"/>
      <c r="AG534" s="145"/>
      <c r="AH534" s="145"/>
      <c r="AI534" s="145"/>
      <c r="AJ534" s="145"/>
      <c r="AK534" s="145"/>
      <c r="AL534" s="145"/>
      <c r="AM534" s="321"/>
      <c r="AN534" s="321"/>
      <c r="AO534" s="321"/>
      <c r="AP534" s="321"/>
      <c r="AQ534" s="321"/>
      <c r="AR534" s="321"/>
      <c r="AS534" s="321"/>
      <c r="AT534" s="321"/>
    </row>
    <row r="535" spans="10:46">
      <c r="J535" s="145"/>
      <c r="K535" s="145"/>
      <c r="L535" s="145"/>
      <c r="M535" s="145"/>
      <c r="N535" s="145"/>
      <c r="O535" s="145"/>
      <c r="P535" s="145"/>
      <c r="Q535" s="145"/>
      <c r="R535" s="145"/>
      <c r="S535" s="145"/>
      <c r="T535" s="145"/>
      <c r="U535" s="145"/>
      <c r="V535" s="145"/>
      <c r="W535" s="145"/>
      <c r="X535" s="145"/>
      <c r="Y535" s="145"/>
      <c r="Z535" s="145"/>
      <c r="AA535" s="145"/>
      <c r="AB535" s="145"/>
      <c r="AC535" s="145"/>
      <c r="AD535" s="145"/>
      <c r="AE535" s="145"/>
      <c r="AF535" s="145"/>
      <c r="AG535" s="145"/>
      <c r="AH535" s="145"/>
      <c r="AI535" s="145"/>
      <c r="AJ535" s="145"/>
      <c r="AK535" s="145"/>
      <c r="AL535" s="145"/>
      <c r="AM535" s="321"/>
      <c r="AN535" s="321"/>
      <c r="AO535" s="321"/>
      <c r="AP535" s="321"/>
      <c r="AQ535" s="321"/>
      <c r="AR535" s="321"/>
      <c r="AS535" s="321"/>
      <c r="AT535" s="321"/>
    </row>
    <row r="536" spans="10:46">
      <c r="J536" s="145"/>
      <c r="K536" s="145"/>
      <c r="L536" s="145"/>
      <c r="M536" s="145"/>
      <c r="N536" s="145"/>
      <c r="O536" s="145"/>
      <c r="P536" s="145"/>
      <c r="Q536" s="145"/>
      <c r="R536" s="145"/>
      <c r="S536" s="145"/>
      <c r="T536" s="145"/>
      <c r="U536" s="145"/>
      <c r="V536" s="145"/>
      <c r="W536" s="145"/>
      <c r="X536" s="145"/>
      <c r="Y536" s="145"/>
      <c r="Z536" s="145"/>
      <c r="AA536" s="145"/>
      <c r="AB536" s="145"/>
      <c r="AC536" s="145"/>
      <c r="AD536" s="145"/>
      <c r="AE536" s="145"/>
      <c r="AF536" s="145"/>
      <c r="AG536" s="145"/>
      <c r="AH536" s="145"/>
      <c r="AI536" s="145"/>
      <c r="AJ536" s="145"/>
      <c r="AK536" s="145"/>
      <c r="AL536" s="145"/>
      <c r="AM536" s="321"/>
      <c r="AN536" s="321"/>
      <c r="AO536" s="321"/>
      <c r="AP536" s="321"/>
      <c r="AQ536" s="321"/>
      <c r="AR536" s="321"/>
      <c r="AS536" s="321"/>
      <c r="AT536" s="321"/>
    </row>
    <row r="537" spans="10:46">
      <c r="J537" s="145"/>
      <c r="K537" s="145"/>
      <c r="L537" s="145"/>
      <c r="M537" s="145"/>
      <c r="N537" s="145"/>
      <c r="O537" s="145"/>
      <c r="P537" s="145"/>
      <c r="Q537" s="145"/>
      <c r="R537" s="145"/>
      <c r="S537" s="145"/>
      <c r="T537" s="145"/>
      <c r="U537" s="145"/>
      <c r="V537" s="145"/>
      <c r="W537" s="145"/>
      <c r="X537" s="145"/>
      <c r="Y537" s="145"/>
      <c r="Z537" s="145"/>
      <c r="AA537" s="145"/>
      <c r="AB537" s="145"/>
      <c r="AC537" s="145"/>
      <c r="AD537" s="145"/>
      <c r="AE537" s="145"/>
      <c r="AF537" s="145"/>
      <c r="AG537" s="145"/>
      <c r="AH537" s="145"/>
      <c r="AI537" s="145"/>
      <c r="AJ537" s="145"/>
      <c r="AK537" s="145"/>
      <c r="AL537" s="145"/>
      <c r="AM537" s="321"/>
      <c r="AN537" s="321"/>
      <c r="AO537" s="321"/>
      <c r="AP537" s="321"/>
      <c r="AQ537" s="321"/>
      <c r="AR537" s="321"/>
      <c r="AS537" s="321"/>
      <c r="AT537" s="321"/>
    </row>
    <row r="538" spans="10:46">
      <c r="J538" s="145"/>
      <c r="K538" s="145"/>
      <c r="L538" s="145"/>
      <c r="M538" s="145"/>
      <c r="N538" s="145"/>
      <c r="O538" s="145"/>
      <c r="P538" s="145"/>
      <c r="Q538" s="145"/>
      <c r="R538" s="145"/>
      <c r="S538" s="145"/>
      <c r="T538" s="145"/>
      <c r="U538" s="145"/>
      <c r="V538" s="145"/>
      <c r="W538" s="145"/>
      <c r="X538" s="145"/>
      <c r="Y538" s="145"/>
      <c r="Z538" s="145"/>
      <c r="AA538" s="145"/>
      <c r="AB538" s="145"/>
      <c r="AC538" s="145"/>
      <c r="AD538" s="145"/>
      <c r="AE538" s="145"/>
      <c r="AF538" s="145"/>
      <c r="AG538" s="145"/>
      <c r="AH538" s="145"/>
      <c r="AI538" s="145"/>
      <c r="AJ538" s="145"/>
      <c r="AK538" s="145"/>
      <c r="AL538" s="145"/>
      <c r="AM538" s="321"/>
      <c r="AN538" s="321"/>
      <c r="AO538" s="321"/>
      <c r="AP538" s="321"/>
      <c r="AQ538" s="321"/>
      <c r="AR538" s="321"/>
      <c r="AS538" s="321"/>
      <c r="AT538" s="321"/>
    </row>
    <row r="539" spans="10:46">
      <c r="J539" s="145"/>
      <c r="K539" s="145"/>
      <c r="L539" s="145"/>
      <c r="M539" s="145"/>
      <c r="N539" s="145"/>
      <c r="O539" s="145"/>
      <c r="P539" s="145"/>
      <c r="Q539" s="145"/>
      <c r="R539" s="145"/>
      <c r="S539" s="145"/>
      <c r="T539" s="145"/>
      <c r="U539" s="145"/>
      <c r="V539" s="145"/>
      <c r="W539" s="145"/>
      <c r="X539" s="145"/>
      <c r="Y539" s="145"/>
      <c r="Z539" s="145"/>
      <c r="AA539" s="145"/>
      <c r="AB539" s="145"/>
      <c r="AC539" s="145"/>
      <c r="AD539" s="145"/>
      <c r="AE539" s="145"/>
      <c r="AF539" s="145"/>
      <c r="AG539" s="145"/>
      <c r="AH539" s="145"/>
      <c r="AI539" s="145"/>
      <c r="AJ539" s="145"/>
      <c r="AK539" s="145"/>
      <c r="AL539" s="145"/>
      <c r="AM539" s="321"/>
      <c r="AN539" s="321"/>
      <c r="AO539" s="321"/>
      <c r="AP539" s="321"/>
      <c r="AQ539" s="321"/>
      <c r="AR539" s="321"/>
      <c r="AS539" s="321"/>
      <c r="AT539" s="321"/>
    </row>
    <row r="540" spans="10:46">
      <c r="J540" s="145"/>
      <c r="K540" s="145"/>
      <c r="L540" s="145"/>
      <c r="M540" s="145"/>
      <c r="N540" s="145"/>
      <c r="O540" s="145"/>
      <c r="P540" s="145"/>
      <c r="Q540" s="145"/>
      <c r="R540" s="145"/>
      <c r="S540" s="145"/>
      <c r="T540" s="145"/>
      <c r="U540" s="145"/>
      <c r="V540" s="145"/>
      <c r="W540" s="145"/>
      <c r="X540" s="145"/>
      <c r="Y540" s="145"/>
      <c r="Z540" s="145"/>
      <c r="AA540" s="145"/>
      <c r="AB540" s="145"/>
      <c r="AC540" s="145"/>
      <c r="AD540" s="145"/>
      <c r="AE540" s="145"/>
      <c r="AF540" s="145"/>
      <c r="AG540" s="145"/>
      <c r="AH540" s="145"/>
      <c r="AI540" s="145"/>
      <c r="AJ540" s="145"/>
      <c r="AK540" s="145"/>
      <c r="AL540" s="145"/>
      <c r="AM540" s="321"/>
      <c r="AN540" s="321"/>
      <c r="AO540" s="321"/>
      <c r="AP540" s="321"/>
      <c r="AQ540" s="321"/>
      <c r="AR540" s="321"/>
      <c r="AS540" s="321"/>
      <c r="AT540" s="321"/>
    </row>
    <row r="541" spans="10:46">
      <c r="J541" s="145"/>
      <c r="K541" s="145"/>
      <c r="L541" s="145"/>
      <c r="M541" s="145"/>
      <c r="N541" s="145"/>
      <c r="O541" s="145"/>
      <c r="P541" s="145"/>
      <c r="Q541" s="145"/>
      <c r="R541" s="145"/>
      <c r="S541" s="145"/>
      <c r="T541" s="145"/>
      <c r="U541" s="145"/>
      <c r="V541" s="145"/>
      <c r="W541" s="145"/>
      <c r="X541" s="145"/>
      <c r="Y541" s="145"/>
      <c r="Z541" s="145"/>
      <c r="AA541" s="145"/>
      <c r="AB541" s="145"/>
      <c r="AC541" s="145"/>
      <c r="AD541" s="145"/>
      <c r="AE541" s="145"/>
      <c r="AF541" s="145"/>
      <c r="AG541" s="145"/>
      <c r="AH541" s="145"/>
      <c r="AI541" s="145"/>
      <c r="AJ541" s="145"/>
      <c r="AK541" s="145"/>
      <c r="AL541" s="145"/>
      <c r="AM541" s="321"/>
      <c r="AN541" s="321"/>
      <c r="AO541" s="321"/>
      <c r="AP541" s="321"/>
      <c r="AQ541" s="321"/>
      <c r="AR541" s="321"/>
      <c r="AS541" s="321"/>
      <c r="AT541" s="321"/>
    </row>
    <row r="542" spans="10:46">
      <c r="J542" s="145"/>
      <c r="K542" s="145"/>
      <c r="L542" s="145"/>
      <c r="M542" s="145"/>
      <c r="N542" s="145"/>
      <c r="O542" s="145"/>
      <c r="P542" s="145"/>
      <c r="Q542" s="145"/>
      <c r="R542" s="145"/>
      <c r="S542" s="145"/>
      <c r="T542" s="145"/>
      <c r="U542" s="145"/>
      <c r="V542" s="145"/>
      <c r="W542" s="145"/>
      <c r="X542" s="145"/>
      <c r="Y542" s="145"/>
      <c r="Z542" s="145"/>
      <c r="AA542" s="145"/>
      <c r="AB542" s="145"/>
      <c r="AC542" s="145"/>
      <c r="AD542" s="145"/>
      <c r="AE542" s="145"/>
      <c r="AF542" s="145"/>
      <c r="AG542" s="145"/>
      <c r="AH542" s="145"/>
      <c r="AI542" s="145"/>
      <c r="AJ542" s="145"/>
      <c r="AK542" s="145"/>
      <c r="AL542" s="145"/>
      <c r="AM542" s="321"/>
      <c r="AN542" s="321"/>
      <c r="AO542" s="321"/>
      <c r="AP542" s="321"/>
      <c r="AQ542" s="321"/>
      <c r="AR542" s="321"/>
      <c r="AS542" s="321"/>
      <c r="AT542" s="321"/>
    </row>
    <row r="543" spans="10:46">
      <c r="J543" s="145"/>
      <c r="K543" s="145"/>
      <c r="L543" s="145"/>
      <c r="M543" s="145"/>
      <c r="N543" s="145"/>
      <c r="O543" s="145"/>
      <c r="P543" s="145"/>
      <c r="Q543" s="145"/>
      <c r="R543" s="145"/>
      <c r="S543" s="145"/>
      <c r="T543" s="145"/>
      <c r="U543" s="145"/>
      <c r="V543" s="145"/>
      <c r="W543" s="145"/>
      <c r="X543" s="145"/>
      <c r="Y543" s="145"/>
      <c r="Z543" s="145"/>
      <c r="AA543" s="145"/>
      <c r="AB543" s="145"/>
      <c r="AC543" s="145"/>
      <c r="AD543" s="145"/>
      <c r="AE543" s="145"/>
      <c r="AF543" s="145"/>
      <c r="AG543" s="145"/>
      <c r="AH543" s="145"/>
      <c r="AI543" s="145"/>
      <c r="AJ543" s="145"/>
      <c r="AK543" s="145"/>
      <c r="AL543" s="145"/>
      <c r="AM543" s="321"/>
      <c r="AN543" s="321"/>
      <c r="AO543" s="321"/>
      <c r="AP543" s="321"/>
      <c r="AQ543" s="321"/>
      <c r="AR543" s="321"/>
      <c r="AS543" s="321"/>
      <c r="AT543" s="321"/>
    </row>
    <row r="544" spans="10:46">
      <c r="J544" s="145"/>
      <c r="K544" s="145"/>
      <c r="L544" s="145"/>
      <c r="M544" s="145"/>
      <c r="N544" s="145"/>
      <c r="O544" s="145"/>
      <c r="P544" s="145"/>
      <c r="Q544" s="145"/>
      <c r="R544" s="145"/>
      <c r="S544" s="145"/>
      <c r="T544" s="145"/>
      <c r="U544" s="145"/>
      <c r="V544" s="145"/>
      <c r="W544" s="145"/>
      <c r="X544" s="145"/>
      <c r="Y544" s="145"/>
      <c r="Z544" s="145"/>
      <c r="AA544" s="145"/>
      <c r="AB544" s="145"/>
      <c r="AC544" s="145"/>
      <c r="AD544" s="145"/>
      <c r="AE544" s="145"/>
      <c r="AF544" s="145"/>
      <c r="AG544" s="145"/>
      <c r="AH544" s="145"/>
      <c r="AI544" s="145"/>
      <c r="AJ544" s="145"/>
      <c r="AK544" s="145"/>
      <c r="AL544" s="145"/>
      <c r="AM544" s="321"/>
      <c r="AN544" s="321"/>
      <c r="AO544" s="321"/>
      <c r="AP544" s="321"/>
      <c r="AQ544" s="321"/>
      <c r="AR544" s="321"/>
      <c r="AS544" s="321"/>
      <c r="AT544" s="321"/>
    </row>
    <row r="545" spans="10:46">
      <c r="J545" s="145"/>
      <c r="K545" s="145"/>
      <c r="L545" s="145"/>
      <c r="M545" s="145"/>
      <c r="N545" s="145"/>
      <c r="O545" s="145"/>
      <c r="P545" s="145"/>
      <c r="Q545" s="145"/>
      <c r="R545" s="145"/>
      <c r="S545" s="145"/>
      <c r="T545" s="145"/>
      <c r="U545" s="145"/>
      <c r="V545" s="145"/>
      <c r="W545" s="145"/>
      <c r="X545" s="145"/>
      <c r="Y545" s="145"/>
      <c r="Z545" s="145"/>
      <c r="AA545" s="145"/>
      <c r="AB545" s="145"/>
      <c r="AC545" s="145"/>
      <c r="AD545" s="145"/>
      <c r="AE545" s="145"/>
      <c r="AF545" s="145"/>
      <c r="AG545" s="145"/>
      <c r="AH545" s="145"/>
      <c r="AI545" s="145"/>
      <c r="AJ545" s="145"/>
      <c r="AK545" s="145"/>
      <c r="AL545" s="145"/>
      <c r="AM545" s="321"/>
      <c r="AN545" s="321"/>
      <c r="AO545" s="321"/>
      <c r="AP545" s="321"/>
      <c r="AQ545" s="321"/>
      <c r="AR545" s="321"/>
      <c r="AS545" s="321"/>
      <c r="AT545" s="321"/>
    </row>
    <row r="546" spans="10:46">
      <c r="J546" s="145"/>
      <c r="K546" s="145"/>
      <c r="L546" s="145"/>
      <c r="M546" s="145"/>
      <c r="N546" s="145"/>
      <c r="O546" s="145"/>
      <c r="P546" s="145"/>
      <c r="Q546" s="145"/>
      <c r="R546" s="145"/>
      <c r="S546" s="145"/>
      <c r="T546" s="145"/>
      <c r="U546" s="145"/>
      <c r="V546" s="145"/>
      <c r="W546" s="145"/>
      <c r="X546" s="145"/>
      <c r="Y546" s="145"/>
      <c r="Z546" s="145"/>
      <c r="AA546" s="145"/>
      <c r="AB546" s="145"/>
      <c r="AC546" s="145"/>
      <c r="AD546" s="145"/>
      <c r="AE546" s="145"/>
      <c r="AF546" s="145"/>
      <c r="AG546" s="145"/>
      <c r="AH546" s="145"/>
      <c r="AI546" s="145"/>
      <c r="AJ546" s="145"/>
      <c r="AK546" s="145"/>
      <c r="AL546" s="145"/>
      <c r="AM546" s="321"/>
      <c r="AN546" s="321"/>
      <c r="AO546" s="321"/>
      <c r="AP546" s="321"/>
      <c r="AQ546" s="321"/>
      <c r="AR546" s="321"/>
      <c r="AS546" s="321"/>
      <c r="AT546" s="321"/>
    </row>
    <row r="547" spans="10:46">
      <c r="J547" s="145"/>
      <c r="K547" s="145"/>
      <c r="L547" s="145"/>
      <c r="M547" s="145"/>
      <c r="N547" s="145"/>
      <c r="O547" s="145"/>
      <c r="P547" s="145"/>
      <c r="Q547" s="145"/>
      <c r="R547" s="145"/>
      <c r="S547" s="145"/>
      <c r="T547" s="145"/>
      <c r="U547" s="145"/>
      <c r="V547" s="145"/>
      <c r="W547" s="145"/>
      <c r="X547" s="145"/>
      <c r="Y547" s="145"/>
      <c r="Z547" s="145"/>
      <c r="AA547" s="145"/>
      <c r="AB547" s="145"/>
      <c r="AC547" s="145"/>
      <c r="AD547" s="145"/>
      <c r="AE547" s="145"/>
      <c r="AF547" s="145"/>
      <c r="AG547" s="145"/>
      <c r="AH547" s="145"/>
      <c r="AI547" s="145"/>
      <c r="AJ547" s="145"/>
      <c r="AK547" s="145"/>
      <c r="AL547" s="145"/>
      <c r="AM547" s="321"/>
      <c r="AN547" s="321"/>
      <c r="AO547" s="321"/>
      <c r="AP547" s="321"/>
      <c r="AQ547" s="321"/>
      <c r="AR547" s="321"/>
      <c r="AS547" s="321"/>
      <c r="AT547" s="321"/>
    </row>
    <row r="548" spans="10:46">
      <c r="J548" s="145"/>
      <c r="K548" s="145"/>
      <c r="L548" s="145"/>
      <c r="M548" s="145"/>
      <c r="N548" s="145"/>
      <c r="O548" s="145"/>
      <c r="P548" s="145"/>
      <c r="Q548" s="145"/>
      <c r="R548" s="145"/>
      <c r="S548" s="145"/>
      <c r="T548" s="145"/>
      <c r="U548" s="145"/>
      <c r="V548" s="145"/>
      <c r="W548" s="145"/>
      <c r="X548" s="145"/>
      <c r="Y548" s="145"/>
      <c r="Z548" s="145"/>
      <c r="AA548" s="145"/>
      <c r="AB548" s="145"/>
      <c r="AC548" s="145"/>
      <c r="AD548" s="145"/>
      <c r="AE548" s="145"/>
      <c r="AF548" s="145"/>
      <c r="AG548" s="145"/>
      <c r="AH548" s="145"/>
      <c r="AI548" s="145"/>
      <c r="AJ548" s="145"/>
      <c r="AK548" s="145"/>
      <c r="AL548" s="145"/>
      <c r="AM548" s="321"/>
      <c r="AN548" s="321"/>
      <c r="AO548" s="321"/>
      <c r="AP548" s="321"/>
      <c r="AQ548" s="321"/>
      <c r="AR548" s="321"/>
      <c r="AS548" s="321"/>
      <c r="AT548" s="321"/>
    </row>
    <row r="549" spans="10:46">
      <c r="J549" s="145"/>
      <c r="K549" s="145"/>
      <c r="L549" s="145"/>
      <c r="M549" s="145"/>
      <c r="N549" s="145"/>
      <c r="O549" s="145"/>
      <c r="P549" s="145"/>
      <c r="Q549" s="145"/>
      <c r="R549" s="145"/>
      <c r="S549" s="145"/>
      <c r="T549" s="145"/>
      <c r="U549" s="145"/>
      <c r="V549" s="145"/>
      <c r="W549" s="145"/>
      <c r="X549" s="145"/>
      <c r="Y549" s="145"/>
      <c r="Z549" s="145"/>
      <c r="AA549" s="145"/>
      <c r="AB549" s="145"/>
      <c r="AC549" s="145"/>
      <c r="AD549" s="145"/>
      <c r="AE549" s="145"/>
      <c r="AF549" s="145"/>
      <c r="AG549" s="145"/>
      <c r="AH549" s="145"/>
      <c r="AI549" s="145"/>
      <c r="AJ549" s="145"/>
      <c r="AK549" s="145"/>
      <c r="AL549" s="145"/>
      <c r="AM549" s="321"/>
      <c r="AN549" s="321"/>
      <c r="AO549" s="321"/>
      <c r="AP549" s="321"/>
      <c r="AQ549" s="321"/>
      <c r="AR549" s="321"/>
      <c r="AS549" s="321"/>
      <c r="AT549" s="321"/>
    </row>
    <row r="550" spans="10:46">
      <c r="J550" s="145"/>
      <c r="K550" s="145"/>
      <c r="L550" s="145"/>
      <c r="M550" s="145"/>
      <c r="N550" s="145"/>
      <c r="O550" s="145"/>
      <c r="P550" s="145"/>
      <c r="Q550" s="145"/>
      <c r="R550" s="145"/>
      <c r="S550" s="145"/>
      <c r="T550" s="145"/>
      <c r="U550" s="145"/>
      <c r="V550" s="145"/>
      <c r="W550" s="145"/>
      <c r="X550" s="145"/>
      <c r="Y550" s="145"/>
      <c r="Z550" s="145"/>
      <c r="AA550" s="145"/>
      <c r="AB550" s="145"/>
      <c r="AC550" s="145"/>
      <c r="AD550" s="145"/>
      <c r="AE550" s="145"/>
      <c r="AF550" s="145"/>
      <c r="AG550" s="145"/>
      <c r="AH550" s="145"/>
      <c r="AI550" s="145"/>
      <c r="AJ550" s="145"/>
      <c r="AK550" s="145"/>
      <c r="AL550" s="145"/>
      <c r="AM550" s="321"/>
      <c r="AN550" s="321"/>
      <c r="AO550" s="321"/>
      <c r="AP550" s="321"/>
      <c r="AQ550" s="321"/>
      <c r="AR550" s="321"/>
      <c r="AS550" s="321"/>
      <c r="AT550" s="321"/>
    </row>
    <row r="551" spans="10:46">
      <c r="J551" s="145"/>
      <c r="K551" s="145"/>
      <c r="L551" s="145"/>
      <c r="M551" s="145"/>
      <c r="N551" s="145"/>
      <c r="O551" s="145"/>
      <c r="P551" s="145"/>
      <c r="Q551" s="145"/>
      <c r="R551" s="145"/>
      <c r="S551" s="145"/>
      <c r="T551" s="145"/>
      <c r="U551" s="145"/>
      <c r="V551" s="145"/>
      <c r="W551" s="145"/>
      <c r="X551" s="145"/>
      <c r="Y551" s="145"/>
      <c r="Z551" s="145"/>
      <c r="AA551" s="145"/>
      <c r="AB551" s="145"/>
      <c r="AC551" s="145"/>
      <c r="AD551" s="145"/>
      <c r="AE551" s="145"/>
      <c r="AF551" s="145"/>
      <c r="AG551" s="145"/>
      <c r="AH551" s="145"/>
      <c r="AI551" s="145"/>
      <c r="AJ551" s="145"/>
      <c r="AK551" s="145"/>
      <c r="AL551" s="145"/>
      <c r="AM551" s="321"/>
      <c r="AN551" s="321"/>
      <c r="AO551" s="321"/>
      <c r="AP551" s="321"/>
      <c r="AQ551" s="321"/>
      <c r="AR551" s="321"/>
      <c r="AS551" s="321"/>
      <c r="AT551" s="321"/>
    </row>
    <row r="552" spans="10:46">
      <c r="J552" s="145"/>
      <c r="K552" s="145"/>
      <c r="L552" s="145"/>
      <c r="M552" s="145"/>
      <c r="N552" s="145"/>
      <c r="O552" s="145"/>
      <c r="P552" s="145"/>
      <c r="Q552" s="145"/>
      <c r="R552" s="145"/>
      <c r="S552" s="145"/>
      <c r="T552" s="145"/>
      <c r="U552" s="145"/>
      <c r="V552" s="145"/>
      <c r="W552" s="145"/>
      <c r="X552" s="145"/>
      <c r="Y552" s="145"/>
      <c r="Z552" s="145"/>
      <c r="AA552" s="145"/>
      <c r="AB552" s="145"/>
      <c r="AC552" s="145"/>
      <c r="AD552" s="145"/>
      <c r="AE552" s="145"/>
      <c r="AF552" s="145"/>
      <c r="AG552" s="145"/>
      <c r="AH552" s="145"/>
      <c r="AI552" s="145"/>
      <c r="AJ552" s="145"/>
      <c r="AK552" s="145"/>
      <c r="AL552" s="145"/>
      <c r="AM552" s="321"/>
      <c r="AN552" s="321"/>
      <c r="AO552" s="321"/>
      <c r="AP552" s="321"/>
      <c r="AQ552" s="321"/>
      <c r="AR552" s="321"/>
      <c r="AS552" s="321"/>
      <c r="AT552" s="321"/>
    </row>
    <row r="553" spans="10:46">
      <c r="J553" s="145"/>
      <c r="K553" s="145"/>
      <c r="L553" s="145"/>
      <c r="M553" s="145"/>
      <c r="N553" s="145"/>
      <c r="O553" s="145"/>
      <c r="P553" s="145"/>
      <c r="Q553" s="145"/>
      <c r="R553" s="145"/>
      <c r="S553" s="145"/>
      <c r="T553" s="145"/>
      <c r="U553" s="145"/>
      <c r="V553" s="145"/>
      <c r="W553" s="145"/>
      <c r="X553" s="145"/>
      <c r="Y553" s="145"/>
      <c r="Z553" s="145"/>
      <c r="AA553" s="145"/>
      <c r="AB553" s="145"/>
      <c r="AC553" s="145"/>
      <c r="AD553" s="145"/>
      <c r="AE553" s="145"/>
      <c r="AF553" s="145"/>
      <c r="AG553" s="145"/>
      <c r="AH553" s="145"/>
      <c r="AI553" s="145"/>
      <c r="AJ553" s="145"/>
      <c r="AK553" s="145"/>
      <c r="AL553" s="145"/>
      <c r="AM553" s="321"/>
      <c r="AN553" s="321"/>
      <c r="AO553" s="321"/>
      <c r="AP553" s="321"/>
      <c r="AQ553" s="321"/>
      <c r="AR553" s="321"/>
      <c r="AS553" s="321"/>
      <c r="AT553" s="321"/>
    </row>
    <row r="554" spans="10:46">
      <c r="J554" s="145"/>
      <c r="K554" s="145"/>
      <c r="L554" s="145"/>
      <c r="M554" s="145"/>
      <c r="N554" s="145"/>
      <c r="O554" s="145"/>
      <c r="P554" s="145"/>
      <c r="Q554" s="145"/>
      <c r="R554" s="145"/>
      <c r="S554" s="145"/>
      <c r="T554" s="145"/>
      <c r="U554" s="145"/>
      <c r="V554" s="145"/>
      <c r="W554" s="145"/>
      <c r="X554" s="145"/>
      <c r="Y554" s="145"/>
      <c r="Z554" s="145"/>
      <c r="AA554" s="145"/>
      <c r="AB554" s="145"/>
      <c r="AC554" s="145"/>
      <c r="AD554" s="145"/>
      <c r="AE554" s="145"/>
      <c r="AF554" s="145"/>
      <c r="AG554" s="145"/>
      <c r="AH554" s="145"/>
      <c r="AI554" s="145"/>
      <c r="AJ554" s="145"/>
      <c r="AK554" s="145"/>
      <c r="AL554" s="145"/>
      <c r="AM554" s="321"/>
      <c r="AN554" s="321"/>
      <c r="AO554" s="321"/>
      <c r="AP554" s="321"/>
      <c r="AQ554" s="321"/>
      <c r="AR554" s="321"/>
      <c r="AS554" s="321"/>
      <c r="AT554" s="321"/>
    </row>
    <row r="555" spans="10:46">
      <c r="J555" s="145"/>
      <c r="K555" s="145"/>
      <c r="L555" s="145"/>
      <c r="M555" s="145"/>
      <c r="N555" s="145"/>
      <c r="O555" s="145"/>
      <c r="P555" s="145"/>
      <c r="Q555" s="145"/>
      <c r="R555" s="145"/>
      <c r="S555" s="145"/>
      <c r="T555" s="145"/>
      <c r="U555" s="145"/>
      <c r="V555" s="145"/>
      <c r="W555" s="145"/>
      <c r="X555" s="145"/>
      <c r="Y555" s="145"/>
      <c r="Z555" s="145"/>
      <c r="AA555" s="145"/>
      <c r="AB555" s="145"/>
      <c r="AC555" s="145"/>
      <c r="AD555" s="145"/>
      <c r="AE555" s="145"/>
      <c r="AF555" s="145"/>
      <c r="AG555" s="145"/>
      <c r="AH555" s="145"/>
      <c r="AI555" s="145"/>
      <c r="AJ555" s="145"/>
      <c r="AK555" s="145"/>
      <c r="AL555" s="145"/>
      <c r="AM555" s="321"/>
      <c r="AN555" s="321"/>
      <c r="AO555" s="321"/>
      <c r="AP555" s="321"/>
      <c r="AQ555" s="321"/>
      <c r="AR555" s="321"/>
      <c r="AS555" s="321"/>
      <c r="AT555" s="321"/>
    </row>
    <row r="556" spans="10:46">
      <c r="J556" s="145"/>
      <c r="K556" s="145"/>
      <c r="L556" s="145"/>
      <c r="M556" s="145"/>
      <c r="N556" s="145"/>
      <c r="O556" s="145"/>
      <c r="P556" s="145"/>
      <c r="Q556" s="145"/>
      <c r="R556" s="145"/>
      <c r="S556" s="145"/>
      <c r="T556" s="145"/>
      <c r="U556" s="145"/>
      <c r="V556" s="145"/>
      <c r="W556" s="145"/>
      <c r="X556" s="145"/>
      <c r="Y556" s="145"/>
      <c r="Z556" s="145"/>
      <c r="AA556" s="145"/>
      <c r="AB556" s="145"/>
      <c r="AC556" s="145"/>
      <c r="AD556" s="145"/>
      <c r="AE556" s="145"/>
      <c r="AF556" s="145"/>
      <c r="AG556" s="145"/>
      <c r="AH556" s="145"/>
      <c r="AI556" s="145"/>
      <c r="AJ556" s="145"/>
      <c r="AK556" s="145"/>
      <c r="AL556" s="145"/>
      <c r="AM556" s="321"/>
      <c r="AN556" s="321"/>
      <c r="AO556" s="321"/>
      <c r="AP556" s="321"/>
      <c r="AQ556" s="321"/>
      <c r="AR556" s="321"/>
      <c r="AS556" s="321"/>
      <c r="AT556" s="321"/>
    </row>
    <row r="557" spans="10:46">
      <c r="J557" s="145"/>
      <c r="K557" s="145"/>
      <c r="L557" s="145"/>
      <c r="M557" s="145"/>
      <c r="N557" s="145"/>
      <c r="O557" s="145"/>
      <c r="P557" s="145"/>
      <c r="Q557" s="145"/>
      <c r="R557" s="145"/>
      <c r="S557" s="145"/>
      <c r="T557" s="145"/>
      <c r="U557" s="145"/>
      <c r="V557" s="145"/>
      <c r="W557" s="145"/>
      <c r="X557" s="145"/>
      <c r="Y557" s="145"/>
      <c r="Z557" s="145"/>
      <c r="AA557" s="145"/>
      <c r="AB557" s="145"/>
      <c r="AC557" s="145"/>
      <c r="AD557" s="145"/>
      <c r="AE557" s="145"/>
      <c r="AF557" s="145"/>
      <c r="AG557" s="145"/>
      <c r="AH557" s="145"/>
      <c r="AI557" s="145"/>
      <c r="AJ557" s="145"/>
      <c r="AK557" s="145"/>
      <c r="AL557" s="145"/>
      <c r="AM557" s="321"/>
      <c r="AN557" s="321"/>
      <c r="AO557" s="321"/>
      <c r="AP557" s="321"/>
      <c r="AQ557" s="321"/>
      <c r="AR557" s="321"/>
      <c r="AS557" s="321"/>
      <c r="AT557" s="321"/>
    </row>
    <row r="558" spans="10:46">
      <c r="J558" s="145"/>
      <c r="K558" s="145"/>
      <c r="L558" s="145"/>
      <c r="M558" s="145"/>
      <c r="N558" s="145"/>
      <c r="O558" s="145"/>
      <c r="P558" s="145"/>
      <c r="Q558" s="145"/>
      <c r="R558" s="145"/>
      <c r="S558" s="145"/>
      <c r="T558" s="145"/>
      <c r="U558" s="145"/>
      <c r="V558" s="145"/>
      <c r="W558" s="145"/>
      <c r="X558" s="145"/>
      <c r="Y558" s="145"/>
      <c r="Z558" s="145"/>
      <c r="AA558" s="145"/>
      <c r="AB558" s="145"/>
      <c r="AC558" s="145"/>
      <c r="AD558" s="145"/>
      <c r="AE558" s="145"/>
      <c r="AF558" s="145"/>
      <c r="AG558" s="145"/>
      <c r="AH558" s="145"/>
      <c r="AI558" s="145"/>
      <c r="AJ558" s="145"/>
      <c r="AK558" s="145"/>
      <c r="AL558" s="145"/>
      <c r="AM558" s="321"/>
      <c r="AN558" s="321"/>
      <c r="AO558" s="321"/>
      <c r="AP558" s="321"/>
      <c r="AQ558" s="321"/>
      <c r="AR558" s="321"/>
      <c r="AS558" s="321"/>
      <c r="AT558" s="321"/>
    </row>
    <row r="559" spans="10:46">
      <c r="J559" s="145"/>
      <c r="K559" s="145"/>
      <c r="L559" s="145"/>
      <c r="M559" s="145"/>
      <c r="N559" s="145"/>
      <c r="O559" s="145"/>
      <c r="P559" s="145"/>
      <c r="Q559" s="145"/>
      <c r="R559" s="145"/>
      <c r="S559" s="145"/>
      <c r="T559" s="145"/>
      <c r="U559" s="145"/>
      <c r="V559" s="145"/>
      <c r="W559" s="145"/>
      <c r="X559" s="145"/>
      <c r="Y559" s="145"/>
      <c r="Z559" s="145"/>
      <c r="AA559" s="145"/>
      <c r="AB559" s="145"/>
      <c r="AC559" s="145"/>
      <c r="AD559" s="145"/>
      <c r="AE559" s="145"/>
      <c r="AF559" s="145"/>
      <c r="AG559" s="145"/>
      <c r="AH559" s="145"/>
      <c r="AI559" s="145"/>
      <c r="AJ559" s="145"/>
      <c r="AK559" s="145"/>
      <c r="AL559" s="145"/>
      <c r="AM559" s="321"/>
      <c r="AN559" s="321"/>
      <c r="AO559" s="321"/>
      <c r="AP559" s="321"/>
      <c r="AQ559" s="321"/>
      <c r="AR559" s="321"/>
      <c r="AS559" s="321"/>
      <c r="AT559" s="321"/>
    </row>
    <row r="560" spans="10:46">
      <c r="J560" s="145"/>
      <c r="K560" s="145"/>
      <c r="L560" s="145"/>
      <c r="M560" s="145"/>
      <c r="N560" s="145"/>
      <c r="O560" s="145"/>
      <c r="P560" s="145"/>
      <c r="Q560" s="145"/>
      <c r="R560" s="145"/>
      <c r="S560" s="145"/>
      <c r="T560" s="145"/>
      <c r="U560" s="145"/>
      <c r="V560" s="145"/>
      <c r="W560" s="145"/>
      <c r="X560" s="145"/>
      <c r="Y560" s="145"/>
      <c r="Z560" s="145"/>
      <c r="AA560" s="145"/>
      <c r="AB560" s="145"/>
      <c r="AC560" s="145"/>
      <c r="AD560" s="145"/>
      <c r="AE560" s="145"/>
      <c r="AF560" s="145"/>
      <c r="AG560" s="145"/>
      <c r="AH560" s="145"/>
      <c r="AI560" s="145"/>
      <c r="AJ560" s="145"/>
      <c r="AK560" s="145"/>
      <c r="AL560" s="145"/>
      <c r="AM560" s="321"/>
      <c r="AN560" s="321"/>
      <c r="AO560" s="321"/>
      <c r="AP560" s="321"/>
      <c r="AQ560" s="321"/>
      <c r="AR560" s="321"/>
      <c r="AS560" s="321"/>
      <c r="AT560" s="321"/>
    </row>
    <row r="561" spans="10:46">
      <c r="J561" s="145"/>
      <c r="K561" s="145"/>
      <c r="L561" s="145"/>
      <c r="M561" s="145"/>
      <c r="N561" s="145"/>
      <c r="O561" s="145"/>
      <c r="P561" s="145"/>
      <c r="Q561" s="145"/>
      <c r="R561" s="145"/>
      <c r="S561" s="145"/>
      <c r="T561" s="145"/>
      <c r="U561" s="145"/>
      <c r="V561" s="145"/>
      <c r="W561" s="145"/>
      <c r="X561" s="145"/>
      <c r="Y561" s="145"/>
      <c r="Z561" s="145"/>
      <c r="AA561" s="145"/>
      <c r="AB561" s="145"/>
      <c r="AC561" s="145"/>
      <c r="AD561" s="145"/>
      <c r="AE561" s="145"/>
      <c r="AF561" s="145"/>
      <c r="AG561" s="145"/>
      <c r="AH561" s="145"/>
      <c r="AI561" s="145"/>
      <c r="AJ561" s="145"/>
      <c r="AK561" s="145"/>
      <c r="AL561" s="145"/>
      <c r="AM561" s="321"/>
      <c r="AN561" s="321"/>
      <c r="AO561" s="321"/>
      <c r="AP561" s="321"/>
      <c r="AQ561" s="321"/>
      <c r="AR561" s="321"/>
      <c r="AS561" s="321"/>
      <c r="AT561" s="321"/>
    </row>
    <row r="562" spans="10:46">
      <c r="J562" s="145"/>
      <c r="K562" s="145"/>
      <c r="L562" s="145"/>
      <c r="M562" s="145"/>
      <c r="N562" s="145"/>
      <c r="O562" s="145"/>
      <c r="P562" s="145"/>
      <c r="Q562" s="145"/>
      <c r="R562" s="145"/>
      <c r="S562" s="145"/>
      <c r="T562" s="145"/>
      <c r="U562" s="145"/>
      <c r="V562" s="145"/>
      <c r="W562" s="145"/>
      <c r="X562" s="145"/>
      <c r="Y562" s="145"/>
      <c r="Z562" s="145"/>
      <c r="AA562" s="145"/>
      <c r="AB562" s="145"/>
      <c r="AC562" s="145"/>
      <c r="AD562" s="145"/>
      <c r="AE562" s="145"/>
      <c r="AF562" s="145"/>
      <c r="AG562" s="145"/>
      <c r="AH562" s="145"/>
      <c r="AI562" s="145"/>
      <c r="AJ562" s="145"/>
      <c r="AK562" s="145"/>
      <c r="AL562" s="145"/>
      <c r="AM562" s="321"/>
      <c r="AN562" s="321"/>
      <c r="AO562" s="321"/>
      <c r="AP562" s="321"/>
      <c r="AQ562" s="321"/>
      <c r="AR562" s="321"/>
      <c r="AS562" s="321"/>
      <c r="AT562" s="321"/>
    </row>
    <row r="563" spans="10:46">
      <c r="J563" s="145"/>
      <c r="K563" s="145"/>
      <c r="L563" s="145"/>
      <c r="M563" s="145"/>
      <c r="N563" s="145"/>
      <c r="O563" s="145"/>
      <c r="P563" s="145"/>
      <c r="Q563" s="145"/>
      <c r="R563" s="145"/>
      <c r="S563" s="145"/>
      <c r="T563" s="145"/>
      <c r="U563" s="145"/>
      <c r="V563" s="145"/>
      <c r="W563" s="145"/>
      <c r="X563" s="145"/>
      <c r="Y563" s="145"/>
      <c r="Z563" s="145"/>
      <c r="AA563" s="145"/>
      <c r="AB563" s="145"/>
      <c r="AC563" s="145"/>
      <c r="AD563" s="145"/>
      <c r="AE563" s="145"/>
      <c r="AF563" s="145"/>
      <c r="AG563" s="145"/>
      <c r="AH563" s="145"/>
      <c r="AI563" s="145"/>
      <c r="AJ563" s="145"/>
      <c r="AK563" s="145"/>
      <c r="AL563" s="145"/>
      <c r="AM563" s="321"/>
      <c r="AN563" s="321"/>
      <c r="AO563" s="321"/>
      <c r="AP563" s="321"/>
      <c r="AQ563" s="321"/>
      <c r="AR563" s="321"/>
      <c r="AS563" s="321"/>
      <c r="AT563" s="321"/>
    </row>
    <row r="564" spans="10:46">
      <c r="J564" s="145"/>
      <c r="K564" s="145"/>
      <c r="L564" s="145"/>
      <c r="M564" s="145"/>
      <c r="N564" s="145"/>
      <c r="O564" s="145"/>
      <c r="P564" s="145"/>
      <c r="Q564" s="145"/>
      <c r="R564" s="145"/>
      <c r="S564" s="145"/>
      <c r="T564" s="145"/>
      <c r="U564" s="145"/>
      <c r="V564" s="145"/>
      <c r="W564" s="145"/>
      <c r="X564" s="145"/>
      <c r="Y564" s="145"/>
      <c r="Z564" s="145"/>
      <c r="AA564" s="145"/>
      <c r="AB564" s="145"/>
      <c r="AC564" s="145"/>
      <c r="AD564" s="145"/>
      <c r="AE564" s="145"/>
      <c r="AF564" s="145"/>
      <c r="AG564" s="145"/>
      <c r="AH564" s="145"/>
      <c r="AI564" s="145"/>
      <c r="AJ564" s="145"/>
      <c r="AK564" s="145"/>
      <c r="AL564" s="145"/>
      <c r="AM564" s="321"/>
      <c r="AN564" s="321"/>
      <c r="AO564" s="321"/>
      <c r="AP564" s="321"/>
      <c r="AQ564" s="321"/>
      <c r="AR564" s="321"/>
      <c r="AS564" s="321"/>
      <c r="AT564" s="321"/>
    </row>
    <row r="565" spans="10:46">
      <c r="J565" s="145"/>
      <c r="K565" s="145"/>
      <c r="L565" s="145"/>
      <c r="M565" s="145"/>
      <c r="N565" s="145"/>
      <c r="O565" s="145"/>
      <c r="P565" s="145"/>
      <c r="Q565" s="145"/>
      <c r="R565" s="145"/>
      <c r="S565" s="145"/>
      <c r="T565" s="145"/>
      <c r="U565" s="145"/>
      <c r="V565" s="145"/>
      <c r="W565" s="145"/>
      <c r="X565" s="145"/>
      <c r="Y565" s="145"/>
      <c r="Z565" s="145"/>
      <c r="AA565" s="145"/>
      <c r="AB565" s="145"/>
      <c r="AC565" s="145"/>
      <c r="AD565" s="145"/>
      <c r="AE565" s="145"/>
      <c r="AF565" s="145"/>
      <c r="AG565" s="145"/>
      <c r="AH565" s="145"/>
      <c r="AI565" s="145"/>
      <c r="AJ565" s="145"/>
      <c r="AK565" s="145"/>
      <c r="AL565" s="145"/>
      <c r="AM565" s="321"/>
      <c r="AN565" s="321"/>
      <c r="AO565" s="321"/>
      <c r="AP565" s="321"/>
      <c r="AQ565" s="321"/>
      <c r="AR565" s="321"/>
      <c r="AS565" s="321"/>
      <c r="AT565" s="321"/>
    </row>
    <row r="566" spans="10:46">
      <c r="J566" s="145"/>
      <c r="K566" s="145"/>
      <c r="L566" s="145"/>
      <c r="M566" s="145"/>
      <c r="N566" s="145"/>
      <c r="O566" s="145"/>
      <c r="P566" s="145"/>
      <c r="Q566" s="145"/>
      <c r="R566" s="145"/>
      <c r="S566" s="145"/>
      <c r="T566" s="145"/>
      <c r="U566" s="145"/>
      <c r="V566" s="145"/>
      <c r="W566" s="145"/>
      <c r="X566" s="145"/>
      <c r="Y566" s="145"/>
      <c r="Z566" s="145"/>
      <c r="AA566" s="145"/>
      <c r="AB566" s="145"/>
      <c r="AC566" s="145"/>
      <c r="AD566" s="145"/>
      <c r="AE566" s="145"/>
      <c r="AF566" s="145"/>
      <c r="AG566" s="145"/>
      <c r="AH566" s="145"/>
      <c r="AI566" s="145"/>
      <c r="AJ566" s="145"/>
      <c r="AK566" s="145"/>
      <c r="AL566" s="145"/>
      <c r="AM566" s="321"/>
      <c r="AN566" s="321"/>
      <c r="AO566" s="321"/>
      <c r="AP566" s="321"/>
      <c r="AQ566" s="321"/>
      <c r="AR566" s="321"/>
      <c r="AS566" s="321"/>
      <c r="AT566" s="321"/>
    </row>
    <row r="567" spans="10:46">
      <c r="J567" s="145"/>
      <c r="K567" s="145"/>
      <c r="L567" s="145"/>
      <c r="M567" s="145"/>
      <c r="N567" s="145"/>
      <c r="O567" s="145"/>
      <c r="P567" s="145"/>
      <c r="Q567" s="145"/>
      <c r="R567" s="145"/>
      <c r="S567" s="145"/>
      <c r="T567" s="145"/>
      <c r="U567" s="145"/>
      <c r="V567" s="145"/>
      <c r="W567" s="145"/>
      <c r="X567" s="145"/>
      <c r="Y567" s="145"/>
      <c r="Z567" s="145"/>
      <c r="AA567" s="145"/>
      <c r="AB567" s="145"/>
      <c r="AC567" s="145"/>
      <c r="AD567" s="145"/>
      <c r="AE567" s="145"/>
      <c r="AF567" s="145"/>
      <c r="AG567" s="145"/>
      <c r="AH567" s="145"/>
      <c r="AI567" s="145"/>
      <c r="AJ567" s="145"/>
      <c r="AK567" s="145"/>
      <c r="AL567" s="145"/>
      <c r="AM567" s="321"/>
      <c r="AN567" s="321"/>
      <c r="AO567" s="321"/>
      <c r="AP567" s="321"/>
      <c r="AQ567" s="321"/>
      <c r="AR567" s="321"/>
      <c r="AS567" s="321"/>
      <c r="AT567" s="321"/>
    </row>
    <row r="568" spans="10:46">
      <c r="J568" s="145"/>
      <c r="K568" s="145"/>
      <c r="L568" s="145"/>
      <c r="M568" s="145"/>
      <c r="N568" s="145"/>
      <c r="O568" s="145"/>
      <c r="P568" s="145"/>
      <c r="Q568" s="145"/>
      <c r="R568" s="145"/>
      <c r="S568" s="145"/>
      <c r="T568" s="145"/>
      <c r="U568" s="145"/>
      <c r="V568" s="145"/>
      <c r="W568" s="145"/>
      <c r="X568" s="145"/>
      <c r="Y568" s="145"/>
      <c r="Z568" s="145"/>
      <c r="AA568" s="145"/>
      <c r="AB568" s="145"/>
      <c r="AC568" s="145"/>
      <c r="AD568" s="145"/>
      <c r="AE568" s="145"/>
      <c r="AF568" s="145"/>
      <c r="AG568" s="145"/>
      <c r="AH568" s="145"/>
      <c r="AI568" s="145"/>
      <c r="AJ568" s="145"/>
      <c r="AK568" s="145"/>
      <c r="AL568" s="145"/>
      <c r="AM568" s="321"/>
      <c r="AN568" s="321"/>
      <c r="AO568" s="321"/>
      <c r="AP568" s="321"/>
      <c r="AQ568" s="321"/>
      <c r="AR568" s="321"/>
      <c r="AS568" s="321"/>
      <c r="AT568" s="321"/>
    </row>
    <row r="569" spans="10:46">
      <c r="J569" s="145"/>
      <c r="K569" s="145"/>
      <c r="L569" s="145"/>
      <c r="M569" s="145"/>
      <c r="N569" s="145"/>
      <c r="O569" s="145"/>
      <c r="P569" s="145"/>
      <c r="Q569" s="145"/>
      <c r="R569" s="145"/>
      <c r="S569" s="145"/>
      <c r="T569" s="145"/>
      <c r="U569" s="145"/>
      <c r="V569" s="145"/>
      <c r="W569" s="145"/>
      <c r="X569" s="145"/>
      <c r="Y569" s="145"/>
      <c r="Z569" s="145"/>
      <c r="AA569" s="145"/>
      <c r="AB569" s="145"/>
      <c r="AC569" s="145"/>
      <c r="AD569" s="145"/>
      <c r="AE569" s="145"/>
      <c r="AF569" s="145"/>
      <c r="AG569" s="145"/>
      <c r="AH569" s="145"/>
      <c r="AI569" s="145"/>
      <c r="AJ569" s="145"/>
      <c r="AK569" s="145"/>
      <c r="AL569" s="145"/>
      <c r="AM569" s="321"/>
      <c r="AN569" s="321"/>
      <c r="AO569" s="321"/>
      <c r="AP569" s="321"/>
      <c r="AQ569" s="321"/>
      <c r="AR569" s="321"/>
      <c r="AS569" s="321"/>
      <c r="AT569" s="321"/>
    </row>
    <row r="570" spans="10:46">
      <c r="J570" s="145"/>
      <c r="K570" s="145"/>
      <c r="L570" s="145"/>
      <c r="M570" s="145"/>
      <c r="N570" s="145"/>
      <c r="O570" s="145"/>
      <c r="P570" s="145"/>
      <c r="Q570" s="145"/>
      <c r="R570" s="145"/>
      <c r="S570" s="145"/>
      <c r="T570" s="145"/>
      <c r="U570" s="145"/>
      <c r="V570" s="145"/>
      <c r="W570" s="145"/>
      <c r="X570" s="145"/>
      <c r="Y570" s="145"/>
      <c r="Z570" s="145"/>
      <c r="AA570" s="145"/>
      <c r="AB570" s="145"/>
      <c r="AC570" s="145"/>
      <c r="AD570" s="145"/>
      <c r="AE570" s="145"/>
      <c r="AF570" s="145"/>
      <c r="AG570" s="145"/>
      <c r="AH570" s="145"/>
      <c r="AI570" s="145"/>
      <c r="AJ570" s="145"/>
      <c r="AK570" s="145"/>
      <c r="AL570" s="145"/>
      <c r="AM570" s="321"/>
      <c r="AN570" s="321"/>
      <c r="AO570" s="321"/>
      <c r="AP570" s="321"/>
      <c r="AQ570" s="321"/>
      <c r="AR570" s="321"/>
      <c r="AS570" s="321"/>
      <c r="AT570" s="321"/>
    </row>
    <row r="571" spans="10:46">
      <c r="J571" s="145"/>
      <c r="K571" s="145"/>
      <c r="L571" s="145"/>
      <c r="M571" s="145"/>
      <c r="N571" s="145"/>
      <c r="O571" s="145"/>
      <c r="P571" s="145"/>
      <c r="Q571" s="145"/>
      <c r="R571" s="145"/>
      <c r="S571" s="145"/>
      <c r="T571" s="145"/>
      <c r="U571" s="145"/>
      <c r="V571" s="145"/>
      <c r="W571" s="145"/>
      <c r="X571" s="145"/>
      <c r="Y571" s="145"/>
      <c r="Z571" s="145"/>
      <c r="AA571" s="145"/>
      <c r="AB571" s="145"/>
      <c r="AC571" s="145"/>
      <c r="AD571" s="145"/>
      <c r="AE571" s="145"/>
      <c r="AF571" s="145"/>
      <c r="AG571" s="145"/>
      <c r="AH571" s="145"/>
      <c r="AI571" s="145"/>
      <c r="AJ571" s="145"/>
      <c r="AK571" s="145"/>
      <c r="AL571" s="145"/>
      <c r="AM571" s="321"/>
      <c r="AN571" s="321"/>
      <c r="AO571" s="321"/>
      <c r="AP571" s="321"/>
      <c r="AQ571" s="321"/>
      <c r="AR571" s="321"/>
      <c r="AS571" s="321"/>
      <c r="AT571" s="321"/>
    </row>
    <row r="572" spans="10:46">
      <c r="J572" s="145"/>
      <c r="K572" s="145"/>
      <c r="L572" s="145"/>
      <c r="M572" s="145"/>
      <c r="N572" s="145"/>
      <c r="O572" s="145"/>
      <c r="P572" s="145"/>
      <c r="Q572" s="145"/>
      <c r="R572" s="145"/>
      <c r="S572" s="145"/>
      <c r="T572" s="145"/>
      <c r="U572" s="145"/>
      <c r="V572" s="145"/>
      <c r="W572" s="145"/>
      <c r="X572" s="145"/>
      <c r="Y572" s="145"/>
      <c r="Z572" s="145"/>
      <c r="AA572" s="145"/>
      <c r="AB572" s="145"/>
      <c r="AC572" s="145"/>
      <c r="AD572" s="145"/>
      <c r="AE572" s="145"/>
      <c r="AF572" s="145"/>
      <c r="AG572" s="145"/>
      <c r="AH572" s="145"/>
      <c r="AI572" s="145"/>
      <c r="AJ572" s="145"/>
      <c r="AK572" s="145"/>
      <c r="AL572" s="145"/>
      <c r="AM572" s="321"/>
      <c r="AN572" s="321"/>
      <c r="AO572" s="321"/>
      <c r="AP572" s="321"/>
      <c r="AQ572" s="321"/>
      <c r="AR572" s="321"/>
      <c r="AS572" s="321"/>
      <c r="AT572" s="321"/>
    </row>
    <row r="573" spans="10:46">
      <c r="J573" s="145"/>
      <c r="K573" s="145"/>
      <c r="L573" s="145"/>
      <c r="M573" s="145"/>
      <c r="N573" s="145"/>
      <c r="O573" s="145"/>
      <c r="P573" s="145"/>
      <c r="Q573" s="145"/>
      <c r="R573" s="145"/>
      <c r="S573" s="145"/>
      <c r="T573" s="145"/>
      <c r="U573" s="145"/>
      <c r="V573" s="145"/>
      <c r="W573" s="145"/>
      <c r="X573" s="145"/>
      <c r="Y573" s="145"/>
      <c r="Z573" s="145"/>
      <c r="AA573" s="145"/>
      <c r="AB573" s="145"/>
      <c r="AC573" s="145"/>
      <c r="AD573" s="145"/>
      <c r="AE573" s="145"/>
      <c r="AF573" s="145"/>
      <c r="AG573" s="145"/>
      <c r="AH573" s="145"/>
      <c r="AI573" s="145"/>
      <c r="AJ573" s="145"/>
      <c r="AK573" s="145"/>
      <c r="AL573" s="145"/>
      <c r="AM573" s="321"/>
      <c r="AN573" s="321"/>
      <c r="AO573" s="321"/>
      <c r="AP573" s="321"/>
      <c r="AQ573" s="321"/>
      <c r="AR573" s="321"/>
      <c r="AS573" s="321"/>
      <c r="AT573" s="321"/>
    </row>
    <row r="574" spans="10:46">
      <c r="J574" s="145"/>
      <c r="K574" s="145"/>
      <c r="L574" s="145"/>
      <c r="M574" s="145"/>
      <c r="N574" s="145"/>
      <c r="O574" s="145"/>
      <c r="P574" s="145"/>
      <c r="Q574" s="145"/>
      <c r="R574" s="145"/>
      <c r="S574" s="145"/>
      <c r="T574" s="145"/>
      <c r="U574" s="145"/>
      <c r="V574" s="145"/>
      <c r="W574" s="145"/>
      <c r="X574" s="145"/>
      <c r="Y574" s="145"/>
      <c r="Z574" s="145"/>
      <c r="AA574" s="145"/>
      <c r="AB574" s="145"/>
      <c r="AC574" s="145"/>
      <c r="AD574" s="145"/>
      <c r="AE574" s="145"/>
      <c r="AF574" s="145"/>
      <c r="AG574" s="145"/>
      <c r="AH574" s="145"/>
      <c r="AI574" s="145"/>
      <c r="AJ574" s="145"/>
      <c r="AK574" s="145"/>
      <c r="AL574" s="145"/>
      <c r="AM574" s="321"/>
      <c r="AN574" s="321"/>
      <c r="AO574" s="321"/>
      <c r="AP574" s="321"/>
      <c r="AQ574" s="321"/>
      <c r="AR574" s="321"/>
      <c r="AS574" s="321"/>
      <c r="AT574" s="321"/>
    </row>
    <row r="575" spans="10:46">
      <c r="J575" s="145"/>
      <c r="K575" s="145"/>
      <c r="L575" s="145"/>
      <c r="M575" s="145"/>
      <c r="N575" s="145"/>
      <c r="O575" s="145"/>
      <c r="P575" s="145"/>
      <c r="Q575" s="145"/>
      <c r="R575" s="145"/>
      <c r="S575" s="145"/>
      <c r="T575" s="145"/>
      <c r="U575" s="145"/>
      <c r="V575" s="145"/>
      <c r="W575" s="145"/>
      <c r="X575" s="145"/>
      <c r="Y575" s="145"/>
      <c r="Z575" s="145"/>
      <c r="AA575" s="145"/>
      <c r="AB575" s="145"/>
      <c r="AC575" s="145"/>
      <c r="AD575" s="145"/>
      <c r="AE575" s="145"/>
      <c r="AF575" s="145"/>
      <c r="AG575" s="145"/>
      <c r="AH575" s="145"/>
      <c r="AI575" s="145"/>
      <c r="AJ575" s="145"/>
      <c r="AK575" s="145"/>
      <c r="AL575" s="145"/>
      <c r="AM575" s="321"/>
      <c r="AN575" s="321"/>
      <c r="AO575" s="321"/>
      <c r="AP575" s="321"/>
      <c r="AQ575" s="321"/>
      <c r="AR575" s="321"/>
      <c r="AS575" s="321"/>
      <c r="AT575" s="321"/>
    </row>
    <row r="576" spans="10:46">
      <c r="J576" s="145"/>
      <c r="K576" s="145"/>
      <c r="L576" s="145"/>
      <c r="M576" s="145"/>
      <c r="N576" s="145"/>
      <c r="O576" s="145"/>
      <c r="P576" s="145"/>
      <c r="Q576" s="145"/>
      <c r="R576" s="145"/>
      <c r="S576" s="145"/>
      <c r="T576" s="145"/>
      <c r="U576" s="145"/>
      <c r="V576" s="145"/>
      <c r="W576" s="145"/>
      <c r="X576" s="145"/>
      <c r="Y576" s="145"/>
      <c r="Z576" s="145"/>
      <c r="AA576" s="145"/>
      <c r="AB576" s="145"/>
      <c r="AC576" s="145"/>
      <c r="AD576" s="145"/>
      <c r="AE576" s="145"/>
      <c r="AF576" s="145"/>
      <c r="AG576" s="145"/>
      <c r="AH576" s="145"/>
      <c r="AI576" s="145"/>
      <c r="AJ576" s="145"/>
      <c r="AK576" s="145"/>
      <c r="AL576" s="145"/>
      <c r="AM576" s="321"/>
      <c r="AN576" s="321"/>
      <c r="AO576" s="321"/>
      <c r="AP576" s="321"/>
      <c r="AQ576" s="321"/>
      <c r="AR576" s="321"/>
      <c r="AS576" s="321"/>
      <c r="AT576" s="321"/>
    </row>
    <row r="577" spans="10:46">
      <c r="J577" s="145"/>
      <c r="K577" s="145"/>
      <c r="L577" s="145"/>
      <c r="M577" s="145"/>
      <c r="N577" s="145"/>
      <c r="O577" s="145"/>
      <c r="P577" s="145"/>
      <c r="Q577" s="145"/>
      <c r="R577" s="145"/>
      <c r="S577" s="145"/>
      <c r="T577" s="145"/>
      <c r="U577" s="145"/>
      <c r="V577" s="145"/>
      <c r="W577" s="145"/>
      <c r="X577" s="145"/>
      <c r="Y577" s="145"/>
      <c r="Z577" s="145"/>
      <c r="AA577" s="145"/>
      <c r="AB577" s="145"/>
      <c r="AC577" s="145"/>
      <c r="AD577" s="145"/>
      <c r="AE577" s="145"/>
      <c r="AF577" s="145"/>
      <c r="AG577" s="145"/>
      <c r="AH577" s="145"/>
      <c r="AI577" s="145"/>
      <c r="AJ577" s="145"/>
      <c r="AK577" s="145"/>
      <c r="AL577" s="145"/>
      <c r="AM577" s="321"/>
      <c r="AN577" s="321"/>
      <c r="AO577" s="321"/>
      <c r="AP577" s="321"/>
      <c r="AQ577" s="321"/>
      <c r="AR577" s="321"/>
      <c r="AS577" s="321"/>
      <c r="AT577" s="321"/>
    </row>
    <row r="578" spans="10:46">
      <c r="J578" s="145"/>
      <c r="K578" s="145"/>
      <c r="L578" s="145"/>
      <c r="M578" s="145"/>
      <c r="N578" s="145"/>
      <c r="O578" s="145"/>
      <c r="P578" s="145"/>
      <c r="Q578" s="145"/>
      <c r="R578" s="145"/>
      <c r="S578" s="145"/>
      <c r="T578" s="145"/>
      <c r="U578" s="145"/>
      <c r="V578" s="145"/>
      <c r="W578" s="145"/>
      <c r="X578" s="145"/>
      <c r="Y578" s="145"/>
      <c r="Z578" s="145"/>
      <c r="AA578" s="145"/>
      <c r="AB578" s="145"/>
      <c r="AC578" s="145"/>
      <c r="AD578" s="145"/>
      <c r="AE578" s="145"/>
      <c r="AF578" s="145"/>
      <c r="AG578" s="145"/>
      <c r="AH578" s="145"/>
      <c r="AI578" s="145"/>
      <c r="AJ578" s="145"/>
      <c r="AK578" s="145"/>
      <c r="AL578" s="145"/>
      <c r="AM578" s="321"/>
      <c r="AN578" s="321"/>
      <c r="AO578" s="321"/>
      <c r="AP578" s="321"/>
      <c r="AQ578" s="321"/>
      <c r="AR578" s="321"/>
      <c r="AS578" s="321"/>
      <c r="AT578" s="321"/>
    </row>
    <row r="579" spans="10:46">
      <c r="J579" s="145"/>
      <c r="K579" s="145"/>
      <c r="L579" s="145"/>
      <c r="M579" s="145"/>
      <c r="N579" s="145"/>
      <c r="O579" s="145"/>
      <c r="P579" s="145"/>
      <c r="Q579" s="145"/>
      <c r="R579" s="145"/>
      <c r="S579" s="145"/>
      <c r="T579" s="145"/>
      <c r="U579" s="145"/>
      <c r="V579" s="145"/>
      <c r="W579" s="145"/>
      <c r="X579" s="145"/>
      <c r="Y579" s="145"/>
      <c r="Z579" s="145"/>
      <c r="AA579" s="145"/>
      <c r="AB579" s="145"/>
      <c r="AC579" s="145"/>
      <c r="AD579" s="145"/>
      <c r="AE579" s="145"/>
      <c r="AF579" s="145"/>
      <c r="AG579" s="145"/>
      <c r="AH579" s="145"/>
      <c r="AI579" s="145"/>
      <c r="AJ579" s="145"/>
      <c r="AK579" s="145"/>
      <c r="AL579" s="145"/>
      <c r="AM579" s="321"/>
      <c r="AN579" s="321"/>
      <c r="AO579" s="321"/>
      <c r="AP579" s="321"/>
      <c r="AQ579" s="321"/>
      <c r="AR579" s="321"/>
      <c r="AS579" s="321"/>
      <c r="AT579" s="321"/>
    </row>
    <row r="580" spans="10:46">
      <c r="J580" s="145"/>
      <c r="K580" s="145"/>
      <c r="L580" s="145"/>
      <c r="M580" s="145"/>
      <c r="N580" s="145"/>
      <c r="O580" s="145"/>
      <c r="P580" s="145"/>
      <c r="Q580" s="145"/>
      <c r="R580" s="145"/>
      <c r="S580" s="145"/>
      <c r="T580" s="145"/>
      <c r="U580" s="145"/>
      <c r="V580" s="145"/>
      <c r="W580" s="145"/>
      <c r="X580" s="145"/>
      <c r="Y580" s="145"/>
      <c r="Z580" s="145"/>
      <c r="AA580" s="145"/>
      <c r="AB580" s="145"/>
      <c r="AC580" s="145"/>
      <c r="AD580" s="145"/>
      <c r="AE580" s="145"/>
      <c r="AF580" s="145"/>
      <c r="AG580" s="145"/>
      <c r="AH580" s="145"/>
      <c r="AI580" s="145"/>
      <c r="AJ580" s="145"/>
      <c r="AK580" s="145"/>
      <c r="AL580" s="145"/>
      <c r="AM580" s="321"/>
      <c r="AN580" s="321"/>
      <c r="AO580" s="321"/>
      <c r="AP580" s="321"/>
      <c r="AQ580" s="321"/>
      <c r="AR580" s="321"/>
      <c r="AS580" s="321"/>
      <c r="AT580" s="321"/>
    </row>
    <row r="581" spans="10:46">
      <c r="J581" s="145"/>
      <c r="K581" s="145"/>
      <c r="L581" s="145"/>
      <c r="M581" s="145"/>
      <c r="N581" s="145"/>
      <c r="O581" s="145"/>
      <c r="P581" s="145"/>
      <c r="Q581" s="145"/>
      <c r="R581" s="145"/>
      <c r="S581" s="145"/>
      <c r="T581" s="145"/>
      <c r="U581" s="145"/>
      <c r="V581" s="145"/>
      <c r="W581" s="145"/>
      <c r="X581" s="145"/>
      <c r="Y581" s="145"/>
      <c r="Z581" s="145"/>
      <c r="AA581" s="145"/>
      <c r="AB581" s="145"/>
      <c r="AC581" s="145"/>
      <c r="AD581" s="145"/>
      <c r="AE581" s="145"/>
      <c r="AF581" s="145"/>
      <c r="AG581" s="145"/>
      <c r="AH581" s="145"/>
      <c r="AI581" s="145"/>
      <c r="AJ581" s="145"/>
      <c r="AK581" s="145"/>
      <c r="AL581" s="145"/>
      <c r="AM581" s="321"/>
      <c r="AN581" s="321"/>
      <c r="AO581" s="321"/>
      <c r="AP581" s="321"/>
      <c r="AQ581" s="321"/>
      <c r="AR581" s="321"/>
      <c r="AS581" s="321"/>
      <c r="AT581" s="321"/>
    </row>
    <row r="582" spans="10:46">
      <c r="J582" s="145"/>
      <c r="K582" s="145"/>
      <c r="L582" s="145"/>
      <c r="M582" s="145"/>
      <c r="N582" s="145"/>
      <c r="O582" s="145"/>
      <c r="P582" s="145"/>
      <c r="Q582" s="145"/>
      <c r="R582" s="145"/>
      <c r="S582" s="145"/>
      <c r="T582" s="145"/>
      <c r="U582" s="145"/>
      <c r="V582" s="145"/>
      <c r="W582" s="145"/>
      <c r="X582" s="145"/>
      <c r="Y582" s="145"/>
      <c r="Z582" s="145"/>
      <c r="AA582" s="145"/>
      <c r="AB582" s="145"/>
      <c r="AC582" s="145"/>
      <c r="AD582" s="145"/>
      <c r="AE582" s="145"/>
      <c r="AF582" s="145"/>
      <c r="AG582" s="145"/>
      <c r="AH582" s="145"/>
      <c r="AI582" s="145"/>
      <c r="AJ582" s="145"/>
      <c r="AK582" s="145"/>
      <c r="AL582" s="145"/>
      <c r="AM582" s="321"/>
      <c r="AN582" s="321"/>
      <c r="AO582" s="321"/>
      <c r="AP582" s="321"/>
      <c r="AQ582" s="321"/>
      <c r="AR582" s="321"/>
      <c r="AS582" s="321"/>
      <c r="AT582" s="321"/>
    </row>
    <row r="583" spans="10:46">
      <c r="J583" s="145"/>
      <c r="K583" s="145"/>
      <c r="L583" s="145"/>
      <c r="M583" s="145"/>
      <c r="N583" s="145"/>
      <c r="O583" s="145"/>
      <c r="P583" s="145"/>
      <c r="Q583" s="145"/>
      <c r="R583" s="145"/>
      <c r="S583" s="145"/>
      <c r="T583" s="145"/>
      <c r="U583" s="145"/>
      <c r="V583" s="145"/>
      <c r="W583" s="145"/>
      <c r="X583" s="145"/>
      <c r="Y583" s="145"/>
      <c r="Z583" s="145"/>
      <c r="AA583" s="145"/>
      <c r="AB583" s="145"/>
      <c r="AC583" s="145"/>
      <c r="AD583" s="145"/>
      <c r="AE583" s="145"/>
      <c r="AF583" s="145"/>
      <c r="AG583" s="145"/>
      <c r="AH583" s="145"/>
      <c r="AI583" s="145"/>
      <c r="AJ583" s="145"/>
      <c r="AK583" s="145"/>
      <c r="AL583" s="145"/>
      <c r="AM583" s="321"/>
      <c r="AN583" s="321"/>
      <c r="AO583" s="321"/>
      <c r="AP583" s="321"/>
      <c r="AQ583" s="321"/>
      <c r="AR583" s="321"/>
      <c r="AS583" s="321"/>
      <c r="AT583" s="321"/>
    </row>
    <row r="584" spans="10:46">
      <c r="J584" s="145"/>
      <c r="K584" s="145"/>
      <c r="L584" s="145"/>
      <c r="M584" s="145"/>
      <c r="N584" s="145"/>
      <c r="O584" s="145"/>
      <c r="P584" s="145"/>
      <c r="Q584" s="145"/>
      <c r="R584" s="145"/>
      <c r="S584" s="145"/>
      <c r="T584" s="145"/>
      <c r="U584" s="145"/>
      <c r="V584" s="145"/>
      <c r="W584" s="145"/>
      <c r="X584" s="145"/>
      <c r="Y584" s="145"/>
      <c r="Z584" s="145"/>
      <c r="AA584" s="145"/>
      <c r="AB584" s="145"/>
      <c r="AC584" s="145"/>
      <c r="AD584" s="145"/>
      <c r="AE584" s="145"/>
      <c r="AF584" s="145"/>
      <c r="AG584" s="145"/>
      <c r="AH584" s="145"/>
      <c r="AI584" s="145"/>
      <c r="AJ584" s="145"/>
      <c r="AK584" s="145"/>
      <c r="AL584" s="145"/>
      <c r="AM584" s="321"/>
      <c r="AN584" s="321"/>
      <c r="AO584" s="321"/>
      <c r="AP584" s="321"/>
      <c r="AQ584" s="321"/>
      <c r="AR584" s="321"/>
      <c r="AS584" s="321"/>
      <c r="AT584" s="321"/>
    </row>
    <row r="585" spans="10:46">
      <c r="J585" s="145"/>
      <c r="K585" s="145"/>
      <c r="L585" s="145"/>
      <c r="M585" s="145"/>
      <c r="N585" s="145"/>
      <c r="O585" s="145"/>
      <c r="P585" s="145"/>
      <c r="Q585" s="145"/>
      <c r="R585" s="145"/>
      <c r="S585" s="145"/>
      <c r="T585" s="145"/>
      <c r="U585" s="145"/>
      <c r="V585" s="145"/>
      <c r="W585" s="145"/>
      <c r="X585" s="145"/>
      <c r="Y585" s="145"/>
      <c r="Z585" s="145"/>
      <c r="AA585" s="145"/>
      <c r="AB585" s="145"/>
      <c r="AC585" s="145"/>
      <c r="AD585" s="145"/>
      <c r="AE585" s="145"/>
      <c r="AF585" s="145"/>
      <c r="AG585" s="145"/>
      <c r="AH585" s="145"/>
      <c r="AI585" s="145"/>
      <c r="AJ585" s="145"/>
      <c r="AK585" s="145"/>
      <c r="AL585" s="145"/>
      <c r="AM585" s="321"/>
      <c r="AN585" s="321"/>
      <c r="AO585" s="321"/>
      <c r="AP585" s="321"/>
      <c r="AQ585" s="321"/>
      <c r="AR585" s="321"/>
      <c r="AS585" s="321"/>
      <c r="AT585" s="321"/>
    </row>
    <row r="586" spans="10:46">
      <c r="J586" s="145"/>
      <c r="K586" s="145"/>
      <c r="L586" s="145"/>
      <c r="M586" s="145"/>
      <c r="N586" s="145"/>
      <c r="O586" s="145"/>
      <c r="P586" s="145"/>
      <c r="Q586" s="145"/>
      <c r="R586" s="145"/>
      <c r="S586" s="145"/>
      <c r="T586" s="145"/>
      <c r="U586" s="145"/>
      <c r="V586" s="145"/>
      <c r="W586" s="145"/>
      <c r="X586" s="145"/>
      <c r="Y586" s="145"/>
      <c r="Z586" s="145"/>
      <c r="AA586" s="145"/>
      <c r="AB586" s="145"/>
      <c r="AC586" s="145"/>
      <c r="AD586" s="145"/>
      <c r="AE586" s="145"/>
      <c r="AF586" s="145"/>
      <c r="AG586" s="145"/>
      <c r="AH586" s="145"/>
      <c r="AI586" s="145"/>
      <c r="AJ586" s="145"/>
      <c r="AK586" s="145"/>
      <c r="AL586" s="145"/>
      <c r="AM586" s="321"/>
      <c r="AN586" s="321"/>
      <c r="AO586" s="321"/>
      <c r="AP586" s="321"/>
      <c r="AQ586" s="321"/>
      <c r="AR586" s="321"/>
      <c r="AS586" s="321"/>
      <c r="AT586" s="321"/>
    </row>
    <row r="587" spans="10:46">
      <c r="J587" s="145"/>
      <c r="K587" s="145"/>
      <c r="L587" s="145"/>
      <c r="M587" s="145"/>
      <c r="N587" s="145"/>
      <c r="O587" s="145"/>
      <c r="P587" s="145"/>
      <c r="Q587" s="145"/>
      <c r="R587" s="145"/>
      <c r="S587" s="145"/>
      <c r="T587" s="145"/>
      <c r="U587" s="145"/>
      <c r="V587" s="145"/>
      <c r="W587" s="145"/>
      <c r="X587" s="145"/>
      <c r="Y587" s="145"/>
      <c r="Z587" s="145"/>
      <c r="AA587" s="145"/>
      <c r="AB587" s="145"/>
      <c r="AC587" s="145"/>
      <c r="AD587" s="145"/>
      <c r="AE587" s="145"/>
      <c r="AF587" s="145"/>
      <c r="AG587" s="145"/>
      <c r="AH587" s="145"/>
      <c r="AI587" s="145"/>
      <c r="AJ587" s="145"/>
      <c r="AK587" s="145"/>
      <c r="AL587" s="145"/>
      <c r="AM587" s="321"/>
      <c r="AN587" s="321"/>
      <c r="AO587" s="321"/>
      <c r="AP587" s="321"/>
      <c r="AQ587" s="321"/>
      <c r="AR587" s="321"/>
      <c r="AS587" s="321"/>
      <c r="AT587" s="321"/>
    </row>
    <row r="588" spans="10:46">
      <c r="J588" s="145"/>
      <c r="K588" s="145"/>
      <c r="L588" s="145"/>
      <c r="M588" s="145"/>
      <c r="N588" s="145"/>
      <c r="O588" s="145"/>
      <c r="P588" s="145"/>
      <c r="Q588" s="145"/>
      <c r="R588" s="145"/>
      <c r="S588" s="145"/>
      <c r="T588" s="145"/>
      <c r="U588" s="145"/>
      <c r="V588" s="145"/>
      <c r="W588" s="145"/>
      <c r="X588" s="145"/>
      <c r="Y588" s="145"/>
      <c r="Z588" s="145"/>
      <c r="AA588" s="145"/>
      <c r="AB588" s="145"/>
      <c r="AC588" s="145"/>
      <c r="AD588" s="145"/>
      <c r="AE588" s="145"/>
      <c r="AF588" s="145"/>
      <c r="AG588" s="145"/>
      <c r="AH588" s="145"/>
      <c r="AI588" s="145"/>
      <c r="AJ588" s="145"/>
      <c r="AK588" s="145"/>
      <c r="AL588" s="145"/>
      <c r="AM588" s="321"/>
      <c r="AN588" s="321"/>
      <c r="AO588" s="321"/>
      <c r="AP588" s="321"/>
      <c r="AQ588" s="321"/>
      <c r="AR588" s="321"/>
      <c r="AS588" s="321"/>
      <c r="AT588" s="321"/>
    </row>
    <row r="589" spans="10:46">
      <c r="J589" s="145"/>
      <c r="K589" s="145"/>
      <c r="L589" s="145"/>
      <c r="M589" s="145"/>
      <c r="N589" s="145"/>
      <c r="O589" s="145"/>
      <c r="P589" s="145"/>
      <c r="Q589" s="145"/>
      <c r="R589" s="145"/>
      <c r="S589" s="145"/>
      <c r="T589" s="145"/>
      <c r="U589" s="145"/>
      <c r="V589" s="145"/>
      <c r="W589" s="145"/>
      <c r="X589" s="145"/>
      <c r="Y589" s="145"/>
      <c r="Z589" s="145"/>
      <c r="AA589" s="145"/>
      <c r="AB589" s="145"/>
      <c r="AC589" s="145"/>
      <c r="AD589" s="145"/>
      <c r="AE589" s="145"/>
      <c r="AF589" s="145"/>
      <c r="AG589" s="145"/>
      <c r="AH589" s="145"/>
      <c r="AI589" s="145"/>
      <c r="AJ589" s="145"/>
      <c r="AK589" s="145"/>
      <c r="AL589" s="145"/>
      <c r="AM589" s="321"/>
      <c r="AN589" s="321"/>
      <c r="AO589" s="321"/>
      <c r="AP589" s="321"/>
      <c r="AQ589" s="321"/>
      <c r="AR589" s="321"/>
      <c r="AS589" s="321"/>
      <c r="AT589" s="321"/>
    </row>
    <row r="590" spans="10:46">
      <c r="J590" s="145"/>
      <c r="K590" s="145"/>
      <c r="L590" s="145"/>
      <c r="M590" s="145"/>
      <c r="N590" s="145"/>
      <c r="O590" s="145"/>
      <c r="P590" s="145"/>
      <c r="Q590" s="145"/>
      <c r="R590" s="145"/>
      <c r="S590" s="145"/>
      <c r="T590" s="145"/>
      <c r="U590" s="145"/>
      <c r="V590" s="145"/>
      <c r="W590" s="145"/>
      <c r="X590" s="145"/>
      <c r="Y590" s="145"/>
      <c r="Z590" s="145"/>
      <c r="AA590" s="145"/>
      <c r="AB590" s="145"/>
      <c r="AC590" s="145"/>
      <c r="AD590" s="145"/>
      <c r="AE590" s="145"/>
      <c r="AF590" s="145"/>
      <c r="AG590" s="145"/>
      <c r="AH590" s="145"/>
      <c r="AI590" s="145"/>
      <c r="AJ590" s="145"/>
      <c r="AK590" s="145"/>
      <c r="AL590" s="145"/>
      <c r="AM590" s="321"/>
      <c r="AN590" s="321"/>
      <c r="AO590" s="321"/>
      <c r="AP590" s="321"/>
      <c r="AQ590" s="321"/>
      <c r="AR590" s="321"/>
      <c r="AS590" s="321"/>
      <c r="AT590" s="321"/>
    </row>
    <row r="591" spans="10:46">
      <c r="J591" s="145"/>
      <c r="K591" s="145"/>
      <c r="L591" s="145"/>
      <c r="M591" s="145"/>
      <c r="N591" s="145"/>
      <c r="O591" s="145"/>
      <c r="P591" s="145"/>
      <c r="Q591" s="145"/>
      <c r="R591" s="145"/>
      <c r="S591" s="145"/>
      <c r="T591" s="145"/>
      <c r="U591" s="145"/>
      <c r="V591" s="145"/>
      <c r="W591" s="145"/>
      <c r="X591" s="145"/>
      <c r="Y591" s="145"/>
      <c r="Z591" s="145"/>
      <c r="AA591" s="145"/>
      <c r="AB591" s="145"/>
      <c r="AC591" s="145"/>
      <c r="AD591" s="145"/>
      <c r="AE591" s="145"/>
      <c r="AF591" s="145"/>
      <c r="AG591" s="145"/>
      <c r="AH591" s="145"/>
      <c r="AI591" s="145"/>
      <c r="AJ591" s="145"/>
      <c r="AK591" s="145"/>
      <c r="AL591" s="145"/>
      <c r="AM591" s="321"/>
      <c r="AN591" s="321"/>
      <c r="AO591" s="321"/>
      <c r="AP591" s="321"/>
      <c r="AQ591" s="321"/>
      <c r="AR591" s="321"/>
      <c r="AS591" s="321"/>
      <c r="AT591" s="321"/>
    </row>
    <row r="592" spans="10:46">
      <c r="J592" s="145"/>
      <c r="K592" s="145"/>
      <c r="L592" s="145"/>
      <c r="M592" s="145"/>
      <c r="N592" s="145"/>
      <c r="O592" s="145"/>
      <c r="P592" s="145"/>
      <c r="Q592" s="145"/>
      <c r="R592" s="145"/>
      <c r="S592" s="145"/>
      <c r="T592" s="145"/>
      <c r="U592" s="145"/>
      <c r="V592" s="145"/>
      <c r="W592" s="145"/>
      <c r="X592" s="145"/>
      <c r="Y592" s="145"/>
      <c r="Z592" s="145"/>
      <c r="AA592" s="145"/>
      <c r="AB592" s="145"/>
      <c r="AC592" s="145"/>
      <c r="AD592" s="145"/>
      <c r="AE592" s="145"/>
      <c r="AF592" s="145"/>
      <c r="AG592" s="145"/>
      <c r="AH592" s="145"/>
      <c r="AI592" s="145"/>
      <c r="AJ592" s="145"/>
      <c r="AK592" s="145"/>
      <c r="AL592" s="145"/>
      <c r="AM592" s="321"/>
      <c r="AN592" s="321"/>
      <c r="AO592" s="321"/>
      <c r="AP592" s="321"/>
      <c r="AQ592" s="321"/>
      <c r="AR592" s="321"/>
      <c r="AS592" s="321"/>
      <c r="AT592" s="321"/>
    </row>
    <row r="593" spans="10:46">
      <c r="J593" s="145"/>
      <c r="K593" s="145"/>
      <c r="L593" s="145"/>
      <c r="M593" s="145"/>
      <c r="N593" s="145"/>
      <c r="O593" s="145"/>
      <c r="P593" s="145"/>
      <c r="Q593" s="145"/>
      <c r="R593" s="145"/>
      <c r="S593" s="145"/>
      <c r="T593" s="145"/>
      <c r="U593" s="145"/>
      <c r="V593" s="145"/>
      <c r="W593" s="145"/>
      <c r="X593" s="145"/>
      <c r="Y593" s="145"/>
      <c r="Z593" s="145"/>
      <c r="AA593" s="145"/>
      <c r="AB593" s="145"/>
      <c r="AC593" s="145"/>
      <c r="AD593" s="145"/>
      <c r="AE593" s="145"/>
      <c r="AF593" s="145"/>
      <c r="AG593" s="145"/>
      <c r="AH593" s="145"/>
      <c r="AI593" s="145"/>
      <c r="AJ593" s="145"/>
      <c r="AK593" s="145"/>
      <c r="AL593" s="145"/>
      <c r="AM593" s="321"/>
      <c r="AN593" s="321"/>
      <c r="AO593" s="321"/>
      <c r="AP593" s="321"/>
      <c r="AQ593" s="321"/>
      <c r="AR593" s="321"/>
      <c r="AS593" s="321"/>
      <c r="AT593" s="321"/>
    </row>
    <row r="594" spans="10:46">
      <c r="J594" s="145"/>
      <c r="K594" s="145"/>
      <c r="L594" s="145"/>
      <c r="M594" s="145"/>
      <c r="N594" s="145"/>
      <c r="O594" s="145"/>
      <c r="P594" s="145"/>
      <c r="Q594" s="145"/>
      <c r="R594" s="145"/>
      <c r="S594" s="145"/>
      <c r="T594" s="145"/>
      <c r="U594" s="145"/>
      <c r="V594" s="145"/>
      <c r="W594" s="145"/>
      <c r="X594" s="145"/>
      <c r="Y594" s="145"/>
      <c r="Z594" s="145"/>
      <c r="AA594" s="145"/>
      <c r="AB594" s="145"/>
      <c r="AC594" s="145"/>
      <c r="AD594" s="145"/>
      <c r="AE594" s="145"/>
      <c r="AF594" s="145"/>
      <c r="AG594" s="145"/>
      <c r="AH594" s="145"/>
      <c r="AI594" s="145"/>
      <c r="AJ594" s="145"/>
      <c r="AK594" s="145"/>
      <c r="AL594" s="145"/>
      <c r="AM594" s="321"/>
      <c r="AN594" s="321"/>
      <c r="AO594" s="321"/>
      <c r="AP594" s="321"/>
      <c r="AQ594" s="321"/>
      <c r="AR594" s="321"/>
      <c r="AS594" s="321"/>
      <c r="AT594" s="321"/>
    </row>
    <row r="595" spans="10:46">
      <c r="J595" s="145"/>
      <c r="K595" s="145"/>
      <c r="L595" s="145"/>
      <c r="M595" s="145"/>
      <c r="N595" s="145"/>
      <c r="O595" s="145"/>
      <c r="P595" s="145"/>
      <c r="Q595" s="145"/>
      <c r="R595" s="145"/>
      <c r="S595" s="145"/>
      <c r="T595" s="145"/>
      <c r="U595" s="145"/>
      <c r="V595" s="145"/>
      <c r="W595" s="145"/>
      <c r="X595" s="145"/>
      <c r="Y595" s="145"/>
      <c r="Z595" s="145"/>
      <c r="AA595" s="145"/>
      <c r="AB595" s="145"/>
      <c r="AC595" s="145"/>
      <c r="AD595" s="145"/>
      <c r="AE595" s="145"/>
      <c r="AF595" s="145"/>
      <c r="AG595" s="145"/>
      <c r="AH595" s="145"/>
      <c r="AI595" s="145"/>
      <c r="AJ595" s="145"/>
      <c r="AK595" s="145"/>
      <c r="AL595" s="145"/>
      <c r="AM595" s="321"/>
      <c r="AN595" s="321"/>
      <c r="AO595" s="321"/>
      <c r="AP595" s="321"/>
      <c r="AQ595" s="321"/>
      <c r="AR595" s="321"/>
      <c r="AS595" s="321"/>
      <c r="AT595" s="321"/>
    </row>
    <row r="596" spans="10:46">
      <c r="J596" s="145"/>
      <c r="K596" s="145"/>
      <c r="L596" s="145"/>
      <c r="M596" s="145"/>
      <c r="N596" s="145"/>
      <c r="O596" s="145"/>
      <c r="P596" s="145"/>
      <c r="Q596" s="145"/>
      <c r="R596" s="145"/>
      <c r="S596" s="145"/>
      <c r="T596" s="145"/>
      <c r="U596" s="145"/>
      <c r="V596" s="145"/>
      <c r="W596" s="145"/>
      <c r="X596" s="145"/>
      <c r="Y596" s="145"/>
      <c r="Z596" s="145"/>
      <c r="AA596" s="145"/>
      <c r="AB596" s="145"/>
      <c r="AC596" s="145"/>
      <c r="AD596" s="145"/>
      <c r="AE596" s="145"/>
      <c r="AF596" s="145"/>
      <c r="AG596" s="145"/>
      <c r="AH596" s="145"/>
      <c r="AI596" s="145"/>
      <c r="AJ596" s="145"/>
      <c r="AK596" s="145"/>
      <c r="AL596" s="145"/>
      <c r="AM596" s="321"/>
      <c r="AN596" s="321"/>
      <c r="AO596" s="321"/>
      <c r="AP596" s="321"/>
      <c r="AQ596" s="321"/>
      <c r="AR596" s="321"/>
      <c r="AS596" s="321"/>
      <c r="AT596" s="321"/>
    </row>
    <row r="597" spans="10:46">
      <c r="J597" s="145"/>
      <c r="K597" s="145"/>
      <c r="L597" s="145"/>
      <c r="M597" s="145"/>
      <c r="N597" s="145"/>
      <c r="O597" s="145"/>
      <c r="P597" s="145"/>
      <c r="Q597" s="145"/>
      <c r="R597" s="145"/>
      <c r="S597" s="145"/>
      <c r="T597" s="145"/>
      <c r="U597" s="145"/>
      <c r="V597" s="145"/>
      <c r="W597" s="145"/>
      <c r="X597" s="145"/>
      <c r="Y597" s="145"/>
      <c r="Z597" s="145"/>
      <c r="AA597" s="145"/>
      <c r="AB597" s="145"/>
      <c r="AC597" s="145"/>
      <c r="AD597" s="145"/>
      <c r="AE597" s="145"/>
      <c r="AF597" s="145"/>
      <c r="AG597" s="145"/>
      <c r="AH597" s="145"/>
      <c r="AI597" s="145"/>
      <c r="AJ597" s="145"/>
      <c r="AK597" s="145"/>
      <c r="AL597" s="145"/>
      <c r="AM597" s="321"/>
      <c r="AN597" s="321"/>
      <c r="AO597" s="321"/>
      <c r="AP597" s="321"/>
      <c r="AQ597" s="321"/>
      <c r="AR597" s="321"/>
      <c r="AS597" s="321"/>
      <c r="AT597" s="321"/>
    </row>
    <row r="598" spans="10:46">
      <c r="J598" s="145"/>
      <c r="K598" s="145"/>
      <c r="L598" s="145"/>
      <c r="M598" s="145"/>
      <c r="N598" s="145"/>
      <c r="O598" s="145"/>
      <c r="P598" s="145"/>
      <c r="Q598" s="145"/>
      <c r="R598" s="145"/>
      <c r="S598" s="145"/>
      <c r="T598" s="145"/>
      <c r="U598" s="145"/>
      <c r="V598" s="145"/>
      <c r="W598" s="145"/>
      <c r="X598" s="145"/>
      <c r="Y598" s="145"/>
      <c r="Z598" s="145"/>
      <c r="AA598" s="145"/>
      <c r="AB598" s="145"/>
      <c r="AC598" s="145"/>
      <c r="AD598" s="145"/>
      <c r="AE598" s="145"/>
      <c r="AF598" s="145"/>
      <c r="AG598" s="145"/>
      <c r="AH598" s="145"/>
      <c r="AI598" s="145"/>
      <c r="AJ598" s="145"/>
      <c r="AK598" s="145"/>
      <c r="AL598" s="145"/>
      <c r="AM598" s="321"/>
      <c r="AN598" s="321"/>
      <c r="AO598" s="321"/>
      <c r="AP598" s="321"/>
      <c r="AQ598" s="321"/>
      <c r="AR598" s="321"/>
      <c r="AS598" s="321"/>
      <c r="AT598" s="321"/>
    </row>
    <row r="599" spans="10:46">
      <c r="J599" s="145"/>
      <c r="K599" s="145"/>
      <c r="L599" s="145"/>
      <c r="M599" s="145"/>
      <c r="N599" s="145"/>
      <c r="O599" s="145"/>
      <c r="P599" s="145"/>
      <c r="Q599" s="145"/>
      <c r="R599" s="145"/>
      <c r="S599" s="145"/>
      <c r="T599" s="145"/>
      <c r="U599" s="145"/>
      <c r="V599" s="145"/>
      <c r="W599" s="145"/>
      <c r="X599" s="145"/>
      <c r="Y599" s="145"/>
      <c r="Z599" s="145"/>
      <c r="AA599" s="145"/>
      <c r="AB599" s="145"/>
      <c r="AC599" s="145"/>
      <c r="AD599" s="145"/>
      <c r="AE599" s="145"/>
      <c r="AF599" s="145"/>
      <c r="AG599" s="145"/>
      <c r="AH599" s="145"/>
      <c r="AI599" s="145"/>
      <c r="AJ599" s="145"/>
      <c r="AK599" s="145"/>
      <c r="AL599" s="145"/>
      <c r="AM599" s="321"/>
      <c r="AN599" s="321"/>
      <c r="AO599" s="321"/>
      <c r="AP599" s="321"/>
      <c r="AQ599" s="321"/>
      <c r="AR599" s="321"/>
      <c r="AS599" s="321"/>
      <c r="AT599" s="321"/>
    </row>
    <row r="600" spans="10:46">
      <c r="J600" s="145"/>
      <c r="K600" s="145"/>
      <c r="L600" s="145"/>
      <c r="M600" s="145"/>
      <c r="N600" s="145"/>
      <c r="O600" s="145"/>
      <c r="P600" s="145"/>
      <c r="Q600" s="145"/>
      <c r="R600" s="145"/>
      <c r="S600" s="145"/>
      <c r="T600" s="145"/>
      <c r="U600" s="145"/>
      <c r="V600" s="145"/>
      <c r="W600" s="145"/>
      <c r="X600" s="145"/>
      <c r="Y600" s="145"/>
      <c r="Z600" s="145"/>
      <c r="AA600" s="145"/>
      <c r="AB600" s="145"/>
      <c r="AC600" s="145"/>
      <c r="AD600" s="145"/>
      <c r="AE600" s="145"/>
      <c r="AF600" s="145"/>
      <c r="AG600" s="145"/>
      <c r="AH600" s="145"/>
      <c r="AI600" s="145"/>
      <c r="AJ600" s="145"/>
      <c r="AK600" s="145"/>
      <c r="AL600" s="145"/>
      <c r="AM600" s="321"/>
      <c r="AN600" s="321"/>
      <c r="AO600" s="321"/>
      <c r="AP600" s="321"/>
      <c r="AQ600" s="321"/>
      <c r="AR600" s="321"/>
      <c r="AS600" s="321"/>
      <c r="AT600" s="321"/>
    </row>
    <row r="601" spans="10:46">
      <c r="J601" s="145"/>
      <c r="K601" s="145"/>
      <c r="L601" s="145"/>
      <c r="M601" s="145"/>
      <c r="N601" s="145"/>
      <c r="O601" s="145"/>
      <c r="P601" s="145"/>
      <c r="Q601" s="145"/>
      <c r="R601" s="145"/>
      <c r="S601" s="145"/>
      <c r="T601" s="145"/>
      <c r="U601" s="145"/>
      <c r="V601" s="145"/>
      <c r="W601" s="145"/>
      <c r="X601" s="145"/>
      <c r="Y601" s="145"/>
      <c r="Z601" s="145"/>
      <c r="AA601" s="145"/>
      <c r="AB601" s="145"/>
      <c r="AC601" s="145"/>
      <c r="AD601" s="145"/>
      <c r="AE601" s="145"/>
      <c r="AF601" s="145"/>
      <c r="AG601" s="145"/>
      <c r="AH601" s="145"/>
      <c r="AI601" s="145"/>
      <c r="AJ601" s="145"/>
      <c r="AK601" s="145"/>
      <c r="AL601" s="145"/>
      <c r="AM601" s="321"/>
      <c r="AN601" s="321"/>
      <c r="AO601" s="321"/>
      <c r="AP601" s="321"/>
      <c r="AQ601" s="321"/>
      <c r="AR601" s="321"/>
      <c r="AS601" s="321"/>
      <c r="AT601" s="321"/>
    </row>
    <row r="602" spans="10:46">
      <c r="J602" s="145"/>
      <c r="K602" s="145"/>
      <c r="L602" s="145"/>
      <c r="M602" s="145"/>
      <c r="N602" s="145"/>
      <c r="O602" s="145"/>
      <c r="P602" s="145"/>
      <c r="Q602" s="145"/>
      <c r="R602" s="145"/>
      <c r="S602" s="145"/>
      <c r="T602" s="145"/>
      <c r="U602" s="145"/>
      <c r="V602" s="145"/>
      <c r="W602" s="145"/>
      <c r="X602" s="145"/>
      <c r="Y602" s="145"/>
      <c r="Z602" s="145"/>
      <c r="AA602" s="145"/>
      <c r="AB602" s="145"/>
      <c r="AC602" s="145"/>
      <c r="AD602" s="145"/>
      <c r="AE602" s="145"/>
      <c r="AF602" s="145"/>
      <c r="AG602" s="145"/>
      <c r="AH602" s="145"/>
      <c r="AI602" s="145"/>
      <c r="AJ602" s="145"/>
      <c r="AK602" s="145"/>
      <c r="AL602" s="145"/>
      <c r="AM602" s="321"/>
      <c r="AN602" s="321"/>
      <c r="AO602" s="321"/>
      <c r="AP602" s="321"/>
      <c r="AQ602" s="321"/>
      <c r="AR602" s="321"/>
      <c r="AS602" s="321"/>
      <c r="AT602" s="321"/>
    </row>
    <row r="603" spans="10:46">
      <c r="J603" s="145"/>
      <c r="K603" s="145"/>
      <c r="L603" s="145"/>
      <c r="M603" s="145"/>
      <c r="N603" s="145"/>
      <c r="O603" s="145"/>
      <c r="P603" s="145"/>
      <c r="Q603" s="145"/>
      <c r="R603" s="145"/>
      <c r="S603" s="145"/>
      <c r="T603" s="145"/>
      <c r="U603" s="145"/>
      <c r="V603" s="145"/>
      <c r="W603" s="145"/>
      <c r="X603" s="145"/>
      <c r="Y603" s="145"/>
      <c r="Z603" s="145"/>
      <c r="AA603" s="145"/>
      <c r="AB603" s="145"/>
      <c r="AC603" s="145"/>
      <c r="AD603" s="145"/>
      <c r="AE603" s="145"/>
      <c r="AF603" s="145"/>
      <c r="AG603" s="145"/>
      <c r="AH603" s="145"/>
      <c r="AI603" s="145"/>
      <c r="AJ603" s="145"/>
      <c r="AK603" s="145"/>
      <c r="AL603" s="145"/>
      <c r="AM603" s="321"/>
      <c r="AN603" s="321"/>
      <c r="AO603" s="321"/>
      <c r="AP603" s="321"/>
      <c r="AQ603" s="321"/>
      <c r="AR603" s="321"/>
      <c r="AS603" s="321"/>
      <c r="AT603" s="321"/>
    </row>
    <row r="604" spans="10:46">
      <c r="J604" s="145"/>
      <c r="K604" s="145"/>
      <c r="L604" s="145"/>
      <c r="M604" s="145"/>
      <c r="N604" s="145"/>
      <c r="O604" s="145"/>
      <c r="P604" s="145"/>
      <c r="Q604" s="145"/>
      <c r="R604" s="145"/>
      <c r="S604" s="145"/>
      <c r="T604" s="145"/>
      <c r="U604" s="145"/>
      <c r="V604" s="145"/>
      <c r="W604" s="145"/>
      <c r="X604" s="145"/>
      <c r="Y604" s="145"/>
      <c r="Z604" s="145"/>
      <c r="AA604" s="145"/>
      <c r="AB604" s="145"/>
      <c r="AC604" s="145"/>
      <c r="AD604" s="145"/>
      <c r="AE604" s="145"/>
      <c r="AF604" s="145"/>
      <c r="AG604" s="145"/>
      <c r="AH604" s="145"/>
      <c r="AI604" s="145"/>
      <c r="AJ604" s="145"/>
      <c r="AK604" s="145"/>
      <c r="AL604" s="145"/>
      <c r="AM604" s="321"/>
      <c r="AN604" s="321"/>
      <c r="AO604" s="321"/>
      <c r="AP604" s="321"/>
      <c r="AQ604" s="321"/>
      <c r="AR604" s="321"/>
      <c r="AS604" s="321"/>
      <c r="AT604" s="321"/>
    </row>
    <row r="605" spans="10:46">
      <c r="J605" s="145"/>
      <c r="K605" s="145"/>
      <c r="L605" s="145"/>
      <c r="M605" s="145"/>
      <c r="N605" s="145"/>
      <c r="O605" s="145"/>
      <c r="P605" s="145"/>
      <c r="Q605" s="145"/>
      <c r="R605" s="145"/>
      <c r="S605" s="145"/>
      <c r="T605" s="145"/>
      <c r="U605" s="145"/>
      <c r="V605" s="145"/>
      <c r="W605" s="145"/>
      <c r="X605" s="145"/>
      <c r="Y605" s="145"/>
      <c r="Z605" s="145"/>
      <c r="AA605" s="145"/>
      <c r="AB605" s="145"/>
      <c r="AC605" s="145"/>
      <c r="AD605" s="145"/>
      <c r="AE605" s="145"/>
      <c r="AF605" s="145"/>
      <c r="AG605" s="145"/>
      <c r="AH605" s="145"/>
      <c r="AI605" s="145"/>
      <c r="AJ605" s="145"/>
      <c r="AK605" s="145"/>
      <c r="AL605" s="145"/>
      <c r="AM605" s="321"/>
      <c r="AN605" s="321"/>
      <c r="AO605" s="321"/>
      <c r="AP605" s="321"/>
      <c r="AQ605" s="321"/>
      <c r="AR605" s="321"/>
      <c r="AS605" s="321"/>
      <c r="AT605" s="321"/>
    </row>
    <row r="606" spans="10:46">
      <c r="J606" s="145"/>
      <c r="K606" s="145"/>
      <c r="L606" s="145"/>
      <c r="M606" s="145"/>
      <c r="N606" s="145"/>
      <c r="O606" s="145"/>
      <c r="P606" s="145"/>
      <c r="Q606" s="145"/>
      <c r="R606" s="145"/>
      <c r="S606" s="145"/>
      <c r="T606" s="145"/>
      <c r="U606" s="145"/>
      <c r="V606" s="145"/>
      <c r="W606" s="145"/>
      <c r="X606" s="145"/>
      <c r="Y606" s="145"/>
      <c r="Z606" s="145"/>
      <c r="AA606" s="145"/>
      <c r="AB606" s="145"/>
      <c r="AC606" s="145"/>
      <c r="AD606" s="145"/>
      <c r="AE606" s="145"/>
      <c r="AF606" s="145"/>
      <c r="AG606" s="145"/>
      <c r="AH606" s="145"/>
      <c r="AI606" s="145"/>
      <c r="AJ606" s="145"/>
      <c r="AK606" s="145"/>
      <c r="AL606" s="145"/>
      <c r="AM606" s="321"/>
      <c r="AN606" s="321"/>
      <c r="AO606" s="321"/>
      <c r="AP606" s="321"/>
      <c r="AQ606" s="321"/>
      <c r="AR606" s="321"/>
      <c r="AS606" s="321"/>
      <c r="AT606" s="321"/>
    </row>
    <row r="607" spans="10:46">
      <c r="J607" s="145"/>
      <c r="K607" s="145"/>
      <c r="L607" s="145"/>
      <c r="M607" s="145"/>
      <c r="N607" s="145"/>
      <c r="O607" s="145"/>
      <c r="P607" s="145"/>
      <c r="Q607" s="145"/>
      <c r="R607" s="145"/>
      <c r="S607" s="145"/>
      <c r="T607" s="145"/>
      <c r="U607" s="145"/>
      <c r="V607" s="145"/>
      <c r="W607" s="145"/>
      <c r="X607" s="145"/>
      <c r="Y607" s="145"/>
      <c r="Z607" s="145"/>
      <c r="AA607" s="145"/>
      <c r="AB607" s="145"/>
      <c r="AC607" s="145"/>
      <c r="AD607" s="145"/>
      <c r="AE607" s="145"/>
      <c r="AF607" s="145"/>
      <c r="AG607" s="145"/>
      <c r="AH607" s="145"/>
      <c r="AI607" s="145"/>
      <c r="AJ607" s="145"/>
      <c r="AK607" s="145"/>
      <c r="AL607" s="145"/>
      <c r="AM607" s="321"/>
      <c r="AN607" s="321"/>
      <c r="AO607" s="321"/>
      <c r="AP607" s="321"/>
      <c r="AQ607" s="321"/>
      <c r="AR607" s="321"/>
      <c r="AS607" s="321"/>
      <c r="AT607" s="321"/>
    </row>
    <row r="608" spans="10:46">
      <c r="J608" s="145"/>
      <c r="K608" s="145"/>
      <c r="L608" s="145"/>
      <c r="M608" s="145"/>
      <c r="N608" s="145"/>
      <c r="O608" s="145"/>
      <c r="P608" s="145"/>
      <c r="Q608" s="145"/>
      <c r="R608" s="145"/>
      <c r="S608" s="145"/>
      <c r="T608" s="145"/>
      <c r="U608" s="145"/>
      <c r="V608" s="145"/>
      <c r="W608" s="145"/>
      <c r="X608" s="145"/>
      <c r="Y608" s="145"/>
      <c r="Z608" s="145"/>
      <c r="AA608" s="145"/>
      <c r="AB608" s="145"/>
      <c r="AC608" s="145"/>
      <c r="AD608" s="145"/>
      <c r="AE608" s="145"/>
      <c r="AF608" s="145"/>
      <c r="AG608" s="145"/>
      <c r="AH608" s="145"/>
      <c r="AI608" s="145"/>
      <c r="AJ608" s="145"/>
      <c r="AK608" s="145"/>
      <c r="AL608" s="145"/>
      <c r="AM608" s="321"/>
      <c r="AN608" s="321"/>
      <c r="AO608" s="321"/>
      <c r="AP608" s="321"/>
      <c r="AQ608" s="321"/>
      <c r="AR608" s="321"/>
      <c r="AS608" s="321"/>
      <c r="AT608" s="321"/>
    </row>
    <row r="609" spans="10:46">
      <c r="J609" s="145"/>
      <c r="K609" s="145"/>
      <c r="L609" s="145"/>
      <c r="M609" s="145"/>
      <c r="N609" s="145"/>
      <c r="O609" s="145"/>
      <c r="P609" s="145"/>
      <c r="Q609" s="145"/>
      <c r="R609" s="145"/>
      <c r="S609" s="145"/>
      <c r="T609" s="145"/>
      <c r="U609" s="145"/>
      <c r="V609" s="145"/>
      <c r="W609" s="145"/>
      <c r="X609" s="145"/>
      <c r="Y609" s="145"/>
      <c r="Z609" s="145"/>
      <c r="AA609" s="145"/>
      <c r="AB609" s="145"/>
      <c r="AC609" s="145"/>
      <c r="AD609" s="145"/>
      <c r="AE609" s="145"/>
      <c r="AF609" s="145"/>
      <c r="AG609" s="145"/>
      <c r="AH609" s="145"/>
      <c r="AI609" s="145"/>
      <c r="AJ609" s="145"/>
      <c r="AK609" s="145"/>
      <c r="AL609" s="145"/>
      <c r="AM609" s="321"/>
      <c r="AN609" s="321"/>
      <c r="AO609" s="321"/>
      <c r="AP609" s="321"/>
      <c r="AQ609" s="321"/>
      <c r="AR609" s="321"/>
      <c r="AS609" s="321"/>
      <c r="AT609" s="321"/>
    </row>
    <row r="610" spans="10:46">
      <c r="J610" s="145"/>
      <c r="K610" s="145"/>
      <c r="L610" s="145"/>
      <c r="M610" s="145"/>
      <c r="N610" s="145"/>
      <c r="O610" s="145"/>
      <c r="P610" s="145"/>
      <c r="Q610" s="145"/>
      <c r="R610" s="145"/>
      <c r="S610" s="145"/>
      <c r="T610" s="145"/>
      <c r="U610" s="145"/>
      <c r="V610" s="145"/>
      <c r="W610" s="145"/>
      <c r="X610" s="145"/>
      <c r="Y610" s="145"/>
      <c r="Z610" s="145"/>
      <c r="AA610" s="145"/>
      <c r="AB610" s="145"/>
      <c r="AC610" s="145"/>
      <c r="AD610" s="145"/>
      <c r="AE610" s="145"/>
      <c r="AF610" s="145"/>
      <c r="AG610" s="145"/>
      <c r="AH610" s="145"/>
      <c r="AI610" s="145"/>
      <c r="AJ610" s="145"/>
      <c r="AK610" s="145"/>
      <c r="AL610" s="145"/>
      <c r="AM610" s="321"/>
      <c r="AN610" s="321"/>
      <c r="AO610" s="321"/>
      <c r="AP610" s="321"/>
      <c r="AQ610" s="321"/>
      <c r="AR610" s="321"/>
      <c r="AS610" s="321"/>
      <c r="AT610" s="321"/>
    </row>
    <row r="611" spans="10:46">
      <c r="J611" s="145"/>
      <c r="K611" s="145"/>
      <c r="L611" s="145"/>
      <c r="M611" s="145"/>
      <c r="N611" s="145"/>
      <c r="O611" s="145"/>
      <c r="P611" s="145"/>
      <c r="Q611" s="145"/>
      <c r="R611" s="145"/>
      <c r="S611" s="145"/>
      <c r="T611" s="145"/>
      <c r="U611" s="145"/>
      <c r="V611" s="145"/>
      <c r="W611" s="145"/>
      <c r="X611" s="145"/>
      <c r="Y611" s="145"/>
      <c r="Z611" s="145"/>
      <c r="AA611" s="145"/>
      <c r="AB611" s="145"/>
      <c r="AC611" s="145"/>
      <c r="AD611" s="145"/>
      <c r="AE611" s="145"/>
      <c r="AF611" s="145"/>
      <c r="AG611" s="145"/>
      <c r="AH611" s="145"/>
      <c r="AI611" s="145"/>
      <c r="AJ611" s="145"/>
      <c r="AK611" s="145"/>
      <c r="AL611" s="145"/>
      <c r="AM611" s="321"/>
      <c r="AN611" s="321"/>
      <c r="AO611" s="321"/>
      <c r="AP611" s="321"/>
      <c r="AQ611" s="321"/>
      <c r="AR611" s="321"/>
      <c r="AS611" s="321"/>
      <c r="AT611" s="321"/>
    </row>
    <row r="612" spans="10:46">
      <c r="J612" s="145"/>
      <c r="K612" s="145"/>
      <c r="L612" s="145"/>
      <c r="M612" s="145"/>
      <c r="N612" s="145"/>
      <c r="O612" s="145"/>
      <c r="P612" s="145"/>
      <c r="Q612" s="145"/>
      <c r="R612" s="145"/>
      <c r="S612" s="145"/>
      <c r="T612" s="145"/>
      <c r="U612" s="145"/>
      <c r="V612" s="145"/>
      <c r="W612" s="145"/>
      <c r="X612" s="145"/>
      <c r="Y612" s="145"/>
      <c r="Z612" s="145"/>
      <c r="AA612" s="145"/>
      <c r="AB612" s="145"/>
      <c r="AC612" s="145"/>
      <c r="AD612" s="145"/>
      <c r="AE612" s="145"/>
      <c r="AF612" s="145"/>
      <c r="AG612" s="145"/>
      <c r="AH612" s="145"/>
      <c r="AI612" s="145"/>
      <c r="AJ612" s="145"/>
      <c r="AK612" s="145"/>
      <c r="AL612" s="145"/>
      <c r="AM612" s="321"/>
      <c r="AN612" s="321"/>
      <c r="AO612" s="321"/>
      <c r="AP612" s="321"/>
      <c r="AQ612" s="321"/>
      <c r="AR612" s="321"/>
      <c r="AS612" s="321"/>
      <c r="AT612" s="321"/>
    </row>
    <row r="613" spans="10:46">
      <c r="J613" s="145"/>
      <c r="K613" s="145"/>
      <c r="L613" s="145"/>
      <c r="M613" s="145"/>
      <c r="N613" s="145"/>
      <c r="O613" s="145"/>
      <c r="P613" s="145"/>
      <c r="Q613" s="145"/>
      <c r="R613" s="145"/>
      <c r="S613" s="145"/>
      <c r="T613" s="145"/>
      <c r="U613" s="145"/>
      <c r="V613" s="145"/>
      <c r="W613" s="145"/>
      <c r="X613" s="145"/>
      <c r="Y613" s="145"/>
      <c r="Z613" s="145"/>
      <c r="AA613" s="145"/>
      <c r="AB613" s="145"/>
      <c r="AC613" s="145"/>
      <c r="AD613" s="145"/>
      <c r="AE613" s="145"/>
      <c r="AF613" s="145"/>
      <c r="AG613" s="145"/>
      <c r="AH613" s="145"/>
      <c r="AI613" s="145"/>
      <c r="AJ613" s="145"/>
      <c r="AK613" s="145"/>
      <c r="AL613" s="145"/>
      <c r="AM613" s="321"/>
      <c r="AN613" s="321"/>
      <c r="AO613" s="321"/>
      <c r="AP613" s="321"/>
      <c r="AQ613" s="321"/>
      <c r="AR613" s="321"/>
      <c r="AS613" s="321"/>
      <c r="AT613" s="321"/>
    </row>
    <row r="614" spans="10:46">
      <c r="J614" s="145"/>
      <c r="K614" s="145"/>
      <c r="L614" s="145"/>
      <c r="M614" s="145"/>
      <c r="N614" s="145"/>
      <c r="O614" s="145"/>
      <c r="P614" s="145"/>
      <c r="Q614" s="145"/>
      <c r="R614" s="145"/>
      <c r="S614" s="145"/>
      <c r="T614" s="145"/>
      <c r="U614" s="145"/>
      <c r="V614" s="145"/>
      <c r="W614" s="145"/>
      <c r="X614" s="145"/>
      <c r="Y614" s="145"/>
      <c r="Z614" s="145"/>
      <c r="AA614" s="145"/>
      <c r="AB614" s="145"/>
      <c r="AC614" s="145"/>
      <c r="AD614" s="145"/>
      <c r="AE614" s="145"/>
      <c r="AF614" s="145"/>
      <c r="AG614" s="145"/>
      <c r="AH614" s="145"/>
      <c r="AI614" s="145"/>
      <c r="AJ614" s="145"/>
      <c r="AK614" s="145"/>
      <c r="AL614" s="145"/>
      <c r="AM614" s="321"/>
      <c r="AN614" s="321"/>
      <c r="AO614" s="321"/>
      <c r="AP614" s="321"/>
      <c r="AQ614" s="321"/>
      <c r="AR614" s="321"/>
      <c r="AS614" s="321"/>
      <c r="AT614" s="321"/>
    </row>
    <row r="615" spans="10:46">
      <c r="J615" s="145"/>
      <c r="K615" s="145"/>
      <c r="L615" s="145"/>
      <c r="M615" s="145"/>
      <c r="N615" s="145"/>
      <c r="O615" s="145"/>
      <c r="P615" s="145"/>
      <c r="Q615" s="145"/>
      <c r="R615" s="145"/>
      <c r="S615" s="145"/>
      <c r="T615" s="145"/>
      <c r="U615" s="145"/>
      <c r="V615" s="145"/>
      <c r="W615" s="145"/>
      <c r="X615" s="145"/>
      <c r="Y615" s="145"/>
      <c r="Z615" s="145"/>
      <c r="AA615" s="145"/>
      <c r="AB615" s="145"/>
      <c r="AC615" s="145"/>
      <c r="AD615" s="145"/>
      <c r="AE615" s="145"/>
      <c r="AF615" s="145"/>
      <c r="AG615" s="145"/>
      <c r="AH615" s="145"/>
      <c r="AI615" s="145"/>
      <c r="AJ615" s="145"/>
      <c r="AK615" s="145"/>
      <c r="AL615" s="145"/>
      <c r="AM615" s="321"/>
      <c r="AN615" s="321"/>
      <c r="AO615" s="321"/>
      <c r="AP615" s="321"/>
      <c r="AQ615" s="321"/>
      <c r="AR615" s="321"/>
      <c r="AS615" s="321"/>
      <c r="AT615" s="321"/>
    </row>
    <row r="616" spans="10:46">
      <c r="J616" s="145"/>
      <c r="K616" s="145"/>
      <c r="L616" s="145"/>
      <c r="M616" s="145"/>
      <c r="N616" s="145"/>
      <c r="O616" s="145"/>
      <c r="P616" s="145"/>
      <c r="Q616" s="145"/>
      <c r="R616" s="145"/>
      <c r="S616" s="145"/>
      <c r="T616" s="145"/>
      <c r="U616" s="145"/>
      <c r="V616" s="145"/>
      <c r="W616" s="145"/>
      <c r="X616" s="145"/>
      <c r="Y616" s="145"/>
      <c r="Z616" s="145"/>
      <c r="AA616" s="145"/>
      <c r="AB616" s="145"/>
      <c r="AC616" s="145"/>
      <c r="AD616" s="145"/>
      <c r="AE616" s="145"/>
      <c r="AF616" s="145"/>
      <c r="AG616" s="145"/>
      <c r="AH616" s="145"/>
      <c r="AI616" s="145"/>
      <c r="AJ616" s="145"/>
      <c r="AK616" s="145"/>
      <c r="AL616" s="145"/>
      <c r="AM616" s="321"/>
      <c r="AN616" s="321"/>
      <c r="AO616" s="321"/>
      <c r="AP616" s="321"/>
      <c r="AQ616" s="321"/>
      <c r="AR616" s="321"/>
      <c r="AS616" s="321"/>
      <c r="AT616" s="321"/>
    </row>
    <row r="617" spans="10:46">
      <c r="J617" s="145"/>
      <c r="K617" s="145"/>
      <c r="L617" s="145"/>
      <c r="M617" s="145"/>
      <c r="N617" s="145"/>
      <c r="O617" s="145"/>
      <c r="P617" s="145"/>
      <c r="Q617" s="145"/>
      <c r="R617" s="145"/>
      <c r="S617" s="145"/>
      <c r="T617" s="145"/>
      <c r="U617" s="145"/>
      <c r="V617" s="145"/>
      <c r="W617" s="145"/>
      <c r="X617" s="145"/>
      <c r="Y617" s="145"/>
      <c r="Z617" s="145"/>
      <c r="AA617" s="145"/>
      <c r="AB617" s="145"/>
      <c r="AC617" s="145"/>
      <c r="AD617" s="145"/>
      <c r="AE617" s="145"/>
      <c r="AF617" s="145"/>
      <c r="AG617" s="145"/>
      <c r="AH617" s="145"/>
      <c r="AI617" s="145"/>
      <c r="AJ617" s="145"/>
      <c r="AK617" s="145"/>
      <c r="AL617" s="145"/>
      <c r="AM617" s="321"/>
      <c r="AN617" s="321"/>
      <c r="AO617" s="321"/>
      <c r="AP617" s="321"/>
      <c r="AQ617" s="321"/>
      <c r="AR617" s="321"/>
      <c r="AS617" s="321"/>
      <c r="AT617" s="321"/>
    </row>
    <row r="618" spans="10:46">
      <c r="J618" s="145"/>
      <c r="K618" s="145"/>
      <c r="L618" s="145"/>
      <c r="M618" s="145"/>
      <c r="N618" s="145"/>
      <c r="O618" s="145"/>
      <c r="P618" s="145"/>
      <c r="Q618" s="145"/>
      <c r="R618" s="145"/>
      <c r="S618" s="145"/>
      <c r="T618" s="145"/>
      <c r="U618" s="145"/>
      <c r="V618" s="145"/>
      <c r="W618" s="145"/>
      <c r="X618" s="145"/>
      <c r="Y618" s="145"/>
      <c r="Z618" s="145"/>
      <c r="AA618" s="145"/>
      <c r="AB618" s="145"/>
      <c r="AC618" s="145"/>
      <c r="AD618" s="145"/>
      <c r="AE618" s="145"/>
      <c r="AF618" s="145"/>
      <c r="AG618" s="145"/>
      <c r="AH618" s="145"/>
      <c r="AI618" s="145"/>
      <c r="AJ618" s="145"/>
      <c r="AK618" s="145"/>
      <c r="AL618" s="145"/>
      <c r="AM618" s="321"/>
      <c r="AN618" s="321"/>
      <c r="AO618" s="321"/>
      <c r="AP618" s="321"/>
      <c r="AQ618" s="321"/>
      <c r="AR618" s="321"/>
      <c r="AS618" s="321"/>
      <c r="AT618" s="321"/>
    </row>
    <row r="619" spans="10:46">
      <c r="J619" s="145"/>
      <c r="K619" s="145"/>
      <c r="L619" s="145"/>
      <c r="M619" s="145"/>
      <c r="N619" s="145"/>
      <c r="O619" s="145"/>
      <c r="P619" s="145"/>
      <c r="Q619" s="145"/>
      <c r="R619" s="145"/>
      <c r="S619" s="145"/>
      <c r="T619" s="145"/>
      <c r="U619" s="145"/>
      <c r="V619" s="145"/>
      <c r="W619" s="145"/>
      <c r="X619" s="145"/>
      <c r="Y619" s="145"/>
      <c r="Z619" s="145"/>
      <c r="AA619" s="145"/>
      <c r="AB619" s="145"/>
      <c r="AC619" s="145"/>
      <c r="AD619" s="145"/>
      <c r="AE619" s="145"/>
      <c r="AF619" s="145"/>
      <c r="AG619" s="145"/>
      <c r="AH619" s="145"/>
      <c r="AI619" s="145"/>
      <c r="AJ619" s="145"/>
      <c r="AK619" s="145"/>
      <c r="AL619" s="145"/>
      <c r="AM619" s="321"/>
      <c r="AN619" s="321"/>
      <c r="AO619" s="321"/>
      <c r="AP619" s="321"/>
      <c r="AQ619" s="321"/>
      <c r="AR619" s="321"/>
      <c r="AS619" s="321"/>
      <c r="AT619" s="321"/>
    </row>
    <row r="620" spans="10:46">
      <c r="J620" s="145"/>
      <c r="K620" s="145"/>
      <c r="L620" s="145"/>
      <c r="M620" s="145"/>
      <c r="N620" s="145"/>
      <c r="O620" s="145"/>
      <c r="P620" s="145"/>
      <c r="Q620" s="145"/>
      <c r="R620" s="145"/>
      <c r="S620" s="145"/>
      <c r="T620" s="145"/>
      <c r="U620" s="145"/>
      <c r="V620" s="145"/>
      <c r="W620" s="145"/>
      <c r="X620" s="145"/>
      <c r="Y620" s="145"/>
      <c r="Z620" s="145"/>
      <c r="AA620" s="145"/>
      <c r="AB620" s="145"/>
      <c r="AC620" s="145"/>
      <c r="AD620" s="145"/>
      <c r="AE620" s="145"/>
      <c r="AF620" s="145"/>
      <c r="AG620" s="145"/>
      <c r="AH620" s="145"/>
      <c r="AI620" s="145"/>
      <c r="AJ620" s="145"/>
      <c r="AK620" s="145"/>
      <c r="AL620" s="145"/>
      <c r="AM620" s="321"/>
      <c r="AN620" s="321"/>
      <c r="AO620" s="321"/>
      <c r="AP620" s="321"/>
      <c r="AQ620" s="321"/>
      <c r="AR620" s="321"/>
      <c r="AS620" s="321"/>
      <c r="AT620" s="321"/>
    </row>
    <row r="621" spans="10:46">
      <c r="J621" s="145"/>
      <c r="K621" s="145"/>
      <c r="L621" s="145"/>
      <c r="M621" s="145"/>
      <c r="N621" s="145"/>
      <c r="O621" s="145"/>
      <c r="P621" s="145"/>
      <c r="Q621" s="145"/>
      <c r="R621" s="145"/>
      <c r="S621" s="145"/>
      <c r="T621" s="145"/>
      <c r="U621" s="145"/>
      <c r="V621" s="145"/>
      <c r="W621" s="145"/>
      <c r="X621" s="145"/>
      <c r="Y621" s="145"/>
      <c r="Z621" s="145"/>
      <c r="AA621" s="145"/>
      <c r="AB621" s="145"/>
      <c r="AC621" s="145"/>
      <c r="AD621" s="145"/>
      <c r="AE621" s="145"/>
      <c r="AF621" s="145"/>
      <c r="AG621" s="145"/>
      <c r="AH621" s="145"/>
      <c r="AI621" s="145"/>
      <c r="AJ621" s="145"/>
      <c r="AK621" s="145"/>
      <c r="AL621" s="145"/>
      <c r="AM621" s="321"/>
      <c r="AN621" s="321"/>
      <c r="AO621" s="321"/>
      <c r="AP621" s="321"/>
      <c r="AQ621" s="321"/>
      <c r="AR621" s="321"/>
      <c r="AS621" s="321"/>
      <c r="AT621" s="321"/>
    </row>
    <row r="622" spans="10:46">
      <c r="J622" s="145"/>
      <c r="K622" s="145"/>
      <c r="L622" s="145"/>
      <c r="M622" s="145"/>
      <c r="N622" s="145"/>
      <c r="O622" s="145"/>
      <c r="P622" s="145"/>
      <c r="Q622" s="145"/>
      <c r="R622" s="145"/>
      <c r="S622" s="145"/>
      <c r="T622" s="145"/>
      <c r="U622" s="145"/>
      <c r="V622" s="145"/>
      <c r="W622" s="145"/>
      <c r="X622" s="145"/>
      <c r="Y622" s="145"/>
      <c r="Z622" s="145"/>
      <c r="AA622" s="145"/>
      <c r="AB622" s="145"/>
      <c r="AC622" s="145"/>
      <c r="AD622" s="145"/>
      <c r="AE622" s="145"/>
      <c r="AF622" s="145"/>
      <c r="AG622" s="145"/>
      <c r="AH622" s="145"/>
      <c r="AI622" s="145"/>
      <c r="AJ622" s="145"/>
      <c r="AK622" s="145"/>
      <c r="AL622" s="145"/>
      <c r="AM622" s="321"/>
      <c r="AN622" s="321"/>
      <c r="AO622" s="321"/>
      <c r="AP622" s="321"/>
      <c r="AQ622" s="321"/>
      <c r="AR622" s="321"/>
      <c r="AS622" s="321"/>
      <c r="AT622" s="321"/>
    </row>
    <row r="623" spans="10:46">
      <c r="J623" s="145"/>
      <c r="K623" s="145"/>
      <c r="L623" s="145"/>
      <c r="M623" s="145"/>
      <c r="N623" s="145"/>
      <c r="O623" s="145"/>
      <c r="P623" s="145"/>
      <c r="Q623" s="145"/>
      <c r="R623" s="145"/>
      <c r="S623" s="145"/>
      <c r="T623" s="145"/>
      <c r="U623" s="145"/>
      <c r="V623" s="145"/>
      <c r="W623" s="145"/>
      <c r="X623" s="145"/>
      <c r="Y623" s="145"/>
      <c r="Z623" s="145"/>
      <c r="AA623" s="145"/>
      <c r="AB623" s="145"/>
      <c r="AC623" s="145"/>
      <c r="AD623" s="145"/>
      <c r="AE623" s="145"/>
      <c r="AF623" s="145"/>
      <c r="AG623" s="145"/>
      <c r="AH623" s="145"/>
      <c r="AI623" s="145"/>
      <c r="AJ623" s="145"/>
      <c r="AK623" s="145"/>
      <c r="AL623" s="145"/>
      <c r="AM623" s="321"/>
      <c r="AN623" s="321"/>
      <c r="AO623" s="321"/>
      <c r="AP623" s="321"/>
      <c r="AQ623" s="321"/>
      <c r="AR623" s="321"/>
      <c r="AS623" s="321"/>
      <c r="AT623" s="321"/>
    </row>
    <row r="624" spans="10:46">
      <c r="J624" s="145"/>
      <c r="K624" s="145"/>
      <c r="L624" s="145"/>
      <c r="M624" s="145"/>
      <c r="N624" s="145"/>
      <c r="O624" s="145"/>
      <c r="P624" s="145"/>
      <c r="Q624" s="145"/>
      <c r="R624" s="145"/>
      <c r="S624" s="145"/>
      <c r="T624" s="145"/>
      <c r="U624" s="145"/>
      <c r="V624" s="145"/>
      <c r="W624" s="145"/>
      <c r="X624" s="145"/>
      <c r="Y624" s="145"/>
      <c r="Z624" s="145"/>
      <c r="AA624" s="145"/>
      <c r="AB624" s="145"/>
      <c r="AC624" s="145"/>
      <c r="AD624" s="145"/>
      <c r="AE624" s="145"/>
      <c r="AF624" s="145"/>
      <c r="AG624" s="145"/>
      <c r="AH624" s="145"/>
      <c r="AI624" s="145"/>
      <c r="AJ624" s="145"/>
      <c r="AK624" s="145"/>
      <c r="AL624" s="145"/>
      <c r="AM624" s="321"/>
      <c r="AN624" s="321"/>
      <c r="AO624" s="321"/>
      <c r="AP624" s="321"/>
      <c r="AQ624" s="321"/>
      <c r="AR624" s="321"/>
      <c r="AS624" s="321"/>
      <c r="AT624" s="321"/>
    </row>
    <row r="625" spans="10:46">
      <c r="J625" s="145"/>
      <c r="K625" s="145"/>
      <c r="L625" s="145"/>
      <c r="M625" s="145"/>
      <c r="N625" s="145"/>
      <c r="O625" s="145"/>
      <c r="P625" s="145"/>
      <c r="Q625" s="145"/>
      <c r="R625" s="145"/>
      <c r="S625" s="145"/>
      <c r="T625" s="145"/>
      <c r="U625" s="145"/>
      <c r="V625" s="145"/>
      <c r="W625" s="145"/>
      <c r="X625" s="145"/>
      <c r="Y625" s="145"/>
      <c r="Z625" s="145"/>
      <c r="AA625" s="145"/>
      <c r="AB625" s="145"/>
      <c r="AC625" s="145"/>
      <c r="AD625" s="145"/>
      <c r="AE625" s="145"/>
      <c r="AF625" s="145"/>
      <c r="AG625" s="145"/>
      <c r="AH625" s="145"/>
      <c r="AI625" s="145"/>
      <c r="AJ625" s="145"/>
      <c r="AK625" s="145"/>
      <c r="AL625" s="145"/>
      <c r="AM625" s="321"/>
      <c r="AN625" s="321"/>
      <c r="AO625" s="321"/>
      <c r="AP625" s="321"/>
      <c r="AQ625" s="321"/>
      <c r="AR625" s="321"/>
      <c r="AS625" s="321"/>
      <c r="AT625" s="321"/>
    </row>
    <row r="626" spans="10:46">
      <c r="J626" s="145"/>
      <c r="K626" s="145"/>
      <c r="L626" s="145"/>
      <c r="M626" s="145"/>
      <c r="N626" s="145"/>
      <c r="O626" s="145"/>
      <c r="P626" s="145"/>
      <c r="Q626" s="145"/>
      <c r="R626" s="145"/>
      <c r="S626" s="145"/>
      <c r="T626" s="145"/>
      <c r="U626" s="145"/>
      <c r="V626" s="145"/>
      <c r="W626" s="145"/>
      <c r="X626" s="145"/>
      <c r="Y626" s="145"/>
      <c r="Z626" s="145"/>
      <c r="AA626" s="145"/>
      <c r="AB626" s="145"/>
      <c r="AC626" s="145"/>
      <c r="AD626" s="145"/>
      <c r="AE626" s="145"/>
      <c r="AF626" s="145"/>
      <c r="AG626" s="145"/>
      <c r="AH626" s="145"/>
      <c r="AI626" s="145"/>
      <c r="AJ626" s="145"/>
      <c r="AK626" s="145"/>
      <c r="AL626" s="145"/>
      <c r="AM626" s="321"/>
      <c r="AN626" s="321"/>
      <c r="AO626" s="321"/>
      <c r="AP626" s="321"/>
      <c r="AQ626" s="321"/>
      <c r="AR626" s="321"/>
      <c r="AS626" s="321"/>
      <c r="AT626" s="321"/>
    </row>
    <row r="627" spans="10:46">
      <c r="J627" s="145"/>
      <c r="K627" s="145"/>
      <c r="L627" s="145"/>
      <c r="M627" s="145"/>
      <c r="N627" s="145"/>
      <c r="O627" s="145"/>
      <c r="P627" s="145"/>
      <c r="Q627" s="145"/>
      <c r="R627" s="145"/>
      <c r="S627" s="145"/>
      <c r="T627" s="145"/>
      <c r="U627" s="145"/>
      <c r="V627" s="145"/>
      <c r="W627" s="145"/>
      <c r="X627" s="145"/>
      <c r="Y627" s="145"/>
      <c r="Z627" s="145"/>
      <c r="AA627" s="145"/>
      <c r="AB627" s="145"/>
      <c r="AC627" s="145"/>
      <c r="AD627" s="145"/>
      <c r="AE627" s="145"/>
      <c r="AF627" s="145"/>
      <c r="AG627" s="145"/>
      <c r="AH627" s="145"/>
      <c r="AI627" s="145"/>
      <c r="AJ627" s="145"/>
      <c r="AK627" s="145"/>
      <c r="AL627" s="145"/>
      <c r="AM627" s="321"/>
      <c r="AN627" s="321"/>
      <c r="AO627" s="321"/>
      <c r="AP627" s="321"/>
      <c r="AQ627" s="321"/>
      <c r="AR627" s="321"/>
      <c r="AS627" s="321"/>
      <c r="AT627" s="321"/>
    </row>
    <row r="628" spans="10:46">
      <c r="J628" s="145"/>
      <c r="K628" s="145"/>
      <c r="L628" s="145"/>
      <c r="M628" s="145"/>
      <c r="N628" s="145"/>
      <c r="O628" s="145"/>
      <c r="P628" s="145"/>
      <c r="Q628" s="145"/>
      <c r="R628" s="145"/>
      <c r="S628" s="145"/>
      <c r="T628" s="145"/>
      <c r="U628" s="145"/>
      <c r="V628" s="145"/>
      <c r="W628" s="145"/>
      <c r="X628" s="145"/>
      <c r="Y628" s="145"/>
      <c r="Z628" s="145"/>
      <c r="AA628" s="145"/>
      <c r="AB628" s="145"/>
      <c r="AC628" s="145"/>
      <c r="AD628" s="145"/>
      <c r="AE628" s="145"/>
      <c r="AF628" s="145"/>
      <c r="AG628" s="145"/>
      <c r="AH628" s="145"/>
      <c r="AI628" s="145"/>
      <c r="AJ628" s="145"/>
      <c r="AK628" s="145"/>
      <c r="AL628" s="145"/>
      <c r="AM628" s="321"/>
      <c r="AN628" s="321"/>
      <c r="AO628" s="321"/>
      <c r="AP628" s="321"/>
      <c r="AQ628" s="321"/>
      <c r="AR628" s="321"/>
      <c r="AS628" s="321"/>
      <c r="AT628" s="321"/>
    </row>
    <row r="629" spans="10:46">
      <c r="J629" s="145"/>
      <c r="K629" s="145"/>
      <c r="L629" s="145"/>
      <c r="M629" s="145"/>
      <c r="N629" s="145"/>
      <c r="O629" s="145"/>
      <c r="P629" s="145"/>
      <c r="Q629" s="145"/>
      <c r="R629" s="145"/>
      <c r="S629" s="145"/>
      <c r="T629" s="145"/>
      <c r="U629" s="145"/>
      <c r="V629" s="145"/>
      <c r="W629" s="145"/>
      <c r="X629" s="145"/>
      <c r="Y629" s="145"/>
      <c r="Z629" s="145"/>
      <c r="AA629" s="145"/>
      <c r="AB629" s="145"/>
      <c r="AC629" s="145"/>
      <c r="AD629" s="145"/>
      <c r="AE629" s="145"/>
      <c r="AF629" s="145"/>
      <c r="AG629" s="145"/>
      <c r="AH629" s="145"/>
      <c r="AI629" s="145"/>
      <c r="AJ629" s="145"/>
      <c r="AK629" s="145"/>
      <c r="AL629" s="145"/>
      <c r="AM629" s="321"/>
      <c r="AN629" s="321"/>
      <c r="AO629" s="321"/>
      <c r="AP629" s="321"/>
      <c r="AQ629" s="321"/>
      <c r="AR629" s="321"/>
      <c r="AS629" s="321"/>
      <c r="AT629" s="321"/>
    </row>
    <row r="630" spans="10:46">
      <c r="J630" s="145"/>
      <c r="K630" s="145"/>
      <c r="L630" s="145"/>
      <c r="M630" s="145"/>
      <c r="N630" s="145"/>
      <c r="O630" s="145"/>
      <c r="P630" s="145"/>
      <c r="Q630" s="145"/>
      <c r="R630" s="145"/>
      <c r="S630" s="145"/>
      <c r="T630" s="145"/>
      <c r="U630" s="145"/>
      <c r="V630" s="145"/>
      <c r="W630" s="145"/>
      <c r="X630" s="145"/>
      <c r="Y630" s="145"/>
      <c r="Z630" s="145"/>
      <c r="AA630" s="145"/>
      <c r="AB630" s="145"/>
      <c r="AC630" s="145"/>
      <c r="AD630" s="145"/>
      <c r="AE630" s="145"/>
      <c r="AF630" s="145"/>
      <c r="AG630" s="145"/>
      <c r="AH630" s="145"/>
      <c r="AI630" s="145"/>
      <c r="AJ630" s="145"/>
      <c r="AK630" s="145"/>
      <c r="AL630" s="145"/>
      <c r="AM630" s="321"/>
      <c r="AN630" s="321"/>
      <c r="AO630" s="321"/>
      <c r="AP630" s="321"/>
      <c r="AQ630" s="321"/>
      <c r="AR630" s="321"/>
      <c r="AS630" s="321"/>
      <c r="AT630" s="321"/>
    </row>
    <row r="631" spans="10:46">
      <c r="J631" s="145"/>
      <c r="K631" s="145"/>
      <c r="L631" s="145"/>
      <c r="M631" s="145"/>
      <c r="N631" s="145"/>
      <c r="O631" s="145"/>
      <c r="P631" s="145"/>
      <c r="Q631" s="145"/>
      <c r="R631" s="145"/>
      <c r="S631" s="145"/>
      <c r="T631" s="145"/>
      <c r="U631" s="145"/>
      <c r="V631" s="145"/>
      <c r="W631" s="145"/>
      <c r="X631" s="145"/>
      <c r="Y631" s="145"/>
      <c r="Z631" s="145"/>
      <c r="AA631" s="145"/>
      <c r="AB631" s="145"/>
      <c r="AC631" s="145"/>
      <c r="AD631" s="145"/>
      <c r="AE631" s="145"/>
      <c r="AF631" s="145"/>
      <c r="AG631" s="145"/>
      <c r="AH631" s="145"/>
      <c r="AI631" s="145"/>
      <c r="AJ631" s="145"/>
      <c r="AK631" s="145"/>
      <c r="AL631" s="145"/>
      <c r="AM631" s="321"/>
      <c r="AN631" s="321"/>
      <c r="AO631" s="321"/>
      <c r="AP631" s="321"/>
      <c r="AQ631" s="321"/>
      <c r="AR631" s="321"/>
      <c r="AS631" s="321"/>
      <c r="AT631" s="321"/>
    </row>
    <row r="632" spans="10:46">
      <c r="J632" s="145"/>
      <c r="K632" s="145"/>
      <c r="L632" s="145"/>
      <c r="M632" s="145"/>
      <c r="N632" s="145"/>
      <c r="O632" s="145"/>
      <c r="P632" s="145"/>
      <c r="Q632" s="145"/>
      <c r="R632" s="145"/>
      <c r="S632" s="145"/>
      <c r="T632" s="145"/>
      <c r="U632" s="145"/>
      <c r="V632" s="145"/>
      <c r="W632" s="145"/>
      <c r="X632" s="145"/>
      <c r="Y632" s="145"/>
      <c r="Z632" s="145"/>
      <c r="AA632" s="145"/>
      <c r="AB632" s="145"/>
      <c r="AC632" s="145"/>
      <c r="AD632" s="145"/>
      <c r="AE632" s="145"/>
      <c r="AF632" s="145"/>
      <c r="AG632" s="145"/>
      <c r="AH632" s="145"/>
      <c r="AI632" s="145"/>
      <c r="AJ632" s="145"/>
      <c r="AK632" s="145"/>
      <c r="AL632" s="145"/>
      <c r="AM632" s="321"/>
      <c r="AN632" s="321"/>
      <c r="AO632" s="321"/>
      <c r="AP632" s="321"/>
      <c r="AQ632" s="321"/>
      <c r="AR632" s="321"/>
      <c r="AS632" s="321"/>
      <c r="AT632" s="321"/>
    </row>
    <row r="633" spans="10:46">
      <c r="J633" s="145"/>
      <c r="K633" s="145"/>
      <c r="L633" s="145"/>
      <c r="M633" s="145"/>
      <c r="N633" s="145"/>
      <c r="O633" s="145"/>
      <c r="P633" s="145"/>
      <c r="Q633" s="145"/>
      <c r="R633" s="145"/>
      <c r="S633" s="145"/>
      <c r="T633" s="145"/>
      <c r="U633" s="145"/>
      <c r="V633" s="145"/>
      <c r="W633" s="145"/>
      <c r="X633" s="145"/>
      <c r="Y633" s="145"/>
      <c r="Z633" s="145"/>
      <c r="AA633" s="145"/>
      <c r="AB633" s="145"/>
      <c r="AC633" s="145"/>
      <c r="AD633" s="145"/>
      <c r="AE633" s="145"/>
      <c r="AF633" s="145"/>
      <c r="AG633" s="145"/>
      <c r="AH633" s="145"/>
      <c r="AI633" s="145"/>
      <c r="AJ633" s="145"/>
      <c r="AK633" s="145"/>
      <c r="AL633" s="145"/>
      <c r="AM633" s="321"/>
      <c r="AN633" s="321"/>
      <c r="AO633" s="321"/>
      <c r="AP633" s="321"/>
      <c r="AQ633" s="321"/>
      <c r="AR633" s="321"/>
      <c r="AS633" s="321"/>
      <c r="AT633" s="321"/>
    </row>
    <row r="634" spans="10:46">
      <c r="J634" s="145"/>
      <c r="K634" s="145"/>
      <c r="L634" s="145"/>
      <c r="M634" s="145"/>
      <c r="N634" s="145"/>
      <c r="O634" s="145"/>
      <c r="P634" s="145"/>
      <c r="Q634" s="145"/>
      <c r="R634" s="145"/>
      <c r="S634" s="145"/>
      <c r="T634" s="145"/>
      <c r="U634" s="145"/>
      <c r="V634" s="145"/>
      <c r="W634" s="145"/>
      <c r="X634" s="145"/>
      <c r="Y634" s="145"/>
      <c r="Z634" s="145"/>
      <c r="AA634" s="145"/>
      <c r="AB634" s="145"/>
      <c r="AC634" s="145"/>
      <c r="AD634" s="145"/>
      <c r="AE634" s="145"/>
      <c r="AF634" s="145"/>
      <c r="AG634" s="145"/>
      <c r="AH634" s="145"/>
      <c r="AI634" s="145"/>
      <c r="AJ634" s="145"/>
      <c r="AK634" s="145"/>
      <c r="AL634" s="145"/>
      <c r="AM634" s="321"/>
      <c r="AN634" s="321"/>
      <c r="AO634" s="321"/>
      <c r="AP634" s="321"/>
      <c r="AQ634" s="321"/>
      <c r="AR634" s="321"/>
      <c r="AS634" s="321"/>
      <c r="AT634" s="321"/>
    </row>
    <row r="635" spans="10:46">
      <c r="J635" s="145"/>
      <c r="K635" s="145"/>
      <c r="L635" s="145"/>
      <c r="M635" s="145"/>
      <c r="N635" s="145"/>
      <c r="O635" s="145"/>
      <c r="P635" s="145"/>
      <c r="Q635" s="145"/>
      <c r="R635" s="145"/>
      <c r="S635" s="145"/>
      <c r="T635" s="145"/>
      <c r="U635" s="145"/>
      <c r="V635" s="145"/>
      <c r="W635" s="145"/>
      <c r="X635" s="145"/>
      <c r="Y635" s="145"/>
      <c r="Z635" s="145"/>
      <c r="AA635" s="145"/>
      <c r="AB635" s="145"/>
      <c r="AC635" s="145"/>
      <c r="AD635" s="145"/>
      <c r="AE635" s="145"/>
      <c r="AF635" s="145"/>
      <c r="AG635" s="145"/>
      <c r="AH635" s="145"/>
      <c r="AI635" s="145"/>
      <c r="AJ635" s="145"/>
      <c r="AK635" s="145"/>
      <c r="AL635" s="145"/>
      <c r="AM635" s="321"/>
      <c r="AN635" s="321"/>
      <c r="AO635" s="321"/>
      <c r="AP635" s="321"/>
      <c r="AQ635" s="321"/>
      <c r="AR635" s="321"/>
      <c r="AS635" s="321"/>
      <c r="AT635" s="321"/>
    </row>
    <row r="636" spans="10:46">
      <c r="J636" s="145"/>
      <c r="K636" s="145"/>
      <c r="L636" s="145"/>
      <c r="M636" s="145"/>
      <c r="N636" s="145"/>
      <c r="O636" s="145"/>
      <c r="P636" s="145"/>
      <c r="Q636" s="145"/>
      <c r="R636" s="145"/>
      <c r="S636" s="145"/>
      <c r="T636" s="145"/>
      <c r="U636" s="145"/>
      <c r="V636" s="145"/>
      <c r="W636" s="145"/>
      <c r="X636" s="145"/>
      <c r="Y636" s="145"/>
      <c r="Z636" s="145"/>
      <c r="AA636" s="145"/>
      <c r="AB636" s="145"/>
      <c r="AC636" s="145"/>
      <c r="AD636" s="145"/>
      <c r="AE636" s="145"/>
      <c r="AF636" s="145"/>
      <c r="AG636" s="145"/>
      <c r="AH636" s="145"/>
      <c r="AI636" s="145"/>
      <c r="AJ636" s="145"/>
      <c r="AK636" s="145"/>
      <c r="AL636" s="145"/>
      <c r="AM636" s="321"/>
      <c r="AN636" s="321"/>
      <c r="AO636" s="321"/>
      <c r="AP636" s="321"/>
      <c r="AQ636" s="321"/>
      <c r="AR636" s="321"/>
      <c r="AS636" s="321"/>
      <c r="AT636" s="321"/>
    </row>
    <row r="637" spans="10:46">
      <c r="J637" s="145"/>
      <c r="K637" s="145"/>
      <c r="L637" s="145"/>
      <c r="M637" s="145"/>
      <c r="N637" s="145"/>
      <c r="O637" s="145"/>
      <c r="P637" s="145"/>
      <c r="Q637" s="145"/>
      <c r="R637" s="145"/>
      <c r="S637" s="145"/>
      <c r="T637" s="145"/>
      <c r="U637" s="145"/>
      <c r="V637" s="145"/>
      <c r="W637" s="145"/>
      <c r="X637" s="145"/>
      <c r="Y637" s="145"/>
      <c r="Z637" s="145"/>
      <c r="AA637" s="145"/>
      <c r="AB637" s="145"/>
      <c r="AC637" s="145"/>
      <c r="AD637" s="145"/>
      <c r="AE637" s="145"/>
      <c r="AF637" s="145"/>
      <c r="AG637" s="145"/>
      <c r="AH637" s="145"/>
      <c r="AI637" s="145"/>
      <c r="AJ637" s="145"/>
      <c r="AK637" s="145"/>
      <c r="AL637" s="145"/>
      <c r="AM637" s="321"/>
      <c r="AN637" s="321"/>
      <c r="AO637" s="321"/>
      <c r="AP637" s="321"/>
      <c r="AQ637" s="321"/>
      <c r="AR637" s="321"/>
      <c r="AS637" s="321"/>
      <c r="AT637" s="321"/>
    </row>
    <row r="638" spans="10:46">
      <c r="J638" s="145"/>
      <c r="K638" s="145"/>
      <c r="L638" s="145"/>
      <c r="M638" s="145"/>
      <c r="N638" s="145"/>
      <c r="O638" s="145"/>
      <c r="P638" s="145"/>
      <c r="Q638" s="145"/>
      <c r="R638" s="145"/>
      <c r="S638" s="145"/>
      <c r="T638" s="145"/>
      <c r="U638" s="145"/>
      <c r="V638" s="145"/>
      <c r="W638" s="145"/>
      <c r="X638" s="145"/>
      <c r="Y638" s="145"/>
      <c r="Z638" s="145"/>
      <c r="AA638" s="145"/>
      <c r="AB638" s="145"/>
      <c r="AC638" s="145"/>
      <c r="AD638" s="145"/>
      <c r="AE638" s="145"/>
      <c r="AF638" s="145"/>
      <c r="AG638" s="145"/>
      <c r="AH638" s="145"/>
      <c r="AI638" s="145"/>
      <c r="AJ638" s="145"/>
      <c r="AK638" s="145"/>
      <c r="AL638" s="145"/>
      <c r="AM638" s="321"/>
      <c r="AN638" s="321"/>
      <c r="AO638" s="321"/>
      <c r="AP638" s="321"/>
      <c r="AQ638" s="321"/>
      <c r="AR638" s="321"/>
      <c r="AS638" s="321"/>
      <c r="AT638" s="321"/>
    </row>
    <row r="639" spans="10:46">
      <c r="J639" s="145"/>
      <c r="K639" s="145"/>
      <c r="L639" s="145"/>
      <c r="M639" s="145"/>
      <c r="N639" s="145"/>
      <c r="O639" s="145"/>
      <c r="P639" s="145"/>
      <c r="Q639" s="145"/>
      <c r="R639" s="145"/>
      <c r="S639" s="145"/>
      <c r="T639" s="145"/>
      <c r="U639" s="145"/>
      <c r="V639" s="145"/>
      <c r="W639" s="145"/>
      <c r="X639" s="145"/>
      <c r="Y639" s="145"/>
      <c r="Z639" s="145"/>
      <c r="AA639" s="145"/>
      <c r="AB639" s="145"/>
      <c r="AC639" s="145"/>
      <c r="AD639" s="145"/>
      <c r="AE639" s="145"/>
      <c r="AF639" s="145"/>
      <c r="AG639" s="145"/>
      <c r="AH639" s="145"/>
      <c r="AI639" s="145"/>
      <c r="AJ639" s="145"/>
      <c r="AK639" s="145"/>
      <c r="AL639" s="145"/>
      <c r="AM639" s="321"/>
      <c r="AN639" s="321"/>
      <c r="AO639" s="321"/>
      <c r="AP639" s="321"/>
      <c r="AQ639" s="321"/>
      <c r="AR639" s="321"/>
      <c r="AS639" s="321"/>
      <c r="AT639" s="321"/>
    </row>
    <row r="640" spans="10:46">
      <c r="J640" s="145"/>
      <c r="K640" s="145"/>
      <c r="L640" s="145"/>
      <c r="M640" s="145"/>
      <c r="N640" s="145"/>
      <c r="O640" s="145"/>
      <c r="P640" s="145"/>
      <c r="Q640" s="145"/>
      <c r="R640" s="145"/>
      <c r="S640" s="145"/>
      <c r="T640" s="145"/>
      <c r="U640" s="145"/>
      <c r="V640" s="145"/>
      <c r="W640" s="145"/>
      <c r="X640" s="145"/>
      <c r="Y640" s="145"/>
      <c r="Z640" s="145"/>
      <c r="AA640" s="145"/>
      <c r="AB640" s="145"/>
      <c r="AC640" s="145"/>
      <c r="AD640" s="145"/>
      <c r="AE640" s="145"/>
      <c r="AF640" s="145"/>
      <c r="AG640" s="145"/>
      <c r="AH640" s="145"/>
      <c r="AI640" s="145"/>
      <c r="AJ640" s="145"/>
      <c r="AK640" s="145"/>
      <c r="AL640" s="145"/>
      <c r="AM640" s="321"/>
      <c r="AN640" s="321"/>
      <c r="AO640" s="321"/>
      <c r="AP640" s="321"/>
      <c r="AQ640" s="321"/>
      <c r="AR640" s="321"/>
      <c r="AS640" s="321"/>
      <c r="AT640" s="321"/>
    </row>
    <row r="641" spans="10:46">
      <c r="J641" s="145"/>
      <c r="K641" s="145"/>
      <c r="L641" s="145"/>
      <c r="M641" s="145"/>
      <c r="N641" s="145"/>
      <c r="O641" s="145"/>
      <c r="P641" s="145"/>
      <c r="Q641" s="145"/>
      <c r="R641" s="145"/>
      <c r="S641" s="145"/>
      <c r="T641" s="145"/>
      <c r="U641" s="145"/>
      <c r="V641" s="145"/>
      <c r="W641" s="145"/>
      <c r="X641" s="145"/>
      <c r="Y641" s="145"/>
      <c r="Z641" s="145"/>
      <c r="AA641" s="145"/>
      <c r="AB641" s="145"/>
      <c r="AC641" s="145"/>
      <c r="AD641" s="145"/>
      <c r="AE641" s="145"/>
      <c r="AF641" s="145"/>
      <c r="AG641" s="145"/>
      <c r="AH641" s="145"/>
      <c r="AI641" s="145"/>
      <c r="AJ641" s="145"/>
      <c r="AK641" s="145"/>
      <c r="AL641" s="145"/>
      <c r="AM641" s="321"/>
      <c r="AN641" s="321"/>
      <c r="AO641" s="321"/>
      <c r="AP641" s="321"/>
      <c r="AQ641" s="321"/>
      <c r="AR641" s="321"/>
      <c r="AS641" s="321"/>
      <c r="AT641" s="321"/>
    </row>
    <row r="642" spans="10:46">
      <c r="J642" s="145"/>
      <c r="K642" s="145"/>
      <c r="L642" s="145"/>
      <c r="M642" s="145"/>
      <c r="N642" s="145"/>
      <c r="O642" s="145"/>
      <c r="P642" s="145"/>
      <c r="Q642" s="145"/>
      <c r="R642" s="145"/>
      <c r="S642" s="145"/>
      <c r="T642" s="145"/>
      <c r="U642" s="145"/>
      <c r="V642" s="145"/>
      <c r="W642" s="145"/>
      <c r="X642" s="145"/>
      <c r="Y642" s="145"/>
      <c r="Z642" s="145"/>
      <c r="AA642" s="145"/>
      <c r="AB642" s="145"/>
      <c r="AC642" s="145"/>
      <c r="AD642" s="145"/>
      <c r="AE642" s="145"/>
      <c r="AF642" s="145"/>
      <c r="AG642" s="145"/>
      <c r="AH642" s="145"/>
      <c r="AI642" s="145"/>
      <c r="AJ642" s="145"/>
      <c r="AK642" s="145"/>
      <c r="AL642" s="145"/>
      <c r="AM642" s="321"/>
      <c r="AN642" s="321"/>
      <c r="AO642" s="321"/>
      <c r="AP642" s="321"/>
      <c r="AQ642" s="321"/>
      <c r="AR642" s="321"/>
      <c r="AS642" s="321"/>
      <c r="AT642" s="321"/>
    </row>
    <row r="643" spans="10:46">
      <c r="J643" s="145"/>
      <c r="K643" s="145"/>
      <c r="L643" s="145"/>
      <c r="M643" s="145"/>
      <c r="N643" s="145"/>
      <c r="O643" s="145"/>
      <c r="P643" s="145"/>
      <c r="Q643" s="145"/>
      <c r="R643" s="145"/>
      <c r="S643" s="145"/>
      <c r="T643" s="145"/>
      <c r="U643" s="145"/>
      <c r="V643" s="145"/>
      <c r="W643" s="145"/>
      <c r="X643" s="145"/>
      <c r="Y643" s="145"/>
      <c r="Z643" s="145"/>
      <c r="AA643" s="145"/>
      <c r="AB643" s="145"/>
      <c r="AC643" s="145"/>
      <c r="AD643" s="145"/>
      <c r="AE643" s="145"/>
      <c r="AF643" s="145"/>
      <c r="AG643" s="145"/>
      <c r="AH643" s="145"/>
      <c r="AI643" s="145"/>
      <c r="AJ643" s="145"/>
      <c r="AK643" s="145"/>
      <c r="AL643" s="145"/>
      <c r="AM643" s="321"/>
      <c r="AN643" s="321"/>
      <c r="AO643" s="321"/>
      <c r="AP643" s="321"/>
      <c r="AQ643" s="321"/>
      <c r="AR643" s="321"/>
      <c r="AS643" s="321"/>
      <c r="AT643" s="321"/>
    </row>
    <row r="644" spans="10:46">
      <c r="J644" s="145"/>
      <c r="K644" s="145"/>
      <c r="L644" s="145"/>
      <c r="M644" s="145"/>
      <c r="N644" s="145"/>
      <c r="O644" s="145"/>
      <c r="P644" s="145"/>
      <c r="Q644" s="145"/>
      <c r="R644" s="145"/>
      <c r="S644" s="145"/>
      <c r="T644" s="145"/>
      <c r="U644" s="145"/>
      <c r="V644" s="145"/>
      <c r="W644" s="145"/>
      <c r="X644" s="145"/>
      <c r="Y644" s="145"/>
      <c r="Z644" s="145"/>
      <c r="AA644" s="145"/>
      <c r="AB644" s="145"/>
      <c r="AC644" s="145"/>
      <c r="AD644" s="145"/>
      <c r="AE644" s="145"/>
      <c r="AF644" s="145"/>
      <c r="AG644" s="145"/>
      <c r="AH644" s="145"/>
      <c r="AI644" s="145"/>
      <c r="AJ644" s="145"/>
      <c r="AK644" s="145"/>
      <c r="AL644" s="145"/>
      <c r="AM644" s="321"/>
      <c r="AN644" s="321"/>
      <c r="AO644" s="321"/>
      <c r="AP644" s="321"/>
      <c r="AQ644" s="321"/>
      <c r="AR644" s="321"/>
      <c r="AS644" s="321"/>
      <c r="AT644" s="321"/>
    </row>
    <row r="645" spans="10:46">
      <c r="J645" s="145"/>
      <c r="K645" s="145"/>
      <c r="L645" s="145"/>
      <c r="M645" s="145"/>
      <c r="N645" s="145"/>
      <c r="O645" s="145"/>
      <c r="P645" s="145"/>
      <c r="Q645" s="145"/>
      <c r="R645" s="145"/>
      <c r="S645" s="145"/>
      <c r="T645" s="145"/>
      <c r="U645" s="145"/>
      <c r="V645" s="145"/>
      <c r="W645" s="145"/>
      <c r="X645" s="145"/>
      <c r="Y645" s="145"/>
      <c r="Z645" s="145"/>
      <c r="AA645" s="145"/>
      <c r="AB645" s="145"/>
      <c r="AC645" s="145"/>
      <c r="AD645" s="145"/>
      <c r="AE645" s="145"/>
      <c r="AF645" s="145"/>
      <c r="AG645" s="145"/>
      <c r="AH645" s="145"/>
      <c r="AI645" s="145"/>
      <c r="AJ645" s="145"/>
      <c r="AK645" s="145"/>
      <c r="AL645" s="145"/>
      <c r="AM645" s="321"/>
      <c r="AN645" s="321"/>
      <c r="AO645" s="321"/>
      <c r="AP645" s="321"/>
      <c r="AQ645" s="321"/>
      <c r="AR645" s="321"/>
      <c r="AS645" s="321"/>
      <c r="AT645" s="321"/>
    </row>
    <row r="646" spans="10:46">
      <c r="J646" s="145"/>
      <c r="K646" s="145"/>
      <c r="L646" s="145"/>
      <c r="M646" s="145"/>
      <c r="N646" s="145"/>
      <c r="O646" s="145"/>
      <c r="P646" s="145"/>
      <c r="Q646" s="145"/>
      <c r="R646" s="145"/>
      <c r="S646" s="145"/>
      <c r="T646" s="145"/>
      <c r="U646" s="145"/>
      <c r="V646" s="145"/>
      <c r="W646" s="145"/>
      <c r="X646" s="145"/>
      <c r="Y646" s="145"/>
      <c r="Z646" s="145"/>
      <c r="AA646" s="145"/>
      <c r="AB646" s="145"/>
      <c r="AC646" s="145"/>
      <c r="AD646" s="145"/>
      <c r="AE646" s="145"/>
      <c r="AF646" s="145"/>
      <c r="AG646" s="145"/>
      <c r="AH646" s="145"/>
      <c r="AI646" s="145"/>
      <c r="AJ646" s="145"/>
      <c r="AK646" s="145"/>
      <c r="AL646" s="145"/>
      <c r="AM646" s="321"/>
      <c r="AN646" s="321"/>
      <c r="AO646" s="321"/>
      <c r="AP646" s="321"/>
      <c r="AQ646" s="321"/>
      <c r="AR646" s="321"/>
      <c r="AS646" s="321"/>
      <c r="AT646" s="321"/>
    </row>
    <row r="647" spans="10:46">
      <c r="J647" s="145"/>
      <c r="K647" s="145"/>
      <c r="L647" s="145"/>
      <c r="M647" s="145"/>
      <c r="N647" s="145"/>
      <c r="O647" s="145"/>
      <c r="P647" s="145"/>
      <c r="Q647" s="145"/>
      <c r="R647" s="145"/>
      <c r="S647" s="145"/>
      <c r="T647" s="145"/>
      <c r="U647" s="145"/>
      <c r="V647" s="145"/>
      <c r="W647" s="145"/>
      <c r="X647" s="145"/>
      <c r="Y647" s="145"/>
      <c r="Z647" s="145"/>
      <c r="AA647" s="145"/>
      <c r="AB647" s="145"/>
      <c r="AC647" s="145"/>
      <c r="AD647" s="145"/>
      <c r="AE647" s="145"/>
      <c r="AF647" s="145"/>
      <c r="AG647" s="145"/>
      <c r="AH647" s="145"/>
      <c r="AI647" s="145"/>
      <c r="AJ647" s="145"/>
      <c r="AK647" s="145"/>
      <c r="AL647" s="145"/>
      <c r="AM647" s="321"/>
      <c r="AN647" s="321"/>
      <c r="AO647" s="321"/>
      <c r="AP647" s="321"/>
      <c r="AQ647" s="321"/>
      <c r="AR647" s="321"/>
      <c r="AS647" s="321"/>
      <c r="AT647" s="321"/>
    </row>
    <row r="648" spans="10:46">
      <c r="J648" s="145"/>
      <c r="K648" s="145"/>
      <c r="L648" s="145"/>
      <c r="M648" s="145"/>
      <c r="N648" s="145"/>
      <c r="O648" s="145"/>
      <c r="P648" s="145"/>
      <c r="Q648" s="145"/>
      <c r="R648" s="145"/>
      <c r="S648" s="145"/>
      <c r="T648" s="145"/>
      <c r="U648" s="145"/>
      <c r="V648" s="145"/>
      <c r="W648" s="145"/>
      <c r="X648" s="145"/>
      <c r="Y648" s="145"/>
      <c r="Z648" s="145"/>
      <c r="AA648" s="145"/>
      <c r="AB648" s="145"/>
      <c r="AC648" s="145"/>
      <c r="AD648" s="145"/>
      <c r="AE648" s="145"/>
      <c r="AF648" s="145"/>
      <c r="AG648" s="145"/>
      <c r="AH648" s="145"/>
      <c r="AI648" s="145"/>
      <c r="AJ648" s="145"/>
      <c r="AK648" s="145"/>
      <c r="AL648" s="145"/>
      <c r="AM648" s="321"/>
      <c r="AN648" s="321"/>
      <c r="AO648" s="321"/>
      <c r="AP648" s="321"/>
      <c r="AQ648" s="321"/>
      <c r="AR648" s="321"/>
      <c r="AS648" s="321"/>
      <c r="AT648" s="321"/>
    </row>
    <row r="649" spans="10:46">
      <c r="J649" s="145"/>
      <c r="K649" s="145"/>
      <c r="L649" s="145"/>
      <c r="M649" s="145"/>
      <c r="N649" s="145"/>
      <c r="O649" s="145"/>
      <c r="P649" s="145"/>
      <c r="Q649" s="145"/>
      <c r="R649" s="145"/>
      <c r="S649" s="145"/>
      <c r="T649" s="145"/>
      <c r="U649" s="145"/>
      <c r="V649" s="145"/>
      <c r="W649" s="145"/>
      <c r="X649" s="145"/>
      <c r="Y649" s="145"/>
      <c r="Z649" s="145"/>
      <c r="AA649" s="145"/>
      <c r="AB649" s="145"/>
      <c r="AC649" s="145"/>
      <c r="AD649" s="145"/>
      <c r="AE649" s="145"/>
      <c r="AF649" s="145"/>
      <c r="AG649" s="145"/>
      <c r="AH649" s="145"/>
      <c r="AI649" s="145"/>
      <c r="AJ649" s="145"/>
      <c r="AK649" s="145"/>
      <c r="AL649" s="145"/>
      <c r="AM649" s="321"/>
      <c r="AN649" s="321"/>
      <c r="AO649" s="321"/>
      <c r="AP649" s="321"/>
      <c r="AQ649" s="321"/>
      <c r="AR649" s="321"/>
      <c r="AS649" s="321"/>
      <c r="AT649" s="321"/>
    </row>
    <row r="650" spans="10:46">
      <c r="J650" s="145"/>
      <c r="K650" s="145"/>
      <c r="L650" s="145"/>
      <c r="M650" s="145"/>
      <c r="N650" s="145"/>
      <c r="O650" s="145"/>
      <c r="P650" s="145"/>
      <c r="Q650" s="145"/>
      <c r="R650" s="145"/>
      <c r="S650" s="145"/>
      <c r="T650" s="145"/>
      <c r="U650" s="145"/>
      <c r="V650" s="145"/>
      <c r="W650" s="145"/>
      <c r="X650" s="145"/>
      <c r="Y650" s="145"/>
      <c r="Z650" s="145"/>
      <c r="AA650" s="145"/>
      <c r="AB650" s="145"/>
      <c r="AC650" s="145"/>
      <c r="AD650" s="145"/>
      <c r="AE650" s="145"/>
      <c r="AF650" s="145"/>
      <c r="AG650" s="145"/>
      <c r="AH650" s="145"/>
      <c r="AI650" s="145"/>
      <c r="AJ650" s="145"/>
      <c r="AK650" s="145"/>
      <c r="AL650" s="145"/>
      <c r="AM650" s="321"/>
      <c r="AN650" s="321"/>
      <c r="AO650" s="321"/>
      <c r="AP650" s="321"/>
      <c r="AQ650" s="321"/>
      <c r="AR650" s="321"/>
      <c r="AS650" s="321"/>
      <c r="AT650" s="321"/>
    </row>
    <row r="651" spans="10:46">
      <c r="J651" s="145"/>
      <c r="K651" s="145"/>
      <c r="L651" s="145"/>
      <c r="M651" s="145"/>
      <c r="N651" s="145"/>
      <c r="O651" s="145"/>
      <c r="P651" s="145"/>
      <c r="Q651" s="145"/>
      <c r="R651" s="145"/>
      <c r="S651" s="145"/>
      <c r="T651" s="145"/>
      <c r="U651" s="145"/>
      <c r="V651" s="145"/>
      <c r="W651" s="145"/>
      <c r="X651" s="145"/>
      <c r="Y651" s="145"/>
      <c r="Z651" s="145"/>
      <c r="AA651" s="145"/>
      <c r="AB651" s="145"/>
      <c r="AC651" s="145"/>
      <c r="AD651" s="145"/>
      <c r="AE651" s="145"/>
      <c r="AF651" s="145"/>
      <c r="AG651" s="145"/>
      <c r="AH651" s="145"/>
      <c r="AI651" s="145"/>
      <c r="AJ651" s="145"/>
      <c r="AK651" s="145"/>
      <c r="AL651" s="145"/>
      <c r="AM651" s="321"/>
      <c r="AN651" s="321"/>
      <c r="AO651" s="321"/>
      <c r="AP651" s="321"/>
      <c r="AQ651" s="321"/>
      <c r="AR651" s="321"/>
      <c r="AS651" s="321"/>
      <c r="AT651" s="321"/>
    </row>
    <row r="652" spans="10:46">
      <c r="J652" s="145"/>
      <c r="K652" s="145"/>
      <c r="L652" s="145"/>
      <c r="M652" s="145"/>
      <c r="N652" s="145"/>
      <c r="O652" s="145"/>
      <c r="P652" s="145"/>
      <c r="Q652" s="145"/>
      <c r="R652" s="145"/>
      <c r="S652" s="145"/>
      <c r="T652" s="145"/>
      <c r="U652" s="145"/>
      <c r="V652" s="145"/>
      <c r="W652" s="145"/>
      <c r="X652" s="145"/>
      <c r="Y652" s="145"/>
      <c r="Z652" s="145"/>
      <c r="AA652" s="145"/>
      <c r="AB652" s="145"/>
      <c r="AC652" s="145"/>
      <c r="AD652" s="145"/>
      <c r="AE652" s="145"/>
      <c r="AF652" s="145"/>
      <c r="AG652" s="145"/>
      <c r="AH652" s="145"/>
      <c r="AI652" s="145"/>
      <c r="AJ652" s="145"/>
      <c r="AK652" s="145"/>
      <c r="AL652" s="145"/>
      <c r="AM652" s="321"/>
      <c r="AN652" s="321"/>
      <c r="AO652" s="321"/>
      <c r="AP652" s="321"/>
      <c r="AQ652" s="321"/>
      <c r="AR652" s="321"/>
      <c r="AS652" s="321"/>
      <c r="AT652" s="321"/>
    </row>
    <row r="653" spans="10:46">
      <c r="J653" s="145"/>
      <c r="K653" s="145"/>
      <c r="L653" s="145"/>
      <c r="M653" s="145"/>
      <c r="N653" s="145"/>
      <c r="O653" s="145"/>
      <c r="P653" s="145"/>
      <c r="Q653" s="145"/>
      <c r="R653" s="145"/>
      <c r="S653" s="145"/>
      <c r="T653" s="145"/>
      <c r="U653" s="145"/>
      <c r="V653" s="145"/>
      <c r="W653" s="145"/>
      <c r="X653" s="145"/>
      <c r="Y653" s="145"/>
      <c r="Z653" s="145"/>
      <c r="AA653" s="145"/>
      <c r="AB653" s="145"/>
      <c r="AC653" s="145"/>
      <c r="AD653" s="145"/>
      <c r="AE653" s="145"/>
      <c r="AF653" s="145"/>
      <c r="AG653" s="145"/>
      <c r="AH653" s="145"/>
      <c r="AI653" s="145"/>
      <c r="AJ653" s="145"/>
      <c r="AK653" s="145"/>
      <c r="AL653" s="145"/>
      <c r="AM653" s="321"/>
      <c r="AN653" s="321"/>
      <c r="AO653" s="321"/>
      <c r="AP653" s="321"/>
      <c r="AQ653" s="321"/>
      <c r="AR653" s="321"/>
      <c r="AS653" s="321"/>
      <c r="AT653" s="321"/>
    </row>
    <row r="654" spans="10:46">
      <c r="J654" s="145"/>
      <c r="K654" s="145"/>
      <c r="L654" s="145"/>
      <c r="M654" s="145"/>
      <c r="N654" s="145"/>
      <c r="O654" s="145"/>
      <c r="P654" s="145"/>
      <c r="Q654" s="145"/>
      <c r="R654" s="145"/>
      <c r="S654" s="145"/>
      <c r="T654" s="145"/>
      <c r="U654" s="145"/>
      <c r="V654" s="145"/>
      <c r="W654" s="145"/>
      <c r="X654" s="145"/>
      <c r="Y654" s="145"/>
      <c r="Z654" s="145"/>
      <c r="AA654" s="145"/>
      <c r="AB654" s="145"/>
      <c r="AC654" s="145"/>
      <c r="AD654" s="145"/>
      <c r="AE654" s="145"/>
      <c r="AF654" s="145"/>
      <c r="AG654" s="145"/>
      <c r="AH654" s="145"/>
      <c r="AI654" s="145"/>
      <c r="AJ654" s="145"/>
      <c r="AK654" s="145"/>
      <c r="AL654" s="145"/>
      <c r="AM654" s="321"/>
      <c r="AN654" s="321"/>
      <c r="AO654" s="321"/>
      <c r="AP654" s="321"/>
      <c r="AQ654" s="321"/>
      <c r="AR654" s="321"/>
      <c r="AS654" s="321"/>
      <c r="AT654" s="321"/>
    </row>
    <row r="655" spans="10:46">
      <c r="J655" s="145"/>
      <c r="K655" s="145"/>
      <c r="L655" s="145"/>
      <c r="M655" s="145"/>
      <c r="N655" s="145"/>
      <c r="O655" s="145"/>
      <c r="P655" s="145"/>
      <c r="Q655" s="145"/>
      <c r="R655" s="145"/>
      <c r="S655" s="145"/>
      <c r="T655" s="145"/>
      <c r="U655" s="145"/>
      <c r="V655" s="145"/>
      <c r="W655" s="145"/>
      <c r="X655" s="145"/>
      <c r="Y655" s="145"/>
      <c r="Z655" s="145"/>
      <c r="AA655" s="145"/>
      <c r="AB655" s="145"/>
      <c r="AC655" s="145"/>
      <c r="AD655" s="145"/>
      <c r="AE655" s="145"/>
      <c r="AF655" s="145"/>
      <c r="AG655" s="145"/>
      <c r="AH655" s="145"/>
      <c r="AI655" s="145"/>
      <c r="AJ655" s="145"/>
      <c r="AK655" s="145"/>
      <c r="AL655" s="145"/>
      <c r="AM655" s="321"/>
      <c r="AN655" s="321"/>
      <c r="AO655" s="321"/>
      <c r="AP655" s="321"/>
      <c r="AQ655" s="321"/>
      <c r="AR655" s="321"/>
      <c r="AS655" s="321"/>
      <c r="AT655" s="321"/>
    </row>
    <row r="656" spans="10:46">
      <c r="J656" s="145"/>
      <c r="K656" s="145"/>
      <c r="L656" s="145"/>
      <c r="M656" s="145"/>
      <c r="N656" s="145"/>
      <c r="O656" s="145"/>
      <c r="P656" s="145"/>
      <c r="Q656" s="145"/>
      <c r="R656" s="145"/>
      <c r="S656" s="145"/>
      <c r="T656" s="145"/>
      <c r="U656" s="145"/>
      <c r="V656" s="145"/>
      <c r="W656" s="145"/>
      <c r="X656" s="145"/>
      <c r="Y656" s="145"/>
      <c r="Z656" s="145"/>
      <c r="AA656" s="145"/>
      <c r="AB656" s="145"/>
      <c r="AC656" s="145"/>
      <c r="AD656" s="145"/>
      <c r="AE656" s="145"/>
      <c r="AF656" s="145"/>
      <c r="AG656" s="145"/>
      <c r="AH656" s="145"/>
      <c r="AI656" s="145"/>
      <c r="AJ656" s="145"/>
      <c r="AK656" s="145"/>
      <c r="AL656" s="145"/>
      <c r="AM656" s="321"/>
      <c r="AN656" s="321"/>
      <c r="AO656" s="321"/>
      <c r="AP656" s="321"/>
      <c r="AQ656" s="321"/>
      <c r="AR656" s="321"/>
      <c r="AS656" s="321"/>
      <c r="AT656" s="321"/>
    </row>
    <row r="657" spans="10:46">
      <c r="J657" s="145"/>
      <c r="K657" s="145"/>
      <c r="L657" s="145"/>
      <c r="M657" s="145"/>
      <c r="N657" s="145"/>
      <c r="O657" s="145"/>
      <c r="P657" s="145"/>
      <c r="Q657" s="145"/>
      <c r="R657" s="145"/>
      <c r="S657" s="145"/>
      <c r="T657" s="145"/>
      <c r="U657" s="145"/>
      <c r="V657" s="145"/>
      <c r="W657" s="145"/>
      <c r="X657" s="145"/>
      <c r="Y657" s="145"/>
      <c r="Z657" s="145"/>
      <c r="AA657" s="145"/>
      <c r="AB657" s="145"/>
      <c r="AC657" s="145"/>
      <c r="AD657" s="145"/>
      <c r="AE657" s="145"/>
      <c r="AF657" s="145"/>
      <c r="AG657" s="145"/>
      <c r="AH657" s="145"/>
      <c r="AI657" s="145"/>
      <c r="AJ657" s="145"/>
      <c r="AK657" s="145"/>
      <c r="AL657" s="145"/>
      <c r="AM657" s="321"/>
      <c r="AN657" s="321"/>
      <c r="AO657" s="321"/>
      <c r="AP657" s="321"/>
      <c r="AQ657" s="321"/>
      <c r="AR657" s="321"/>
      <c r="AS657" s="321"/>
      <c r="AT657" s="321"/>
    </row>
    <row r="658" spans="10:46">
      <c r="J658" s="145"/>
      <c r="K658" s="145"/>
      <c r="L658" s="145"/>
      <c r="M658" s="145"/>
      <c r="N658" s="145"/>
      <c r="O658" s="145"/>
      <c r="P658" s="145"/>
      <c r="Q658" s="145"/>
      <c r="R658" s="145"/>
      <c r="S658" s="145"/>
      <c r="T658" s="145"/>
      <c r="U658" s="145"/>
      <c r="V658" s="145"/>
      <c r="W658" s="145"/>
      <c r="X658" s="145"/>
      <c r="Y658" s="145"/>
      <c r="Z658" s="145"/>
      <c r="AA658" s="145"/>
      <c r="AB658" s="145"/>
      <c r="AC658" s="145"/>
      <c r="AD658" s="145"/>
      <c r="AE658" s="145"/>
      <c r="AF658" s="145"/>
      <c r="AG658" s="145"/>
      <c r="AH658" s="145"/>
      <c r="AI658" s="145"/>
      <c r="AJ658" s="145"/>
      <c r="AK658" s="145"/>
      <c r="AL658" s="145"/>
      <c r="AM658" s="321"/>
      <c r="AN658" s="321"/>
      <c r="AO658" s="321"/>
      <c r="AP658" s="321"/>
      <c r="AQ658" s="321"/>
      <c r="AR658" s="321"/>
      <c r="AS658" s="321"/>
      <c r="AT658" s="321"/>
    </row>
    <row r="659" spans="10:46">
      <c r="J659" s="145"/>
      <c r="K659" s="145"/>
      <c r="L659" s="145"/>
      <c r="M659" s="145"/>
      <c r="N659" s="145"/>
      <c r="O659" s="145"/>
      <c r="P659" s="145"/>
      <c r="Q659" s="145"/>
      <c r="R659" s="145"/>
      <c r="S659" s="145"/>
      <c r="T659" s="145"/>
      <c r="U659" s="145"/>
      <c r="V659" s="145"/>
      <c r="W659" s="145"/>
      <c r="X659" s="145"/>
      <c r="Y659" s="145"/>
      <c r="Z659" s="145"/>
      <c r="AA659" s="145"/>
      <c r="AB659" s="145"/>
      <c r="AC659" s="145"/>
      <c r="AD659" s="145"/>
      <c r="AE659" s="145"/>
      <c r="AF659" s="145"/>
      <c r="AG659" s="145"/>
      <c r="AH659" s="145"/>
      <c r="AI659" s="145"/>
      <c r="AJ659" s="145"/>
      <c r="AK659" s="145"/>
      <c r="AL659" s="145"/>
      <c r="AM659" s="321"/>
      <c r="AN659" s="321"/>
      <c r="AO659" s="321"/>
      <c r="AP659" s="321"/>
      <c r="AQ659" s="321"/>
      <c r="AR659" s="321"/>
      <c r="AS659" s="321"/>
      <c r="AT659" s="321"/>
    </row>
    <row r="660" spans="10:46">
      <c r="J660" s="145"/>
      <c r="K660" s="145"/>
      <c r="L660" s="145"/>
      <c r="M660" s="145"/>
      <c r="N660" s="145"/>
      <c r="O660" s="145"/>
      <c r="P660" s="145"/>
      <c r="Q660" s="145"/>
      <c r="R660" s="145"/>
      <c r="S660" s="145"/>
      <c r="T660" s="145"/>
      <c r="U660" s="145"/>
      <c r="V660" s="145"/>
      <c r="W660" s="145"/>
      <c r="X660" s="145"/>
      <c r="Y660" s="145"/>
      <c r="Z660" s="145"/>
      <c r="AA660" s="145"/>
      <c r="AB660" s="145"/>
      <c r="AC660" s="145"/>
      <c r="AD660" s="145"/>
      <c r="AE660" s="145"/>
      <c r="AF660" s="145"/>
      <c r="AG660" s="145"/>
      <c r="AH660" s="145"/>
      <c r="AI660" s="145"/>
      <c r="AJ660" s="145"/>
      <c r="AK660" s="145"/>
      <c r="AL660" s="145"/>
      <c r="AM660" s="321"/>
      <c r="AN660" s="321"/>
      <c r="AO660" s="321"/>
      <c r="AP660" s="321"/>
      <c r="AQ660" s="321"/>
      <c r="AR660" s="321"/>
      <c r="AS660" s="321"/>
      <c r="AT660" s="321"/>
    </row>
    <row r="661" spans="10:46">
      <c r="J661" s="145"/>
      <c r="K661" s="145"/>
      <c r="L661" s="145"/>
      <c r="M661" s="145"/>
      <c r="N661" s="145"/>
      <c r="O661" s="145"/>
      <c r="P661" s="145"/>
      <c r="Q661" s="145"/>
      <c r="R661" s="145"/>
      <c r="S661" s="145"/>
      <c r="T661" s="145"/>
      <c r="U661" s="145"/>
      <c r="V661" s="145"/>
      <c r="W661" s="145"/>
      <c r="X661" s="145"/>
      <c r="Y661" s="145"/>
      <c r="Z661" s="145"/>
      <c r="AA661" s="145"/>
      <c r="AB661" s="145"/>
      <c r="AC661" s="145"/>
      <c r="AD661" s="145"/>
      <c r="AE661" s="145"/>
      <c r="AF661" s="145"/>
      <c r="AG661" s="145"/>
      <c r="AH661" s="145"/>
      <c r="AI661" s="145"/>
      <c r="AJ661" s="145"/>
      <c r="AK661" s="145"/>
      <c r="AL661" s="145"/>
      <c r="AM661" s="321"/>
      <c r="AN661" s="321"/>
      <c r="AO661" s="321"/>
      <c r="AP661" s="321"/>
      <c r="AQ661" s="321"/>
      <c r="AR661" s="321"/>
      <c r="AS661" s="321"/>
      <c r="AT661" s="321"/>
    </row>
    <row r="662" spans="10:46">
      <c r="J662" s="145"/>
      <c r="K662" s="145"/>
      <c r="L662" s="145"/>
      <c r="M662" s="145"/>
      <c r="N662" s="145"/>
      <c r="O662" s="145"/>
      <c r="P662" s="145"/>
      <c r="Q662" s="145"/>
      <c r="R662" s="145"/>
      <c r="S662" s="145"/>
      <c r="T662" s="145"/>
      <c r="U662" s="145"/>
      <c r="V662" s="145"/>
      <c r="W662" s="145"/>
      <c r="X662" s="145"/>
      <c r="Y662" s="145"/>
      <c r="Z662" s="145"/>
      <c r="AA662" s="145"/>
      <c r="AB662" s="145"/>
      <c r="AC662" s="145"/>
      <c r="AD662" s="145"/>
      <c r="AE662" s="145"/>
      <c r="AF662" s="145"/>
      <c r="AG662" s="145"/>
      <c r="AH662" s="145"/>
      <c r="AI662" s="145"/>
      <c r="AJ662" s="145"/>
      <c r="AK662" s="145"/>
      <c r="AL662" s="145"/>
      <c r="AM662" s="321"/>
      <c r="AN662" s="321"/>
      <c r="AO662" s="321"/>
      <c r="AP662" s="321"/>
      <c r="AQ662" s="321"/>
      <c r="AR662" s="321"/>
      <c r="AS662" s="321"/>
      <c r="AT662" s="321"/>
    </row>
    <row r="663" spans="10:46">
      <c r="J663" s="145"/>
      <c r="K663" s="145"/>
      <c r="L663" s="145"/>
      <c r="M663" s="145"/>
      <c r="N663" s="145"/>
      <c r="O663" s="145"/>
      <c r="P663" s="145"/>
      <c r="Q663" s="145"/>
      <c r="R663" s="145"/>
      <c r="S663" s="145"/>
      <c r="T663" s="145"/>
      <c r="U663" s="145"/>
      <c r="V663" s="145"/>
      <c r="W663" s="145"/>
      <c r="X663" s="145"/>
      <c r="Y663" s="145"/>
      <c r="Z663" s="145"/>
      <c r="AA663" s="145"/>
      <c r="AB663" s="145"/>
      <c r="AC663" s="145"/>
      <c r="AD663" s="145"/>
      <c r="AE663" s="145"/>
      <c r="AF663" s="145"/>
      <c r="AG663" s="145"/>
      <c r="AH663" s="145"/>
      <c r="AI663" s="145"/>
      <c r="AJ663" s="145"/>
      <c r="AK663" s="145"/>
      <c r="AL663" s="145"/>
      <c r="AM663" s="321"/>
      <c r="AN663" s="321"/>
      <c r="AO663" s="321"/>
      <c r="AP663" s="321"/>
      <c r="AQ663" s="321"/>
      <c r="AR663" s="321"/>
      <c r="AS663" s="321"/>
      <c r="AT663" s="321"/>
    </row>
    <row r="664" spans="10:46">
      <c r="J664" s="145"/>
      <c r="K664" s="145"/>
      <c r="L664" s="145"/>
      <c r="M664" s="145"/>
      <c r="N664" s="145"/>
      <c r="O664" s="145"/>
      <c r="P664" s="145"/>
      <c r="Q664" s="145"/>
      <c r="R664" s="145"/>
      <c r="S664" s="145"/>
      <c r="T664" s="145"/>
      <c r="U664" s="145"/>
      <c r="V664" s="145"/>
      <c r="W664" s="145"/>
      <c r="X664" s="145"/>
      <c r="Y664" s="145"/>
      <c r="Z664" s="145"/>
      <c r="AA664" s="145"/>
      <c r="AB664" s="145"/>
      <c r="AC664" s="145"/>
      <c r="AD664" s="145"/>
      <c r="AE664" s="145"/>
      <c r="AF664" s="145"/>
      <c r="AG664" s="145"/>
      <c r="AH664" s="145"/>
      <c r="AI664" s="145"/>
      <c r="AJ664" s="145"/>
      <c r="AK664" s="145"/>
      <c r="AL664" s="145"/>
      <c r="AM664" s="321"/>
      <c r="AN664" s="321"/>
      <c r="AO664" s="321"/>
      <c r="AP664" s="321"/>
      <c r="AQ664" s="321"/>
      <c r="AR664" s="321"/>
      <c r="AS664" s="321"/>
      <c r="AT664" s="321"/>
    </row>
    <row r="665" spans="10:46">
      <c r="J665" s="145"/>
      <c r="K665" s="145"/>
      <c r="L665" s="145"/>
      <c r="M665" s="145"/>
      <c r="N665" s="145"/>
      <c r="O665" s="145"/>
      <c r="P665" s="145"/>
      <c r="Q665" s="145"/>
      <c r="R665" s="145"/>
      <c r="S665" s="145"/>
      <c r="T665" s="145"/>
      <c r="U665" s="145"/>
      <c r="V665" s="145"/>
      <c r="W665" s="145"/>
      <c r="X665" s="145"/>
      <c r="Y665" s="145"/>
      <c r="Z665" s="145"/>
      <c r="AA665" s="145"/>
      <c r="AB665" s="145"/>
      <c r="AC665" s="145"/>
      <c r="AD665" s="145"/>
      <c r="AE665" s="145"/>
      <c r="AF665" s="145"/>
      <c r="AG665" s="145"/>
      <c r="AH665" s="145"/>
      <c r="AI665" s="145"/>
      <c r="AJ665" s="145"/>
      <c r="AK665" s="145"/>
      <c r="AL665" s="145"/>
      <c r="AM665" s="321"/>
      <c r="AN665" s="321"/>
      <c r="AO665" s="321"/>
      <c r="AP665" s="321"/>
      <c r="AQ665" s="321"/>
      <c r="AR665" s="321"/>
      <c r="AS665" s="321"/>
      <c r="AT665" s="321"/>
    </row>
    <row r="666" spans="10:46">
      <c r="J666" s="145"/>
      <c r="K666" s="145"/>
      <c r="L666" s="145"/>
      <c r="M666" s="145"/>
      <c r="N666" s="145"/>
      <c r="O666" s="145"/>
      <c r="P666" s="145"/>
      <c r="Q666" s="145"/>
      <c r="R666" s="145"/>
      <c r="S666" s="145"/>
      <c r="T666" s="145"/>
      <c r="U666" s="145"/>
      <c r="V666" s="145"/>
      <c r="W666" s="145"/>
      <c r="X666" s="145"/>
      <c r="Y666" s="145"/>
      <c r="Z666" s="145"/>
      <c r="AA666" s="145"/>
      <c r="AB666" s="145"/>
      <c r="AC666" s="145"/>
      <c r="AD666" s="145"/>
      <c r="AE666" s="145"/>
      <c r="AF666" s="145"/>
      <c r="AG666" s="145"/>
      <c r="AH666" s="145"/>
      <c r="AI666" s="145"/>
      <c r="AJ666" s="145"/>
      <c r="AK666" s="145"/>
      <c r="AL666" s="145"/>
      <c r="AM666" s="321"/>
      <c r="AN666" s="321"/>
      <c r="AO666" s="321"/>
      <c r="AP666" s="321"/>
      <c r="AQ666" s="321"/>
      <c r="AR666" s="321"/>
      <c r="AS666" s="321"/>
      <c r="AT666" s="321"/>
    </row>
    <row r="667" spans="10:46">
      <c r="J667" s="145"/>
      <c r="K667" s="145"/>
      <c r="L667" s="145"/>
      <c r="M667" s="145"/>
      <c r="N667" s="145"/>
      <c r="O667" s="145"/>
      <c r="P667" s="145"/>
      <c r="Q667" s="145"/>
      <c r="R667" s="145"/>
      <c r="S667" s="145"/>
      <c r="T667" s="145"/>
      <c r="U667" s="145"/>
      <c r="V667" s="145"/>
      <c r="W667" s="145"/>
      <c r="X667" s="145"/>
      <c r="Y667" s="145"/>
      <c r="Z667" s="145"/>
      <c r="AA667" s="145"/>
      <c r="AB667" s="145"/>
      <c r="AC667" s="145"/>
      <c r="AD667" s="145"/>
      <c r="AE667" s="145"/>
      <c r="AF667" s="145"/>
      <c r="AG667" s="145"/>
      <c r="AH667" s="145"/>
      <c r="AI667" s="145"/>
      <c r="AJ667" s="145"/>
      <c r="AK667" s="145"/>
      <c r="AL667" s="145"/>
      <c r="AM667" s="321"/>
      <c r="AN667" s="321"/>
      <c r="AO667" s="321"/>
      <c r="AP667" s="321"/>
      <c r="AQ667" s="321"/>
      <c r="AR667" s="321"/>
      <c r="AS667" s="321"/>
      <c r="AT667" s="321"/>
    </row>
    <row r="668" spans="10:46">
      <c r="J668" s="145"/>
      <c r="K668" s="145"/>
      <c r="L668" s="145"/>
      <c r="M668" s="145"/>
      <c r="N668" s="145"/>
      <c r="O668" s="145"/>
      <c r="P668" s="145"/>
      <c r="Q668" s="145"/>
      <c r="R668" s="145"/>
      <c r="S668" s="145"/>
      <c r="T668" s="145"/>
      <c r="U668" s="145"/>
      <c r="V668" s="145"/>
      <c r="W668" s="145"/>
      <c r="X668" s="145"/>
      <c r="Y668" s="145"/>
      <c r="Z668" s="145"/>
      <c r="AA668" s="145"/>
      <c r="AB668" s="145"/>
      <c r="AC668" s="145"/>
      <c r="AD668" s="145"/>
      <c r="AE668" s="145"/>
      <c r="AF668" s="145"/>
      <c r="AG668" s="145"/>
      <c r="AH668" s="145"/>
      <c r="AI668" s="145"/>
      <c r="AJ668" s="145"/>
      <c r="AK668" s="145"/>
      <c r="AL668" s="145"/>
      <c r="AM668" s="321"/>
      <c r="AN668" s="321"/>
      <c r="AO668" s="321"/>
      <c r="AP668" s="321"/>
      <c r="AQ668" s="321"/>
      <c r="AR668" s="321"/>
      <c r="AS668" s="321"/>
      <c r="AT668" s="321"/>
    </row>
    <row r="669" spans="10:46">
      <c r="J669" s="145"/>
      <c r="K669" s="145"/>
      <c r="L669" s="145"/>
      <c r="M669" s="145"/>
      <c r="N669" s="145"/>
      <c r="O669" s="145"/>
      <c r="P669" s="145"/>
      <c r="Q669" s="145"/>
      <c r="R669" s="145"/>
      <c r="S669" s="145"/>
      <c r="T669" s="145"/>
      <c r="U669" s="145"/>
      <c r="V669" s="145"/>
      <c r="W669" s="145"/>
      <c r="X669" s="145"/>
      <c r="Y669" s="145"/>
      <c r="Z669" s="145"/>
      <c r="AA669" s="145"/>
      <c r="AB669" s="145"/>
      <c r="AC669" s="145"/>
      <c r="AD669" s="145"/>
      <c r="AE669" s="145"/>
      <c r="AF669" s="145"/>
      <c r="AG669" s="145"/>
      <c r="AH669" s="145"/>
      <c r="AI669" s="145"/>
      <c r="AJ669" s="145"/>
      <c r="AK669" s="145"/>
      <c r="AL669" s="145"/>
      <c r="AM669" s="321"/>
      <c r="AN669" s="321"/>
      <c r="AO669" s="321"/>
      <c r="AP669" s="321"/>
      <c r="AQ669" s="321"/>
      <c r="AR669" s="321"/>
      <c r="AS669" s="321"/>
      <c r="AT669" s="321"/>
    </row>
    <row r="670" spans="10:46">
      <c r="J670" s="145"/>
      <c r="K670" s="145"/>
      <c r="L670" s="145"/>
      <c r="M670" s="145"/>
      <c r="N670" s="145"/>
      <c r="O670" s="145"/>
      <c r="P670" s="145"/>
      <c r="Q670" s="145"/>
      <c r="R670" s="145"/>
      <c r="S670" s="145"/>
      <c r="T670" s="145"/>
      <c r="U670" s="145"/>
      <c r="V670" s="145"/>
      <c r="W670" s="145"/>
      <c r="X670" s="145"/>
      <c r="Y670" s="145"/>
      <c r="Z670" s="145"/>
      <c r="AA670" s="145"/>
      <c r="AB670" s="145"/>
      <c r="AC670" s="145"/>
      <c r="AD670" s="145"/>
      <c r="AE670" s="145"/>
      <c r="AF670" s="145"/>
      <c r="AG670" s="145"/>
      <c r="AH670" s="145"/>
      <c r="AI670" s="145"/>
      <c r="AJ670" s="145"/>
      <c r="AK670" s="145"/>
      <c r="AL670" s="145"/>
      <c r="AM670" s="321"/>
      <c r="AN670" s="321"/>
      <c r="AO670" s="321"/>
      <c r="AP670" s="321"/>
      <c r="AQ670" s="321"/>
      <c r="AR670" s="321"/>
      <c r="AS670" s="321"/>
      <c r="AT670" s="321"/>
    </row>
    <row r="671" spans="10:46">
      <c r="J671" s="145"/>
      <c r="K671" s="145"/>
      <c r="L671" s="145"/>
      <c r="M671" s="145"/>
      <c r="N671" s="145"/>
      <c r="O671" s="145"/>
      <c r="P671" s="145"/>
      <c r="Q671" s="145"/>
      <c r="R671" s="145"/>
      <c r="S671" s="145"/>
      <c r="T671" s="145"/>
      <c r="U671" s="145"/>
      <c r="V671" s="145"/>
      <c r="W671" s="145"/>
      <c r="X671" s="145"/>
      <c r="Y671" s="145"/>
      <c r="Z671" s="145"/>
      <c r="AA671" s="145"/>
      <c r="AB671" s="145"/>
      <c r="AC671" s="145"/>
      <c r="AD671" s="145"/>
      <c r="AE671" s="145"/>
      <c r="AF671" s="145"/>
      <c r="AG671" s="145"/>
      <c r="AH671" s="145"/>
      <c r="AI671" s="145"/>
      <c r="AJ671" s="145"/>
      <c r="AK671" s="145"/>
      <c r="AL671" s="145"/>
      <c r="AM671" s="321"/>
      <c r="AN671" s="321"/>
      <c r="AO671" s="321"/>
      <c r="AP671" s="321"/>
      <c r="AQ671" s="321"/>
      <c r="AR671" s="321"/>
      <c r="AS671" s="321"/>
      <c r="AT671" s="321"/>
    </row>
    <row r="672" spans="10:46">
      <c r="J672" s="145"/>
      <c r="K672" s="145"/>
      <c r="L672" s="145"/>
      <c r="M672" s="145"/>
      <c r="N672" s="145"/>
      <c r="O672" s="145"/>
      <c r="P672" s="145"/>
      <c r="Q672" s="145"/>
      <c r="R672" s="145"/>
      <c r="S672" s="145"/>
      <c r="T672" s="145"/>
      <c r="U672" s="145"/>
      <c r="V672" s="145"/>
      <c r="W672" s="145"/>
      <c r="X672" s="145"/>
      <c r="Y672" s="145"/>
      <c r="Z672" s="145"/>
      <c r="AA672" s="145"/>
      <c r="AB672" s="145"/>
      <c r="AC672" s="145"/>
      <c r="AD672" s="145"/>
      <c r="AE672" s="145"/>
      <c r="AF672" s="145"/>
      <c r="AG672" s="145"/>
      <c r="AH672" s="145"/>
      <c r="AI672" s="145"/>
      <c r="AJ672" s="145"/>
      <c r="AK672" s="145"/>
      <c r="AL672" s="145"/>
      <c r="AM672" s="321"/>
      <c r="AN672" s="321"/>
      <c r="AO672" s="321"/>
      <c r="AP672" s="321"/>
      <c r="AQ672" s="321"/>
      <c r="AR672" s="321"/>
      <c r="AS672" s="321"/>
      <c r="AT672" s="321"/>
    </row>
    <row r="673" spans="10:46">
      <c r="J673" s="145"/>
      <c r="K673" s="145"/>
      <c r="L673" s="145"/>
      <c r="M673" s="145"/>
      <c r="N673" s="145"/>
      <c r="O673" s="145"/>
      <c r="P673" s="145"/>
      <c r="Q673" s="145"/>
      <c r="R673" s="145"/>
      <c r="S673" s="145"/>
      <c r="T673" s="145"/>
      <c r="U673" s="145"/>
      <c r="V673" s="145"/>
      <c r="W673" s="145"/>
      <c r="X673" s="145"/>
      <c r="Y673" s="145"/>
      <c r="Z673" s="145"/>
      <c r="AA673" s="145"/>
      <c r="AB673" s="145"/>
      <c r="AC673" s="145"/>
      <c r="AD673" s="145"/>
      <c r="AE673" s="145"/>
      <c r="AF673" s="145"/>
      <c r="AG673" s="145"/>
      <c r="AH673" s="145"/>
      <c r="AI673" s="145"/>
      <c r="AJ673" s="145"/>
      <c r="AK673" s="145"/>
      <c r="AL673" s="145"/>
      <c r="AM673" s="321"/>
      <c r="AN673" s="321"/>
      <c r="AO673" s="321"/>
      <c r="AP673" s="321"/>
      <c r="AQ673" s="321"/>
      <c r="AR673" s="321"/>
      <c r="AS673" s="321"/>
      <c r="AT673" s="321"/>
    </row>
    <row r="674" spans="10:46">
      <c r="J674" s="145"/>
      <c r="K674" s="145"/>
      <c r="L674" s="145"/>
      <c r="M674" s="145"/>
      <c r="N674" s="145"/>
      <c r="O674" s="145"/>
      <c r="P674" s="145"/>
      <c r="Q674" s="145"/>
      <c r="R674" s="145"/>
      <c r="S674" s="145"/>
      <c r="T674" s="145"/>
      <c r="U674" s="145"/>
      <c r="V674" s="145"/>
      <c r="W674" s="145"/>
      <c r="X674" s="145"/>
      <c r="Y674" s="145"/>
      <c r="Z674" s="145"/>
      <c r="AA674" s="145"/>
      <c r="AB674" s="145"/>
      <c r="AC674" s="145"/>
      <c r="AD674" s="145"/>
      <c r="AE674" s="145"/>
      <c r="AF674" s="145"/>
      <c r="AG674" s="145"/>
      <c r="AH674" s="145"/>
      <c r="AI674" s="145"/>
      <c r="AJ674" s="145"/>
      <c r="AK674" s="145"/>
      <c r="AL674" s="145"/>
      <c r="AM674" s="321"/>
      <c r="AN674" s="321"/>
      <c r="AO674" s="321"/>
      <c r="AP674" s="321"/>
      <c r="AQ674" s="321"/>
      <c r="AR674" s="321"/>
      <c r="AS674" s="321"/>
      <c r="AT674" s="321"/>
    </row>
    <row r="675" spans="10:46">
      <c r="J675" s="145"/>
      <c r="K675" s="145"/>
      <c r="L675" s="145"/>
      <c r="M675" s="145"/>
      <c r="N675" s="145"/>
      <c r="O675" s="145"/>
      <c r="P675" s="145"/>
      <c r="Q675" s="145"/>
      <c r="R675" s="145"/>
      <c r="S675" s="145"/>
      <c r="T675" s="145"/>
      <c r="U675" s="145"/>
      <c r="V675" s="145"/>
      <c r="W675" s="145"/>
      <c r="X675" s="145"/>
      <c r="Y675" s="145"/>
      <c r="Z675" s="145"/>
      <c r="AA675" s="145"/>
      <c r="AB675" s="145"/>
      <c r="AC675" s="145"/>
      <c r="AD675" s="145"/>
      <c r="AE675" s="145"/>
      <c r="AF675" s="145"/>
      <c r="AG675" s="145"/>
      <c r="AH675" s="145"/>
      <c r="AI675" s="145"/>
      <c r="AJ675" s="145"/>
      <c r="AK675" s="145"/>
      <c r="AL675" s="145"/>
      <c r="AM675" s="321"/>
      <c r="AN675" s="321"/>
      <c r="AO675" s="321"/>
      <c r="AP675" s="321"/>
      <c r="AQ675" s="321"/>
      <c r="AR675" s="321"/>
      <c r="AS675" s="321"/>
      <c r="AT675" s="321"/>
    </row>
    <row r="676" spans="10:46">
      <c r="J676" s="145"/>
      <c r="K676" s="145"/>
      <c r="L676" s="145"/>
      <c r="M676" s="145"/>
      <c r="N676" s="145"/>
      <c r="O676" s="145"/>
      <c r="P676" s="145"/>
      <c r="Q676" s="145"/>
      <c r="R676" s="145"/>
      <c r="S676" s="145"/>
      <c r="T676" s="145"/>
      <c r="U676" s="145"/>
      <c r="V676" s="145"/>
      <c r="W676" s="145"/>
      <c r="X676" s="145"/>
      <c r="Y676" s="145"/>
      <c r="Z676" s="145"/>
      <c r="AA676" s="145"/>
      <c r="AB676" s="145"/>
      <c r="AC676" s="145"/>
      <c r="AD676" s="145"/>
      <c r="AE676" s="145"/>
      <c r="AF676" s="145"/>
      <c r="AG676" s="145"/>
      <c r="AH676" s="145"/>
      <c r="AI676" s="145"/>
      <c r="AJ676" s="145"/>
      <c r="AK676" s="145"/>
      <c r="AL676" s="145"/>
      <c r="AM676" s="321"/>
      <c r="AN676" s="321"/>
      <c r="AO676" s="321"/>
      <c r="AP676" s="321"/>
      <c r="AQ676" s="321"/>
      <c r="AR676" s="321"/>
      <c r="AS676" s="321"/>
      <c r="AT676" s="321"/>
    </row>
    <row r="677" spans="10:46">
      <c r="J677" s="145"/>
      <c r="K677" s="145"/>
      <c r="L677" s="145"/>
      <c r="M677" s="145"/>
      <c r="N677" s="145"/>
      <c r="O677" s="145"/>
      <c r="P677" s="145"/>
      <c r="Q677" s="145"/>
      <c r="R677" s="145"/>
      <c r="S677" s="145"/>
      <c r="T677" s="145"/>
      <c r="U677" s="145"/>
      <c r="V677" s="145"/>
      <c r="W677" s="145"/>
      <c r="X677" s="145"/>
      <c r="Y677" s="145"/>
      <c r="Z677" s="145"/>
      <c r="AA677" s="145"/>
      <c r="AB677" s="145"/>
      <c r="AC677" s="145"/>
      <c r="AD677" s="145"/>
      <c r="AE677" s="145"/>
      <c r="AF677" s="145"/>
      <c r="AG677" s="145"/>
      <c r="AH677" s="145"/>
      <c r="AI677" s="145"/>
      <c r="AJ677" s="145"/>
      <c r="AK677" s="145"/>
      <c r="AL677" s="145"/>
      <c r="AM677" s="321"/>
      <c r="AN677" s="321"/>
      <c r="AO677" s="321"/>
      <c r="AP677" s="321"/>
      <c r="AQ677" s="321"/>
      <c r="AR677" s="321"/>
      <c r="AS677" s="321"/>
      <c r="AT677" s="321"/>
    </row>
    <row r="678" spans="10:46">
      <c r="J678" s="145"/>
      <c r="K678" s="145"/>
      <c r="L678" s="145"/>
      <c r="M678" s="145"/>
      <c r="N678" s="145"/>
      <c r="O678" s="145"/>
      <c r="P678" s="145"/>
      <c r="Q678" s="145"/>
      <c r="R678" s="145"/>
      <c r="S678" s="145"/>
      <c r="T678" s="145"/>
      <c r="U678" s="145"/>
      <c r="V678" s="145"/>
      <c r="W678" s="145"/>
      <c r="X678" s="145"/>
      <c r="Y678" s="145"/>
      <c r="Z678" s="145"/>
      <c r="AA678" s="145"/>
      <c r="AB678" s="145"/>
      <c r="AC678" s="145"/>
      <c r="AD678" s="145"/>
      <c r="AE678" s="145"/>
      <c r="AF678" s="145"/>
      <c r="AG678" s="145"/>
      <c r="AH678" s="145"/>
      <c r="AI678" s="145"/>
      <c r="AJ678" s="145"/>
      <c r="AK678" s="145"/>
      <c r="AL678" s="145"/>
      <c r="AM678" s="321"/>
      <c r="AN678" s="321"/>
      <c r="AO678" s="321"/>
      <c r="AP678" s="321"/>
      <c r="AQ678" s="321"/>
      <c r="AR678" s="321"/>
      <c r="AS678" s="321"/>
      <c r="AT678" s="321"/>
    </row>
    <row r="679" spans="10:46">
      <c r="J679" s="145"/>
      <c r="K679" s="145"/>
      <c r="L679" s="145"/>
      <c r="M679" s="145"/>
      <c r="N679" s="145"/>
      <c r="O679" s="145"/>
      <c r="P679" s="145"/>
      <c r="Q679" s="145"/>
      <c r="R679" s="145"/>
      <c r="S679" s="145"/>
      <c r="T679" s="145"/>
      <c r="U679" s="145"/>
      <c r="V679" s="145"/>
      <c r="W679" s="145"/>
      <c r="X679" s="145"/>
      <c r="Y679" s="145"/>
      <c r="Z679" s="145"/>
      <c r="AA679" s="145"/>
      <c r="AB679" s="145"/>
      <c r="AC679" s="145"/>
      <c r="AD679" s="145"/>
      <c r="AE679" s="145"/>
      <c r="AF679" s="145"/>
      <c r="AG679" s="145"/>
      <c r="AH679" s="145"/>
      <c r="AI679" s="145"/>
      <c r="AJ679" s="145"/>
      <c r="AK679" s="145"/>
      <c r="AL679" s="145"/>
      <c r="AM679" s="321"/>
      <c r="AN679" s="321"/>
      <c r="AO679" s="321"/>
      <c r="AP679" s="321"/>
      <c r="AQ679" s="321"/>
      <c r="AR679" s="321"/>
      <c r="AS679" s="321"/>
      <c r="AT679" s="321"/>
    </row>
    <row r="680" spans="10:46">
      <c r="J680" s="145"/>
      <c r="K680" s="145"/>
      <c r="L680" s="145"/>
      <c r="M680" s="145"/>
      <c r="N680" s="145"/>
      <c r="O680" s="145"/>
      <c r="P680" s="145"/>
      <c r="Q680" s="145"/>
      <c r="R680" s="145"/>
      <c r="S680" s="145"/>
      <c r="T680" s="145"/>
      <c r="U680" s="145"/>
      <c r="V680" s="145"/>
      <c r="W680" s="145"/>
      <c r="X680" s="145"/>
      <c r="Y680" s="145"/>
      <c r="Z680" s="145"/>
      <c r="AA680" s="145"/>
      <c r="AB680" s="145"/>
      <c r="AC680" s="145"/>
      <c r="AD680" s="145"/>
      <c r="AE680" s="145"/>
      <c r="AF680" s="145"/>
      <c r="AG680" s="145"/>
      <c r="AH680" s="145"/>
      <c r="AI680" s="145"/>
      <c r="AJ680" s="145"/>
      <c r="AK680" s="145"/>
      <c r="AL680" s="145"/>
      <c r="AM680" s="321"/>
      <c r="AN680" s="321"/>
      <c r="AO680" s="321"/>
      <c r="AP680" s="321"/>
      <c r="AQ680" s="321"/>
      <c r="AR680" s="321"/>
      <c r="AS680" s="321"/>
      <c r="AT680" s="321"/>
    </row>
    <row r="681" spans="10:46">
      <c r="J681" s="145"/>
      <c r="K681" s="145"/>
      <c r="L681" s="145"/>
      <c r="M681" s="145"/>
      <c r="N681" s="145"/>
      <c r="O681" s="145"/>
      <c r="P681" s="145"/>
      <c r="Q681" s="145"/>
      <c r="R681" s="145"/>
      <c r="S681" s="145"/>
      <c r="T681" s="145"/>
      <c r="U681" s="145"/>
      <c r="V681" s="145"/>
      <c r="W681" s="145"/>
      <c r="X681" s="145"/>
      <c r="Y681" s="145"/>
      <c r="Z681" s="145"/>
      <c r="AA681" s="145"/>
      <c r="AB681" s="145"/>
      <c r="AC681" s="145"/>
      <c r="AD681" s="145"/>
      <c r="AE681" s="145"/>
      <c r="AF681" s="145"/>
      <c r="AG681" s="145"/>
      <c r="AH681" s="145"/>
      <c r="AI681" s="145"/>
      <c r="AJ681" s="145"/>
      <c r="AK681" s="145"/>
      <c r="AL681" s="145"/>
      <c r="AM681" s="321"/>
      <c r="AN681" s="321"/>
      <c r="AO681" s="321"/>
      <c r="AP681" s="321"/>
      <c r="AQ681" s="321"/>
      <c r="AR681" s="321"/>
      <c r="AS681" s="321"/>
      <c r="AT681" s="321"/>
    </row>
    <row r="682" spans="10:46">
      <c r="J682" s="145"/>
      <c r="K682" s="145"/>
      <c r="L682" s="145"/>
      <c r="M682" s="145"/>
      <c r="N682" s="145"/>
      <c r="O682" s="145"/>
      <c r="P682" s="145"/>
      <c r="Q682" s="145"/>
      <c r="R682" s="145"/>
      <c r="S682" s="145"/>
      <c r="T682" s="145"/>
      <c r="U682" s="145"/>
      <c r="V682" s="145"/>
      <c r="W682" s="145"/>
      <c r="X682" s="145"/>
      <c r="Y682" s="145"/>
      <c r="Z682" s="145"/>
      <c r="AA682" s="145"/>
      <c r="AB682" s="145"/>
      <c r="AC682" s="145"/>
      <c r="AD682" s="145"/>
      <c r="AE682" s="145"/>
      <c r="AF682" s="145"/>
      <c r="AG682" s="145"/>
      <c r="AH682" s="145"/>
      <c r="AI682" s="145"/>
      <c r="AJ682" s="145"/>
      <c r="AK682" s="145"/>
      <c r="AL682" s="145"/>
      <c r="AM682" s="321"/>
      <c r="AN682" s="321"/>
      <c r="AO682" s="321"/>
      <c r="AP682" s="321"/>
      <c r="AQ682" s="321"/>
      <c r="AR682" s="321"/>
      <c r="AS682" s="321"/>
      <c r="AT682" s="321"/>
    </row>
    <row r="683" spans="10:46">
      <c r="J683" s="145"/>
      <c r="K683" s="145"/>
      <c r="L683" s="145"/>
      <c r="M683" s="145"/>
      <c r="N683" s="145"/>
      <c r="O683" s="145"/>
      <c r="P683" s="145"/>
      <c r="Q683" s="145"/>
      <c r="R683" s="145"/>
      <c r="S683" s="145"/>
      <c r="T683" s="145"/>
      <c r="U683" s="145"/>
      <c r="V683" s="145"/>
      <c r="W683" s="145"/>
      <c r="X683" s="145"/>
      <c r="Y683" s="145"/>
      <c r="Z683" s="145"/>
      <c r="AA683" s="145"/>
      <c r="AB683" s="145"/>
      <c r="AC683" s="145"/>
      <c r="AD683" s="145"/>
      <c r="AE683" s="145"/>
      <c r="AF683" s="145"/>
      <c r="AG683" s="145"/>
      <c r="AH683" s="145"/>
      <c r="AI683" s="145"/>
      <c r="AJ683" s="145"/>
      <c r="AK683" s="145"/>
      <c r="AL683" s="145"/>
      <c r="AM683" s="321"/>
      <c r="AN683" s="321"/>
      <c r="AO683" s="321"/>
      <c r="AP683" s="321"/>
      <c r="AQ683" s="321"/>
      <c r="AR683" s="321"/>
      <c r="AS683" s="321"/>
      <c r="AT683" s="321"/>
    </row>
    <row r="684" spans="10:46">
      <c r="J684" s="145"/>
      <c r="K684" s="145"/>
      <c r="L684" s="145"/>
      <c r="M684" s="145"/>
      <c r="N684" s="145"/>
      <c r="O684" s="145"/>
      <c r="P684" s="145"/>
      <c r="Q684" s="145"/>
      <c r="R684" s="145"/>
      <c r="S684" s="145"/>
      <c r="T684" s="145"/>
      <c r="U684" s="145"/>
      <c r="V684" s="145"/>
      <c r="W684" s="145"/>
      <c r="X684" s="145"/>
      <c r="Y684" s="145"/>
      <c r="Z684" s="145"/>
      <c r="AA684" s="145"/>
      <c r="AB684" s="145"/>
      <c r="AC684" s="145"/>
      <c r="AD684" s="145"/>
      <c r="AE684" s="145"/>
      <c r="AF684" s="145"/>
      <c r="AG684" s="145"/>
      <c r="AH684" s="145"/>
      <c r="AI684" s="145"/>
      <c r="AJ684" s="145"/>
      <c r="AK684" s="145"/>
      <c r="AL684" s="145"/>
      <c r="AM684" s="321"/>
      <c r="AN684" s="321"/>
      <c r="AO684" s="321"/>
      <c r="AP684" s="321"/>
      <c r="AQ684" s="321"/>
      <c r="AR684" s="321"/>
      <c r="AS684" s="321"/>
      <c r="AT684" s="321"/>
    </row>
    <row r="685" spans="10:46">
      <c r="J685" s="145"/>
      <c r="K685" s="145"/>
      <c r="L685" s="145"/>
      <c r="M685" s="145"/>
      <c r="N685" s="145"/>
      <c r="O685" s="145"/>
      <c r="P685" s="145"/>
      <c r="Q685" s="145"/>
      <c r="R685" s="145"/>
      <c r="S685" s="145"/>
      <c r="T685" s="145"/>
      <c r="U685" s="145"/>
      <c r="V685" s="145"/>
      <c r="W685" s="145"/>
      <c r="X685" s="145"/>
      <c r="Y685" s="145"/>
      <c r="Z685" s="145"/>
      <c r="AA685" s="145"/>
      <c r="AB685" s="145"/>
      <c r="AC685" s="145"/>
      <c r="AD685" s="145"/>
      <c r="AE685" s="145"/>
      <c r="AF685" s="145"/>
      <c r="AG685" s="145"/>
      <c r="AH685" s="145"/>
      <c r="AI685" s="145"/>
      <c r="AJ685" s="145"/>
      <c r="AK685" s="145"/>
      <c r="AL685" s="145"/>
      <c r="AM685" s="321"/>
      <c r="AN685" s="321"/>
      <c r="AO685" s="321"/>
      <c r="AP685" s="321"/>
      <c r="AQ685" s="321"/>
      <c r="AR685" s="321"/>
      <c r="AS685" s="321"/>
      <c r="AT685" s="321"/>
    </row>
    <row r="686" spans="10:46">
      <c r="J686" s="145"/>
      <c r="K686" s="145"/>
      <c r="L686" s="145"/>
      <c r="M686" s="145"/>
      <c r="N686" s="145"/>
      <c r="O686" s="145"/>
      <c r="P686" s="145"/>
      <c r="Q686" s="145"/>
      <c r="R686" s="145"/>
      <c r="S686" s="145"/>
      <c r="T686" s="145"/>
      <c r="U686" s="145"/>
      <c r="V686" s="145"/>
      <c r="W686" s="145"/>
      <c r="X686" s="145"/>
      <c r="Y686" s="145"/>
      <c r="Z686" s="145"/>
      <c r="AA686" s="145"/>
      <c r="AB686" s="145"/>
      <c r="AC686" s="145"/>
      <c r="AD686" s="145"/>
      <c r="AE686" s="145"/>
      <c r="AF686" s="145"/>
      <c r="AG686" s="145"/>
      <c r="AH686" s="145"/>
      <c r="AI686" s="145"/>
      <c r="AJ686" s="145"/>
      <c r="AK686" s="145"/>
      <c r="AL686" s="145"/>
      <c r="AM686" s="321"/>
      <c r="AN686" s="321"/>
      <c r="AO686" s="321"/>
      <c r="AP686" s="321"/>
      <c r="AQ686" s="321"/>
      <c r="AR686" s="321"/>
      <c r="AS686" s="321"/>
      <c r="AT686" s="321"/>
    </row>
    <row r="687" spans="10:46">
      <c r="J687" s="145"/>
      <c r="K687" s="145"/>
      <c r="L687" s="145"/>
      <c r="M687" s="145"/>
      <c r="N687" s="145"/>
      <c r="O687" s="145"/>
      <c r="P687" s="145"/>
      <c r="Q687" s="145"/>
      <c r="R687" s="145"/>
      <c r="S687" s="145"/>
      <c r="T687" s="145"/>
      <c r="U687" s="145"/>
      <c r="V687" s="145"/>
      <c r="W687" s="145"/>
      <c r="X687" s="145"/>
      <c r="Y687" s="145"/>
      <c r="Z687" s="145"/>
      <c r="AA687" s="145"/>
      <c r="AB687" s="145"/>
      <c r="AC687" s="145"/>
      <c r="AD687" s="145"/>
      <c r="AE687" s="145"/>
      <c r="AF687" s="145"/>
      <c r="AG687" s="145"/>
      <c r="AH687" s="145"/>
      <c r="AI687" s="145"/>
      <c r="AJ687" s="145"/>
      <c r="AK687" s="145"/>
      <c r="AL687" s="145"/>
      <c r="AM687" s="321"/>
      <c r="AN687" s="321"/>
      <c r="AO687" s="321"/>
      <c r="AP687" s="321"/>
      <c r="AQ687" s="321"/>
      <c r="AR687" s="321"/>
      <c r="AS687" s="321"/>
      <c r="AT687" s="321"/>
    </row>
    <row r="688" spans="10:46">
      <c r="J688" s="145"/>
      <c r="K688" s="145"/>
      <c r="L688" s="145"/>
      <c r="M688" s="145"/>
      <c r="N688" s="145"/>
      <c r="O688" s="145"/>
      <c r="P688" s="145"/>
      <c r="Q688" s="145"/>
      <c r="R688" s="145"/>
      <c r="S688" s="145"/>
      <c r="T688" s="145"/>
      <c r="U688" s="145"/>
      <c r="V688" s="145"/>
      <c r="W688" s="145"/>
      <c r="X688" s="145"/>
      <c r="Y688" s="145"/>
      <c r="Z688" s="145"/>
      <c r="AA688" s="145"/>
      <c r="AB688" s="145"/>
      <c r="AC688" s="145"/>
      <c r="AD688" s="145"/>
      <c r="AE688" s="145"/>
      <c r="AF688" s="145"/>
      <c r="AG688" s="145"/>
      <c r="AH688" s="145"/>
      <c r="AI688" s="145"/>
      <c r="AJ688" s="145"/>
      <c r="AK688" s="145"/>
      <c r="AL688" s="145"/>
      <c r="AM688" s="321"/>
      <c r="AN688" s="321"/>
      <c r="AO688" s="321"/>
      <c r="AP688" s="321"/>
      <c r="AQ688" s="321"/>
      <c r="AR688" s="321"/>
      <c r="AS688" s="321"/>
      <c r="AT688" s="321"/>
    </row>
    <row r="689" spans="10:46">
      <c r="J689" s="145"/>
      <c r="K689" s="145"/>
      <c r="L689" s="145"/>
      <c r="M689" s="145"/>
      <c r="N689" s="145"/>
      <c r="O689" s="145"/>
      <c r="P689" s="145"/>
      <c r="Q689" s="145"/>
      <c r="R689" s="145"/>
      <c r="S689" s="145"/>
      <c r="T689" s="145"/>
      <c r="U689" s="145"/>
      <c r="V689" s="145"/>
      <c r="W689" s="145"/>
      <c r="X689" s="145"/>
      <c r="Y689" s="145"/>
      <c r="Z689" s="145"/>
      <c r="AA689" s="145"/>
      <c r="AB689" s="145"/>
      <c r="AC689" s="145"/>
      <c r="AD689" s="145"/>
      <c r="AE689" s="145"/>
      <c r="AF689" s="145"/>
      <c r="AG689" s="145"/>
      <c r="AH689" s="145"/>
      <c r="AI689" s="145"/>
      <c r="AJ689" s="145"/>
      <c r="AK689" s="145"/>
      <c r="AL689" s="145"/>
      <c r="AM689" s="321"/>
      <c r="AN689" s="321"/>
      <c r="AO689" s="321"/>
      <c r="AP689" s="321"/>
      <c r="AQ689" s="321"/>
      <c r="AR689" s="321"/>
      <c r="AS689" s="321"/>
      <c r="AT689" s="321"/>
    </row>
    <row r="690" spans="10:46">
      <c r="J690" s="145"/>
      <c r="K690" s="145"/>
      <c r="L690" s="145"/>
      <c r="M690" s="145"/>
      <c r="N690" s="145"/>
      <c r="O690" s="145"/>
      <c r="P690" s="145"/>
      <c r="Q690" s="145"/>
      <c r="R690" s="145"/>
      <c r="S690" s="145"/>
      <c r="T690" s="145"/>
      <c r="U690" s="145"/>
      <c r="V690" s="145"/>
      <c r="W690" s="145"/>
      <c r="X690" s="145"/>
      <c r="Y690" s="145"/>
      <c r="Z690" s="145"/>
      <c r="AA690" s="145"/>
      <c r="AB690" s="145"/>
      <c r="AC690" s="145"/>
      <c r="AD690" s="145"/>
      <c r="AE690" s="145"/>
      <c r="AF690" s="145"/>
      <c r="AG690" s="145"/>
      <c r="AH690" s="145"/>
      <c r="AI690" s="145"/>
      <c r="AJ690" s="145"/>
      <c r="AK690" s="145"/>
      <c r="AL690" s="145"/>
      <c r="AM690" s="321"/>
      <c r="AN690" s="321"/>
      <c r="AO690" s="321"/>
      <c r="AP690" s="321"/>
      <c r="AQ690" s="321"/>
      <c r="AR690" s="321"/>
      <c r="AS690" s="321"/>
      <c r="AT690" s="321"/>
    </row>
    <row r="691" spans="10:46">
      <c r="J691" s="145"/>
      <c r="K691" s="145"/>
      <c r="L691" s="145"/>
      <c r="M691" s="145"/>
      <c r="N691" s="145"/>
      <c r="O691" s="145"/>
      <c r="P691" s="145"/>
      <c r="Q691" s="145"/>
      <c r="R691" s="145"/>
      <c r="S691" s="145"/>
      <c r="T691" s="145"/>
      <c r="U691" s="145"/>
      <c r="V691" s="145"/>
      <c r="W691" s="145"/>
      <c r="X691" s="145"/>
      <c r="Y691" s="145"/>
      <c r="Z691" s="145"/>
      <c r="AA691" s="145"/>
      <c r="AB691" s="145"/>
      <c r="AC691" s="145"/>
      <c r="AD691" s="145"/>
      <c r="AE691" s="145"/>
      <c r="AF691" s="145"/>
      <c r="AG691" s="145"/>
      <c r="AH691" s="145"/>
      <c r="AI691" s="145"/>
      <c r="AJ691" s="145"/>
      <c r="AK691" s="145"/>
      <c r="AL691" s="145"/>
      <c r="AM691" s="321"/>
      <c r="AN691" s="321"/>
      <c r="AO691" s="321"/>
      <c r="AP691" s="321"/>
      <c r="AQ691" s="321"/>
      <c r="AR691" s="321"/>
      <c r="AS691" s="321"/>
      <c r="AT691" s="321"/>
    </row>
    <row r="692" spans="10:46">
      <c r="J692" s="145"/>
      <c r="K692" s="145"/>
      <c r="L692" s="145"/>
      <c r="M692" s="145"/>
      <c r="N692" s="145"/>
      <c r="O692" s="145"/>
      <c r="P692" s="145"/>
      <c r="Q692" s="145"/>
      <c r="R692" s="145"/>
      <c r="S692" s="145"/>
      <c r="T692" s="145"/>
      <c r="U692" s="145"/>
      <c r="V692" s="145"/>
      <c r="W692" s="145"/>
      <c r="X692" s="145"/>
      <c r="Y692" s="145"/>
      <c r="Z692" s="145"/>
      <c r="AA692" s="145"/>
      <c r="AB692" s="145"/>
      <c r="AC692" s="145"/>
      <c r="AD692" s="145"/>
      <c r="AE692" s="145"/>
      <c r="AF692" s="145"/>
      <c r="AG692" s="145"/>
      <c r="AH692" s="145"/>
      <c r="AI692" s="145"/>
      <c r="AJ692" s="145"/>
      <c r="AK692" s="145"/>
      <c r="AL692" s="145"/>
      <c r="AM692" s="321"/>
      <c r="AN692" s="321"/>
      <c r="AO692" s="321"/>
      <c r="AP692" s="321"/>
      <c r="AQ692" s="321"/>
      <c r="AR692" s="321"/>
      <c r="AS692" s="321"/>
      <c r="AT692" s="321"/>
    </row>
    <row r="693" spans="10:46">
      <c r="J693" s="145"/>
      <c r="K693" s="145"/>
      <c r="L693" s="145"/>
      <c r="M693" s="145"/>
      <c r="N693" s="145"/>
      <c r="O693" s="145"/>
      <c r="P693" s="145"/>
      <c r="Q693" s="145"/>
      <c r="R693" s="145"/>
      <c r="S693" s="145"/>
      <c r="T693" s="145"/>
      <c r="U693" s="145"/>
      <c r="V693" s="145"/>
      <c r="W693" s="145"/>
      <c r="X693" s="145"/>
      <c r="Y693" s="145"/>
      <c r="Z693" s="145"/>
      <c r="AA693" s="145"/>
      <c r="AB693" s="145"/>
      <c r="AC693" s="145"/>
      <c r="AD693" s="145"/>
      <c r="AE693" s="145"/>
      <c r="AF693" s="145"/>
      <c r="AG693" s="145"/>
      <c r="AH693" s="145"/>
      <c r="AI693" s="145"/>
      <c r="AJ693" s="145"/>
      <c r="AK693" s="145"/>
      <c r="AL693" s="145"/>
      <c r="AM693" s="321"/>
      <c r="AN693" s="321"/>
      <c r="AO693" s="321"/>
      <c r="AP693" s="321"/>
      <c r="AQ693" s="321"/>
      <c r="AR693" s="321"/>
      <c r="AS693" s="321"/>
      <c r="AT693" s="321"/>
    </row>
    <row r="694" spans="10:46">
      <c r="J694" s="145"/>
      <c r="K694" s="145"/>
      <c r="L694" s="145"/>
      <c r="M694" s="145"/>
      <c r="N694" s="145"/>
      <c r="O694" s="145"/>
      <c r="P694" s="145"/>
      <c r="Q694" s="145"/>
      <c r="R694" s="145"/>
      <c r="S694" s="145"/>
      <c r="T694" s="145"/>
      <c r="U694" s="145"/>
      <c r="V694" s="145"/>
      <c r="W694" s="145"/>
      <c r="X694" s="145"/>
      <c r="Y694" s="145"/>
      <c r="Z694" s="145"/>
      <c r="AA694" s="145"/>
      <c r="AB694" s="145"/>
      <c r="AC694" s="145"/>
      <c r="AD694" s="145"/>
      <c r="AE694" s="145"/>
      <c r="AF694" s="145"/>
      <c r="AG694" s="145"/>
      <c r="AH694" s="145"/>
      <c r="AI694" s="145"/>
      <c r="AJ694" s="145"/>
      <c r="AK694" s="145"/>
      <c r="AL694" s="145"/>
      <c r="AM694" s="321"/>
      <c r="AN694" s="321"/>
      <c r="AO694" s="321"/>
      <c r="AP694" s="321"/>
      <c r="AQ694" s="321"/>
      <c r="AR694" s="321"/>
      <c r="AS694" s="321"/>
      <c r="AT694" s="321"/>
    </row>
    <row r="695" spans="10:46">
      <c r="J695" s="145"/>
      <c r="K695" s="145"/>
      <c r="L695" s="145"/>
      <c r="M695" s="145"/>
      <c r="N695" s="145"/>
      <c r="O695" s="145"/>
      <c r="P695" s="145"/>
      <c r="Q695" s="145"/>
      <c r="R695" s="145"/>
      <c r="S695" s="145"/>
      <c r="T695" s="145"/>
      <c r="U695" s="145"/>
      <c r="V695" s="145"/>
      <c r="W695" s="145"/>
      <c r="X695" s="145"/>
      <c r="Y695" s="145"/>
      <c r="Z695" s="145"/>
      <c r="AA695" s="145"/>
      <c r="AB695" s="145"/>
      <c r="AC695" s="145"/>
      <c r="AD695" s="145"/>
      <c r="AE695" s="145"/>
      <c r="AF695" s="145"/>
      <c r="AG695" s="145"/>
      <c r="AH695" s="145"/>
      <c r="AI695" s="145"/>
      <c r="AJ695" s="145"/>
      <c r="AK695" s="145"/>
      <c r="AL695" s="145"/>
      <c r="AM695" s="321"/>
      <c r="AN695" s="321"/>
      <c r="AO695" s="321"/>
      <c r="AP695" s="321"/>
      <c r="AQ695" s="321"/>
      <c r="AR695" s="321"/>
      <c r="AS695" s="321"/>
      <c r="AT695" s="321"/>
    </row>
    <row r="696" spans="10:46">
      <c r="J696" s="145"/>
      <c r="K696" s="145"/>
      <c r="L696" s="145"/>
      <c r="M696" s="145"/>
      <c r="N696" s="145"/>
      <c r="O696" s="145"/>
      <c r="P696" s="145"/>
      <c r="Q696" s="145"/>
      <c r="R696" s="145"/>
      <c r="S696" s="145"/>
      <c r="T696" s="145"/>
      <c r="U696" s="145"/>
      <c r="V696" s="145"/>
      <c r="W696" s="145"/>
      <c r="X696" s="145"/>
      <c r="Y696" s="145"/>
      <c r="Z696" s="145"/>
      <c r="AA696" s="145"/>
      <c r="AB696" s="145"/>
      <c r="AC696" s="145"/>
      <c r="AD696" s="145"/>
      <c r="AE696" s="145"/>
      <c r="AF696" s="145"/>
      <c r="AG696" s="145"/>
      <c r="AH696" s="145"/>
      <c r="AI696" s="145"/>
      <c r="AJ696" s="145"/>
      <c r="AK696" s="145"/>
      <c r="AL696" s="145"/>
      <c r="AM696" s="321"/>
      <c r="AN696" s="321"/>
      <c r="AO696" s="321"/>
      <c r="AP696" s="321"/>
      <c r="AQ696" s="321"/>
      <c r="AR696" s="321"/>
      <c r="AS696" s="321"/>
      <c r="AT696" s="321"/>
    </row>
    <row r="697" spans="10:46">
      <c r="J697" s="145"/>
      <c r="K697" s="145"/>
      <c r="L697" s="145"/>
      <c r="M697" s="145"/>
      <c r="N697" s="145"/>
      <c r="O697" s="145"/>
      <c r="P697" s="145"/>
      <c r="Q697" s="145"/>
      <c r="R697" s="145"/>
      <c r="S697" s="145"/>
      <c r="T697" s="145"/>
      <c r="U697" s="145"/>
      <c r="V697" s="145"/>
      <c r="W697" s="145"/>
      <c r="X697" s="145"/>
      <c r="Y697" s="145"/>
      <c r="Z697" s="145"/>
      <c r="AA697" s="145"/>
      <c r="AB697" s="145"/>
      <c r="AC697" s="145"/>
      <c r="AD697" s="145"/>
      <c r="AE697" s="145"/>
      <c r="AF697" s="145"/>
      <c r="AG697" s="145"/>
      <c r="AH697" s="145"/>
      <c r="AI697" s="145"/>
      <c r="AJ697" s="145"/>
      <c r="AK697" s="145"/>
      <c r="AL697" s="145"/>
      <c r="AM697" s="321"/>
      <c r="AN697" s="321"/>
      <c r="AO697" s="321"/>
      <c r="AP697" s="321"/>
      <c r="AQ697" s="321"/>
      <c r="AR697" s="321"/>
      <c r="AS697" s="321"/>
      <c r="AT697" s="321"/>
    </row>
    <row r="698" spans="10:46">
      <c r="J698" s="145"/>
      <c r="K698" s="145"/>
      <c r="L698" s="145"/>
      <c r="M698" s="145"/>
      <c r="N698" s="145"/>
      <c r="O698" s="145"/>
      <c r="P698" s="145"/>
      <c r="Q698" s="145"/>
      <c r="R698" s="145"/>
      <c r="S698" s="145"/>
      <c r="T698" s="145"/>
      <c r="U698" s="145"/>
      <c r="V698" s="145"/>
      <c r="W698" s="145"/>
      <c r="X698" s="145"/>
      <c r="Y698" s="145"/>
      <c r="Z698" s="145"/>
      <c r="AA698" s="145"/>
      <c r="AB698" s="145"/>
      <c r="AC698" s="145"/>
      <c r="AD698" s="145"/>
      <c r="AE698" s="145"/>
      <c r="AF698" s="145"/>
      <c r="AG698" s="145"/>
      <c r="AH698" s="145"/>
      <c r="AI698" s="145"/>
      <c r="AJ698" s="145"/>
      <c r="AK698" s="145"/>
      <c r="AL698" s="145"/>
      <c r="AM698" s="321"/>
      <c r="AN698" s="321"/>
      <c r="AO698" s="321"/>
      <c r="AP698" s="321"/>
      <c r="AQ698" s="321"/>
      <c r="AR698" s="321"/>
      <c r="AS698" s="321"/>
      <c r="AT698" s="321"/>
    </row>
    <row r="699" spans="10:46">
      <c r="J699" s="145"/>
      <c r="K699" s="145"/>
      <c r="L699" s="145"/>
      <c r="M699" s="145"/>
      <c r="N699" s="145"/>
      <c r="O699" s="145"/>
      <c r="P699" s="145"/>
      <c r="Q699" s="145"/>
      <c r="R699" s="145"/>
      <c r="S699" s="145"/>
      <c r="T699" s="145"/>
      <c r="U699" s="145"/>
      <c r="V699" s="145"/>
      <c r="W699" s="145"/>
      <c r="X699" s="145"/>
      <c r="Y699" s="145"/>
      <c r="Z699" s="145"/>
      <c r="AA699" s="145"/>
      <c r="AB699" s="145"/>
      <c r="AC699" s="145"/>
      <c r="AD699" s="145"/>
      <c r="AE699" s="145"/>
      <c r="AF699" s="145"/>
      <c r="AG699" s="145"/>
      <c r="AH699" s="145"/>
      <c r="AI699" s="145"/>
      <c r="AJ699" s="145"/>
      <c r="AK699" s="145"/>
      <c r="AL699" s="145"/>
      <c r="AM699" s="321"/>
      <c r="AN699" s="321"/>
      <c r="AO699" s="321"/>
      <c r="AP699" s="321"/>
      <c r="AQ699" s="321"/>
      <c r="AR699" s="321"/>
      <c r="AS699" s="321"/>
      <c r="AT699" s="321"/>
    </row>
    <row r="700" spans="10:46">
      <c r="J700" s="145"/>
      <c r="K700" s="145"/>
      <c r="L700" s="145"/>
      <c r="M700" s="145"/>
      <c r="N700" s="145"/>
      <c r="O700" s="145"/>
      <c r="P700" s="145"/>
      <c r="Q700" s="145"/>
      <c r="R700" s="145"/>
      <c r="S700" s="145"/>
      <c r="T700" s="145"/>
      <c r="U700" s="145"/>
      <c r="V700" s="145"/>
      <c r="W700" s="145"/>
      <c r="X700" s="145"/>
      <c r="Y700" s="145"/>
      <c r="Z700" s="145"/>
      <c r="AA700" s="145"/>
      <c r="AB700" s="145"/>
      <c r="AC700" s="145"/>
      <c r="AD700" s="145"/>
      <c r="AE700" s="145"/>
      <c r="AF700" s="145"/>
      <c r="AG700" s="145"/>
      <c r="AH700" s="145"/>
      <c r="AI700" s="145"/>
      <c r="AJ700" s="145"/>
      <c r="AK700" s="145"/>
      <c r="AL700" s="145"/>
      <c r="AM700" s="321"/>
      <c r="AN700" s="321"/>
      <c r="AO700" s="321"/>
      <c r="AP700" s="321"/>
      <c r="AQ700" s="321"/>
      <c r="AR700" s="321"/>
      <c r="AS700" s="321"/>
      <c r="AT700" s="321"/>
    </row>
    <row r="701" spans="10:46">
      <c r="J701" s="145"/>
      <c r="K701" s="145"/>
      <c r="L701" s="145"/>
      <c r="M701" s="145"/>
      <c r="N701" s="145"/>
      <c r="O701" s="145"/>
      <c r="P701" s="145"/>
      <c r="Q701" s="145"/>
      <c r="R701" s="145"/>
      <c r="S701" s="145"/>
      <c r="T701" s="145"/>
      <c r="U701" s="145"/>
      <c r="V701" s="145"/>
      <c r="W701" s="145"/>
      <c r="X701" s="145"/>
      <c r="Y701" s="145"/>
      <c r="Z701" s="145"/>
      <c r="AA701" s="145"/>
      <c r="AB701" s="145"/>
      <c r="AC701" s="145"/>
      <c r="AD701" s="145"/>
      <c r="AE701" s="145"/>
      <c r="AF701" s="145"/>
      <c r="AG701" s="145"/>
      <c r="AH701" s="145"/>
      <c r="AI701" s="145"/>
      <c r="AJ701" s="145"/>
      <c r="AK701" s="145"/>
      <c r="AL701" s="145"/>
      <c r="AM701" s="321"/>
      <c r="AN701" s="321"/>
      <c r="AO701" s="321"/>
      <c r="AP701" s="321"/>
      <c r="AQ701" s="321"/>
      <c r="AR701" s="321"/>
      <c r="AS701" s="321"/>
      <c r="AT701" s="321"/>
    </row>
    <row r="702" spans="10:46">
      <c r="J702" s="145"/>
      <c r="K702" s="145"/>
      <c r="L702" s="145"/>
      <c r="M702" s="145"/>
      <c r="N702" s="145"/>
      <c r="O702" s="145"/>
      <c r="P702" s="145"/>
      <c r="Q702" s="145"/>
      <c r="R702" s="145"/>
      <c r="S702" s="145"/>
      <c r="T702" s="145"/>
      <c r="U702" s="145"/>
      <c r="V702" s="145"/>
      <c r="W702" s="145"/>
      <c r="X702" s="145"/>
      <c r="Y702" s="145"/>
      <c r="Z702" s="145"/>
      <c r="AA702" s="145"/>
      <c r="AB702" s="145"/>
      <c r="AC702" s="145"/>
      <c r="AD702" s="145"/>
      <c r="AE702" s="145"/>
      <c r="AF702" s="145"/>
      <c r="AG702" s="145"/>
      <c r="AH702" s="145"/>
      <c r="AI702" s="145"/>
      <c r="AJ702" s="145"/>
      <c r="AK702" s="145"/>
      <c r="AL702" s="145"/>
      <c r="AM702" s="321"/>
      <c r="AN702" s="321"/>
      <c r="AO702" s="321"/>
      <c r="AP702" s="321"/>
      <c r="AQ702" s="321"/>
      <c r="AR702" s="321"/>
      <c r="AS702" s="321"/>
      <c r="AT702" s="321"/>
    </row>
    <row r="703" spans="10:46">
      <c r="J703" s="145"/>
      <c r="K703" s="145"/>
      <c r="L703" s="145"/>
      <c r="M703" s="145"/>
      <c r="N703" s="145"/>
      <c r="O703" s="145"/>
      <c r="P703" s="145"/>
      <c r="Q703" s="145"/>
      <c r="R703" s="145"/>
      <c r="S703" s="145"/>
      <c r="T703" s="145"/>
      <c r="U703" s="145"/>
      <c r="V703" s="145"/>
      <c r="W703" s="145"/>
      <c r="X703" s="145"/>
      <c r="Y703" s="145"/>
      <c r="Z703" s="145"/>
      <c r="AA703" s="145"/>
      <c r="AB703" s="145"/>
      <c r="AC703" s="145"/>
      <c r="AD703" s="145"/>
      <c r="AE703" s="145"/>
      <c r="AF703" s="145"/>
      <c r="AG703" s="145"/>
      <c r="AH703" s="145"/>
      <c r="AI703" s="145"/>
      <c r="AJ703" s="145"/>
      <c r="AK703" s="145"/>
      <c r="AL703" s="145"/>
      <c r="AM703" s="321"/>
      <c r="AN703" s="321"/>
      <c r="AO703" s="321"/>
      <c r="AP703" s="321"/>
      <c r="AQ703" s="321"/>
      <c r="AR703" s="321"/>
      <c r="AS703" s="321"/>
      <c r="AT703" s="321"/>
    </row>
    <row r="704" spans="10:46">
      <c r="J704" s="145"/>
      <c r="K704" s="145"/>
      <c r="L704" s="145"/>
      <c r="M704" s="145"/>
      <c r="N704" s="145"/>
      <c r="O704" s="145"/>
      <c r="P704" s="145"/>
      <c r="Q704" s="145"/>
      <c r="R704" s="145"/>
      <c r="S704" s="145"/>
      <c r="T704" s="145"/>
      <c r="U704" s="145"/>
      <c r="V704" s="145"/>
      <c r="W704" s="145"/>
      <c r="X704" s="145"/>
      <c r="Y704" s="145"/>
      <c r="Z704" s="145"/>
      <c r="AA704" s="145"/>
      <c r="AB704" s="145"/>
      <c r="AC704" s="145"/>
      <c r="AD704" s="145"/>
      <c r="AE704" s="145"/>
      <c r="AF704" s="145"/>
      <c r="AG704" s="145"/>
      <c r="AH704" s="145"/>
      <c r="AI704" s="145"/>
      <c r="AJ704" s="145"/>
      <c r="AK704" s="145"/>
      <c r="AL704" s="145"/>
      <c r="AM704" s="321"/>
      <c r="AN704" s="321"/>
      <c r="AO704" s="321"/>
      <c r="AP704" s="321"/>
      <c r="AQ704" s="321"/>
      <c r="AR704" s="321"/>
      <c r="AS704" s="321"/>
      <c r="AT704" s="321"/>
    </row>
    <row r="705" spans="10:46">
      <c r="J705" s="145"/>
      <c r="K705" s="145"/>
      <c r="L705" s="145"/>
      <c r="M705" s="145"/>
      <c r="N705" s="145"/>
      <c r="O705" s="145"/>
      <c r="P705" s="145"/>
      <c r="Q705" s="145"/>
      <c r="R705" s="145"/>
      <c r="S705" s="145"/>
      <c r="T705" s="145"/>
      <c r="U705" s="145"/>
      <c r="V705" s="145"/>
      <c r="W705" s="145"/>
      <c r="X705" s="145"/>
      <c r="Y705" s="145"/>
      <c r="Z705" s="145"/>
      <c r="AA705" s="145"/>
      <c r="AB705" s="145"/>
      <c r="AC705" s="145"/>
      <c r="AD705" s="145"/>
      <c r="AE705" s="145"/>
      <c r="AF705" s="145"/>
      <c r="AG705" s="145"/>
      <c r="AH705" s="145"/>
      <c r="AI705" s="145"/>
      <c r="AJ705" s="145"/>
      <c r="AK705" s="145"/>
      <c r="AL705" s="145"/>
      <c r="AM705" s="321"/>
      <c r="AN705" s="321"/>
      <c r="AO705" s="321"/>
      <c r="AP705" s="321"/>
      <c r="AQ705" s="321"/>
      <c r="AR705" s="321"/>
      <c r="AS705" s="321"/>
      <c r="AT705" s="321"/>
    </row>
    <row r="706" spans="10:46">
      <c r="J706" s="145"/>
      <c r="K706" s="145"/>
      <c r="L706" s="145"/>
      <c r="M706" s="145"/>
      <c r="N706" s="145"/>
      <c r="O706" s="145"/>
      <c r="P706" s="145"/>
      <c r="Q706" s="145"/>
      <c r="R706" s="145"/>
      <c r="S706" s="145"/>
      <c r="T706" s="145"/>
      <c r="U706" s="145"/>
      <c r="V706" s="145"/>
      <c r="W706" s="145"/>
      <c r="X706" s="145"/>
      <c r="Y706" s="145"/>
      <c r="Z706" s="145"/>
      <c r="AA706" s="145"/>
      <c r="AB706" s="145"/>
      <c r="AC706" s="145"/>
      <c r="AD706" s="145"/>
      <c r="AE706" s="145"/>
      <c r="AF706" s="145"/>
      <c r="AG706" s="145"/>
      <c r="AH706" s="145"/>
      <c r="AI706" s="145"/>
      <c r="AJ706" s="145"/>
      <c r="AK706" s="145"/>
      <c r="AL706" s="145"/>
      <c r="AM706" s="321"/>
      <c r="AN706" s="321"/>
      <c r="AO706" s="321"/>
      <c r="AP706" s="321"/>
      <c r="AQ706" s="321"/>
      <c r="AR706" s="321"/>
      <c r="AS706" s="321"/>
      <c r="AT706" s="321"/>
    </row>
    <row r="707" spans="10:46">
      <c r="J707" s="145"/>
      <c r="K707" s="145"/>
      <c r="L707" s="145"/>
      <c r="M707" s="145"/>
      <c r="N707" s="145"/>
      <c r="O707" s="145"/>
      <c r="P707" s="145"/>
      <c r="Q707" s="145"/>
      <c r="R707" s="145"/>
      <c r="S707" s="145"/>
      <c r="T707" s="145"/>
      <c r="U707" s="145"/>
      <c r="V707" s="145"/>
      <c r="W707" s="145"/>
      <c r="X707" s="145"/>
      <c r="Y707" s="145"/>
      <c r="Z707" s="145"/>
      <c r="AA707" s="145"/>
      <c r="AB707" s="145"/>
      <c r="AC707" s="145"/>
      <c r="AD707" s="145"/>
      <c r="AE707" s="145"/>
      <c r="AF707" s="145"/>
      <c r="AG707" s="145"/>
      <c r="AH707" s="145"/>
      <c r="AI707" s="145"/>
      <c r="AJ707" s="145"/>
      <c r="AK707" s="145"/>
      <c r="AL707" s="145"/>
      <c r="AM707" s="321"/>
      <c r="AN707" s="321"/>
      <c r="AO707" s="321"/>
      <c r="AP707" s="321"/>
      <c r="AQ707" s="321"/>
      <c r="AR707" s="321"/>
      <c r="AS707" s="321"/>
      <c r="AT707" s="321"/>
    </row>
    <row r="708" spans="10:46">
      <c r="J708" s="145"/>
      <c r="K708" s="145"/>
      <c r="L708" s="145"/>
      <c r="M708" s="145"/>
      <c r="N708" s="145"/>
      <c r="O708" s="145"/>
      <c r="P708" s="145"/>
      <c r="Q708" s="145"/>
      <c r="R708" s="145"/>
      <c r="S708" s="145"/>
      <c r="T708" s="145"/>
      <c r="U708" s="145"/>
      <c r="V708" s="145"/>
      <c r="W708" s="145"/>
      <c r="X708" s="145"/>
      <c r="Y708" s="145"/>
      <c r="Z708" s="145"/>
      <c r="AA708" s="145"/>
      <c r="AB708" s="145"/>
      <c r="AC708" s="145"/>
      <c r="AD708" s="145"/>
      <c r="AE708" s="145"/>
      <c r="AF708" s="145"/>
      <c r="AG708" s="145"/>
      <c r="AH708" s="145"/>
      <c r="AI708" s="145"/>
      <c r="AJ708" s="145"/>
      <c r="AK708" s="145"/>
      <c r="AL708" s="145"/>
      <c r="AM708" s="321"/>
      <c r="AN708" s="321"/>
      <c r="AO708" s="321"/>
      <c r="AP708" s="321"/>
      <c r="AQ708" s="321"/>
      <c r="AR708" s="321"/>
      <c r="AS708" s="321"/>
      <c r="AT708" s="321"/>
    </row>
    <row r="709" spans="10:46">
      <c r="J709" s="145"/>
      <c r="K709" s="145"/>
      <c r="L709" s="145"/>
      <c r="M709" s="145"/>
      <c r="N709" s="145"/>
      <c r="O709" s="145"/>
      <c r="P709" s="145"/>
      <c r="Q709" s="145"/>
      <c r="R709" s="145"/>
      <c r="S709" s="145"/>
      <c r="T709" s="145"/>
      <c r="U709" s="145"/>
      <c r="V709" s="145"/>
      <c r="W709" s="145"/>
      <c r="X709" s="145"/>
      <c r="Y709" s="145"/>
      <c r="Z709" s="145"/>
      <c r="AA709" s="145"/>
      <c r="AB709" s="145"/>
      <c r="AC709" s="145"/>
      <c r="AD709" s="145"/>
      <c r="AE709" s="145"/>
      <c r="AF709" s="145"/>
      <c r="AG709" s="145"/>
      <c r="AH709" s="145"/>
      <c r="AI709" s="145"/>
      <c r="AJ709" s="145"/>
      <c r="AK709" s="145"/>
      <c r="AL709" s="145"/>
      <c r="AM709" s="321"/>
      <c r="AN709" s="321"/>
      <c r="AO709" s="321"/>
      <c r="AP709" s="321"/>
      <c r="AQ709" s="321"/>
      <c r="AR709" s="321"/>
      <c r="AS709" s="321"/>
      <c r="AT709" s="321"/>
    </row>
    <row r="710" spans="10:46">
      <c r="J710" s="145"/>
      <c r="K710" s="145"/>
      <c r="L710" s="145"/>
      <c r="M710" s="145"/>
      <c r="N710" s="145"/>
      <c r="O710" s="145"/>
      <c r="P710" s="145"/>
      <c r="Q710" s="145"/>
      <c r="R710" s="145"/>
      <c r="S710" s="145"/>
      <c r="T710" s="145"/>
      <c r="U710" s="145"/>
      <c r="V710" s="145"/>
      <c r="W710" s="145"/>
      <c r="X710" s="145"/>
      <c r="Y710" s="145"/>
      <c r="Z710" s="145"/>
      <c r="AA710" s="145"/>
      <c r="AB710" s="145"/>
      <c r="AC710" s="145"/>
      <c r="AD710" s="145"/>
      <c r="AE710" s="145"/>
      <c r="AF710" s="145"/>
      <c r="AG710" s="145"/>
      <c r="AH710" s="145"/>
      <c r="AI710" s="145"/>
      <c r="AJ710" s="145"/>
      <c r="AK710" s="145"/>
      <c r="AL710" s="145"/>
      <c r="AM710" s="321"/>
      <c r="AN710" s="321"/>
      <c r="AO710" s="321"/>
      <c r="AP710" s="321"/>
      <c r="AQ710" s="321"/>
      <c r="AR710" s="321"/>
      <c r="AS710" s="321"/>
      <c r="AT710" s="321"/>
    </row>
    <row r="711" spans="10:46">
      <c r="J711" s="145"/>
      <c r="K711" s="145"/>
      <c r="L711" s="145"/>
      <c r="M711" s="145"/>
      <c r="N711" s="145"/>
      <c r="O711" s="145"/>
      <c r="P711" s="145"/>
      <c r="Q711" s="145"/>
      <c r="R711" s="145"/>
      <c r="S711" s="145"/>
      <c r="T711" s="145"/>
      <c r="U711" s="145"/>
      <c r="V711" s="145"/>
      <c r="W711" s="145"/>
      <c r="X711" s="145"/>
      <c r="Y711" s="145"/>
      <c r="Z711" s="145"/>
      <c r="AA711" s="145"/>
      <c r="AB711" s="145"/>
      <c r="AC711" s="145"/>
      <c r="AD711" s="145"/>
      <c r="AE711" s="145"/>
      <c r="AF711" s="145"/>
      <c r="AG711" s="145"/>
      <c r="AH711" s="145"/>
      <c r="AI711" s="145"/>
      <c r="AJ711" s="145"/>
      <c r="AK711" s="145"/>
      <c r="AL711" s="145"/>
      <c r="AM711" s="321"/>
      <c r="AN711" s="321"/>
      <c r="AO711" s="321"/>
      <c r="AP711" s="321"/>
      <c r="AQ711" s="321"/>
      <c r="AR711" s="321"/>
      <c r="AS711" s="321"/>
      <c r="AT711" s="321"/>
    </row>
    <row r="712" spans="10:46">
      <c r="J712" s="145"/>
      <c r="K712" s="145"/>
      <c r="L712" s="145"/>
      <c r="M712" s="145"/>
      <c r="N712" s="145"/>
      <c r="O712" s="145"/>
      <c r="P712" s="145"/>
      <c r="Q712" s="145"/>
      <c r="R712" s="145"/>
      <c r="S712" s="145"/>
      <c r="T712" s="145"/>
      <c r="U712" s="145"/>
      <c r="V712" s="145"/>
      <c r="W712" s="145"/>
      <c r="X712" s="145"/>
      <c r="Y712" s="145"/>
      <c r="Z712" s="145"/>
      <c r="AA712" s="145"/>
      <c r="AB712" s="145"/>
      <c r="AC712" s="145"/>
      <c r="AD712" s="145"/>
      <c r="AE712" s="145"/>
      <c r="AF712" s="145"/>
      <c r="AG712" s="145"/>
      <c r="AH712" s="145"/>
      <c r="AI712" s="145"/>
      <c r="AJ712" s="145"/>
      <c r="AK712" s="145"/>
      <c r="AL712" s="145"/>
      <c r="AM712" s="321"/>
      <c r="AN712" s="321"/>
      <c r="AO712" s="321"/>
      <c r="AP712" s="321"/>
      <c r="AQ712" s="321"/>
      <c r="AR712" s="321"/>
      <c r="AS712" s="321"/>
      <c r="AT712" s="321"/>
    </row>
    <row r="713" spans="10:46">
      <c r="J713" s="145"/>
      <c r="K713" s="145"/>
      <c r="L713" s="145"/>
      <c r="M713" s="145"/>
      <c r="N713" s="145"/>
      <c r="O713" s="145"/>
      <c r="P713" s="145"/>
      <c r="Q713" s="145"/>
      <c r="R713" s="145"/>
      <c r="S713" s="145"/>
      <c r="T713" s="145"/>
      <c r="U713" s="145"/>
      <c r="V713" s="145"/>
      <c r="W713" s="145"/>
      <c r="X713" s="145"/>
      <c r="Y713" s="145"/>
      <c r="Z713" s="145"/>
      <c r="AA713" s="145"/>
      <c r="AB713" s="145"/>
      <c r="AC713" s="145"/>
      <c r="AD713" s="145"/>
      <c r="AE713" s="145"/>
      <c r="AF713" s="145"/>
      <c r="AG713" s="145"/>
      <c r="AH713" s="145"/>
      <c r="AI713" s="145"/>
      <c r="AJ713" s="145"/>
      <c r="AK713" s="145"/>
      <c r="AL713" s="145"/>
      <c r="AM713" s="321"/>
      <c r="AN713" s="321"/>
      <c r="AO713" s="321"/>
      <c r="AP713" s="321"/>
      <c r="AQ713" s="321"/>
      <c r="AR713" s="321"/>
      <c r="AS713" s="321"/>
      <c r="AT713" s="321"/>
    </row>
    <row r="714" spans="10:46">
      <c r="J714" s="145"/>
      <c r="K714" s="145"/>
      <c r="L714" s="145"/>
      <c r="M714" s="145"/>
      <c r="N714" s="145"/>
      <c r="O714" s="145"/>
      <c r="P714" s="145"/>
      <c r="Q714" s="145"/>
      <c r="R714" s="145"/>
      <c r="S714" s="145"/>
      <c r="T714" s="145"/>
      <c r="U714" s="145"/>
      <c r="V714" s="145"/>
      <c r="W714" s="145"/>
      <c r="X714" s="145"/>
      <c r="Y714" s="145"/>
      <c r="Z714" s="145"/>
      <c r="AA714" s="145"/>
      <c r="AB714" s="145"/>
      <c r="AC714" s="145"/>
      <c r="AD714" s="145"/>
      <c r="AE714" s="145"/>
      <c r="AF714" s="145"/>
      <c r="AG714" s="145"/>
      <c r="AH714" s="145"/>
      <c r="AI714" s="145"/>
      <c r="AJ714" s="145"/>
      <c r="AK714" s="145"/>
      <c r="AL714" s="145"/>
      <c r="AM714" s="321"/>
      <c r="AN714" s="321"/>
      <c r="AO714" s="321"/>
      <c r="AP714" s="321"/>
      <c r="AQ714" s="321"/>
      <c r="AR714" s="321"/>
      <c r="AS714" s="321"/>
      <c r="AT714" s="321"/>
    </row>
    <row r="715" spans="10:46">
      <c r="J715" s="145"/>
      <c r="K715" s="145"/>
      <c r="L715" s="145"/>
      <c r="M715" s="145"/>
      <c r="N715" s="145"/>
      <c r="O715" s="145"/>
      <c r="P715" s="145"/>
      <c r="Q715" s="145"/>
      <c r="R715" s="145"/>
      <c r="S715" s="145"/>
      <c r="T715" s="145"/>
      <c r="U715" s="145"/>
      <c r="V715" s="145"/>
      <c r="W715" s="145"/>
      <c r="X715" s="145"/>
      <c r="Y715" s="145"/>
      <c r="Z715" s="145"/>
      <c r="AA715" s="145"/>
      <c r="AB715" s="145"/>
      <c r="AC715" s="145"/>
      <c r="AD715" s="145"/>
      <c r="AE715" s="145"/>
      <c r="AF715" s="145"/>
      <c r="AG715" s="145"/>
      <c r="AH715" s="145"/>
      <c r="AI715" s="145"/>
      <c r="AJ715" s="145"/>
      <c r="AK715" s="145"/>
      <c r="AL715" s="145"/>
      <c r="AM715" s="321"/>
      <c r="AN715" s="321"/>
      <c r="AO715" s="321"/>
      <c r="AP715" s="321"/>
      <c r="AQ715" s="321"/>
      <c r="AR715" s="321"/>
      <c r="AS715" s="321"/>
      <c r="AT715" s="321"/>
    </row>
    <row r="716" spans="10:46">
      <c r="J716" s="145"/>
      <c r="K716" s="145"/>
      <c r="L716" s="145"/>
      <c r="M716" s="145"/>
      <c r="N716" s="145"/>
      <c r="O716" s="145"/>
      <c r="P716" s="145"/>
      <c r="Q716" s="145"/>
      <c r="R716" s="145"/>
      <c r="S716" s="145"/>
      <c r="T716" s="145"/>
      <c r="U716" s="145"/>
      <c r="V716" s="145"/>
      <c r="W716" s="145"/>
      <c r="X716" s="145"/>
      <c r="Y716" s="145"/>
      <c r="Z716" s="145"/>
      <c r="AA716" s="145"/>
      <c r="AB716" s="145"/>
      <c r="AC716" s="145"/>
      <c r="AD716" s="145"/>
      <c r="AE716" s="145"/>
      <c r="AF716" s="145"/>
      <c r="AG716" s="145"/>
      <c r="AH716" s="145"/>
      <c r="AI716" s="145"/>
      <c r="AJ716" s="145"/>
      <c r="AK716" s="145"/>
      <c r="AL716" s="145"/>
      <c r="AM716" s="321"/>
      <c r="AN716" s="321"/>
      <c r="AO716" s="321"/>
      <c r="AP716" s="321"/>
      <c r="AQ716" s="321"/>
      <c r="AR716" s="321"/>
      <c r="AS716" s="321"/>
      <c r="AT716" s="321"/>
    </row>
    <row r="717" spans="10:46">
      <c r="J717" s="145"/>
      <c r="K717" s="145"/>
      <c r="L717" s="145"/>
      <c r="M717" s="145"/>
      <c r="N717" s="145"/>
      <c r="O717" s="145"/>
      <c r="P717" s="145"/>
      <c r="Q717" s="145"/>
      <c r="R717" s="145"/>
      <c r="S717" s="145"/>
      <c r="T717" s="145"/>
      <c r="U717" s="145"/>
      <c r="V717" s="145"/>
      <c r="W717" s="145"/>
      <c r="X717" s="145"/>
      <c r="Y717" s="145"/>
      <c r="Z717" s="145"/>
      <c r="AA717" s="145"/>
      <c r="AB717" s="145"/>
      <c r="AC717" s="145"/>
      <c r="AD717" s="145"/>
      <c r="AE717" s="145"/>
      <c r="AF717" s="145"/>
      <c r="AG717" s="145"/>
      <c r="AH717" s="145"/>
      <c r="AI717" s="145"/>
      <c r="AJ717" s="145"/>
      <c r="AK717" s="145"/>
      <c r="AL717" s="145"/>
      <c r="AM717" s="321"/>
      <c r="AN717" s="321"/>
      <c r="AO717" s="321"/>
      <c r="AP717" s="321"/>
      <c r="AQ717" s="321"/>
      <c r="AR717" s="321"/>
      <c r="AS717" s="321"/>
      <c r="AT717" s="321"/>
    </row>
    <row r="718" spans="10:46">
      <c r="J718" s="145"/>
      <c r="K718" s="145"/>
      <c r="L718" s="145"/>
      <c r="M718" s="145"/>
      <c r="N718" s="145"/>
      <c r="O718" s="145"/>
      <c r="P718" s="145"/>
      <c r="Q718" s="145"/>
      <c r="R718" s="145"/>
      <c r="S718" s="145"/>
      <c r="T718" s="145"/>
      <c r="U718" s="145"/>
      <c r="V718" s="145"/>
      <c r="W718" s="145"/>
      <c r="X718" s="145"/>
      <c r="Y718" s="145"/>
      <c r="Z718" s="145"/>
      <c r="AA718" s="145"/>
      <c r="AB718" s="145"/>
      <c r="AC718" s="145"/>
      <c r="AD718" s="145"/>
      <c r="AE718" s="145"/>
      <c r="AF718" s="145"/>
      <c r="AG718" s="145"/>
      <c r="AH718" s="145"/>
      <c r="AI718" s="145"/>
      <c r="AJ718" s="145"/>
      <c r="AK718" s="145"/>
      <c r="AL718" s="145"/>
      <c r="AM718" s="321"/>
      <c r="AN718" s="321"/>
      <c r="AO718" s="321"/>
      <c r="AP718" s="321"/>
      <c r="AQ718" s="321"/>
      <c r="AR718" s="321"/>
      <c r="AS718" s="321"/>
      <c r="AT718" s="321"/>
    </row>
    <row r="719" spans="10:46">
      <c r="J719" s="145"/>
      <c r="K719" s="145"/>
      <c r="L719" s="145"/>
      <c r="M719" s="145"/>
      <c r="N719" s="145"/>
      <c r="O719" s="145"/>
      <c r="P719" s="145"/>
      <c r="Q719" s="145"/>
      <c r="R719" s="145"/>
      <c r="S719" s="145"/>
      <c r="T719" s="145"/>
      <c r="U719" s="145"/>
      <c r="V719" s="145"/>
      <c r="W719" s="145"/>
      <c r="X719" s="145"/>
      <c r="Y719" s="145"/>
      <c r="Z719" s="145"/>
      <c r="AA719" s="145"/>
      <c r="AB719" s="145"/>
      <c r="AC719" s="145"/>
      <c r="AD719" s="145"/>
      <c r="AE719" s="145"/>
      <c r="AF719" s="145"/>
      <c r="AG719" s="145"/>
      <c r="AH719" s="145"/>
      <c r="AI719" s="145"/>
      <c r="AJ719" s="145"/>
      <c r="AK719" s="145"/>
      <c r="AL719" s="145"/>
      <c r="AM719" s="321"/>
      <c r="AN719" s="321"/>
      <c r="AO719" s="321"/>
      <c r="AP719" s="321"/>
      <c r="AQ719" s="321"/>
      <c r="AR719" s="321"/>
      <c r="AS719" s="321"/>
      <c r="AT719" s="321"/>
    </row>
    <row r="720" spans="10:46">
      <c r="J720" s="145"/>
      <c r="K720" s="145"/>
      <c r="L720" s="145"/>
      <c r="M720" s="145"/>
      <c r="N720" s="145"/>
      <c r="O720" s="145"/>
      <c r="P720" s="145"/>
      <c r="Q720" s="145"/>
      <c r="R720" s="145"/>
      <c r="S720" s="145"/>
      <c r="T720" s="145"/>
      <c r="U720" s="145"/>
      <c r="V720" s="145"/>
      <c r="W720" s="145"/>
      <c r="X720" s="145"/>
      <c r="Y720" s="145"/>
      <c r="Z720" s="145"/>
      <c r="AA720" s="145"/>
      <c r="AB720" s="145"/>
      <c r="AC720" s="145"/>
      <c r="AD720" s="145"/>
      <c r="AE720" s="145"/>
      <c r="AF720" s="145"/>
      <c r="AG720" s="145"/>
      <c r="AH720" s="145"/>
      <c r="AI720" s="145"/>
      <c r="AJ720" s="145"/>
      <c r="AK720" s="145"/>
      <c r="AL720" s="145"/>
      <c r="AM720" s="321"/>
      <c r="AN720" s="321"/>
      <c r="AO720" s="321"/>
      <c r="AP720" s="321"/>
      <c r="AQ720" s="321"/>
      <c r="AR720" s="321"/>
      <c r="AS720" s="321"/>
      <c r="AT720" s="321"/>
    </row>
    <row r="721" spans="10:46">
      <c r="J721" s="145"/>
      <c r="K721" s="145"/>
      <c r="L721" s="145"/>
      <c r="M721" s="145"/>
      <c r="N721" s="145"/>
      <c r="O721" s="145"/>
      <c r="P721" s="145"/>
      <c r="Q721" s="145"/>
      <c r="R721" s="145"/>
      <c r="S721" s="145"/>
      <c r="T721" s="145"/>
      <c r="U721" s="145"/>
      <c r="V721" s="145"/>
      <c r="W721" s="145"/>
      <c r="X721" s="145"/>
      <c r="Y721" s="145"/>
      <c r="Z721" s="145"/>
      <c r="AA721" s="145"/>
      <c r="AB721" s="145"/>
      <c r="AC721" s="145"/>
      <c r="AD721" s="145"/>
      <c r="AE721" s="145"/>
      <c r="AF721" s="145"/>
      <c r="AG721" s="145"/>
      <c r="AH721" s="145"/>
      <c r="AI721" s="145"/>
      <c r="AJ721" s="145"/>
      <c r="AK721" s="145"/>
      <c r="AL721" s="145"/>
      <c r="AM721" s="321"/>
      <c r="AN721" s="321"/>
      <c r="AO721" s="321"/>
      <c r="AP721" s="321"/>
      <c r="AQ721" s="321"/>
      <c r="AR721" s="321"/>
      <c r="AS721" s="321"/>
      <c r="AT721" s="321"/>
    </row>
    <row r="722" spans="10:46">
      <c r="J722" s="145"/>
      <c r="K722" s="145"/>
      <c r="L722" s="145"/>
      <c r="M722" s="145"/>
      <c r="N722" s="145"/>
      <c r="O722" s="145"/>
      <c r="P722" s="145"/>
      <c r="Q722" s="145"/>
      <c r="R722" s="145"/>
      <c r="S722" s="145"/>
      <c r="T722" s="145"/>
      <c r="U722" s="145"/>
      <c r="V722" s="145"/>
      <c r="W722" s="145"/>
      <c r="X722" s="145"/>
      <c r="Y722" s="145"/>
      <c r="Z722" s="145"/>
      <c r="AA722" s="145"/>
      <c r="AB722" s="145"/>
      <c r="AC722" s="145"/>
      <c r="AD722" s="145"/>
      <c r="AE722" s="145"/>
      <c r="AF722" s="145"/>
      <c r="AG722" s="145"/>
      <c r="AH722" s="145"/>
      <c r="AI722" s="145"/>
      <c r="AJ722" s="145"/>
      <c r="AK722" s="145"/>
      <c r="AL722" s="145"/>
      <c r="AM722" s="321"/>
      <c r="AN722" s="321"/>
      <c r="AO722" s="321"/>
      <c r="AP722" s="321"/>
      <c r="AQ722" s="321"/>
      <c r="AR722" s="321"/>
      <c r="AS722" s="321"/>
      <c r="AT722" s="321"/>
    </row>
    <row r="723" spans="10:46">
      <c r="J723" s="145"/>
      <c r="K723" s="145"/>
      <c r="L723" s="145"/>
      <c r="M723" s="145"/>
      <c r="N723" s="145"/>
      <c r="O723" s="145"/>
      <c r="P723" s="145"/>
      <c r="Q723" s="145"/>
      <c r="R723" s="145"/>
      <c r="S723" s="145"/>
      <c r="T723" s="145"/>
      <c r="U723" s="145"/>
      <c r="V723" s="145"/>
      <c r="W723" s="145"/>
      <c r="X723" s="145"/>
      <c r="Y723" s="145"/>
      <c r="Z723" s="145"/>
      <c r="AA723" s="145"/>
      <c r="AB723" s="145"/>
      <c r="AC723" s="145"/>
      <c r="AD723" s="145"/>
      <c r="AE723" s="145"/>
      <c r="AF723" s="145"/>
      <c r="AG723" s="145"/>
      <c r="AH723" s="145"/>
      <c r="AI723" s="145"/>
      <c r="AJ723" s="145"/>
      <c r="AK723" s="145"/>
      <c r="AL723" s="145"/>
      <c r="AM723" s="321"/>
      <c r="AN723" s="321"/>
      <c r="AO723" s="321"/>
      <c r="AP723" s="321"/>
      <c r="AQ723" s="321"/>
      <c r="AR723" s="321"/>
      <c r="AS723" s="321"/>
      <c r="AT723" s="321"/>
    </row>
    <row r="724" spans="10:46">
      <c r="J724" s="145"/>
      <c r="K724" s="145"/>
      <c r="L724" s="145"/>
      <c r="M724" s="145"/>
      <c r="N724" s="145"/>
      <c r="O724" s="145"/>
      <c r="P724" s="145"/>
      <c r="Q724" s="145"/>
      <c r="R724" s="145"/>
      <c r="S724" s="145"/>
      <c r="T724" s="145"/>
      <c r="U724" s="145"/>
      <c r="V724" s="145"/>
      <c r="W724" s="145"/>
      <c r="X724" s="145"/>
      <c r="Y724" s="145"/>
      <c r="Z724" s="145"/>
      <c r="AA724" s="145"/>
      <c r="AB724" s="145"/>
      <c r="AC724" s="145"/>
      <c r="AD724" s="145"/>
      <c r="AE724" s="145"/>
      <c r="AF724" s="145"/>
      <c r="AG724" s="145"/>
      <c r="AH724" s="145"/>
      <c r="AI724" s="145"/>
      <c r="AJ724" s="145"/>
      <c r="AK724" s="145"/>
      <c r="AL724" s="145"/>
      <c r="AM724" s="321"/>
      <c r="AN724" s="321"/>
      <c r="AO724" s="321"/>
      <c r="AP724" s="321"/>
      <c r="AQ724" s="321"/>
      <c r="AR724" s="321"/>
      <c r="AS724" s="321"/>
      <c r="AT724" s="321"/>
    </row>
    <row r="725" spans="10:46">
      <c r="J725" s="145"/>
      <c r="K725" s="145"/>
      <c r="L725" s="145"/>
      <c r="M725" s="145"/>
      <c r="N725" s="145"/>
      <c r="O725" s="145"/>
      <c r="P725" s="145"/>
      <c r="Q725" s="145"/>
      <c r="R725" s="145"/>
      <c r="S725" s="145"/>
      <c r="T725" s="145"/>
      <c r="U725" s="145"/>
      <c r="V725" s="145"/>
      <c r="W725" s="145"/>
      <c r="X725" s="145"/>
      <c r="Y725" s="145"/>
      <c r="Z725" s="145"/>
      <c r="AA725" s="145"/>
      <c r="AB725" s="145"/>
      <c r="AC725" s="145"/>
      <c r="AD725" s="145"/>
      <c r="AE725" s="145"/>
      <c r="AF725" s="145"/>
      <c r="AG725" s="145"/>
      <c r="AH725" s="145"/>
      <c r="AI725" s="145"/>
      <c r="AJ725" s="145"/>
      <c r="AK725" s="145"/>
      <c r="AL725" s="145"/>
      <c r="AM725" s="321"/>
      <c r="AN725" s="321"/>
      <c r="AO725" s="321"/>
      <c r="AP725" s="321"/>
      <c r="AQ725" s="321"/>
      <c r="AR725" s="321"/>
      <c r="AS725" s="321"/>
      <c r="AT725" s="321"/>
    </row>
    <row r="726" spans="10:46">
      <c r="J726" s="145"/>
      <c r="K726" s="145"/>
      <c r="L726" s="145"/>
      <c r="M726" s="145"/>
      <c r="N726" s="145"/>
      <c r="O726" s="145"/>
      <c r="P726" s="145"/>
      <c r="Q726" s="145"/>
      <c r="R726" s="145"/>
      <c r="S726" s="145"/>
      <c r="T726" s="145"/>
      <c r="U726" s="145"/>
      <c r="V726" s="145"/>
      <c r="W726" s="145"/>
      <c r="X726" s="145"/>
      <c r="Y726" s="145"/>
      <c r="Z726" s="145"/>
      <c r="AA726" s="145"/>
      <c r="AB726" s="145"/>
      <c r="AC726" s="145"/>
      <c r="AD726" s="145"/>
      <c r="AE726" s="145"/>
      <c r="AF726" s="145"/>
      <c r="AG726" s="145"/>
      <c r="AH726" s="145"/>
      <c r="AI726" s="145"/>
      <c r="AJ726" s="145"/>
      <c r="AK726" s="145"/>
      <c r="AL726" s="145"/>
      <c r="AM726" s="321"/>
      <c r="AN726" s="321"/>
      <c r="AO726" s="321"/>
      <c r="AP726" s="321"/>
      <c r="AQ726" s="321"/>
      <c r="AR726" s="321"/>
      <c r="AS726" s="321"/>
      <c r="AT726" s="321"/>
    </row>
    <row r="727" spans="10:46">
      <c r="J727" s="145"/>
      <c r="K727" s="145"/>
      <c r="L727" s="145"/>
      <c r="M727" s="145"/>
      <c r="N727" s="145"/>
      <c r="O727" s="145"/>
      <c r="P727" s="145"/>
      <c r="Q727" s="145"/>
      <c r="R727" s="145"/>
      <c r="S727" s="145"/>
      <c r="T727" s="145"/>
      <c r="U727" s="145"/>
      <c r="V727" s="145"/>
      <c r="W727" s="145"/>
      <c r="X727" s="145"/>
      <c r="Y727" s="145"/>
      <c r="Z727" s="145"/>
      <c r="AA727" s="145"/>
      <c r="AB727" s="145"/>
      <c r="AC727" s="145"/>
      <c r="AD727" s="145"/>
      <c r="AE727" s="145"/>
      <c r="AF727" s="145"/>
      <c r="AG727" s="145"/>
      <c r="AH727" s="145"/>
      <c r="AI727" s="145"/>
      <c r="AJ727" s="145"/>
      <c r="AK727" s="145"/>
      <c r="AL727" s="145"/>
      <c r="AM727" s="321"/>
      <c r="AN727" s="321"/>
      <c r="AO727" s="321"/>
      <c r="AP727" s="321"/>
      <c r="AQ727" s="321"/>
      <c r="AR727" s="321"/>
      <c r="AS727" s="321"/>
      <c r="AT727" s="321"/>
    </row>
    <row r="728" spans="10:46">
      <c r="J728" s="145"/>
      <c r="K728" s="145"/>
      <c r="L728" s="145"/>
      <c r="M728" s="145"/>
      <c r="N728" s="145"/>
      <c r="O728" s="145"/>
      <c r="P728" s="145"/>
      <c r="Q728" s="145"/>
      <c r="R728" s="145"/>
      <c r="S728" s="145"/>
      <c r="T728" s="145"/>
      <c r="U728" s="145"/>
      <c r="V728" s="145"/>
      <c r="W728" s="145"/>
      <c r="X728" s="145"/>
      <c r="Y728" s="145"/>
      <c r="Z728" s="145"/>
      <c r="AA728" s="145"/>
      <c r="AB728" s="145"/>
      <c r="AC728" s="145"/>
      <c r="AD728" s="145"/>
      <c r="AE728" s="145"/>
      <c r="AF728" s="145"/>
      <c r="AG728" s="145"/>
      <c r="AH728" s="145"/>
      <c r="AI728" s="145"/>
      <c r="AJ728" s="145"/>
      <c r="AK728" s="145"/>
      <c r="AL728" s="145"/>
      <c r="AM728" s="321"/>
      <c r="AN728" s="321"/>
      <c r="AO728" s="321"/>
      <c r="AP728" s="321"/>
      <c r="AQ728" s="321"/>
      <c r="AR728" s="321"/>
      <c r="AS728" s="321"/>
      <c r="AT728" s="321"/>
    </row>
    <row r="729" spans="10:46">
      <c r="J729" s="145"/>
      <c r="K729" s="145"/>
      <c r="L729" s="145"/>
      <c r="M729" s="145"/>
      <c r="N729" s="145"/>
      <c r="O729" s="145"/>
      <c r="P729" s="145"/>
      <c r="Q729" s="145"/>
      <c r="R729" s="145"/>
      <c r="S729" s="145"/>
      <c r="T729" s="145"/>
      <c r="U729" s="145"/>
      <c r="V729" s="145"/>
      <c r="W729" s="145"/>
      <c r="X729" s="145"/>
      <c r="Y729" s="145"/>
      <c r="Z729" s="145"/>
      <c r="AA729" s="145"/>
      <c r="AB729" s="145"/>
      <c r="AC729" s="145"/>
      <c r="AD729" s="145"/>
      <c r="AE729" s="145"/>
      <c r="AF729" s="145"/>
      <c r="AG729" s="145"/>
      <c r="AH729" s="145"/>
      <c r="AI729" s="145"/>
      <c r="AJ729" s="145"/>
      <c r="AK729" s="145"/>
      <c r="AL729" s="145"/>
      <c r="AM729" s="321"/>
      <c r="AN729" s="321"/>
      <c r="AO729" s="321"/>
      <c r="AP729" s="321"/>
      <c r="AQ729" s="321"/>
      <c r="AR729" s="321"/>
      <c r="AS729" s="321"/>
      <c r="AT729" s="321"/>
    </row>
    <row r="730" spans="10:46">
      <c r="J730" s="145"/>
      <c r="K730" s="145"/>
      <c r="L730" s="145"/>
      <c r="M730" s="145"/>
      <c r="N730" s="145"/>
      <c r="O730" s="145"/>
      <c r="P730" s="145"/>
      <c r="Q730" s="145"/>
      <c r="R730" s="145"/>
      <c r="S730" s="145"/>
      <c r="T730" s="145"/>
      <c r="U730" s="145"/>
      <c r="V730" s="145"/>
      <c r="W730" s="145"/>
      <c r="X730" s="145"/>
      <c r="Y730" s="145"/>
      <c r="Z730" s="145"/>
      <c r="AA730" s="145"/>
      <c r="AB730" s="145"/>
      <c r="AC730" s="145"/>
      <c r="AD730" s="145"/>
      <c r="AE730" s="145"/>
      <c r="AF730" s="145"/>
      <c r="AG730" s="145"/>
      <c r="AH730" s="145"/>
      <c r="AI730" s="145"/>
      <c r="AJ730" s="145"/>
      <c r="AK730" s="145"/>
      <c r="AL730" s="145"/>
      <c r="AM730" s="321"/>
      <c r="AN730" s="321"/>
      <c r="AO730" s="321"/>
      <c r="AP730" s="321"/>
      <c r="AQ730" s="321"/>
      <c r="AR730" s="321"/>
      <c r="AS730" s="321"/>
      <c r="AT730" s="321"/>
    </row>
    <row r="731" spans="10:46">
      <c r="J731" s="145"/>
      <c r="K731" s="145"/>
      <c r="L731" s="145"/>
      <c r="M731" s="145"/>
      <c r="N731" s="145"/>
      <c r="O731" s="145"/>
      <c r="P731" s="145"/>
      <c r="Q731" s="145"/>
      <c r="R731" s="145"/>
      <c r="S731" s="145"/>
      <c r="T731" s="145"/>
      <c r="U731" s="145"/>
      <c r="V731" s="145"/>
      <c r="W731" s="145"/>
      <c r="X731" s="145"/>
      <c r="Y731" s="145"/>
      <c r="Z731" s="145"/>
      <c r="AA731" s="145"/>
      <c r="AB731" s="145"/>
      <c r="AC731" s="145"/>
      <c r="AD731" s="145"/>
      <c r="AE731" s="145"/>
      <c r="AF731" s="145"/>
      <c r="AG731" s="145"/>
      <c r="AH731" s="145"/>
      <c r="AI731" s="145"/>
      <c r="AJ731" s="145"/>
      <c r="AK731" s="145"/>
      <c r="AL731" s="145"/>
      <c r="AM731" s="321"/>
      <c r="AN731" s="321"/>
      <c r="AO731" s="321"/>
      <c r="AP731" s="321"/>
      <c r="AQ731" s="321"/>
      <c r="AR731" s="321"/>
      <c r="AS731" s="321"/>
      <c r="AT731" s="321"/>
    </row>
    <row r="732" spans="10:46">
      <c r="J732" s="145"/>
      <c r="K732" s="145"/>
      <c r="L732" s="145"/>
      <c r="M732" s="145"/>
      <c r="N732" s="145"/>
      <c r="O732" s="145"/>
      <c r="P732" s="145"/>
      <c r="Q732" s="145"/>
      <c r="R732" s="145"/>
      <c r="S732" s="145"/>
      <c r="T732" s="145"/>
      <c r="U732" s="145"/>
      <c r="V732" s="145"/>
      <c r="W732" s="145"/>
      <c r="X732" s="145"/>
      <c r="Y732" s="145"/>
      <c r="Z732" s="145"/>
      <c r="AA732" s="145"/>
      <c r="AB732" s="145"/>
      <c r="AC732" s="145"/>
      <c r="AD732" s="145"/>
      <c r="AE732" s="145"/>
      <c r="AF732" s="145"/>
      <c r="AG732" s="145"/>
      <c r="AH732" s="145"/>
      <c r="AI732" s="145"/>
      <c r="AJ732" s="145"/>
      <c r="AK732" s="145"/>
      <c r="AL732" s="145"/>
      <c r="AM732" s="321"/>
      <c r="AN732" s="321"/>
      <c r="AO732" s="321"/>
      <c r="AP732" s="321"/>
      <c r="AQ732" s="321"/>
      <c r="AR732" s="321"/>
      <c r="AS732" s="321"/>
      <c r="AT732" s="321"/>
    </row>
    <row r="733" spans="10:46">
      <c r="J733" s="145"/>
      <c r="K733" s="145"/>
      <c r="L733" s="145"/>
      <c r="M733" s="145"/>
      <c r="N733" s="145"/>
      <c r="O733" s="145"/>
      <c r="P733" s="145"/>
      <c r="Q733" s="145"/>
      <c r="R733" s="145"/>
      <c r="S733" s="145"/>
      <c r="T733" s="145"/>
      <c r="U733" s="145"/>
      <c r="V733" s="145"/>
      <c r="W733" s="145"/>
      <c r="X733" s="145"/>
      <c r="Y733" s="145"/>
      <c r="Z733" s="145"/>
      <c r="AA733" s="145"/>
      <c r="AB733" s="145"/>
      <c r="AC733" s="145"/>
      <c r="AD733" s="145"/>
      <c r="AE733" s="145"/>
      <c r="AF733" s="145"/>
      <c r="AG733" s="145"/>
      <c r="AH733" s="145"/>
      <c r="AI733" s="145"/>
      <c r="AJ733" s="145"/>
      <c r="AK733" s="145"/>
      <c r="AL733" s="145"/>
      <c r="AM733" s="321"/>
      <c r="AN733" s="321"/>
      <c r="AO733" s="321"/>
      <c r="AP733" s="321"/>
      <c r="AQ733" s="321"/>
      <c r="AR733" s="321"/>
      <c r="AS733" s="321"/>
      <c r="AT733" s="321"/>
    </row>
    <row r="734" spans="10:46">
      <c r="J734" s="145"/>
      <c r="K734" s="145"/>
      <c r="L734" s="145"/>
      <c r="M734" s="145"/>
      <c r="N734" s="145"/>
      <c r="O734" s="145"/>
      <c r="P734" s="145"/>
      <c r="Q734" s="145"/>
      <c r="R734" s="145"/>
      <c r="S734" s="145"/>
      <c r="T734" s="145"/>
      <c r="U734" s="145"/>
      <c r="V734" s="145"/>
      <c r="W734" s="145"/>
      <c r="X734" s="145"/>
      <c r="Y734" s="145"/>
      <c r="Z734" s="145"/>
      <c r="AA734" s="145"/>
      <c r="AB734" s="145"/>
      <c r="AC734" s="145"/>
      <c r="AD734" s="145"/>
      <c r="AE734" s="145"/>
      <c r="AF734" s="145"/>
      <c r="AG734" s="145"/>
      <c r="AH734" s="145"/>
      <c r="AI734" s="145"/>
      <c r="AJ734" s="145"/>
      <c r="AK734" s="145"/>
      <c r="AL734" s="145"/>
      <c r="AM734" s="321"/>
      <c r="AN734" s="321"/>
      <c r="AO734" s="321"/>
      <c r="AP734" s="321"/>
      <c r="AQ734" s="321"/>
      <c r="AR734" s="321"/>
      <c r="AS734" s="321"/>
      <c r="AT734" s="321"/>
    </row>
    <row r="735" spans="10:46">
      <c r="J735" s="145"/>
      <c r="K735" s="145"/>
      <c r="L735" s="145"/>
      <c r="M735" s="145"/>
      <c r="N735" s="145"/>
      <c r="O735" s="145"/>
      <c r="P735" s="145"/>
      <c r="Q735" s="145"/>
      <c r="R735" s="145"/>
      <c r="S735" s="145"/>
      <c r="T735" s="145"/>
      <c r="U735" s="145"/>
      <c r="V735" s="145"/>
      <c r="W735" s="145"/>
      <c r="X735" s="145"/>
      <c r="Y735" s="145"/>
      <c r="Z735" s="145"/>
      <c r="AA735" s="145"/>
      <c r="AB735" s="145"/>
      <c r="AC735" s="145"/>
      <c r="AD735" s="145"/>
      <c r="AE735" s="145"/>
      <c r="AF735" s="145"/>
      <c r="AG735" s="145"/>
      <c r="AH735" s="145"/>
      <c r="AI735" s="145"/>
      <c r="AJ735" s="145"/>
      <c r="AK735" s="145"/>
      <c r="AL735" s="145"/>
      <c r="AM735" s="321"/>
      <c r="AN735" s="321"/>
      <c r="AO735" s="321"/>
      <c r="AP735" s="321"/>
      <c r="AQ735" s="321"/>
      <c r="AR735" s="321"/>
      <c r="AS735" s="321"/>
      <c r="AT735" s="321"/>
    </row>
    <row r="736" spans="10:46">
      <c r="J736" s="145"/>
      <c r="K736" s="145"/>
      <c r="L736" s="145"/>
      <c r="M736" s="145"/>
      <c r="N736" s="145"/>
      <c r="O736" s="145"/>
      <c r="P736" s="145"/>
      <c r="Q736" s="145"/>
      <c r="R736" s="145"/>
      <c r="S736" s="145"/>
      <c r="T736" s="145"/>
      <c r="U736" s="145"/>
      <c r="V736" s="145"/>
      <c r="W736" s="145"/>
      <c r="X736" s="145"/>
      <c r="Y736" s="145"/>
      <c r="Z736" s="145"/>
      <c r="AA736" s="145"/>
      <c r="AB736" s="145"/>
      <c r="AC736" s="145"/>
      <c r="AD736" s="145"/>
      <c r="AE736" s="145"/>
      <c r="AF736" s="145"/>
      <c r="AG736" s="145"/>
      <c r="AH736" s="145"/>
      <c r="AI736" s="145"/>
      <c r="AJ736" s="145"/>
      <c r="AK736" s="145"/>
      <c r="AL736" s="145"/>
      <c r="AM736" s="321"/>
      <c r="AN736" s="321"/>
      <c r="AO736" s="321"/>
      <c r="AP736" s="321"/>
      <c r="AQ736" s="321"/>
      <c r="AR736" s="321"/>
      <c r="AS736" s="321"/>
      <c r="AT736" s="321"/>
    </row>
    <row r="737" spans="10:46">
      <c r="J737" s="145"/>
      <c r="K737" s="145"/>
      <c r="L737" s="145"/>
      <c r="M737" s="145"/>
      <c r="N737" s="145"/>
      <c r="O737" s="145"/>
      <c r="P737" s="145"/>
      <c r="Q737" s="145"/>
      <c r="R737" s="145"/>
      <c r="S737" s="145"/>
      <c r="T737" s="145"/>
      <c r="U737" s="145"/>
      <c r="V737" s="145"/>
      <c r="W737" s="145"/>
      <c r="X737" s="145"/>
      <c r="Y737" s="145"/>
      <c r="Z737" s="145"/>
      <c r="AA737" s="145"/>
      <c r="AB737" s="145"/>
      <c r="AC737" s="145"/>
      <c r="AD737" s="145"/>
      <c r="AE737" s="145"/>
      <c r="AF737" s="145"/>
      <c r="AG737" s="145"/>
      <c r="AH737" s="145"/>
      <c r="AI737" s="145"/>
      <c r="AJ737" s="145"/>
      <c r="AK737" s="145"/>
      <c r="AL737" s="145"/>
      <c r="AM737" s="321"/>
      <c r="AN737" s="321"/>
      <c r="AO737" s="321"/>
      <c r="AP737" s="321"/>
      <c r="AQ737" s="321"/>
      <c r="AR737" s="321"/>
      <c r="AS737" s="321"/>
      <c r="AT737" s="321"/>
    </row>
    <row r="738" spans="10:46">
      <c r="J738" s="145"/>
      <c r="K738" s="145"/>
      <c r="L738" s="145"/>
      <c r="M738" s="145"/>
      <c r="N738" s="145"/>
      <c r="O738" s="145"/>
      <c r="P738" s="145"/>
      <c r="Q738" s="145"/>
      <c r="R738" s="145"/>
      <c r="S738" s="145"/>
      <c r="T738" s="145"/>
      <c r="U738" s="145"/>
      <c r="V738" s="145"/>
      <c r="W738" s="145"/>
      <c r="X738" s="145"/>
      <c r="Y738" s="145"/>
      <c r="Z738" s="145"/>
      <c r="AA738" s="145"/>
      <c r="AB738" s="145"/>
      <c r="AC738" s="145"/>
      <c r="AD738" s="145"/>
      <c r="AE738" s="145"/>
      <c r="AF738" s="145"/>
      <c r="AG738" s="145"/>
      <c r="AH738" s="145"/>
      <c r="AI738" s="145"/>
      <c r="AJ738" s="145"/>
      <c r="AK738" s="145"/>
      <c r="AL738" s="145"/>
      <c r="AM738" s="321"/>
      <c r="AN738" s="321"/>
      <c r="AO738" s="321"/>
      <c r="AP738" s="321"/>
      <c r="AQ738" s="321"/>
      <c r="AR738" s="321"/>
      <c r="AS738" s="321"/>
      <c r="AT738" s="321"/>
    </row>
    <row r="739" spans="10:46">
      <c r="J739" s="145"/>
      <c r="K739" s="145"/>
      <c r="L739" s="145"/>
      <c r="M739" s="145"/>
      <c r="N739" s="145"/>
      <c r="O739" s="145"/>
      <c r="P739" s="145"/>
      <c r="Q739" s="145"/>
      <c r="R739" s="145"/>
      <c r="S739" s="145"/>
      <c r="T739" s="145"/>
      <c r="U739" s="145"/>
      <c r="V739" s="145"/>
      <c r="W739" s="145"/>
      <c r="X739" s="145"/>
      <c r="Y739" s="145"/>
      <c r="Z739" s="145"/>
      <c r="AA739" s="145"/>
      <c r="AB739" s="145"/>
      <c r="AC739" s="145"/>
      <c r="AD739" s="145"/>
      <c r="AE739" s="145"/>
      <c r="AF739" s="145"/>
      <c r="AG739" s="145"/>
      <c r="AH739" s="145"/>
      <c r="AI739" s="145"/>
      <c r="AJ739" s="145"/>
      <c r="AK739" s="145"/>
      <c r="AL739" s="145"/>
      <c r="AM739" s="321"/>
      <c r="AN739" s="321"/>
      <c r="AO739" s="321"/>
      <c r="AP739" s="321"/>
      <c r="AQ739" s="321"/>
      <c r="AR739" s="321"/>
      <c r="AS739" s="321"/>
      <c r="AT739" s="321"/>
    </row>
    <row r="740" spans="10:46">
      <c r="J740" s="145"/>
      <c r="K740" s="145"/>
      <c r="L740" s="145"/>
      <c r="M740" s="145"/>
      <c r="N740" s="145"/>
      <c r="O740" s="145"/>
      <c r="P740" s="145"/>
      <c r="Q740" s="145"/>
      <c r="R740" s="145"/>
      <c r="S740" s="145"/>
      <c r="T740" s="145"/>
      <c r="U740" s="145"/>
      <c r="V740" s="145"/>
      <c r="W740" s="145"/>
      <c r="X740" s="145"/>
      <c r="Y740" s="145"/>
      <c r="Z740" s="145"/>
      <c r="AA740" s="145"/>
      <c r="AB740" s="145"/>
      <c r="AC740" s="145"/>
      <c r="AD740" s="145"/>
      <c r="AE740" s="145"/>
      <c r="AF740" s="145"/>
      <c r="AG740" s="145"/>
      <c r="AH740" s="145"/>
      <c r="AI740" s="145"/>
      <c r="AJ740" s="145"/>
      <c r="AK740" s="145"/>
      <c r="AL740" s="145"/>
      <c r="AM740" s="321"/>
      <c r="AN740" s="321"/>
      <c r="AO740" s="321"/>
      <c r="AP740" s="321"/>
      <c r="AQ740" s="321"/>
      <c r="AR740" s="321"/>
      <c r="AS740" s="321"/>
      <c r="AT740" s="321"/>
    </row>
    <row r="741" spans="10:46">
      <c r="J741" s="145"/>
      <c r="K741" s="145"/>
      <c r="L741" s="145"/>
      <c r="M741" s="145"/>
      <c r="N741" s="145"/>
      <c r="O741" s="145"/>
      <c r="P741" s="145"/>
      <c r="Q741" s="145"/>
      <c r="R741" s="145"/>
      <c r="S741" s="145"/>
      <c r="T741" s="145"/>
      <c r="U741" s="145"/>
      <c r="V741" s="145"/>
      <c r="W741" s="145"/>
      <c r="X741" s="145"/>
      <c r="Y741" s="145"/>
      <c r="Z741" s="145"/>
      <c r="AA741" s="145"/>
      <c r="AB741" s="145"/>
      <c r="AC741" s="145"/>
      <c r="AD741" s="145"/>
      <c r="AE741" s="145"/>
      <c r="AF741" s="145"/>
      <c r="AG741" s="145"/>
      <c r="AH741" s="145"/>
      <c r="AI741" s="145"/>
      <c r="AJ741" s="145"/>
      <c r="AK741" s="145"/>
      <c r="AL741" s="145"/>
      <c r="AM741" s="321"/>
      <c r="AN741" s="321"/>
      <c r="AO741" s="321"/>
      <c r="AP741" s="321"/>
      <c r="AQ741" s="321"/>
      <c r="AR741" s="321"/>
      <c r="AS741" s="321"/>
      <c r="AT741" s="321"/>
    </row>
    <row r="742" spans="10:46">
      <c r="J742" s="145"/>
      <c r="K742" s="145"/>
      <c r="L742" s="145"/>
      <c r="M742" s="145"/>
      <c r="N742" s="145"/>
      <c r="O742" s="145"/>
      <c r="P742" s="145"/>
      <c r="Q742" s="145"/>
      <c r="R742" s="145"/>
      <c r="S742" s="145"/>
      <c r="T742" s="145"/>
      <c r="U742" s="145"/>
      <c r="V742" s="145"/>
      <c r="W742" s="145"/>
      <c r="X742" s="145"/>
      <c r="Y742" s="145"/>
      <c r="Z742" s="145"/>
      <c r="AA742" s="145"/>
      <c r="AB742" s="145"/>
      <c r="AC742" s="145"/>
      <c r="AD742" s="145"/>
      <c r="AE742" s="145"/>
      <c r="AF742" s="145"/>
      <c r="AG742" s="145"/>
      <c r="AH742" s="145"/>
      <c r="AI742" s="145"/>
      <c r="AJ742" s="145"/>
      <c r="AK742" s="145"/>
      <c r="AL742" s="145"/>
      <c r="AM742" s="321"/>
      <c r="AN742" s="321"/>
      <c r="AO742" s="321"/>
      <c r="AP742" s="321"/>
      <c r="AQ742" s="321"/>
      <c r="AR742" s="321"/>
      <c r="AS742" s="321"/>
      <c r="AT742" s="321"/>
    </row>
    <row r="743" spans="10:46">
      <c r="J743" s="145"/>
      <c r="K743" s="145"/>
      <c r="L743" s="145"/>
      <c r="M743" s="145"/>
      <c r="N743" s="145"/>
      <c r="O743" s="145"/>
      <c r="P743" s="145"/>
      <c r="Q743" s="145"/>
      <c r="R743" s="145"/>
      <c r="S743" s="145"/>
      <c r="T743" s="145"/>
      <c r="U743" s="145"/>
      <c r="V743" s="145"/>
      <c r="W743" s="145"/>
      <c r="X743" s="145"/>
      <c r="Y743" s="145"/>
      <c r="Z743" s="145"/>
      <c r="AA743" s="145"/>
      <c r="AB743" s="145"/>
      <c r="AC743" s="145"/>
      <c r="AD743" s="145"/>
      <c r="AE743" s="145"/>
      <c r="AF743" s="145"/>
      <c r="AG743" s="145"/>
      <c r="AH743" s="145"/>
      <c r="AI743" s="145"/>
      <c r="AJ743" s="145"/>
      <c r="AK743" s="145"/>
      <c r="AL743" s="145"/>
      <c r="AM743" s="321"/>
      <c r="AN743" s="321"/>
      <c r="AO743" s="321"/>
      <c r="AP743" s="321"/>
      <c r="AQ743" s="321"/>
      <c r="AR743" s="321"/>
      <c r="AS743" s="321"/>
      <c r="AT743" s="321"/>
    </row>
    <row r="744" spans="10:46">
      <c r="J744" s="145"/>
      <c r="K744" s="145"/>
      <c r="L744" s="145"/>
      <c r="M744" s="145"/>
      <c r="N744" s="145"/>
      <c r="O744" s="145"/>
      <c r="P744" s="145"/>
      <c r="Q744" s="145"/>
      <c r="R744" s="145"/>
      <c r="S744" s="145"/>
      <c r="T744" s="145"/>
      <c r="U744" s="145"/>
      <c r="V744" s="145"/>
      <c r="W744" s="145"/>
      <c r="X744" s="145"/>
      <c r="Y744" s="145"/>
      <c r="Z744" s="145"/>
      <c r="AA744" s="145"/>
      <c r="AB744" s="145"/>
      <c r="AC744" s="145"/>
      <c r="AD744" s="145"/>
      <c r="AE744" s="145"/>
      <c r="AF744" s="145"/>
      <c r="AG744" s="145"/>
      <c r="AH744" s="145"/>
      <c r="AI744" s="145"/>
      <c r="AJ744" s="145"/>
      <c r="AK744" s="145"/>
      <c r="AL744" s="145"/>
      <c r="AM744" s="321"/>
      <c r="AN744" s="321"/>
      <c r="AO744" s="321"/>
      <c r="AP744" s="321"/>
      <c r="AQ744" s="321"/>
      <c r="AR744" s="321"/>
      <c r="AS744" s="321"/>
      <c r="AT744" s="321"/>
    </row>
    <row r="745" spans="10:46">
      <c r="J745" s="145"/>
      <c r="K745" s="145"/>
      <c r="L745" s="145"/>
      <c r="M745" s="145"/>
      <c r="N745" s="145"/>
      <c r="O745" s="145"/>
      <c r="P745" s="145"/>
      <c r="Q745" s="145"/>
      <c r="R745" s="145"/>
      <c r="S745" s="145"/>
      <c r="T745" s="145"/>
      <c r="U745" s="145"/>
      <c r="V745" s="145"/>
      <c r="W745" s="145"/>
      <c r="X745" s="145"/>
      <c r="Y745" s="145"/>
      <c r="Z745" s="145"/>
      <c r="AA745" s="145"/>
      <c r="AB745" s="145"/>
      <c r="AC745" s="145"/>
      <c r="AD745" s="145"/>
      <c r="AE745" s="145"/>
      <c r="AF745" s="145"/>
      <c r="AG745" s="145"/>
      <c r="AH745" s="145"/>
      <c r="AI745" s="145"/>
      <c r="AJ745" s="145"/>
      <c r="AK745" s="145"/>
      <c r="AL745" s="145"/>
      <c r="AM745" s="321"/>
      <c r="AN745" s="321"/>
      <c r="AO745" s="321"/>
      <c r="AP745" s="321"/>
      <c r="AQ745" s="321"/>
      <c r="AR745" s="321"/>
      <c r="AS745" s="321"/>
      <c r="AT745" s="321"/>
    </row>
    <row r="746" spans="10:46">
      <c r="J746" s="145"/>
      <c r="K746" s="145"/>
      <c r="L746" s="145"/>
      <c r="M746" s="145"/>
      <c r="N746" s="145"/>
      <c r="O746" s="145"/>
      <c r="P746" s="145"/>
      <c r="Q746" s="145"/>
      <c r="R746" s="145"/>
      <c r="S746" s="145"/>
      <c r="T746" s="145"/>
      <c r="U746" s="145"/>
      <c r="V746" s="145"/>
      <c r="W746" s="145"/>
      <c r="X746" s="145"/>
      <c r="Y746" s="145"/>
      <c r="Z746" s="145"/>
      <c r="AA746" s="145"/>
      <c r="AB746" s="145"/>
      <c r="AC746" s="145"/>
      <c r="AD746" s="145"/>
      <c r="AE746" s="145"/>
      <c r="AF746" s="145"/>
      <c r="AG746" s="145"/>
      <c r="AH746" s="145"/>
      <c r="AI746" s="145"/>
      <c r="AJ746" s="145"/>
      <c r="AK746" s="145"/>
      <c r="AL746" s="145"/>
      <c r="AM746" s="321"/>
      <c r="AN746" s="321"/>
      <c r="AO746" s="321"/>
      <c r="AP746" s="321"/>
      <c r="AQ746" s="321"/>
      <c r="AR746" s="321"/>
      <c r="AS746" s="321"/>
      <c r="AT746" s="321"/>
    </row>
    <row r="747" spans="10:46">
      <c r="J747" s="145"/>
      <c r="K747" s="145"/>
      <c r="L747" s="145"/>
      <c r="M747" s="145"/>
      <c r="N747" s="145"/>
      <c r="O747" s="145"/>
      <c r="P747" s="145"/>
      <c r="Q747" s="145"/>
      <c r="R747" s="145"/>
      <c r="S747" s="145"/>
      <c r="T747" s="145"/>
      <c r="U747" s="145"/>
      <c r="V747" s="145"/>
      <c r="W747" s="145"/>
      <c r="X747" s="145"/>
      <c r="Y747" s="145"/>
      <c r="Z747" s="145"/>
      <c r="AA747" s="145"/>
      <c r="AB747" s="145"/>
      <c r="AC747" s="145"/>
      <c r="AD747" s="145"/>
      <c r="AE747" s="145"/>
      <c r="AF747" s="145"/>
      <c r="AG747" s="145"/>
      <c r="AH747" s="145"/>
      <c r="AI747" s="145"/>
      <c r="AJ747" s="145"/>
      <c r="AK747" s="145"/>
      <c r="AL747" s="145"/>
      <c r="AM747" s="321"/>
      <c r="AN747" s="321"/>
      <c r="AO747" s="321"/>
      <c r="AP747" s="321"/>
      <c r="AQ747" s="321"/>
      <c r="AR747" s="321"/>
      <c r="AS747" s="321"/>
      <c r="AT747" s="321"/>
    </row>
    <row r="748" spans="10:46">
      <c r="J748" s="145"/>
      <c r="K748" s="145"/>
      <c r="L748" s="145"/>
      <c r="M748" s="145"/>
      <c r="N748" s="145"/>
      <c r="O748" s="145"/>
      <c r="P748" s="145"/>
      <c r="Q748" s="145"/>
      <c r="R748" s="145"/>
      <c r="S748" s="145"/>
      <c r="T748" s="145"/>
      <c r="U748" s="145"/>
      <c r="V748" s="145"/>
      <c r="W748" s="145"/>
      <c r="X748" s="145"/>
      <c r="Y748" s="145"/>
      <c r="Z748" s="145"/>
      <c r="AA748" s="145"/>
      <c r="AB748" s="145"/>
      <c r="AC748" s="145"/>
      <c r="AD748" s="145"/>
      <c r="AE748" s="145"/>
      <c r="AF748" s="145"/>
      <c r="AG748" s="145"/>
      <c r="AH748" s="145"/>
      <c r="AI748" s="145"/>
      <c r="AJ748" s="145"/>
      <c r="AK748" s="145"/>
      <c r="AL748" s="145"/>
      <c r="AM748" s="321"/>
      <c r="AN748" s="321"/>
      <c r="AO748" s="321"/>
      <c r="AP748" s="321"/>
      <c r="AQ748" s="321"/>
      <c r="AR748" s="321"/>
      <c r="AS748" s="321"/>
      <c r="AT748" s="321"/>
    </row>
    <row r="749" spans="10:46">
      <c r="J749" s="145"/>
      <c r="K749" s="145"/>
      <c r="L749" s="145"/>
      <c r="M749" s="145"/>
      <c r="N749" s="145"/>
      <c r="O749" s="145"/>
      <c r="P749" s="145"/>
      <c r="Q749" s="145"/>
      <c r="R749" s="145"/>
      <c r="S749" s="145"/>
      <c r="T749" s="145"/>
      <c r="U749" s="145"/>
      <c r="V749" s="145"/>
      <c r="W749" s="145"/>
      <c r="X749" s="145"/>
      <c r="Y749" s="145"/>
      <c r="Z749" s="145"/>
      <c r="AA749" s="145"/>
      <c r="AB749" s="145"/>
      <c r="AC749" s="145"/>
      <c r="AD749" s="145"/>
      <c r="AE749" s="145"/>
      <c r="AF749" s="145"/>
      <c r="AG749" s="145"/>
      <c r="AH749" s="145"/>
      <c r="AI749" s="145"/>
      <c r="AJ749" s="145"/>
      <c r="AK749" s="145"/>
      <c r="AL749" s="145"/>
      <c r="AM749" s="321"/>
      <c r="AN749" s="321"/>
      <c r="AO749" s="321"/>
      <c r="AP749" s="321"/>
      <c r="AQ749" s="321"/>
      <c r="AR749" s="321"/>
      <c r="AS749" s="321"/>
      <c r="AT749" s="321"/>
    </row>
    <row r="750" spans="10:46">
      <c r="J750" s="145"/>
      <c r="K750" s="145"/>
      <c r="L750" s="145"/>
      <c r="M750" s="145"/>
      <c r="N750" s="145"/>
      <c r="O750" s="145"/>
      <c r="P750" s="145"/>
      <c r="Q750" s="145"/>
      <c r="R750" s="145"/>
      <c r="S750" s="145"/>
      <c r="T750" s="145"/>
      <c r="U750" s="145"/>
      <c r="V750" s="145"/>
      <c r="W750" s="145"/>
      <c r="X750" s="145"/>
      <c r="Y750" s="145"/>
      <c r="Z750" s="145"/>
      <c r="AA750" s="145"/>
      <c r="AB750" s="145"/>
      <c r="AC750" s="145"/>
      <c r="AD750" s="145"/>
      <c r="AE750" s="145"/>
      <c r="AF750" s="145"/>
      <c r="AG750" s="145"/>
      <c r="AH750" s="145"/>
      <c r="AI750" s="145"/>
      <c r="AJ750" s="145"/>
      <c r="AK750" s="145"/>
      <c r="AL750" s="145"/>
      <c r="AM750" s="321"/>
      <c r="AN750" s="321"/>
      <c r="AO750" s="321"/>
      <c r="AP750" s="321"/>
      <c r="AQ750" s="321"/>
      <c r="AR750" s="321"/>
      <c r="AS750" s="321"/>
      <c r="AT750" s="321"/>
    </row>
    <row r="751" spans="10:46">
      <c r="J751" s="145"/>
      <c r="K751" s="145"/>
      <c r="L751" s="145"/>
      <c r="M751" s="145"/>
      <c r="N751" s="145"/>
      <c r="O751" s="145"/>
      <c r="P751" s="145"/>
      <c r="Q751" s="145"/>
      <c r="R751" s="145"/>
      <c r="S751" s="145"/>
      <c r="T751" s="145"/>
      <c r="U751" s="145"/>
      <c r="V751" s="145"/>
      <c r="W751" s="145"/>
      <c r="X751" s="145"/>
      <c r="Y751" s="145"/>
      <c r="Z751" s="145"/>
      <c r="AA751" s="145"/>
      <c r="AB751" s="145"/>
      <c r="AC751" s="145"/>
      <c r="AD751" s="145"/>
      <c r="AE751" s="145"/>
      <c r="AF751" s="145"/>
      <c r="AG751" s="145"/>
      <c r="AH751" s="145"/>
      <c r="AI751" s="145"/>
      <c r="AJ751" s="145"/>
      <c r="AK751" s="145"/>
      <c r="AL751" s="145"/>
      <c r="AM751" s="321"/>
      <c r="AN751" s="321"/>
      <c r="AO751" s="321"/>
      <c r="AP751" s="321"/>
      <c r="AQ751" s="321"/>
      <c r="AR751" s="321"/>
      <c r="AS751" s="321"/>
      <c r="AT751" s="321"/>
    </row>
    <row r="752" spans="10:46">
      <c r="J752" s="145"/>
      <c r="K752" s="145"/>
      <c r="L752" s="145"/>
      <c r="M752" s="145"/>
      <c r="N752" s="145"/>
      <c r="O752" s="145"/>
      <c r="P752" s="145"/>
      <c r="Q752" s="145"/>
      <c r="R752" s="145"/>
      <c r="S752" s="145"/>
      <c r="T752" s="145"/>
      <c r="U752" s="145"/>
      <c r="V752" s="145"/>
      <c r="W752" s="145"/>
      <c r="X752" s="145"/>
      <c r="Y752" s="145"/>
      <c r="Z752" s="145"/>
      <c r="AA752" s="145"/>
      <c r="AB752" s="145"/>
      <c r="AC752" s="145"/>
      <c r="AD752" s="145"/>
      <c r="AE752" s="145"/>
      <c r="AF752" s="145"/>
      <c r="AG752" s="145"/>
      <c r="AH752" s="145"/>
      <c r="AI752" s="145"/>
      <c r="AJ752" s="145"/>
      <c r="AK752" s="145"/>
      <c r="AL752" s="145"/>
      <c r="AM752" s="321"/>
      <c r="AN752" s="321"/>
      <c r="AO752" s="321"/>
      <c r="AP752" s="321"/>
      <c r="AQ752" s="321"/>
      <c r="AR752" s="321"/>
      <c r="AS752" s="321"/>
      <c r="AT752" s="321"/>
    </row>
    <row r="753" spans="10:46">
      <c r="J753" s="145"/>
      <c r="K753" s="145"/>
      <c r="L753" s="145"/>
      <c r="M753" s="145"/>
      <c r="N753" s="145"/>
      <c r="O753" s="145"/>
      <c r="P753" s="145"/>
      <c r="Q753" s="145"/>
      <c r="R753" s="145"/>
      <c r="S753" s="145"/>
      <c r="T753" s="145"/>
      <c r="U753" s="145"/>
      <c r="V753" s="145"/>
      <c r="W753" s="145"/>
      <c r="X753" s="145"/>
      <c r="Y753" s="145"/>
      <c r="Z753" s="145"/>
      <c r="AA753" s="145"/>
      <c r="AB753" s="145"/>
      <c r="AC753" s="145"/>
      <c r="AD753" s="145"/>
      <c r="AE753" s="145"/>
      <c r="AF753" s="145"/>
      <c r="AG753" s="145"/>
      <c r="AH753" s="145"/>
      <c r="AI753" s="145"/>
      <c r="AJ753" s="145"/>
      <c r="AK753" s="145"/>
      <c r="AL753" s="145"/>
      <c r="AM753" s="321"/>
      <c r="AN753" s="321"/>
      <c r="AO753" s="321"/>
      <c r="AP753" s="321"/>
      <c r="AQ753" s="321"/>
      <c r="AR753" s="321"/>
      <c r="AS753" s="321"/>
      <c r="AT753" s="321"/>
    </row>
    <row r="754" spans="10:46">
      <c r="J754" s="145"/>
      <c r="K754" s="145"/>
      <c r="L754" s="145"/>
      <c r="M754" s="145"/>
      <c r="N754" s="145"/>
      <c r="O754" s="145"/>
      <c r="P754" s="145"/>
      <c r="Q754" s="145"/>
      <c r="R754" s="145"/>
      <c r="S754" s="145"/>
      <c r="T754" s="145"/>
      <c r="U754" s="145"/>
      <c r="V754" s="145"/>
      <c r="W754" s="145"/>
      <c r="X754" s="145"/>
      <c r="Y754" s="145"/>
      <c r="Z754" s="145"/>
      <c r="AA754" s="145"/>
      <c r="AB754" s="145"/>
      <c r="AC754" s="145"/>
      <c r="AD754" s="145"/>
      <c r="AE754" s="145"/>
      <c r="AF754" s="145"/>
      <c r="AG754" s="145"/>
      <c r="AH754" s="145"/>
      <c r="AI754" s="145"/>
      <c r="AJ754" s="145"/>
      <c r="AK754" s="145"/>
      <c r="AL754" s="145"/>
      <c r="AM754" s="321"/>
      <c r="AN754" s="321"/>
      <c r="AO754" s="321"/>
      <c r="AP754" s="321"/>
      <c r="AQ754" s="321"/>
      <c r="AR754" s="321"/>
      <c r="AS754" s="321"/>
      <c r="AT754" s="321"/>
    </row>
    <row r="755" spans="10:46">
      <c r="J755" s="145"/>
      <c r="K755" s="145"/>
      <c r="L755" s="145"/>
      <c r="M755" s="145"/>
      <c r="N755" s="145"/>
      <c r="O755" s="145"/>
      <c r="P755" s="145"/>
      <c r="Q755" s="145"/>
      <c r="R755" s="145"/>
      <c r="S755" s="145"/>
      <c r="T755" s="145"/>
      <c r="U755" s="145"/>
      <c r="V755" s="145"/>
      <c r="W755" s="145"/>
      <c r="X755" s="145"/>
      <c r="Y755" s="145"/>
      <c r="Z755" s="145"/>
      <c r="AA755" s="145"/>
      <c r="AB755" s="145"/>
      <c r="AC755" s="145"/>
      <c r="AD755" s="145"/>
      <c r="AE755" s="145"/>
      <c r="AF755" s="145"/>
      <c r="AG755" s="145"/>
      <c r="AH755" s="145"/>
      <c r="AI755" s="145"/>
      <c r="AJ755" s="145"/>
      <c r="AK755" s="145"/>
      <c r="AL755" s="145"/>
      <c r="AM755" s="321"/>
      <c r="AN755" s="321"/>
      <c r="AO755" s="321"/>
      <c r="AP755" s="321"/>
      <c r="AQ755" s="321"/>
      <c r="AR755" s="321"/>
      <c r="AS755" s="321"/>
      <c r="AT755" s="321"/>
    </row>
    <row r="756" spans="10:46">
      <c r="J756" s="145"/>
      <c r="K756" s="145"/>
      <c r="L756" s="145"/>
      <c r="M756" s="145"/>
      <c r="N756" s="145"/>
      <c r="O756" s="145"/>
      <c r="P756" s="145"/>
      <c r="Q756" s="145"/>
      <c r="R756" s="145"/>
      <c r="S756" s="145"/>
      <c r="T756" s="145"/>
      <c r="U756" s="145"/>
      <c r="V756" s="145"/>
      <c r="W756" s="145"/>
      <c r="X756" s="145"/>
      <c r="Y756" s="145"/>
      <c r="Z756" s="145"/>
      <c r="AA756" s="145"/>
      <c r="AB756" s="145"/>
      <c r="AC756" s="145"/>
      <c r="AD756" s="145"/>
      <c r="AE756" s="145"/>
      <c r="AF756" s="145"/>
      <c r="AG756" s="145"/>
      <c r="AH756" s="145"/>
      <c r="AI756" s="145"/>
      <c r="AJ756" s="145"/>
      <c r="AK756" s="145"/>
      <c r="AL756" s="145"/>
      <c r="AM756" s="321"/>
      <c r="AN756" s="321"/>
      <c r="AO756" s="321"/>
      <c r="AP756" s="321"/>
      <c r="AQ756" s="321"/>
      <c r="AR756" s="321"/>
      <c r="AS756" s="321"/>
      <c r="AT756" s="321"/>
    </row>
    <row r="757" spans="10:46">
      <c r="J757" s="145"/>
      <c r="K757" s="145"/>
      <c r="L757" s="145"/>
      <c r="M757" s="145"/>
      <c r="N757" s="145"/>
      <c r="O757" s="145"/>
      <c r="P757" s="145"/>
      <c r="Q757" s="145"/>
      <c r="R757" s="145"/>
      <c r="S757" s="145"/>
      <c r="T757" s="145"/>
      <c r="U757" s="145"/>
      <c r="V757" s="145"/>
      <c r="W757" s="145"/>
      <c r="X757" s="145"/>
      <c r="Y757" s="145"/>
      <c r="Z757" s="145"/>
      <c r="AA757" s="145"/>
      <c r="AB757" s="145"/>
      <c r="AC757" s="145"/>
      <c r="AD757" s="145"/>
      <c r="AE757" s="145"/>
      <c r="AF757" s="145"/>
      <c r="AG757" s="145"/>
      <c r="AH757" s="145"/>
      <c r="AI757" s="145"/>
      <c r="AJ757" s="145"/>
      <c r="AK757" s="145"/>
      <c r="AL757" s="145"/>
      <c r="AM757" s="321"/>
      <c r="AN757" s="321"/>
      <c r="AO757" s="321"/>
      <c r="AP757" s="321"/>
      <c r="AQ757" s="321"/>
      <c r="AR757" s="321"/>
      <c r="AS757" s="321"/>
      <c r="AT757" s="321"/>
    </row>
    <row r="758" spans="10:46">
      <c r="J758" s="145"/>
      <c r="K758" s="145"/>
      <c r="L758" s="145"/>
      <c r="M758" s="145"/>
      <c r="N758" s="145"/>
      <c r="O758" s="145"/>
      <c r="P758" s="145"/>
      <c r="Q758" s="145"/>
      <c r="R758" s="145"/>
      <c r="S758" s="145"/>
      <c r="T758" s="145"/>
      <c r="U758" s="145"/>
      <c r="V758" s="145"/>
      <c r="W758" s="145"/>
      <c r="X758" s="145"/>
      <c r="Y758" s="145"/>
      <c r="Z758" s="145"/>
      <c r="AA758" s="145"/>
      <c r="AB758" s="145"/>
      <c r="AC758" s="145"/>
      <c r="AD758" s="145"/>
      <c r="AE758" s="145"/>
      <c r="AF758" s="145"/>
      <c r="AG758" s="145"/>
      <c r="AH758" s="145"/>
      <c r="AI758" s="145"/>
      <c r="AJ758" s="145"/>
      <c r="AK758" s="145"/>
      <c r="AL758" s="145"/>
      <c r="AM758" s="321"/>
      <c r="AN758" s="321"/>
      <c r="AO758" s="321"/>
      <c r="AP758" s="321"/>
      <c r="AQ758" s="321"/>
      <c r="AR758" s="321"/>
      <c r="AS758" s="321"/>
      <c r="AT758" s="321"/>
    </row>
    <row r="759" spans="10:46">
      <c r="J759" s="145"/>
      <c r="K759" s="145"/>
      <c r="L759" s="145"/>
      <c r="M759" s="145"/>
      <c r="N759" s="145"/>
      <c r="O759" s="145"/>
      <c r="P759" s="145"/>
      <c r="Q759" s="145"/>
      <c r="R759" s="145"/>
      <c r="S759" s="145"/>
      <c r="T759" s="145"/>
      <c r="U759" s="145"/>
      <c r="V759" s="145"/>
      <c r="W759" s="145"/>
      <c r="X759" s="145"/>
      <c r="Y759" s="145"/>
      <c r="Z759" s="145"/>
      <c r="AA759" s="145"/>
      <c r="AB759" s="145"/>
      <c r="AC759" s="145"/>
      <c r="AD759" s="145"/>
      <c r="AE759" s="145"/>
      <c r="AF759" s="145"/>
      <c r="AG759" s="145"/>
      <c r="AH759" s="145"/>
      <c r="AI759" s="145"/>
      <c r="AJ759" s="145"/>
      <c r="AK759" s="145"/>
      <c r="AL759" s="145"/>
      <c r="AM759" s="321"/>
      <c r="AN759" s="321"/>
      <c r="AO759" s="321"/>
      <c r="AP759" s="321"/>
      <c r="AQ759" s="321"/>
      <c r="AR759" s="321"/>
      <c r="AS759" s="321"/>
      <c r="AT759" s="321"/>
    </row>
    <row r="760" spans="10:46">
      <c r="J760" s="145"/>
      <c r="K760" s="145"/>
      <c r="L760" s="145"/>
      <c r="M760" s="145"/>
      <c r="N760" s="145"/>
      <c r="O760" s="145"/>
      <c r="P760" s="145"/>
      <c r="Q760" s="145"/>
      <c r="R760" s="145"/>
      <c r="S760" s="145"/>
      <c r="T760" s="145"/>
      <c r="U760" s="145"/>
      <c r="V760" s="145"/>
      <c r="W760" s="145"/>
      <c r="X760" s="145"/>
      <c r="Y760" s="145"/>
      <c r="Z760" s="145"/>
      <c r="AA760" s="145"/>
      <c r="AB760" s="145"/>
      <c r="AC760" s="145"/>
      <c r="AD760" s="145"/>
      <c r="AE760" s="145"/>
      <c r="AF760" s="145"/>
      <c r="AG760" s="145"/>
      <c r="AH760" s="145"/>
      <c r="AI760" s="145"/>
      <c r="AJ760" s="145"/>
      <c r="AK760" s="145"/>
      <c r="AL760" s="145"/>
      <c r="AM760" s="321"/>
      <c r="AN760" s="321"/>
      <c r="AO760" s="321"/>
      <c r="AP760" s="321"/>
      <c r="AQ760" s="321"/>
      <c r="AR760" s="321"/>
      <c r="AS760" s="321"/>
      <c r="AT760" s="321"/>
    </row>
    <row r="761" spans="10:46">
      <c r="J761" s="145"/>
      <c r="K761" s="145"/>
      <c r="L761" s="145"/>
      <c r="M761" s="145"/>
      <c r="N761" s="145"/>
      <c r="O761" s="145"/>
      <c r="P761" s="145"/>
      <c r="Q761" s="145"/>
      <c r="R761" s="145"/>
      <c r="S761" s="145"/>
      <c r="T761" s="145"/>
      <c r="U761" s="145"/>
      <c r="V761" s="145"/>
      <c r="W761" s="145"/>
      <c r="X761" s="145"/>
      <c r="Y761" s="145"/>
      <c r="Z761" s="145"/>
      <c r="AA761" s="145"/>
      <c r="AB761" s="145"/>
      <c r="AC761" s="145"/>
      <c r="AD761" s="145"/>
      <c r="AE761" s="145"/>
      <c r="AF761" s="145"/>
      <c r="AG761" s="145"/>
      <c r="AH761" s="145"/>
      <c r="AI761" s="145"/>
      <c r="AJ761" s="145"/>
      <c r="AK761" s="145"/>
      <c r="AL761" s="145"/>
      <c r="AM761" s="321"/>
      <c r="AN761" s="321"/>
      <c r="AO761" s="321"/>
      <c r="AP761" s="321"/>
      <c r="AQ761" s="321"/>
      <c r="AR761" s="321"/>
      <c r="AS761" s="321"/>
      <c r="AT761" s="321"/>
    </row>
    <row r="762" spans="10:46">
      <c r="J762" s="145"/>
      <c r="K762" s="145"/>
      <c r="L762" s="145"/>
      <c r="M762" s="145"/>
      <c r="N762" s="145"/>
      <c r="O762" s="145"/>
      <c r="P762" s="145"/>
      <c r="Q762" s="145"/>
      <c r="R762" s="145"/>
      <c r="S762" s="145"/>
      <c r="T762" s="145"/>
      <c r="U762" s="145"/>
      <c r="V762" s="145"/>
      <c r="W762" s="145"/>
      <c r="X762" s="145"/>
      <c r="Y762" s="145"/>
      <c r="Z762" s="145"/>
      <c r="AA762" s="145"/>
      <c r="AB762" s="145"/>
      <c r="AC762" s="145"/>
      <c r="AD762" s="145"/>
      <c r="AE762" s="145"/>
      <c r="AF762" s="145"/>
      <c r="AG762" s="145"/>
      <c r="AH762" s="145"/>
      <c r="AI762" s="145"/>
      <c r="AJ762" s="145"/>
      <c r="AK762" s="145"/>
      <c r="AL762" s="145"/>
      <c r="AM762" s="321"/>
      <c r="AN762" s="321"/>
      <c r="AO762" s="321"/>
      <c r="AP762" s="321"/>
      <c r="AQ762" s="321"/>
      <c r="AR762" s="321"/>
      <c r="AS762" s="321"/>
      <c r="AT762" s="321"/>
    </row>
    <row r="763" spans="10:46">
      <c r="J763" s="145"/>
      <c r="K763" s="145"/>
      <c r="L763" s="145"/>
      <c r="M763" s="145"/>
      <c r="N763" s="145"/>
      <c r="O763" s="145"/>
      <c r="P763" s="145"/>
      <c r="Q763" s="145"/>
      <c r="R763" s="145"/>
      <c r="S763" s="145"/>
      <c r="T763" s="145"/>
      <c r="U763" s="145"/>
      <c r="V763" s="145"/>
      <c r="W763" s="145"/>
      <c r="X763" s="145"/>
      <c r="Y763" s="145"/>
      <c r="Z763" s="145"/>
      <c r="AA763" s="145"/>
      <c r="AB763" s="145"/>
      <c r="AC763" s="145"/>
      <c r="AD763" s="145"/>
      <c r="AE763" s="145"/>
      <c r="AF763" s="145"/>
      <c r="AG763" s="145"/>
      <c r="AH763" s="145"/>
      <c r="AI763" s="145"/>
      <c r="AJ763" s="145"/>
      <c r="AK763" s="145"/>
      <c r="AL763" s="145"/>
      <c r="AM763" s="321"/>
      <c r="AN763" s="321"/>
      <c r="AO763" s="321"/>
      <c r="AP763" s="321"/>
      <c r="AQ763" s="321"/>
      <c r="AR763" s="321"/>
      <c r="AS763" s="321"/>
      <c r="AT763" s="321"/>
    </row>
    <row r="764" spans="10:46">
      <c r="J764" s="145"/>
      <c r="K764" s="145"/>
      <c r="L764" s="145"/>
      <c r="M764" s="145"/>
      <c r="N764" s="145"/>
      <c r="O764" s="145"/>
      <c r="P764" s="145"/>
      <c r="Q764" s="145"/>
      <c r="R764" s="145"/>
      <c r="S764" s="145"/>
      <c r="T764" s="145"/>
      <c r="U764" s="145"/>
      <c r="V764" s="145"/>
      <c r="W764" s="145"/>
      <c r="X764" s="145"/>
      <c r="Y764" s="145"/>
      <c r="Z764" s="145"/>
      <c r="AA764" s="145"/>
      <c r="AB764" s="145"/>
      <c r="AC764" s="145"/>
      <c r="AD764" s="145"/>
      <c r="AE764" s="145"/>
      <c r="AF764" s="145"/>
      <c r="AG764" s="145"/>
      <c r="AH764" s="145"/>
      <c r="AI764" s="145"/>
      <c r="AJ764" s="145"/>
      <c r="AK764" s="145"/>
      <c r="AL764" s="145"/>
      <c r="AM764" s="321"/>
      <c r="AN764" s="321"/>
      <c r="AO764" s="321"/>
      <c r="AP764" s="321"/>
      <c r="AQ764" s="321"/>
      <c r="AR764" s="321"/>
      <c r="AS764" s="321"/>
      <c r="AT764" s="321"/>
    </row>
    <row r="765" spans="10:46">
      <c r="J765" s="145"/>
      <c r="K765" s="145"/>
      <c r="L765" s="145"/>
      <c r="M765" s="145"/>
      <c r="N765" s="145"/>
      <c r="O765" s="145"/>
      <c r="P765" s="145"/>
      <c r="Q765" s="145"/>
      <c r="R765" s="145"/>
      <c r="S765" s="145"/>
      <c r="T765" s="145"/>
      <c r="U765" s="145"/>
      <c r="V765" s="145"/>
      <c r="W765" s="145"/>
      <c r="X765" s="145"/>
      <c r="Y765" s="145"/>
      <c r="Z765" s="145"/>
      <c r="AA765" s="145"/>
      <c r="AB765" s="145"/>
      <c r="AC765" s="145"/>
      <c r="AD765" s="145"/>
      <c r="AE765" s="145"/>
      <c r="AF765" s="145"/>
      <c r="AG765" s="145"/>
      <c r="AH765" s="145"/>
      <c r="AI765" s="145"/>
      <c r="AJ765" s="145"/>
      <c r="AK765" s="145"/>
      <c r="AL765" s="145"/>
      <c r="AM765" s="321"/>
      <c r="AN765" s="321"/>
      <c r="AO765" s="321"/>
      <c r="AP765" s="321"/>
      <c r="AQ765" s="321"/>
      <c r="AR765" s="321"/>
      <c r="AS765" s="321"/>
      <c r="AT765" s="321"/>
    </row>
    <row r="766" spans="10:46">
      <c r="J766" s="145"/>
      <c r="K766" s="145"/>
      <c r="L766" s="145"/>
      <c r="M766" s="145"/>
      <c r="N766" s="145"/>
      <c r="O766" s="145"/>
      <c r="P766" s="145"/>
      <c r="Q766" s="145"/>
      <c r="R766" s="145"/>
      <c r="S766" s="145"/>
      <c r="T766" s="145"/>
      <c r="U766" s="145"/>
      <c r="V766" s="145"/>
      <c r="W766" s="145"/>
      <c r="X766" s="145"/>
      <c r="Y766" s="145"/>
      <c r="Z766" s="145"/>
      <c r="AA766" s="145"/>
      <c r="AB766" s="145"/>
      <c r="AC766" s="145"/>
      <c r="AD766" s="145"/>
      <c r="AE766" s="145"/>
      <c r="AF766" s="145"/>
      <c r="AG766" s="145"/>
      <c r="AH766" s="145"/>
      <c r="AI766" s="145"/>
      <c r="AJ766" s="145"/>
      <c r="AK766" s="145"/>
      <c r="AL766" s="145"/>
      <c r="AM766" s="321"/>
      <c r="AN766" s="321"/>
      <c r="AO766" s="321"/>
      <c r="AP766" s="321"/>
      <c r="AQ766" s="321"/>
      <c r="AR766" s="321"/>
      <c r="AS766" s="321"/>
      <c r="AT766" s="321"/>
    </row>
    <row r="767" spans="10:46">
      <c r="J767" s="145"/>
      <c r="K767" s="145"/>
      <c r="L767" s="145"/>
      <c r="M767" s="145"/>
      <c r="N767" s="145"/>
      <c r="O767" s="145"/>
      <c r="P767" s="145"/>
      <c r="Q767" s="145"/>
      <c r="R767" s="145"/>
      <c r="S767" s="145"/>
      <c r="T767" s="145"/>
      <c r="U767" s="145"/>
      <c r="V767" s="145"/>
      <c r="W767" s="145"/>
      <c r="X767" s="145"/>
      <c r="Y767" s="145"/>
      <c r="Z767" s="145"/>
      <c r="AA767" s="145"/>
      <c r="AB767" s="145"/>
      <c r="AC767" s="145"/>
      <c r="AD767" s="145"/>
      <c r="AE767" s="145"/>
      <c r="AF767" s="145"/>
      <c r="AG767" s="145"/>
      <c r="AH767" s="145"/>
      <c r="AI767" s="145"/>
      <c r="AJ767" s="145"/>
      <c r="AK767" s="145"/>
      <c r="AL767" s="145"/>
      <c r="AM767" s="321"/>
      <c r="AN767" s="321"/>
      <c r="AO767" s="321"/>
      <c r="AP767" s="321"/>
      <c r="AQ767" s="321"/>
      <c r="AR767" s="321"/>
      <c r="AS767" s="321"/>
      <c r="AT767" s="321"/>
    </row>
    <row r="768" spans="10:46">
      <c r="J768" s="145"/>
      <c r="K768" s="145"/>
      <c r="L768" s="145"/>
      <c r="M768" s="145"/>
      <c r="N768" s="145"/>
      <c r="O768" s="145"/>
      <c r="P768" s="145"/>
      <c r="Q768" s="145"/>
      <c r="R768" s="145"/>
      <c r="S768" s="145"/>
      <c r="T768" s="145"/>
      <c r="U768" s="145"/>
      <c r="V768" s="145"/>
      <c r="W768" s="145"/>
      <c r="X768" s="145"/>
      <c r="Y768" s="145"/>
      <c r="Z768" s="145"/>
      <c r="AA768" s="145"/>
      <c r="AB768" s="145"/>
      <c r="AC768" s="145"/>
      <c r="AD768" s="145"/>
      <c r="AE768" s="145"/>
      <c r="AF768" s="145"/>
      <c r="AG768" s="145"/>
      <c r="AH768" s="145"/>
      <c r="AI768" s="145"/>
      <c r="AJ768" s="145"/>
      <c r="AK768" s="145"/>
      <c r="AL768" s="145"/>
      <c r="AM768" s="321"/>
      <c r="AN768" s="321"/>
      <c r="AO768" s="321"/>
      <c r="AP768" s="321"/>
      <c r="AQ768" s="321"/>
      <c r="AR768" s="321"/>
      <c r="AS768" s="321"/>
      <c r="AT768" s="321"/>
    </row>
    <row r="769" spans="10:46">
      <c r="J769" s="145"/>
      <c r="K769" s="145"/>
      <c r="L769" s="145"/>
      <c r="M769" s="145"/>
      <c r="N769" s="145"/>
      <c r="O769" s="145"/>
      <c r="P769" s="145"/>
      <c r="Q769" s="145"/>
      <c r="R769" s="145"/>
      <c r="S769" s="145"/>
      <c r="T769" s="145"/>
      <c r="U769" s="145"/>
      <c r="V769" s="145"/>
      <c r="W769" s="145"/>
      <c r="X769" s="145"/>
      <c r="Y769" s="145"/>
      <c r="Z769" s="145"/>
      <c r="AA769" s="145"/>
      <c r="AB769" s="145"/>
      <c r="AC769" s="145"/>
      <c r="AD769" s="145"/>
      <c r="AE769" s="145"/>
      <c r="AF769" s="145"/>
      <c r="AG769" s="145"/>
      <c r="AH769" s="145"/>
      <c r="AI769" s="145"/>
      <c r="AJ769" s="145"/>
      <c r="AK769" s="145"/>
      <c r="AL769" s="145"/>
      <c r="AM769" s="321"/>
      <c r="AN769" s="321"/>
      <c r="AO769" s="321"/>
      <c r="AP769" s="321"/>
      <c r="AQ769" s="321"/>
      <c r="AR769" s="321"/>
      <c r="AS769" s="321"/>
      <c r="AT769" s="321"/>
    </row>
    <row r="770" spans="10:46">
      <c r="J770" s="145"/>
      <c r="K770" s="145"/>
      <c r="L770" s="145"/>
      <c r="M770" s="145"/>
      <c r="N770" s="145"/>
      <c r="O770" s="145"/>
      <c r="P770" s="145"/>
      <c r="Q770" s="145"/>
      <c r="R770" s="145"/>
      <c r="S770" s="145"/>
      <c r="T770" s="145"/>
      <c r="U770" s="145"/>
      <c r="V770" s="145"/>
      <c r="W770" s="145"/>
      <c r="X770" s="145"/>
      <c r="Y770" s="145"/>
      <c r="Z770" s="145"/>
      <c r="AA770" s="145"/>
      <c r="AB770" s="145"/>
      <c r="AC770" s="145"/>
      <c r="AD770" s="145"/>
      <c r="AE770" s="145"/>
      <c r="AF770" s="145"/>
      <c r="AG770" s="145"/>
      <c r="AH770" s="145"/>
      <c r="AI770" s="145"/>
      <c r="AJ770" s="145"/>
      <c r="AK770" s="145"/>
      <c r="AL770" s="145"/>
      <c r="AM770" s="321"/>
      <c r="AN770" s="321"/>
      <c r="AO770" s="321"/>
      <c r="AP770" s="321"/>
      <c r="AQ770" s="321"/>
      <c r="AR770" s="321"/>
      <c r="AS770" s="321"/>
      <c r="AT770" s="321"/>
    </row>
    <row r="771" spans="10:46">
      <c r="J771" s="145"/>
      <c r="K771" s="145"/>
      <c r="L771" s="145"/>
      <c r="M771" s="145"/>
      <c r="N771" s="145"/>
      <c r="O771" s="145"/>
      <c r="P771" s="145"/>
      <c r="Q771" s="145"/>
      <c r="R771" s="145"/>
      <c r="S771" s="145"/>
      <c r="T771" s="145"/>
      <c r="U771" s="145"/>
      <c r="V771" s="145"/>
      <c r="W771" s="145"/>
      <c r="X771" s="145"/>
      <c r="Y771" s="145"/>
      <c r="Z771" s="145"/>
      <c r="AA771" s="145"/>
      <c r="AB771" s="145"/>
      <c r="AC771" s="145"/>
      <c r="AD771" s="145"/>
      <c r="AE771" s="145"/>
      <c r="AF771" s="145"/>
      <c r="AG771" s="145"/>
      <c r="AH771" s="145"/>
      <c r="AI771" s="145"/>
      <c r="AJ771" s="145"/>
      <c r="AK771" s="145"/>
      <c r="AL771" s="145"/>
      <c r="AM771" s="321"/>
      <c r="AN771" s="321"/>
      <c r="AO771" s="321"/>
      <c r="AP771" s="321"/>
      <c r="AQ771" s="321"/>
      <c r="AR771" s="321"/>
      <c r="AS771" s="321"/>
      <c r="AT771" s="321"/>
    </row>
    <row r="772" spans="10:46">
      <c r="J772" s="145"/>
      <c r="K772" s="145"/>
      <c r="L772" s="145"/>
      <c r="M772" s="145"/>
      <c r="N772" s="145"/>
      <c r="O772" s="145"/>
      <c r="P772" s="145"/>
      <c r="Q772" s="145"/>
      <c r="R772" s="145"/>
      <c r="S772" s="145"/>
      <c r="T772" s="145"/>
      <c r="U772" s="145"/>
      <c r="V772" s="145"/>
      <c r="W772" s="145"/>
      <c r="X772" s="145"/>
      <c r="Y772" s="145"/>
      <c r="Z772" s="145"/>
      <c r="AA772" s="145"/>
      <c r="AB772" s="145"/>
      <c r="AC772" s="145"/>
      <c r="AD772" s="145"/>
      <c r="AE772" s="145"/>
      <c r="AF772" s="145"/>
      <c r="AG772" s="145"/>
      <c r="AH772" s="145"/>
      <c r="AI772" s="145"/>
      <c r="AJ772" s="145"/>
      <c r="AK772" s="145"/>
      <c r="AL772" s="145"/>
      <c r="AM772" s="321"/>
      <c r="AN772" s="321"/>
      <c r="AO772" s="321"/>
      <c r="AP772" s="321"/>
      <c r="AQ772" s="321"/>
      <c r="AR772" s="321"/>
      <c r="AS772" s="321"/>
      <c r="AT772" s="321"/>
    </row>
    <row r="773" spans="10:46">
      <c r="J773" s="145"/>
      <c r="K773" s="145"/>
      <c r="L773" s="145"/>
      <c r="M773" s="145"/>
      <c r="N773" s="145"/>
      <c r="O773" s="145"/>
      <c r="P773" s="145"/>
      <c r="Q773" s="145"/>
      <c r="R773" s="145"/>
      <c r="S773" s="145"/>
      <c r="T773" s="145"/>
      <c r="U773" s="145"/>
      <c r="V773" s="145"/>
      <c r="W773" s="145"/>
      <c r="X773" s="145"/>
      <c r="Y773" s="145"/>
      <c r="Z773" s="145"/>
      <c r="AA773" s="145"/>
      <c r="AB773" s="145"/>
      <c r="AC773" s="145"/>
      <c r="AD773" s="145"/>
      <c r="AE773" s="145"/>
      <c r="AF773" s="145"/>
      <c r="AG773" s="145"/>
      <c r="AH773" s="145"/>
      <c r="AI773" s="145"/>
      <c r="AJ773" s="145"/>
      <c r="AK773" s="145"/>
      <c r="AL773" s="145"/>
      <c r="AM773" s="321"/>
      <c r="AN773" s="321"/>
      <c r="AO773" s="321"/>
      <c r="AP773" s="321"/>
      <c r="AQ773" s="321"/>
      <c r="AR773" s="321"/>
      <c r="AS773" s="321"/>
      <c r="AT773" s="321"/>
    </row>
    <row r="774" spans="10:46">
      <c r="J774" s="145"/>
      <c r="K774" s="145"/>
      <c r="L774" s="145"/>
      <c r="M774" s="145"/>
      <c r="N774" s="145"/>
      <c r="O774" s="145"/>
      <c r="P774" s="145"/>
      <c r="Q774" s="145"/>
      <c r="R774" s="145"/>
      <c r="S774" s="145"/>
      <c r="T774" s="145"/>
      <c r="U774" s="145"/>
      <c r="V774" s="145"/>
      <c r="W774" s="145"/>
      <c r="X774" s="145"/>
      <c r="Y774" s="145"/>
      <c r="Z774" s="145"/>
      <c r="AA774" s="145"/>
      <c r="AB774" s="145"/>
      <c r="AC774" s="145"/>
      <c r="AD774" s="145"/>
      <c r="AE774" s="145"/>
      <c r="AF774" s="145"/>
      <c r="AG774" s="145"/>
      <c r="AH774" s="145"/>
      <c r="AI774" s="145"/>
      <c r="AJ774" s="145"/>
      <c r="AK774" s="145"/>
      <c r="AL774" s="145"/>
      <c r="AM774" s="321"/>
      <c r="AN774" s="321"/>
      <c r="AO774" s="321"/>
      <c r="AP774" s="321"/>
      <c r="AQ774" s="321"/>
      <c r="AR774" s="321"/>
      <c r="AS774" s="321"/>
      <c r="AT774" s="321"/>
    </row>
    <row r="775" spans="10:46">
      <c r="J775" s="145"/>
      <c r="K775" s="145"/>
      <c r="L775" s="145"/>
      <c r="M775" s="145"/>
      <c r="N775" s="145"/>
      <c r="O775" s="145"/>
      <c r="P775" s="145"/>
      <c r="Q775" s="145"/>
      <c r="R775" s="145"/>
      <c r="S775" s="145"/>
      <c r="T775" s="145"/>
      <c r="U775" s="145"/>
      <c r="V775" s="145"/>
      <c r="W775" s="145"/>
      <c r="X775" s="145"/>
      <c r="Y775" s="145"/>
      <c r="Z775" s="145"/>
      <c r="AA775" s="145"/>
      <c r="AB775" s="145"/>
      <c r="AC775" s="145"/>
      <c r="AD775" s="145"/>
      <c r="AE775" s="145"/>
      <c r="AF775" s="145"/>
      <c r="AG775" s="145"/>
      <c r="AH775" s="145"/>
      <c r="AI775" s="145"/>
      <c r="AJ775" s="145"/>
      <c r="AK775" s="145"/>
      <c r="AL775" s="145"/>
      <c r="AM775" s="321"/>
      <c r="AN775" s="321"/>
      <c r="AO775" s="321"/>
      <c r="AP775" s="321"/>
      <c r="AQ775" s="321"/>
      <c r="AR775" s="321"/>
      <c r="AS775" s="321"/>
      <c r="AT775" s="321"/>
    </row>
    <row r="776" spans="10:46">
      <c r="J776" s="145"/>
      <c r="K776" s="145"/>
      <c r="L776" s="145"/>
      <c r="M776" s="145"/>
      <c r="N776" s="145"/>
      <c r="O776" s="145"/>
      <c r="P776" s="145"/>
      <c r="Q776" s="145"/>
      <c r="R776" s="145"/>
      <c r="S776" s="145"/>
      <c r="T776" s="145"/>
      <c r="U776" s="145"/>
      <c r="V776" s="145"/>
      <c r="W776" s="145"/>
      <c r="X776" s="145"/>
      <c r="Y776" s="145"/>
      <c r="Z776" s="145"/>
      <c r="AA776" s="145"/>
      <c r="AB776" s="145"/>
      <c r="AC776" s="145"/>
      <c r="AD776" s="145"/>
      <c r="AE776" s="145"/>
      <c r="AF776" s="145"/>
      <c r="AG776" s="145"/>
      <c r="AH776" s="145"/>
      <c r="AI776" s="145"/>
      <c r="AJ776" s="145"/>
      <c r="AK776" s="145"/>
      <c r="AL776" s="145"/>
      <c r="AM776" s="321"/>
      <c r="AN776" s="321"/>
      <c r="AO776" s="321"/>
      <c r="AP776" s="321"/>
      <c r="AQ776" s="321"/>
      <c r="AR776" s="321"/>
      <c r="AS776" s="321"/>
      <c r="AT776" s="321"/>
    </row>
    <row r="777" spans="10:46">
      <c r="J777" s="145"/>
      <c r="K777" s="145"/>
      <c r="L777" s="145"/>
      <c r="M777" s="145"/>
      <c r="N777" s="145"/>
      <c r="O777" s="145"/>
      <c r="P777" s="145"/>
      <c r="Q777" s="145"/>
      <c r="R777" s="145"/>
      <c r="S777" s="145"/>
      <c r="T777" s="145"/>
      <c r="U777" s="145"/>
      <c r="V777" s="145"/>
      <c r="W777" s="145"/>
      <c r="X777" s="145"/>
      <c r="Y777" s="145"/>
      <c r="Z777" s="145"/>
      <c r="AA777" s="145"/>
      <c r="AB777" s="145"/>
      <c r="AC777" s="145"/>
      <c r="AD777" s="145"/>
      <c r="AE777" s="145"/>
      <c r="AF777" s="145"/>
      <c r="AG777" s="145"/>
      <c r="AH777" s="145"/>
      <c r="AI777" s="145"/>
      <c r="AJ777" s="145"/>
      <c r="AK777" s="145"/>
      <c r="AL777" s="145"/>
      <c r="AM777" s="321"/>
      <c r="AN777" s="321"/>
      <c r="AO777" s="321"/>
      <c r="AP777" s="321"/>
      <c r="AQ777" s="321"/>
      <c r="AR777" s="321"/>
      <c r="AS777" s="321"/>
      <c r="AT777" s="321"/>
    </row>
    <row r="778" spans="10:46">
      <c r="J778" s="145"/>
      <c r="K778" s="145"/>
      <c r="L778" s="145"/>
      <c r="M778" s="145"/>
      <c r="N778" s="145"/>
      <c r="O778" s="145"/>
      <c r="P778" s="145"/>
      <c r="Q778" s="145"/>
      <c r="R778" s="145"/>
      <c r="S778" s="145"/>
      <c r="T778" s="145"/>
      <c r="U778" s="145"/>
      <c r="V778" s="145"/>
      <c r="W778" s="145"/>
      <c r="X778" s="145"/>
      <c r="Y778" s="145"/>
      <c r="Z778" s="145"/>
      <c r="AA778" s="145"/>
      <c r="AB778" s="145"/>
      <c r="AC778" s="145"/>
      <c r="AD778" s="145"/>
      <c r="AE778" s="145"/>
      <c r="AF778" s="145"/>
      <c r="AG778" s="145"/>
      <c r="AH778" s="145"/>
      <c r="AI778" s="145"/>
      <c r="AJ778" s="145"/>
      <c r="AK778" s="145"/>
      <c r="AL778" s="145"/>
      <c r="AM778" s="321"/>
      <c r="AN778" s="321"/>
      <c r="AO778" s="321"/>
      <c r="AP778" s="321"/>
      <c r="AQ778" s="321"/>
      <c r="AR778" s="321"/>
      <c r="AS778" s="321"/>
      <c r="AT778" s="321"/>
    </row>
    <row r="779" spans="10:46">
      <c r="J779" s="145"/>
      <c r="K779" s="145"/>
      <c r="L779" s="145"/>
      <c r="M779" s="145"/>
      <c r="N779" s="145"/>
      <c r="O779" s="145"/>
      <c r="P779" s="145"/>
      <c r="Q779" s="145"/>
      <c r="R779" s="145"/>
      <c r="S779" s="145"/>
      <c r="T779" s="145"/>
      <c r="U779" s="145"/>
      <c r="V779" s="145"/>
      <c r="W779" s="145"/>
      <c r="X779" s="145"/>
      <c r="Y779" s="145"/>
      <c r="Z779" s="145"/>
      <c r="AA779" s="145"/>
      <c r="AB779" s="145"/>
      <c r="AC779" s="145"/>
      <c r="AD779" s="145"/>
      <c r="AE779" s="145"/>
      <c r="AF779" s="145"/>
      <c r="AG779" s="145"/>
      <c r="AH779" s="145"/>
      <c r="AI779" s="145"/>
      <c r="AJ779" s="145"/>
      <c r="AK779" s="145"/>
      <c r="AL779" s="145"/>
      <c r="AM779" s="321"/>
      <c r="AN779" s="321"/>
      <c r="AO779" s="321"/>
      <c r="AP779" s="321"/>
      <c r="AQ779" s="321"/>
      <c r="AR779" s="321"/>
      <c r="AS779" s="321"/>
      <c r="AT779" s="321"/>
    </row>
    <row r="780" spans="10:46">
      <c r="J780" s="145"/>
      <c r="K780" s="145"/>
      <c r="L780" s="145"/>
      <c r="M780" s="145"/>
      <c r="N780" s="145"/>
      <c r="O780" s="145"/>
      <c r="P780" s="145"/>
      <c r="Q780" s="145"/>
      <c r="R780" s="145"/>
      <c r="S780" s="145"/>
      <c r="T780" s="145"/>
      <c r="U780" s="145"/>
      <c r="V780" s="145"/>
      <c r="W780" s="145"/>
      <c r="X780" s="145"/>
      <c r="Y780" s="145"/>
      <c r="Z780" s="145"/>
      <c r="AA780" s="145"/>
      <c r="AB780" s="145"/>
      <c r="AC780" s="145"/>
      <c r="AD780" s="145"/>
      <c r="AE780" s="145"/>
      <c r="AF780" s="145"/>
      <c r="AG780" s="145"/>
      <c r="AH780" s="145"/>
      <c r="AI780" s="145"/>
      <c r="AJ780" s="145"/>
      <c r="AK780" s="145"/>
      <c r="AL780" s="145"/>
      <c r="AM780" s="321"/>
      <c r="AN780" s="321"/>
      <c r="AO780" s="321"/>
      <c r="AP780" s="321"/>
      <c r="AQ780" s="321"/>
      <c r="AR780" s="321"/>
      <c r="AS780" s="321"/>
      <c r="AT780" s="321"/>
    </row>
    <row r="781" spans="10:46">
      <c r="J781" s="145"/>
      <c r="K781" s="145"/>
      <c r="L781" s="145"/>
      <c r="M781" s="145"/>
      <c r="N781" s="145"/>
      <c r="O781" s="145"/>
      <c r="P781" s="145"/>
      <c r="Q781" s="145"/>
      <c r="R781" s="145"/>
      <c r="S781" s="145"/>
      <c r="T781" s="145"/>
      <c r="U781" s="145"/>
      <c r="V781" s="145"/>
      <c r="W781" s="145"/>
      <c r="X781" s="145"/>
      <c r="Y781" s="145"/>
      <c r="Z781" s="145"/>
      <c r="AA781" s="145"/>
      <c r="AB781" s="145"/>
      <c r="AC781" s="145"/>
      <c r="AD781" s="145"/>
      <c r="AE781" s="145"/>
      <c r="AF781" s="145"/>
      <c r="AG781" s="145"/>
      <c r="AH781" s="145"/>
      <c r="AI781" s="145"/>
      <c r="AJ781" s="145"/>
      <c r="AK781" s="145"/>
      <c r="AL781" s="145"/>
      <c r="AM781" s="321"/>
      <c r="AN781" s="321"/>
      <c r="AO781" s="321"/>
      <c r="AP781" s="321"/>
      <c r="AQ781" s="321"/>
      <c r="AR781" s="321"/>
      <c r="AS781" s="321"/>
      <c r="AT781" s="321"/>
    </row>
    <row r="782" spans="10:46">
      <c r="J782" s="145"/>
      <c r="K782" s="145"/>
      <c r="L782" s="145"/>
      <c r="M782" s="145"/>
      <c r="N782" s="145"/>
      <c r="O782" s="145"/>
      <c r="P782" s="145"/>
      <c r="Q782" s="145"/>
      <c r="R782" s="145"/>
      <c r="S782" s="145"/>
      <c r="T782" s="145"/>
      <c r="U782" s="145"/>
      <c r="V782" s="145"/>
      <c r="W782" s="145"/>
      <c r="X782" s="145"/>
      <c r="Y782" s="145"/>
      <c r="Z782" s="145"/>
      <c r="AA782" s="145"/>
      <c r="AB782" s="145"/>
      <c r="AC782" s="145"/>
      <c r="AD782" s="145"/>
      <c r="AE782" s="145"/>
      <c r="AF782" s="145"/>
      <c r="AG782" s="145"/>
      <c r="AH782" s="145"/>
      <c r="AI782" s="145"/>
      <c r="AJ782" s="145"/>
      <c r="AK782" s="145"/>
      <c r="AL782" s="145"/>
      <c r="AM782" s="321"/>
      <c r="AN782" s="321"/>
      <c r="AO782" s="321"/>
      <c r="AP782" s="321"/>
      <c r="AQ782" s="321"/>
      <c r="AR782" s="321"/>
      <c r="AS782" s="321"/>
      <c r="AT782" s="321"/>
    </row>
    <row r="783" spans="10:46">
      <c r="J783" s="145"/>
      <c r="K783" s="145"/>
      <c r="L783" s="145"/>
      <c r="M783" s="145"/>
      <c r="N783" s="145"/>
      <c r="O783" s="145"/>
      <c r="P783" s="145"/>
      <c r="Q783" s="145"/>
      <c r="R783" s="145"/>
      <c r="S783" s="145"/>
      <c r="T783" s="145"/>
      <c r="U783" s="145"/>
      <c r="V783" s="145"/>
      <c r="W783" s="145"/>
      <c r="X783" s="145"/>
      <c r="Y783" s="145"/>
      <c r="Z783" s="145"/>
      <c r="AA783" s="145"/>
      <c r="AB783" s="145"/>
      <c r="AC783" s="145"/>
      <c r="AD783" s="145"/>
      <c r="AE783" s="145"/>
      <c r="AF783" s="145"/>
      <c r="AG783" s="145"/>
      <c r="AH783" s="145"/>
      <c r="AI783" s="145"/>
      <c r="AJ783" s="145"/>
      <c r="AK783" s="145"/>
      <c r="AL783" s="145"/>
      <c r="AM783" s="321"/>
      <c r="AN783" s="321"/>
      <c r="AO783" s="321"/>
      <c r="AP783" s="321"/>
      <c r="AQ783" s="321"/>
      <c r="AR783" s="321"/>
      <c r="AS783" s="321"/>
      <c r="AT783" s="321"/>
    </row>
    <row r="784" spans="10:46">
      <c r="J784" s="145"/>
      <c r="K784" s="145"/>
      <c r="L784" s="145"/>
      <c r="M784" s="145"/>
      <c r="N784" s="145"/>
      <c r="O784" s="145"/>
      <c r="P784" s="145"/>
      <c r="Q784" s="145"/>
      <c r="R784" s="145"/>
      <c r="S784" s="145"/>
      <c r="T784" s="145"/>
      <c r="U784" s="145"/>
      <c r="V784" s="145"/>
      <c r="W784" s="145"/>
      <c r="X784" s="145"/>
      <c r="Y784" s="145"/>
      <c r="Z784" s="145"/>
      <c r="AA784" s="145"/>
      <c r="AB784" s="145"/>
      <c r="AC784" s="145"/>
      <c r="AD784" s="145"/>
      <c r="AE784" s="145"/>
      <c r="AF784" s="145"/>
      <c r="AG784" s="145"/>
      <c r="AH784" s="145"/>
      <c r="AI784" s="145"/>
      <c r="AJ784" s="145"/>
      <c r="AK784" s="145"/>
      <c r="AL784" s="145"/>
      <c r="AM784" s="321"/>
      <c r="AN784" s="321"/>
      <c r="AO784" s="321"/>
      <c r="AP784" s="321"/>
      <c r="AQ784" s="321"/>
      <c r="AR784" s="321"/>
      <c r="AS784" s="321"/>
      <c r="AT784" s="321"/>
    </row>
    <row r="785" spans="10:46">
      <c r="J785" s="145"/>
      <c r="K785" s="145"/>
      <c r="L785" s="145"/>
      <c r="M785" s="145"/>
      <c r="N785" s="145"/>
      <c r="O785" s="145"/>
      <c r="P785" s="145"/>
      <c r="Q785" s="145"/>
      <c r="R785" s="145"/>
      <c r="S785" s="145"/>
      <c r="T785" s="145"/>
      <c r="U785" s="145"/>
      <c r="V785" s="145"/>
      <c r="W785" s="145"/>
      <c r="X785" s="145"/>
      <c r="Y785" s="145"/>
      <c r="Z785" s="145"/>
      <c r="AA785" s="145"/>
      <c r="AB785" s="145"/>
      <c r="AC785" s="145"/>
      <c r="AD785" s="145"/>
      <c r="AE785" s="145"/>
      <c r="AF785" s="145"/>
      <c r="AG785" s="145"/>
      <c r="AH785" s="145"/>
      <c r="AI785" s="145"/>
      <c r="AJ785" s="145"/>
      <c r="AK785" s="145"/>
      <c r="AL785" s="145"/>
      <c r="AM785" s="321"/>
      <c r="AN785" s="321"/>
      <c r="AO785" s="321"/>
      <c r="AP785" s="321"/>
      <c r="AQ785" s="321"/>
      <c r="AR785" s="321"/>
      <c r="AS785" s="321"/>
      <c r="AT785" s="321"/>
    </row>
    <row r="786" spans="10:46">
      <c r="J786" s="145"/>
      <c r="K786" s="145"/>
      <c r="L786" s="145"/>
      <c r="M786" s="145"/>
      <c r="N786" s="145"/>
      <c r="O786" s="145"/>
      <c r="P786" s="145"/>
      <c r="Q786" s="145"/>
      <c r="R786" s="145"/>
      <c r="S786" s="145"/>
      <c r="T786" s="145"/>
      <c r="U786" s="145"/>
      <c r="V786" s="145"/>
      <c r="W786" s="145"/>
      <c r="X786" s="145"/>
      <c r="Y786" s="145"/>
      <c r="Z786" s="145"/>
      <c r="AA786" s="145"/>
      <c r="AB786" s="145"/>
      <c r="AC786" s="145"/>
      <c r="AD786" s="145"/>
      <c r="AE786" s="145"/>
      <c r="AF786" s="145"/>
      <c r="AG786" s="145"/>
      <c r="AH786" s="145"/>
      <c r="AI786" s="145"/>
      <c r="AJ786" s="145"/>
      <c r="AK786" s="145"/>
      <c r="AL786" s="145"/>
      <c r="AM786" s="321"/>
      <c r="AN786" s="321"/>
      <c r="AO786" s="321"/>
      <c r="AP786" s="321"/>
      <c r="AQ786" s="321"/>
      <c r="AR786" s="321"/>
      <c r="AS786" s="321"/>
      <c r="AT786" s="321"/>
    </row>
    <row r="787" spans="10:46">
      <c r="J787" s="145"/>
      <c r="K787" s="145"/>
      <c r="L787" s="145"/>
      <c r="M787" s="145"/>
      <c r="N787" s="145"/>
      <c r="O787" s="145"/>
      <c r="P787" s="145"/>
      <c r="Q787" s="145"/>
      <c r="R787" s="145"/>
      <c r="S787" s="145"/>
      <c r="T787" s="145"/>
      <c r="U787" s="145"/>
      <c r="V787" s="145"/>
      <c r="W787" s="145"/>
      <c r="X787" s="145"/>
      <c r="Y787" s="145"/>
      <c r="Z787" s="145"/>
      <c r="AA787" s="145"/>
      <c r="AB787" s="145"/>
      <c r="AC787" s="145"/>
      <c r="AD787" s="145"/>
      <c r="AE787" s="145"/>
      <c r="AF787" s="145"/>
      <c r="AG787" s="145"/>
      <c r="AH787" s="145"/>
      <c r="AI787" s="145"/>
      <c r="AJ787" s="145"/>
      <c r="AK787" s="145"/>
      <c r="AL787" s="145"/>
      <c r="AM787" s="321"/>
      <c r="AN787" s="321"/>
      <c r="AO787" s="321"/>
      <c r="AP787" s="321"/>
      <c r="AQ787" s="321"/>
      <c r="AR787" s="321"/>
      <c r="AS787" s="321"/>
      <c r="AT787" s="321"/>
    </row>
    <row r="788" spans="10:46">
      <c r="J788" s="145"/>
      <c r="K788" s="145"/>
      <c r="L788" s="145"/>
      <c r="M788" s="145"/>
      <c r="N788" s="145"/>
      <c r="O788" s="145"/>
      <c r="P788" s="145"/>
      <c r="Q788" s="145"/>
      <c r="R788" s="145"/>
      <c r="S788" s="145"/>
      <c r="T788" s="145"/>
      <c r="U788" s="145"/>
      <c r="V788" s="145"/>
      <c r="W788" s="145"/>
      <c r="X788" s="145"/>
      <c r="Y788" s="145"/>
      <c r="Z788" s="145"/>
      <c r="AA788" s="145"/>
      <c r="AB788" s="145"/>
      <c r="AC788" s="145"/>
      <c r="AD788" s="145"/>
      <c r="AE788" s="145"/>
      <c r="AF788" s="145"/>
      <c r="AG788" s="145"/>
      <c r="AH788" s="145"/>
      <c r="AI788" s="145"/>
      <c r="AJ788" s="145"/>
      <c r="AK788" s="145"/>
      <c r="AL788" s="145"/>
      <c r="AM788" s="321"/>
      <c r="AN788" s="321"/>
      <c r="AO788" s="321"/>
      <c r="AP788" s="321"/>
      <c r="AQ788" s="321"/>
      <c r="AR788" s="321"/>
      <c r="AS788" s="321"/>
      <c r="AT788" s="321"/>
    </row>
    <row r="789" spans="10:46">
      <c r="J789" s="145"/>
      <c r="K789" s="145"/>
      <c r="L789" s="145"/>
      <c r="M789" s="145"/>
      <c r="N789" s="145"/>
      <c r="O789" s="145"/>
      <c r="P789" s="145"/>
      <c r="Q789" s="145"/>
      <c r="R789" s="145"/>
      <c r="S789" s="145"/>
      <c r="T789" s="145"/>
      <c r="U789" s="145"/>
      <c r="V789" s="145"/>
      <c r="W789" s="145"/>
      <c r="X789" s="145"/>
      <c r="Y789" s="145"/>
      <c r="Z789" s="145"/>
      <c r="AA789" s="145"/>
      <c r="AB789" s="145"/>
      <c r="AC789" s="145"/>
      <c r="AD789" s="145"/>
      <c r="AE789" s="145"/>
      <c r="AF789" s="145"/>
      <c r="AG789" s="145"/>
      <c r="AH789" s="145"/>
      <c r="AI789" s="145"/>
      <c r="AJ789" s="145"/>
      <c r="AK789" s="145"/>
      <c r="AL789" s="145"/>
      <c r="AM789" s="321"/>
      <c r="AN789" s="321"/>
      <c r="AO789" s="321"/>
      <c r="AP789" s="321"/>
      <c r="AQ789" s="321"/>
      <c r="AR789" s="321"/>
      <c r="AS789" s="321"/>
      <c r="AT789" s="321"/>
    </row>
    <row r="790" spans="10:46">
      <c r="J790" s="145"/>
      <c r="K790" s="145"/>
      <c r="L790" s="145"/>
      <c r="M790" s="145"/>
      <c r="N790" s="145"/>
      <c r="O790" s="145"/>
      <c r="P790" s="145"/>
      <c r="Q790" s="145"/>
      <c r="R790" s="145"/>
      <c r="S790" s="145"/>
      <c r="T790" s="145"/>
      <c r="U790" s="145"/>
      <c r="V790" s="145"/>
      <c r="W790" s="145"/>
      <c r="X790" s="145"/>
      <c r="Y790" s="145"/>
      <c r="Z790" s="145"/>
      <c r="AA790" s="145"/>
      <c r="AB790" s="145"/>
      <c r="AC790" s="145"/>
      <c r="AD790" s="145"/>
      <c r="AE790" s="145"/>
      <c r="AF790" s="145"/>
      <c r="AG790" s="145"/>
      <c r="AH790" s="145"/>
      <c r="AI790" s="145"/>
      <c r="AJ790" s="145"/>
      <c r="AK790" s="145"/>
      <c r="AL790" s="145"/>
      <c r="AM790" s="321"/>
      <c r="AN790" s="321"/>
      <c r="AO790" s="321"/>
      <c r="AP790" s="321"/>
      <c r="AQ790" s="321"/>
      <c r="AR790" s="321"/>
      <c r="AS790" s="321"/>
      <c r="AT790" s="321"/>
    </row>
    <row r="791" spans="10:46">
      <c r="J791" s="145"/>
      <c r="K791" s="145"/>
      <c r="L791" s="145"/>
      <c r="M791" s="145"/>
      <c r="N791" s="145"/>
      <c r="O791" s="145"/>
      <c r="P791" s="145"/>
      <c r="Q791" s="145"/>
      <c r="R791" s="145"/>
      <c r="S791" s="145"/>
      <c r="T791" s="145"/>
      <c r="U791" s="145"/>
      <c r="V791" s="145"/>
      <c r="W791" s="145"/>
      <c r="X791" s="145"/>
      <c r="Y791" s="145"/>
      <c r="Z791" s="145"/>
      <c r="AA791" s="145"/>
      <c r="AB791" s="145"/>
      <c r="AC791" s="145"/>
      <c r="AD791" s="145"/>
      <c r="AE791" s="145"/>
      <c r="AF791" s="145"/>
      <c r="AG791" s="145"/>
      <c r="AH791" s="145"/>
      <c r="AI791" s="145"/>
      <c r="AJ791" s="145"/>
      <c r="AK791" s="145"/>
      <c r="AL791" s="145"/>
      <c r="AM791" s="321"/>
      <c r="AN791" s="321"/>
      <c r="AO791" s="321"/>
      <c r="AP791" s="321"/>
      <c r="AQ791" s="321"/>
      <c r="AR791" s="321"/>
      <c r="AS791" s="321"/>
      <c r="AT791" s="321"/>
    </row>
    <row r="792" spans="10:46">
      <c r="J792" s="145"/>
      <c r="K792" s="145"/>
      <c r="L792" s="145"/>
      <c r="M792" s="145"/>
      <c r="N792" s="145"/>
      <c r="O792" s="145"/>
      <c r="P792" s="145"/>
      <c r="Q792" s="145"/>
      <c r="R792" s="145"/>
      <c r="S792" s="145"/>
      <c r="T792" s="145"/>
      <c r="U792" s="145"/>
      <c r="V792" s="145"/>
      <c r="W792" s="145"/>
      <c r="X792" s="145"/>
      <c r="Y792" s="145"/>
      <c r="Z792" s="145"/>
      <c r="AA792" s="145"/>
      <c r="AB792" s="145"/>
      <c r="AC792" s="145"/>
      <c r="AD792" s="145"/>
      <c r="AE792" s="145"/>
      <c r="AF792" s="145"/>
      <c r="AG792" s="145"/>
      <c r="AH792" s="145"/>
      <c r="AI792" s="145"/>
      <c r="AJ792" s="145"/>
      <c r="AK792" s="145"/>
      <c r="AL792" s="145"/>
      <c r="AM792" s="321"/>
      <c r="AN792" s="321"/>
      <c r="AO792" s="321"/>
      <c r="AP792" s="321"/>
      <c r="AQ792" s="321"/>
      <c r="AR792" s="321"/>
      <c r="AS792" s="321"/>
      <c r="AT792" s="321"/>
    </row>
    <row r="793" spans="10:46">
      <c r="J793" s="145"/>
      <c r="K793" s="145"/>
      <c r="L793" s="145"/>
      <c r="M793" s="145"/>
      <c r="N793" s="145"/>
      <c r="O793" s="145"/>
      <c r="P793" s="145"/>
      <c r="Q793" s="145"/>
      <c r="R793" s="145"/>
      <c r="S793" s="145"/>
      <c r="T793" s="145"/>
      <c r="U793" s="145"/>
      <c r="V793" s="145"/>
      <c r="W793" s="145"/>
      <c r="X793" s="145"/>
      <c r="Y793" s="145"/>
      <c r="Z793" s="145"/>
      <c r="AA793" s="145"/>
      <c r="AB793" s="145"/>
      <c r="AC793" s="145"/>
      <c r="AD793" s="145"/>
      <c r="AE793" s="145"/>
      <c r="AF793" s="145"/>
      <c r="AG793" s="145"/>
      <c r="AH793" s="145"/>
      <c r="AI793" s="145"/>
      <c r="AJ793" s="145"/>
      <c r="AK793" s="145"/>
      <c r="AL793" s="145"/>
      <c r="AM793" s="321"/>
      <c r="AN793" s="321"/>
      <c r="AO793" s="321"/>
      <c r="AP793" s="321"/>
      <c r="AQ793" s="321"/>
      <c r="AR793" s="321"/>
      <c r="AS793" s="321"/>
      <c r="AT793" s="321"/>
    </row>
    <row r="794" spans="10:46">
      <c r="J794" s="145"/>
      <c r="K794" s="145"/>
      <c r="L794" s="145"/>
      <c r="M794" s="145"/>
      <c r="N794" s="145"/>
      <c r="O794" s="145"/>
      <c r="P794" s="145"/>
      <c r="Q794" s="145"/>
      <c r="R794" s="145"/>
      <c r="S794" s="145"/>
      <c r="T794" s="145"/>
      <c r="U794" s="145"/>
      <c r="V794" s="145"/>
      <c r="W794" s="145"/>
      <c r="X794" s="145"/>
      <c r="Y794" s="145"/>
      <c r="Z794" s="145"/>
      <c r="AA794" s="145"/>
      <c r="AB794" s="145"/>
      <c r="AC794" s="145"/>
      <c r="AD794" s="145"/>
      <c r="AE794" s="145"/>
      <c r="AF794" s="145"/>
      <c r="AG794" s="145"/>
      <c r="AH794" s="145"/>
      <c r="AI794" s="145"/>
      <c r="AJ794" s="145"/>
      <c r="AK794" s="145"/>
      <c r="AL794" s="145"/>
      <c r="AM794" s="321"/>
      <c r="AN794" s="321"/>
      <c r="AO794" s="321"/>
      <c r="AP794" s="321"/>
      <c r="AQ794" s="321"/>
      <c r="AR794" s="321"/>
      <c r="AS794" s="321"/>
      <c r="AT794" s="321"/>
    </row>
    <row r="795" spans="10:46">
      <c r="J795" s="145"/>
      <c r="K795" s="145"/>
      <c r="L795" s="145"/>
      <c r="M795" s="145"/>
      <c r="N795" s="145"/>
      <c r="O795" s="145"/>
      <c r="P795" s="145"/>
      <c r="Q795" s="145"/>
      <c r="R795" s="145"/>
      <c r="S795" s="145"/>
      <c r="T795" s="145"/>
      <c r="U795" s="145"/>
      <c r="V795" s="145"/>
      <c r="W795" s="145"/>
      <c r="X795" s="145"/>
      <c r="Y795" s="145"/>
      <c r="Z795" s="145"/>
      <c r="AA795" s="145"/>
      <c r="AB795" s="145"/>
      <c r="AC795" s="145"/>
      <c r="AD795" s="145"/>
      <c r="AE795" s="145"/>
      <c r="AF795" s="145"/>
      <c r="AG795" s="145"/>
      <c r="AH795" s="145"/>
      <c r="AI795" s="145"/>
      <c r="AJ795" s="145"/>
      <c r="AK795" s="145"/>
      <c r="AL795" s="145"/>
      <c r="AM795" s="321"/>
      <c r="AN795" s="321"/>
      <c r="AO795" s="321"/>
      <c r="AP795" s="321"/>
      <c r="AQ795" s="321"/>
      <c r="AR795" s="321"/>
      <c r="AS795" s="321"/>
      <c r="AT795" s="321"/>
    </row>
    <row r="796" spans="10:46">
      <c r="J796" s="145"/>
      <c r="K796" s="145"/>
      <c r="L796" s="145"/>
      <c r="M796" s="145"/>
      <c r="N796" s="145"/>
      <c r="O796" s="145"/>
      <c r="P796" s="145"/>
      <c r="Q796" s="145"/>
      <c r="R796" s="145"/>
      <c r="S796" s="145"/>
      <c r="T796" s="145"/>
      <c r="U796" s="145"/>
      <c r="V796" s="145"/>
      <c r="W796" s="145"/>
      <c r="X796" s="145"/>
      <c r="Y796" s="145"/>
      <c r="Z796" s="145"/>
      <c r="AA796" s="145"/>
      <c r="AB796" s="145"/>
      <c r="AC796" s="145"/>
      <c r="AD796" s="145"/>
      <c r="AE796" s="145"/>
      <c r="AF796" s="145"/>
      <c r="AG796" s="145"/>
      <c r="AH796" s="145"/>
      <c r="AI796" s="145"/>
      <c r="AJ796" s="145"/>
      <c r="AK796" s="145"/>
      <c r="AL796" s="145"/>
      <c r="AM796" s="321"/>
      <c r="AN796" s="321"/>
      <c r="AO796" s="321"/>
      <c r="AP796" s="321"/>
      <c r="AQ796" s="321"/>
      <c r="AR796" s="321"/>
      <c r="AS796" s="321"/>
      <c r="AT796" s="321"/>
    </row>
    <row r="797" spans="10:46">
      <c r="J797" s="145"/>
      <c r="K797" s="145"/>
      <c r="L797" s="145"/>
      <c r="M797" s="145"/>
      <c r="N797" s="145"/>
      <c r="O797" s="145"/>
      <c r="P797" s="145"/>
      <c r="Q797" s="145"/>
      <c r="R797" s="145"/>
      <c r="S797" s="145"/>
      <c r="T797" s="145"/>
      <c r="U797" s="145"/>
      <c r="V797" s="145"/>
      <c r="W797" s="145"/>
      <c r="X797" s="145"/>
      <c r="Y797" s="145"/>
      <c r="Z797" s="145"/>
      <c r="AA797" s="145"/>
      <c r="AB797" s="145"/>
      <c r="AC797" s="145"/>
      <c r="AD797" s="145"/>
      <c r="AE797" s="145"/>
      <c r="AF797" s="145"/>
      <c r="AG797" s="145"/>
      <c r="AH797" s="145"/>
      <c r="AI797" s="145"/>
      <c r="AJ797" s="145"/>
      <c r="AK797" s="145"/>
      <c r="AL797" s="145"/>
      <c r="AM797" s="321"/>
      <c r="AN797" s="321"/>
      <c r="AO797" s="321"/>
      <c r="AP797" s="321"/>
      <c r="AQ797" s="321"/>
      <c r="AR797" s="321"/>
      <c r="AS797" s="321"/>
      <c r="AT797" s="321"/>
    </row>
    <row r="798" spans="10:46">
      <c r="J798" s="145"/>
      <c r="K798" s="145"/>
      <c r="L798" s="145"/>
      <c r="M798" s="145"/>
      <c r="N798" s="145"/>
      <c r="O798" s="145"/>
      <c r="P798" s="145"/>
      <c r="Q798" s="145"/>
      <c r="R798" s="145"/>
      <c r="S798" s="145"/>
      <c r="T798" s="145"/>
      <c r="U798" s="145"/>
      <c r="V798" s="145"/>
      <c r="W798" s="145"/>
      <c r="X798" s="145"/>
      <c r="Y798" s="145"/>
      <c r="Z798" s="145"/>
      <c r="AA798" s="145"/>
      <c r="AB798" s="145"/>
      <c r="AC798" s="145"/>
      <c r="AD798" s="145"/>
      <c r="AE798" s="145"/>
      <c r="AF798" s="145"/>
      <c r="AG798" s="145"/>
      <c r="AH798" s="145"/>
      <c r="AI798" s="145"/>
      <c r="AJ798" s="145"/>
      <c r="AK798" s="145"/>
      <c r="AL798" s="145"/>
      <c r="AM798" s="321"/>
      <c r="AN798" s="321"/>
      <c r="AO798" s="321"/>
      <c r="AP798" s="321"/>
      <c r="AQ798" s="321"/>
      <c r="AR798" s="321"/>
      <c r="AS798" s="321"/>
      <c r="AT798" s="321"/>
    </row>
    <row r="799" spans="10:46">
      <c r="J799" s="145"/>
      <c r="K799" s="145"/>
      <c r="L799" s="145"/>
      <c r="M799" s="145"/>
      <c r="N799" s="145"/>
      <c r="O799" s="145"/>
      <c r="P799" s="145"/>
      <c r="Q799" s="145"/>
      <c r="R799" s="145"/>
      <c r="S799" s="145"/>
      <c r="T799" s="145"/>
      <c r="U799" s="145"/>
      <c r="V799" s="145"/>
      <c r="W799" s="145"/>
      <c r="X799" s="145"/>
      <c r="Y799" s="145"/>
      <c r="Z799" s="145"/>
      <c r="AA799" s="145"/>
      <c r="AB799" s="145"/>
      <c r="AC799" s="145"/>
      <c r="AD799" s="145"/>
      <c r="AE799" s="145"/>
      <c r="AF799" s="145"/>
      <c r="AG799" s="145"/>
      <c r="AH799" s="145"/>
      <c r="AI799" s="145"/>
      <c r="AJ799" s="145"/>
      <c r="AK799" s="145"/>
      <c r="AL799" s="145"/>
      <c r="AM799" s="321"/>
      <c r="AN799" s="321"/>
      <c r="AO799" s="321"/>
      <c r="AP799" s="321"/>
      <c r="AQ799" s="321"/>
      <c r="AR799" s="321"/>
      <c r="AS799" s="321"/>
      <c r="AT799" s="321"/>
    </row>
    <row r="800" spans="10:46">
      <c r="J800" s="145"/>
      <c r="K800" s="145"/>
      <c r="L800" s="145"/>
      <c r="M800" s="145"/>
      <c r="N800" s="145"/>
      <c r="O800" s="145"/>
      <c r="P800" s="145"/>
      <c r="Q800" s="145"/>
      <c r="R800" s="145"/>
      <c r="S800" s="145"/>
      <c r="T800" s="145"/>
      <c r="U800" s="145"/>
      <c r="V800" s="145"/>
      <c r="W800" s="145"/>
      <c r="X800" s="145"/>
      <c r="Y800" s="145"/>
      <c r="Z800" s="145"/>
      <c r="AA800" s="145"/>
      <c r="AB800" s="145"/>
      <c r="AC800" s="145"/>
      <c r="AD800" s="145"/>
      <c r="AE800" s="145"/>
      <c r="AF800" s="145"/>
      <c r="AG800" s="145"/>
      <c r="AH800" s="145"/>
      <c r="AI800" s="145"/>
      <c r="AJ800" s="145"/>
      <c r="AK800" s="145"/>
      <c r="AL800" s="145"/>
      <c r="AM800" s="321"/>
      <c r="AN800" s="321"/>
      <c r="AO800" s="321"/>
      <c r="AP800" s="321"/>
      <c r="AQ800" s="321"/>
      <c r="AR800" s="321"/>
      <c r="AS800" s="321"/>
      <c r="AT800" s="321"/>
    </row>
    <row r="801" spans="10:46">
      <c r="J801" s="145"/>
      <c r="K801" s="145"/>
      <c r="L801" s="145"/>
      <c r="M801" s="145"/>
      <c r="N801" s="145"/>
      <c r="O801" s="145"/>
      <c r="P801" s="145"/>
      <c r="Q801" s="145"/>
      <c r="R801" s="145"/>
      <c r="S801" s="145"/>
      <c r="T801" s="145"/>
      <c r="U801" s="145"/>
      <c r="V801" s="145"/>
      <c r="W801" s="145"/>
      <c r="X801" s="145"/>
      <c r="Y801" s="145"/>
      <c r="Z801" s="145"/>
      <c r="AA801" s="145"/>
      <c r="AB801" s="145"/>
      <c r="AC801" s="145"/>
      <c r="AD801" s="145"/>
      <c r="AE801" s="145"/>
      <c r="AF801" s="145"/>
      <c r="AG801" s="145"/>
      <c r="AH801" s="145"/>
      <c r="AI801" s="145"/>
      <c r="AJ801" s="145"/>
      <c r="AK801" s="145"/>
      <c r="AL801" s="145"/>
      <c r="AM801" s="321"/>
      <c r="AN801" s="321"/>
      <c r="AO801" s="321"/>
      <c r="AP801" s="321"/>
      <c r="AQ801" s="321"/>
      <c r="AR801" s="321"/>
      <c r="AS801" s="321"/>
      <c r="AT801" s="321"/>
    </row>
    <row r="802" spans="10:46">
      <c r="J802" s="145"/>
      <c r="K802" s="145"/>
      <c r="L802" s="145"/>
      <c r="M802" s="145"/>
      <c r="N802" s="145"/>
      <c r="O802" s="145"/>
      <c r="P802" s="145"/>
      <c r="Q802" s="145"/>
      <c r="R802" s="145"/>
      <c r="S802" s="145"/>
      <c r="T802" s="145"/>
      <c r="U802" s="145"/>
      <c r="V802" s="145"/>
      <c r="W802" s="145"/>
      <c r="X802" s="145"/>
      <c r="Y802" s="145"/>
      <c r="Z802" s="145"/>
      <c r="AA802" s="145"/>
      <c r="AB802" s="145"/>
      <c r="AC802" s="145"/>
      <c r="AD802" s="145"/>
      <c r="AE802" s="145"/>
      <c r="AF802" s="145"/>
      <c r="AG802" s="145"/>
      <c r="AH802" s="145"/>
      <c r="AI802" s="145"/>
      <c r="AJ802" s="145"/>
      <c r="AK802" s="145"/>
      <c r="AL802" s="145"/>
      <c r="AM802" s="321"/>
      <c r="AN802" s="321"/>
      <c r="AO802" s="321"/>
      <c r="AP802" s="321"/>
      <c r="AQ802" s="321"/>
      <c r="AR802" s="321"/>
      <c r="AS802" s="321"/>
      <c r="AT802" s="321"/>
    </row>
    <row r="803" spans="10:46">
      <c r="J803" s="145"/>
      <c r="K803" s="145"/>
      <c r="L803" s="145"/>
      <c r="M803" s="145"/>
      <c r="N803" s="145"/>
      <c r="O803" s="145"/>
      <c r="P803" s="145"/>
      <c r="Q803" s="145"/>
      <c r="R803" s="145"/>
      <c r="S803" s="145"/>
      <c r="T803" s="145"/>
      <c r="U803" s="145"/>
      <c r="V803" s="145"/>
      <c r="W803" s="145"/>
      <c r="X803" s="145"/>
      <c r="Y803" s="145"/>
      <c r="Z803" s="145"/>
      <c r="AA803" s="145"/>
      <c r="AB803" s="145"/>
      <c r="AC803" s="145"/>
      <c r="AD803" s="145"/>
      <c r="AE803" s="145"/>
      <c r="AF803" s="145"/>
      <c r="AG803" s="145"/>
      <c r="AH803" s="145"/>
      <c r="AI803" s="145"/>
      <c r="AJ803" s="145"/>
      <c r="AK803" s="145"/>
      <c r="AL803" s="145"/>
      <c r="AM803" s="321"/>
      <c r="AN803" s="321"/>
      <c r="AO803" s="321"/>
      <c r="AP803" s="321"/>
      <c r="AQ803" s="321"/>
      <c r="AR803" s="321"/>
      <c r="AS803" s="321"/>
      <c r="AT803" s="321"/>
    </row>
    <row r="804" spans="10:46">
      <c r="J804" s="145"/>
      <c r="K804" s="145"/>
      <c r="L804" s="145"/>
      <c r="M804" s="145"/>
      <c r="N804" s="145"/>
      <c r="O804" s="145"/>
      <c r="P804" s="145"/>
      <c r="Q804" s="145"/>
      <c r="R804" s="145"/>
      <c r="S804" s="145"/>
      <c r="T804" s="145"/>
      <c r="U804" s="145"/>
      <c r="V804" s="145"/>
      <c r="W804" s="145"/>
      <c r="X804" s="145"/>
      <c r="Y804" s="145"/>
      <c r="Z804" s="145"/>
      <c r="AA804" s="145"/>
      <c r="AB804" s="145"/>
      <c r="AC804" s="145"/>
      <c r="AD804" s="145"/>
      <c r="AE804" s="145"/>
      <c r="AF804" s="145"/>
      <c r="AG804" s="145"/>
      <c r="AH804" s="145"/>
      <c r="AI804" s="145"/>
      <c r="AJ804" s="145"/>
      <c r="AK804" s="145"/>
      <c r="AL804" s="145"/>
      <c r="AM804" s="321"/>
      <c r="AN804" s="321"/>
      <c r="AO804" s="321"/>
      <c r="AP804" s="321"/>
      <c r="AQ804" s="321"/>
      <c r="AR804" s="321"/>
      <c r="AS804" s="321"/>
      <c r="AT804" s="321"/>
    </row>
    <row r="805" spans="10:46">
      <c r="J805" s="145"/>
      <c r="K805" s="145"/>
      <c r="L805" s="145"/>
      <c r="M805" s="145"/>
      <c r="N805" s="145"/>
      <c r="O805" s="145"/>
      <c r="P805" s="145"/>
      <c r="Q805" s="145"/>
      <c r="R805" s="145"/>
      <c r="S805" s="145"/>
      <c r="T805" s="145"/>
      <c r="U805" s="145"/>
      <c r="V805" s="145"/>
      <c r="W805" s="145"/>
      <c r="X805" s="145"/>
      <c r="Y805" s="145"/>
      <c r="Z805" s="145"/>
      <c r="AA805" s="145"/>
      <c r="AB805" s="145"/>
      <c r="AC805" s="145"/>
      <c r="AD805" s="145"/>
      <c r="AE805" s="145"/>
      <c r="AF805" s="145"/>
      <c r="AG805" s="145"/>
      <c r="AH805" s="145"/>
      <c r="AI805" s="145"/>
      <c r="AJ805" s="145"/>
      <c r="AK805" s="145"/>
      <c r="AL805" s="145"/>
      <c r="AM805" s="321"/>
      <c r="AN805" s="321"/>
      <c r="AO805" s="321"/>
      <c r="AP805" s="321"/>
      <c r="AQ805" s="321"/>
      <c r="AR805" s="321"/>
      <c r="AS805" s="321"/>
      <c r="AT805" s="321"/>
    </row>
    <row r="806" spans="10:46">
      <c r="J806" s="145"/>
      <c r="K806" s="145"/>
      <c r="L806" s="145"/>
      <c r="M806" s="145"/>
      <c r="N806" s="145"/>
      <c r="O806" s="145"/>
      <c r="P806" s="145"/>
      <c r="Q806" s="145"/>
      <c r="R806" s="145"/>
      <c r="S806" s="145"/>
      <c r="T806" s="145"/>
      <c r="U806" s="145"/>
      <c r="V806" s="145"/>
      <c r="W806" s="145"/>
      <c r="X806" s="145"/>
      <c r="Y806" s="145"/>
      <c r="Z806" s="145"/>
      <c r="AA806" s="145"/>
      <c r="AB806" s="145"/>
      <c r="AC806" s="145"/>
      <c r="AD806" s="145"/>
      <c r="AE806" s="145"/>
      <c r="AF806" s="145"/>
      <c r="AG806" s="145"/>
      <c r="AH806" s="145"/>
      <c r="AI806" s="145"/>
      <c r="AJ806" s="145"/>
      <c r="AK806" s="145"/>
      <c r="AL806" s="145"/>
      <c r="AM806" s="321"/>
      <c r="AN806" s="321"/>
      <c r="AO806" s="321"/>
      <c r="AP806" s="321"/>
      <c r="AQ806" s="321"/>
      <c r="AR806" s="321"/>
      <c r="AS806" s="321"/>
      <c r="AT806" s="321"/>
    </row>
    <row r="807" spans="10:46">
      <c r="J807" s="145"/>
      <c r="K807" s="145"/>
      <c r="L807" s="145"/>
      <c r="M807" s="145"/>
      <c r="N807" s="145"/>
      <c r="O807" s="145"/>
      <c r="P807" s="145"/>
      <c r="Q807" s="145"/>
      <c r="R807" s="145"/>
      <c r="S807" s="145"/>
      <c r="T807" s="145"/>
      <c r="U807" s="145"/>
      <c r="V807" s="145"/>
      <c r="W807" s="145"/>
      <c r="X807" s="145"/>
      <c r="Y807" s="145"/>
      <c r="Z807" s="145"/>
      <c r="AA807" s="145"/>
      <c r="AB807" s="145"/>
      <c r="AC807" s="145"/>
      <c r="AD807" s="145"/>
      <c r="AE807" s="145"/>
      <c r="AF807" s="145"/>
      <c r="AG807" s="145"/>
      <c r="AH807" s="145"/>
      <c r="AI807" s="145"/>
      <c r="AJ807" s="145"/>
      <c r="AK807" s="145"/>
      <c r="AL807" s="145"/>
      <c r="AM807" s="321"/>
      <c r="AN807" s="321"/>
      <c r="AO807" s="321"/>
      <c r="AP807" s="321"/>
      <c r="AQ807" s="321"/>
      <c r="AR807" s="321"/>
      <c r="AS807" s="321"/>
      <c r="AT807" s="321"/>
    </row>
    <row r="808" spans="10:46">
      <c r="J808" s="145"/>
      <c r="K808" s="145"/>
      <c r="L808" s="145"/>
      <c r="M808" s="145"/>
      <c r="N808" s="145"/>
      <c r="O808" s="145"/>
      <c r="P808" s="145"/>
      <c r="Q808" s="145"/>
      <c r="R808" s="145"/>
      <c r="S808" s="145"/>
      <c r="T808" s="145"/>
      <c r="U808" s="145"/>
      <c r="V808" s="145"/>
      <c r="W808" s="145"/>
      <c r="X808" s="145"/>
      <c r="Y808" s="145"/>
      <c r="Z808" s="145"/>
      <c r="AA808" s="145"/>
      <c r="AB808" s="145"/>
      <c r="AC808" s="145"/>
      <c r="AD808" s="145"/>
      <c r="AE808" s="145"/>
      <c r="AF808" s="145"/>
      <c r="AG808" s="145"/>
      <c r="AH808" s="145"/>
      <c r="AI808" s="145"/>
      <c r="AJ808" s="145"/>
      <c r="AK808" s="145"/>
      <c r="AL808" s="145"/>
      <c r="AM808" s="321"/>
      <c r="AN808" s="321"/>
      <c r="AO808" s="321"/>
      <c r="AP808" s="321"/>
      <c r="AQ808" s="321"/>
      <c r="AR808" s="321"/>
      <c r="AS808" s="321"/>
      <c r="AT808" s="321"/>
    </row>
    <row r="809" spans="10:46">
      <c r="J809" s="145"/>
      <c r="K809" s="145"/>
      <c r="L809" s="145"/>
      <c r="M809" s="145"/>
      <c r="N809" s="145"/>
      <c r="O809" s="145"/>
      <c r="P809" s="145"/>
      <c r="Q809" s="145"/>
      <c r="R809" s="145"/>
      <c r="S809" s="145"/>
      <c r="T809" s="145"/>
      <c r="U809" s="145"/>
      <c r="V809" s="145"/>
      <c r="W809" s="145"/>
      <c r="X809" s="145"/>
      <c r="Y809" s="145"/>
      <c r="Z809" s="145"/>
      <c r="AA809" s="145"/>
      <c r="AB809" s="145"/>
      <c r="AC809" s="145"/>
      <c r="AD809" s="145"/>
      <c r="AE809" s="145"/>
      <c r="AF809" s="145"/>
      <c r="AG809" s="145"/>
      <c r="AH809" s="145"/>
      <c r="AI809" s="145"/>
      <c r="AJ809" s="145"/>
      <c r="AK809" s="145"/>
      <c r="AL809" s="145"/>
      <c r="AM809" s="321"/>
      <c r="AN809" s="321"/>
      <c r="AO809" s="321"/>
      <c r="AP809" s="321"/>
      <c r="AQ809" s="321"/>
      <c r="AR809" s="321"/>
      <c r="AS809" s="321"/>
      <c r="AT809" s="321"/>
    </row>
    <row r="810" spans="10:46">
      <c r="J810" s="145"/>
      <c r="K810" s="145"/>
      <c r="L810" s="145"/>
      <c r="M810" s="145"/>
      <c r="N810" s="145"/>
      <c r="O810" s="145"/>
      <c r="P810" s="145"/>
      <c r="Q810" s="145"/>
      <c r="R810" s="145"/>
      <c r="S810" s="145"/>
      <c r="T810" s="145"/>
      <c r="U810" s="145"/>
      <c r="V810" s="145"/>
      <c r="W810" s="145"/>
      <c r="X810" s="145"/>
      <c r="Y810" s="145"/>
      <c r="Z810" s="145"/>
      <c r="AA810" s="145"/>
      <c r="AB810" s="145"/>
      <c r="AC810" s="145"/>
      <c r="AD810" s="145"/>
      <c r="AE810" s="145"/>
      <c r="AF810" s="145"/>
      <c r="AG810" s="145"/>
      <c r="AH810" s="145"/>
      <c r="AI810" s="145"/>
      <c r="AJ810" s="145"/>
      <c r="AK810" s="145"/>
      <c r="AL810" s="145"/>
      <c r="AM810" s="321"/>
      <c r="AN810" s="321"/>
      <c r="AO810" s="321"/>
      <c r="AP810" s="321"/>
      <c r="AQ810" s="321"/>
      <c r="AR810" s="321"/>
      <c r="AS810" s="321"/>
      <c r="AT810" s="321"/>
    </row>
    <row r="811" spans="10:46">
      <c r="J811" s="145"/>
      <c r="K811" s="145"/>
      <c r="L811" s="145"/>
      <c r="M811" s="145"/>
      <c r="N811" s="145"/>
      <c r="O811" s="145"/>
      <c r="P811" s="145"/>
      <c r="Q811" s="145"/>
      <c r="R811" s="145"/>
      <c r="S811" s="145"/>
      <c r="T811" s="145"/>
      <c r="U811" s="145"/>
      <c r="V811" s="145"/>
      <c r="W811" s="145"/>
      <c r="X811" s="145"/>
      <c r="Y811" s="145"/>
      <c r="Z811" s="145"/>
      <c r="AA811" s="145"/>
      <c r="AB811" s="145"/>
      <c r="AC811" s="145"/>
      <c r="AD811" s="145"/>
      <c r="AE811" s="145"/>
      <c r="AF811" s="145"/>
      <c r="AG811" s="145"/>
      <c r="AH811" s="145"/>
      <c r="AI811" s="145"/>
      <c r="AJ811" s="145"/>
      <c r="AK811" s="145"/>
      <c r="AL811" s="145"/>
      <c r="AM811" s="321"/>
      <c r="AN811" s="321"/>
      <c r="AO811" s="321"/>
      <c r="AP811" s="321"/>
      <c r="AQ811" s="321"/>
      <c r="AR811" s="321"/>
      <c r="AS811" s="321"/>
      <c r="AT811" s="321"/>
    </row>
    <row r="812" spans="10:46">
      <c r="J812" s="145"/>
      <c r="K812" s="145"/>
      <c r="L812" s="145"/>
      <c r="M812" s="145"/>
      <c r="N812" s="145"/>
      <c r="O812" s="145"/>
      <c r="P812" s="145"/>
      <c r="Q812" s="145"/>
      <c r="R812" s="145"/>
      <c r="S812" s="145"/>
      <c r="T812" s="145"/>
      <c r="U812" s="145"/>
      <c r="V812" s="145"/>
      <c r="W812" s="145"/>
      <c r="X812" s="145"/>
      <c r="Y812" s="145"/>
      <c r="Z812" s="145"/>
      <c r="AA812" s="145"/>
      <c r="AB812" s="145"/>
      <c r="AC812" s="145"/>
      <c r="AD812" s="145"/>
      <c r="AE812" s="145"/>
      <c r="AF812" s="145"/>
      <c r="AG812" s="145"/>
      <c r="AH812" s="145"/>
      <c r="AI812" s="145"/>
      <c r="AJ812" s="145"/>
      <c r="AK812" s="145"/>
      <c r="AL812" s="145"/>
      <c r="AM812" s="321"/>
      <c r="AN812" s="321"/>
      <c r="AO812" s="321"/>
      <c r="AP812" s="321"/>
      <c r="AQ812" s="321"/>
      <c r="AR812" s="321"/>
      <c r="AS812" s="321"/>
      <c r="AT812" s="321"/>
    </row>
    <row r="813" spans="10:46">
      <c r="J813" s="145"/>
      <c r="K813" s="145"/>
      <c r="L813" s="145"/>
      <c r="M813" s="145"/>
      <c r="N813" s="145"/>
      <c r="O813" s="145"/>
      <c r="P813" s="145"/>
      <c r="Q813" s="145"/>
      <c r="R813" s="145"/>
      <c r="S813" s="145"/>
      <c r="T813" s="145"/>
      <c r="U813" s="145"/>
      <c r="V813" s="145"/>
      <c r="W813" s="145"/>
      <c r="X813" s="145"/>
      <c r="Y813" s="145"/>
      <c r="Z813" s="145"/>
      <c r="AA813" s="145"/>
      <c r="AB813" s="145"/>
      <c r="AC813" s="145"/>
      <c r="AD813" s="145"/>
      <c r="AE813" s="145"/>
      <c r="AF813" s="145"/>
      <c r="AG813" s="145"/>
      <c r="AH813" s="145"/>
      <c r="AI813" s="145"/>
      <c r="AJ813" s="145"/>
      <c r="AK813" s="145"/>
      <c r="AL813" s="145"/>
      <c r="AM813" s="321"/>
      <c r="AN813" s="321"/>
      <c r="AO813" s="321"/>
      <c r="AP813" s="321"/>
      <c r="AQ813" s="321"/>
      <c r="AR813" s="321"/>
      <c r="AS813" s="321"/>
      <c r="AT813" s="321"/>
    </row>
    <row r="814" spans="10:46">
      <c r="J814" s="145"/>
      <c r="K814" s="145"/>
      <c r="L814" s="145"/>
      <c r="M814" s="145"/>
      <c r="N814" s="145"/>
      <c r="O814" s="145"/>
      <c r="P814" s="145"/>
      <c r="Q814" s="145"/>
      <c r="R814" s="145"/>
      <c r="S814" s="145"/>
      <c r="T814" s="145"/>
      <c r="U814" s="145"/>
      <c r="V814" s="145"/>
      <c r="W814" s="145"/>
      <c r="X814" s="145"/>
      <c r="Y814" s="145"/>
      <c r="Z814" s="145"/>
      <c r="AA814" s="145"/>
      <c r="AB814" s="145"/>
      <c r="AC814" s="145"/>
      <c r="AD814" s="145"/>
      <c r="AE814" s="145"/>
      <c r="AF814" s="145"/>
      <c r="AG814" s="145"/>
      <c r="AH814" s="145"/>
      <c r="AI814" s="145"/>
      <c r="AJ814" s="145"/>
      <c r="AK814" s="145"/>
      <c r="AL814" s="145"/>
      <c r="AM814" s="321"/>
      <c r="AN814" s="321"/>
      <c r="AO814" s="321"/>
      <c r="AP814" s="321"/>
      <c r="AQ814" s="321"/>
      <c r="AR814" s="321"/>
      <c r="AS814" s="321"/>
      <c r="AT814" s="321"/>
    </row>
    <row r="815" spans="10:46">
      <c r="J815" s="145"/>
      <c r="K815" s="145"/>
      <c r="L815" s="145"/>
      <c r="M815" s="145"/>
      <c r="N815" s="145"/>
      <c r="O815" s="145"/>
      <c r="P815" s="145"/>
      <c r="Q815" s="145"/>
      <c r="R815" s="145"/>
      <c r="S815" s="145"/>
      <c r="T815" s="145"/>
      <c r="U815" s="145"/>
      <c r="V815" s="145"/>
      <c r="W815" s="145"/>
      <c r="X815" s="145"/>
      <c r="Y815" s="145"/>
      <c r="Z815" s="145"/>
      <c r="AA815" s="145"/>
      <c r="AB815" s="145"/>
      <c r="AC815" s="145"/>
      <c r="AD815" s="145"/>
      <c r="AE815" s="145"/>
      <c r="AF815" s="145"/>
      <c r="AG815" s="145"/>
      <c r="AH815" s="145"/>
      <c r="AI815" s="145"/>
      <c r="AJ815" s="145"/>
      <c r="AK815" s="145"/>
      <c r="AL815" s="145"/>
      <c r="AM815" s="321"/>
      <c r="AN815" s="321"/>
      <c r="AO815" s="321"/>
      <c r="AP815" s="321"/>
      <c r="AQ815" s="321"/>
      <c r="AR815" s="321"/>
      <c r="AS815" s="321"/>
      <c r="AT815" s="321"/>
    </row>
    <row r="816" spans="10:46">
      <c r="J816" s="145"/>
      <c r="K816" s="145"/>
      <c r="L816" s="145"/>
      <c r="M816" s="145"/>
      <c r="N816" s="145"/>
      <c r="O816" s="145"/>
      <c r="P816" s="145"/>
      <c r="Q816" s="145"/>
      <c r="R816" s="145"/>
      <c r="S816" s="145"/>
      <c r="T816" s="145"/>
      <c r="U816" s="145"/>
      <c r="V816" s="145"/>
      <c r="W816" s="145"/>
      <c r="X816" s="145"/>
      <c r="Y816" s="145"/>
      <c r="Z816" s="145"/>
      <c r="AA816" s="145"/>
      <c r="AB816" s="145"/>
      <c r="AC816" s="145"/>
      <c r="AD816" s="145"/>
      <c r="AE816" s="145"/>
      <c r="AF816" s="145"/>
      <c r="AG816" s="145"/>
      <c r="AH816" s="145"/>
      <c r="AI816" s="145"/>
      <c r="AJ816" s="145"/>
      <c r="AK816" s="145"/>
      <c r="AL816" s="145"/>
      <c r="AM816" s="321"/>
      <c r="AN816" s="321"/>
      <c r="AO816" s="321"/>
      <c r="AP816" s="321"/>
      <c r="AQ816" s="321"/>
      <c r="AR816" s="321"/>
      <c r="AS816" s="321"/>
      <c r="AT816" s="321"/>
    </row>
    <row r="817" spans="10:46">
      <c r="J817" s="145"/>
      <c r="K817" s="145"/>
      <c r="L817" s="145"/>
      <c r="M817" s="145"/>
      <c r="N817" s="145"/>
      <c r="O817" s="145"/>
      <c r="P817" s="145"/>
      <c r="Q817" s="145"/>
      <c r="R817" s="145"/>
      <c r="S817" s="145"/>
      <c r="T817" s="145"/>
      <c r="U817" s="145"/>
      <c r="V817" s="145"/>
      <c r="W817" s="145"/>
      <c r="X817" s="145"/>
      <c r="Y817" s="145"/>
      <c r="Z817" s="145"/>
      <c r="AA817" s="145"/>
      <c r="AB817" s="145"/>
      <c r="AC817" s="145"/>
      <c r="AD817" s="145"/>
      <c r="AE817" s="145"/>
      <c r="AF817" s="145"/>
      <c r="AG817" s="145"/>
      <c r="AH817" s="145"/>
      <c r="AI817" s="145"/>
      <c r="AJ817" s="145"/>
      <c r="AK817" s="145"/>
      <c r="AL817" s="145"/>
      <c r="AM817" s="321"/>
      <c r="AN817" s="321"/>
      <c r="AO817" s="321"/>
      <c r="AP817" s="321"/>
      <c r="AQ817" s="321"/>
      <c r="AR817" s="321"/>
      <c r="AS817" s="321"/>
      <c r="AT817" s="321"/>
    </row>
    <row r="818" spans="10:46">
      <c r="J818" s="145"/>
      <c r="K818" s="145"/>
      <c r="L818" s="145"/>
      <c r="M818" s="145"/>
      <c r="N818" s="145"/>
      <c r="O818" s="145"/>
      <c r="P818" s="145"/>
      <c r="Q818" s="145"/>
      <c r="R818" s="145"/>
      <c r="S818" s="145"/>
      <c r="T818" s="145"/>
      <c r="U818" s="145"/>
      <c r="V818" s="145"/>
      <c r="W818" s="145"/>
      <c r="X818" s="145"/>
      <c r="Y818" s="145"/>
      <c r="Z818" s="145"/>
      <c r="AA818" s="145"/>
      <c r="AB818" s="145"/>
      <c r="AC818" s="145"/>
      <c r="AD818" s="145"/>
      <c r="AE818" s="145"/>
      <c r="AF818" s="145"/>
      <c r="AG818" s="145"/>
      <c r="AH818" s="145"/>
      <c r="AI818" s="145"/>
      <c r="AJ818" s="145"/>
      <c r="AK818" s="145"/>
      <c r="AL818" s="145"/>
      <c r="AM818" s="321"/>
      <c r="AN818" s="321"/>
      <c r="AO818" s="321"/>
      <c r="AP818" s="321"/>
      <c r="AQ818" s="321"/>
      <c r="AR818" s="321"/>
      <c r="AS818" s="321"/>
      <c r="AT818" s="321"/>
    </row>
    <row r="819" spans="10:46">
      <c r="J819" s="145"/>
      <c r="K819" s="145"/>
      <c r="L819" s="145"/>
      <c r="M819" s="145"/>
      <c r="N819" s="145"/>
      <c r="O819" s="145"/>
      <c r="P819" s="145"/>
      <c r="Q819" s="145"/>
      <c r="R819" s="145"/>
      <c r="S819" s="145"/>
      <c r="T819" s="145"/>
      <c r="U819" s="145"/>
      <c r="V819" s="145"/>
      <c r="W819" s="145"/>
      <c r="X819" s="145"/>
      <c r="Y819" s="145"/>
      <c r="Z819" s="145"/>
      <c r="AA819" s="145"/>
      <c r="AB819" s="145"/>
      <c r="AC819" s="145"/>
      <c r="AD819" s="145"/>
      <c r="AE819" s="145"/>
      <c r="AF819" s="145"/>
      <c r="AG819" s="145"/>
      <c r="AH819" s="145"/>
      <c r="AI819" s="145"/>
      <c r="AJ819" s="145"/>
      <c r="AK819" s="145"/>
      <c r="AL819" s="145"/>
      <c r="AM819" s="321"/>
      <c r="AN819" s="321"/>
      <c r="AO819" s="321"/>
      <c r="AP819" s="321"/>
      <c r="AQ819" s="321"/>
      <c r="AR819" s="321"/>
      <c r="AS819" s="321"/>
      <c r="AT819" s="321"/>
    </row>
    <row r="820" spans="10:46">
      <c r="J820" s="145"/>
      <c r="K820" s="145"/>
      <c r="L820" s="145"/>
      <c r="M820" s="145"/>
      <c r="N820" s="145"/>
      <c r="O820" s="145"/>
      <c r="P820" s="145"/>
      <c r="Q820" s="145"/>
      <c r="R820" s="145"/>
      <c r="S820" s="145"/>
      <c r="T820" s="145"/>
      <c r="U820" s="145"/>
      <c r="V820" s="145"/>
      <c r="W820" s="145"/>
      <c r="X820" s="145"/>
      <c r="Y820" s="145"/>
      <c r="Z820" s="145"/>
      <c r="AA820" s="145"/>
      <c r="AB820" s="145"/>
      <c r="AC820" s="145"/>
      <c r="AD820" s="145"/>
      <c r="AE820" s="145"/>
      <c r="AF820" s="145"/>
      <c r="AG820" s="145"/>
      <c r="AH820" s="145"/>
      <c r="AI820" s="145"/>
      <c r="AJ820" s="145"/>
      <c r="AK820" s="145"/>
      <c r="AL820" s="145"/>
      <c r="AM820" s="321"/>
      <c r="AN820" s="321"/>
      <c r="AO820" s="321"/>
      <c r="AP820" s="321"/>
      <c r="AQ820" s="321"/>
      <c r="AR820" s="321"/>
      <c r="AS820" s="321"/>
      <c r="AT820" s="321"/>
    </row>
    <row r="821" spans="10:46">
      <c r="J821" s="145"/>
      <c r="K821" s="145"/>
      <c r="L821" s="145"/>
      <c r="M821" s="145"/>
      <c r="N821" s="145"/>
      <c r="O821" s="145"/>
      <c r="P821" s="145"/>
      <c r="Q821" s="145"/>
      <c r="R821" s="145"/>
      <c r="S821" s="145"/>
      <c r="T821" s="145"/>
      <c r="U821" s="145"/>
      <c r="V821" s="145"/>
      <c r="W821" s="145"/>
      <c r="X821" s="145"/>
      <c r="Y821" s="145"/>
      <c r="Z821" s="145"/>
      <c r="AA821" s="145"/>
      <c r="AB821" s="145"/>
      <c r="AC821" s="145"/>
      <c r="AD821" s="145"/>
      <c r="AE821" s="145"/>
      <c r="AF821" s="145"/>
      <c r="AG821" s="145"/>
      <c r="AH821" s="145"/>
      <c r="AI821" s="145"/>
      <c r="AJ821" s="145"/>
      <c r="AK821" s="145"/>
      <c r="AL821" s="145"/>
      <c r="AM821" s="321"/>
      <c r="AN821" s="321"/>
      <c r="AO821" s="321"/>
      <c r="AP821" s="321"/>
      <c r="AQ821" s="321"/>
      <c r="AR821" s="321"/>
      <c r="AS821" s="321"/>
      <c r="AT821" s="321"/>
    </row>
    <row r="822" spans="10:46">
      <c r="J822" s="145"/>
      <c r="K822" s="145"/>
      <c r="L822" s="145"/>
      <c r="M822" s="145"/>
      <c r="N822" s="145"/>
      <c r="O822" s="145"/>
      <c r="P822" s="145"/>
      <c r="Q822" s="145"/>
      <c r="R822" s="145"/>
      <c r="S822" s="145"/>
      <c r="T822" s="145"/>
      <c r="U822" s="145"/>
      <c r="V822" s="145"/>
      <c r="W822" s="145"/>
      <c r="X822" s="145"/>
      <c r="Y822" s="145"/>
      <c r="Z822" s="145"/>
      <c r="AA822" s="145"/>
      <c r="AB822" s="145"/>
      <c r="AC822" s="145"/>
      <c r="AD822" s="145"/>
      <c r="AE822" s="145"/>
      <c r="AF822" s="145"/>
      <c r="AG822" s="145"/>
      <c r="AH822" s="145"/>
      <c r="AI822" s="145"/>
      <c r="AJ822" s="145"/>
      <c r="AK822" s="145"/>
      <c r="AL822" s="145"/>
      <c r="AM822" s="321"/>
      <c r="AN822" s="321"/>
      <c r="AO822" s="321"/>
      <c r="AP822" s="321"/>
      <c r="AQ822" s="321"/>
      <c r="AR822" s="321"/>
      <c r="AS822" s="321"/>
      <c r="AT822" s="321"/>
    </row>
    <row r="823" spans="10:46">
      <c r="J823" s="145"/>
      <c r="K823" s="145"/>
      <c r="L823" s="145"/>
      <c r="M823" s="145"/>
      <c r="N823" s="145"/>
      <c r="O823" s="145"/>
      <c r="P823" s="145"/>
      <c r="Q823" s="145"/>
      <c r="R823" s="145"/>
      <c r="S823" s="145"/>
      <c r="T823" s="145"/>
      <c r="U823" s="145"/>
      <c r="V823" s="145"/>
      <c r="W823" s="145"/>
      <c r="X823" s="145"/>
      <c r="Y823" s="145"/>
      <c r="Z823" s="145"/>
      <c r="AA823" s="145"/>
      <c r="AB823" s="145"/>
      <c r="AC823" s="145"/>
      <c r="AD823" s="145"/>
      <c r="AE823" s="145"/>
      <c r="AF823" s="145"/>
      <c r="AG823" s="145"/>
      <c r="AH823" s="145"/>
      <c r="AI823" s="145"/>
      <c r="AJ823" s="145"/>
      <c r="AK823" s="145"/>
      <c r="AL823" s="145"/>
      <c r="AM823" s="321"/>
      <c r="AN823" s="321"/>
      <c r="AO823" s="321"/>
      <c r="AP823" s="321"/>
      <c r="AQ823" s="321"/>
      <c r="AR823" s="321"/>
      <c r="AS823" s="321"/>
      <c r="AT823" s="321"/>
    </row>
    <row r="824" spans="10:46">
      <c r="J824" s="145"/>
      <c r="K824" s="145"/>
      <c r="L824" s="145"/>
      <c r="M824" s="145"/>
      <c r="N824" s="145"/>
      <c r="O824" s="145"/>
      <c r="P824" s="145"/>
      <c r="Q824" s="145"/>
      <c r="R824" s="145"/>
      <c r="S824" s="145"/>
      <c r="T824" s="145"/>
      <c r="U824" s="145"/>
      <c r="V824" s="145"/>
      <c r="W824" s="145"/>
      <c r="X824" s="145"/>
      <c r="Y824" s="145"/>
      <c r="Z824" s="145"/>
      <c r="AA824" s="145"/>
      <c r="AB824" s="145"/>
      <c r="AC824" s="145"/>
      <c r="AD824" s="145"/>
      <c r="AE824" s="145"/>
      <c r="AF824" s="145"/>
      <c r="AG824" s="145"/>
      <c r="AH824" s="145"/>
      <c r="AI824" s="145"/>
      <c r="AJ824" s="145"/>
      <c r="AK824" s="145"/>
      <c r="AL824" s="145"/>
      <c r="AM824" s="321"/>
      <c r="AN824" s="321"/>
      <c r="AO824" s="321"/>
      <c r="AP824" s="321"/>
      <c r="AQ824" s="321"/>
      <c r="AR824" s="321"/>
      <c r="AS824" s="321"/>
      <c r="AT824" s="321"/>
    </row>
    <row r="825" spans="10:46">
      <c r="J825" s="145"/>
      <c r="K825" s="145"/>
      <c r="L825" s="145"/>
      <c r="M825" s="145"/>
      <c r="N825" s="145"/>
      <c r="O825" s="145"/>
      <c r="P825" s="145"/>
      <c r="Q825" s="145"/>
      <c r="R825" s="145"/>
      <c r="S825" s="145"/>
      <c r="T825" s="145"/>
      <c r="U825" s="145"/>
      <c r="V825" s="145"/>
      <c r="W825" s="145"/>
      <c r="X825" s="145"/>
      <c r="Y825" s="145"/>
      <c r="Z825" s="145"/>
      <c r="AA825" s="145"/>
      <c r="AB825" s="145"/>
      <c r="AC825" s="145"/>
      <c r="AD825" s="145"/>
      <c r="AE825" s="145"/>
      <c r="AF825" s="145"/>
      <c r="AG825" s="145"/>
      <c r="AH825" s="145"/>
      <c r="AI825" s="145"/>
      <c r="AJ825" s="145"/>
      <c r="AK825" s="145"/>
      <c r="AL825" s="145"/>
      <c r="AM825" s="321"/>
      <c r="AN825" s="321"/>
      <c r="AO825" s="321"/>
      <c r="AP825" s="321"/>
      <c r="AQ825" s="321"/>
      <c r="AR825" s="321"/>
      <c r="AS825" s="321"/>
      <c r="AT825" s="321"/>
    </row>
    <row r="826" spans="10:46">
      <c r="J826" s="145"/>
      <c r="K826" s="145"/>
      <c r="L826" s="145"/>
      <c r="M826" s="145"/>
      <c r="N826" s="145"/>
      <c r="O826" s="145"/>
      <c r="P826" s="145"/>
      <c r="Q826" s="145"/>
      <c r="R826" s="145"/>
      <c r="S826" s="145"/>
      <c r="T826" s="145"/>
      <c r="U826" s="145"/>
      <c r="V826" s="145"/>
      <c r="W826" s="145"/>
      <c r="X826" s="145"/>
      <c r="Y826" s="145"/>
      <c r="Z826" s="145"/>
      <c r="AA826" s="145"/>
      <c r="AB826" s="145"/>
      <c r="AC826" s="145"/>
      <c r="AD826" s="145"/>
      <c r="AE826" s="145"/>
      <c r="AF826" s="145"/>
      <c r="AG826" s="145"/>
      <c r="AH826" s="145"/>
      <c r="AI826" s="145"/>
      <c r="AJ826" s="145"/>
      <c r="AK826" s="145"/>
      <c r="AL826" s="145"/>
      <c r="AM826" s="321"/>
      <c r="AN826" s="321"/>
      <c r="AO826" s="321"/>
      <c r="AP826" s="321"/>
      <c r="AQ826" s="321"/>
      <c r="AR826" s="321"/>
      <c r="AS826" s="321"/>
      <c r="AT826" s="321"/>
    </row>
    <row r="827" spans="10:46">
      <c r="J827" s="145"/>
      <c r="K827" s="145"/>
      <c r="L827" s="145"/>
      <c r="M827" s="145"/>
      <c r="N827" s="145"/>
      <c r="O827" s="145"/>
      <c r="P827" s="145"/>
      <c r="Q827" s="145"/>
      <c r="R827" s="145"/>
      <c r="S827" s="145"/>
      <c r="T827" s="145"/>
      <c r="U827" s="145"/>
      <c r="V827" s="145"/>
      <c r="W827" s="145"/>
      <c r="X827" s="145"/>
      <c r="Y827" s="145"/>
      <c r="Z827" s="145"/>
      <c r="AA827" s="145"/>
      <c r="AB827" s="145"/>
      <c r="AC827" s="145"/>
      <c r="AD827" s="145"/>
      <c r="AE827" s="145"/>
      <c r="AF827" s="145"/>
      <c r="AG827" s="145"/>
      <c r="AH827" s="145"/>
      <c r="AI827" s="145"/>
      <c r="AJ827" s="145"/>
      <c r="AK827" s="145"/>
      <c r="AL827" s="145"/>
      <c r="AM827" s="321"/>
      <c r="AN827" s="321"/>
      <c r="AO827" s="321"/>
      <c r="AP827" s="321"/>
      <c r="AQ827" s="321"/>
      <c r="AR827" s="321"/>
      <c r="AS827" s="321"/>
      <c r="AT827" s="321"/>
    </row>
    <row r="828" spans="10:46">
      <c r="J828" s="145"/>
      <c r="K828" s="145"/>
      <c r="L828" s="145"/>
      <c r="M828" s="145"/>
      <c r="N828" s="145"/>
      <c r="O828" s="145"/>
      <c r="P828" s="145"/>
      <c r="Q828" s="145"/>
      <c r="R828" s="145"/>
      <c r="S828" s="145"/>
      <c r="T828" s="145"/>
      <c r="U828" s="145"/>
      <c r="V828" s="145"/>
      <c r="W828" s="145"/>
      <c r="X828" s="145"/>
      <c r="Y828" s="145"/>
      <c r="Z828" s="145"/>
      <c r="AA828" s="145"/>
      <c r="AB828" s="145"/>
      <c r="AC828" s="145"/>
      <c r="AD828" s="145"/>
      <c r="AE828" s="145"/>
      <c r="AF828" s="145"/>
      <c r="AG828" s="145"/>
      <c r="AH828" s="145"/>
      <c r="AI828" s="145"/>
      <c r="AJ828" s="145"/>
      <c r="AK828" s="145"/>
      <c r="AL828" s="145"/>
      <c r="AM828" s="321"/>
      <c r="AN828" s="321"/>
      <c r="AO828" s="321"/>
      <c r="AP828" s="321"/>
      <c r="AQ828" s="321"/>
      <c r="AR828" s="321"/>
      <c r="AS828" s="321"/>
      <c r="AT828" s="321"/>
    </row>
    <row r="829" spans="10:46">
      <c r="J829" s="145"/>
      <c r="K829" s="145"/>
      <c r="L829" s="145"/>
      <c r="M829" s="145"/>
      <c r="N829" s="145"/>
      <c r="O829" s="145"/>
      <c r="P829" s="145"/>
      <c r="Q829" s="145"/>
      <c r="R829" s="145"/>
      <c r="S829" s="145"/>
      <c r="T829" s="145"/>
      <c r="U829" s="145"/>
      <c r="V829" s="145"/>
      <c r="W829" s="145"/>
      <c r="X829" s="145"/>
      <c r="Y829" s="145"/>
      <c r="Z829" s="145"/>
      <c r="AA829" s="145"/>
      <c r="AB829" s="145"/>
      <c r="AC829" s="145"/>
      <c r="AD829" s="145"/>
      <c r="AE829" s="145"/>
      <c r="AF829" s="145"/>
      <c r="AG829" s="145"/>
      <c r="AH829" s="145"/>
      <c r="AI829" s="145"/>
      <c r="AJ829" s="145"/>
      <c r="AK829" s="145"/>
      <c r="AL829" s="145"/>
      <c r="AM829" s="321"/>
      <c r="AN829" s="321"/>
      <c r="AO829" s="321"/>
      <c r="AP829" s="321"/>
      <c r="AQ829" s="321"/>
      <c r="AR829" s="321"/>
      <c r="AS829" s="321"/>
      <c r="AT829" s="321"/>
    </row>
    <row r="830" spans="10:46">
      <c r="J830" s="145"/>
      <c r="K830" s="145"/>
      <c r="L830" s="145"/>
      <c r="M830" s="145"/>
      <c r="N830" s="145"/>
      <c r="O830" s="145"/>
      <c r="P830" s="145"/>
      <c r="Q830" s="145"/>
      <c r="R830" s="145"/>
      <c r="S830" s="145"/>
      <c r="T830" s="145"/>
      <c r="U830" s="145"/>
      <c r="V830" s="145"/>
      <c r="W830" s="145"/>
      <c r="X830" s="145"/>
      <c r="Y830" s="145"/>
      <c r="Z830" s="145"/>
      <c r="AA830" s="145"/>
      <c r="AB830" s="145"/>
      <c r="AC830" s="145"/>
      <c r="AD830" s="145"/>
      <c r="AE830" s="145"/>
      <c r="AF830" s="145"/>
      <c r="AG830" s="145"/>
      <c r="AH830" s="145"/>
      <c r="AI830" s="145"/>
      <c r="AJ830" s="145"/>
      <c r="AK830" s="145"/>
      <c r="AL830" s="145"/>
      <c r="AM830" s="321"/>
      <c r="AN830" s="321"/>
      <c r="AO830" s="321"/>
      <c r="AP830" s="321"/>
      <c r="AQ830" s="321"/>
      <c r="AR830" s="321"/>
      <c r="AS830" s="321"/>
      <c r="AT830" s="321"/>
    </row>
    <row r="831" spans="10:46">
      <c r="J831" s="145"/>
      <c r="K831" s="145"/>
      <c r="L831" s="145"/>
      <c r="M831" s="145"/>
      <c r="N831" s="145"/>
      <c r="O831" s="145"/>
      <c r="P831" s="145"/>
      <c r="Q831" s="145"/>
      <c r="R831" s="145"/>
      <c r="S831" s="145"/>
      <c r="T831" s="145"/>
      <c r="U831" s="145"/>
      <c r="V831" s="145"/>
      <c r="W831" s="145"/>
      <c r="X831" s="145"/>
      <c r="Y831" s="145"/>
      <c r="Z831" s="145"/>
      <c r="AA831" s="145"/>
      <c r="AB831" s="145"/>
      <c r="AC831" s="145"/>
      <c r="AD831" s="145"/>
      <c r="AE831" s="145"/>
      <c r="AF831" s="145"/>
      <c r="AG831" s="145"/>
      <c r="AH831" s="145"/>
      <c r="AI831" s="145"/>
      <c r="AJ831" s="145"/>
      <c r="AK831" s="145"/>
      <c r="AL831" s="145"/>
      <c r="AM831" s="321"/>
      <c r="AN831" s="321"/>
      <c r="AO831" s="321"/>
      <c r="AP831" s="321"/>
      <c r="AQ831" s="321"/>
      <c r="AR831" s="321"/>
      <c r="AS831" s="321"/>
      <c r="AT831" s="321"/>
    </row>
    <row r="832" spans="10:46">
      <c r="J832" s="145"/>
      <c r="K832" s="145"/>
      <c r="L832" s="145"/>
      <c r="M832" s="145"/>
      <c r="N832" s="145"/>
      <c r="O832" s="145"/>
      <c r="P832" s="145"/>
      <c r="Q832" s="145"/>
      <c r="R832" s="145"/>
      <c r="S832" s="145"/>
      <c r="T832" s="145"/>
      <c r="U832" s="145"/>
      <c r="V832" s="145"/>
      <c r="W832" s="145"/>
      <c r="X832" s="145"/>
      <c r="Y832" s="145"/>
      <c r="Z832" s="145"/>
      <c r="AA832" s="145"/>
      <c r="AB832" s="145"/>
      <c r="AC832" s="145"/>
      <c r="AD832" s="145"/>
      <c r="AE832" s="145"/>
      <c r="AF832" s="145"/>
      <c r="AG832" s="145"/>
      <c r="AH832" s="145"/>
      <c r="AI832" s="145"/>
      <c r="AJ832" s="145"/>
      <c r="AK832" s="145"/>
      <c r="AL832" s="145"/>
      <c r="AM832" s="321"/>
      <c r="AN832" s="321"/>
      <c r="AO832" s="321"/>
      <c r="AP832" s="321"/>
      <c r="AQ832" s="321"/>
      <c r="AR832" s="321"/>
      <c r="AS832" s="321"/>
      <c r="AT832" s="321"/>
    </row>
    <row r="833" spans="10:46">
      <c r="J833" s="145"/>
      <c r="K833" s="145"/>
      <c r="L833" s="145"/>
      <c r="M833" s="145"/>
      <c r="N833" s="145"/>
      <c r="O833" s="145"/>
      <c r="P833" s="145"/>
      <c r="Q833" s="145"/>
      <c r="R833" s="145"/>
      <c r="S833" s="145"/>
      <c r="T833" s="145"/>
      <c r="U833" s="145"/>
      <c r="V833" s="145"/>
      <c r="W833" s="145"/>
      <c r="X833" s="145"/>
      <c r="Y833" s="145"/>
      <c r="Z833" s="145"/>
      <c r="AA833" s="145"/>
      <c r="AB833" s="145"/>
      <c r="AC833" s="145"/>
      <c r="AD833" s="145"/>
      <c r="AE833" s="145"/>
      <c r="AF833" s="145"/>
      <c r="AG833" s="145"/>
      <c r="AH833" s="145"/>
      <c r="AI833" s="145"/>
      <c r="AJ833" s="145"/>
      <c r="AK833" s="145"/>
      <c r="AL833" s="145"/>
      <c r="AM833" s="321"/>
      <c r="AN833" s="321"/>
      <c r="AO833" s="321"/>
      <c r="AP833" s="321"/>
      <c r="AQ833" s="321"/>
      <c r="AR833" s="321"/>
      <c r="AS833" s="321"/>
      <c r="AT833" s="321"/>
    </row>
    <row r="834" spans="10:46">
      <c r="J834" s="145"/>
      <c r="K834" s="145"/>
      <c r="L834" s="145"/>
      <c r="M834" s="145"/>
      <c r="N834" s="145"/>
      <c r="O834" s="145"/>
      <c r="P834" s="145"/>
      <c r="Q834" s="145"/>
      <c r="R834" s="145"/>
      <c r="S834" s="145"/>
      <c r="T834" s="145"/>
      <c r="U834" s="145"/>
      <c r="V834" s="145"/>
      <c r="W834" s="145"/>
      <c r="X834" s="145"/>
      <c r="Y834" s="145"/>
      <c r="Z834" s="145"/>
      <c r="AA834" s="145"/>
      <c r="AB834" s="145"/>
      <c r="AC834" s="145"/>
      <c r="AD834" s="145"/>
      <c r="AE834" s="145"/>
      <c r="AF834" s="145"/>
      <c r="AG834" s="145"/>
      <c r="AH834" s="145"/>
      <c r="AI834" s="145"/>
      <c r="AJ834" s="145"/>
      <c r="AK834" s="145"/>
      <c r="AL834" s="145"/>
      <c r="AM834" s="321"/>
      <c r="AN834" s="321"/>
      <c r="AO834" s="321"/>
      <c r="AP834" s="321"/>
      <c r="AQ834" s="321"/>
      <c r="AR834" s="321"/>
      <c r="AS834" s="321"/>
      <c r="AT834" s="321"/>
    </row>
    <row r="835" spans="10:46">
      <c r="J835" s="145"/>
      <c r="K835" s="145"/>
      <c r="L835" s="145"/>
      <c r="M835" s="145"/>
      <c r="N835" s="145"/>
      <c r="O835" s="145"/>
      <c r="P835" s="145"/>
      <c r="Q835" s="145"/>
      <c r="R835" s="145"/>
      <c r="S835" s="145"/>
      <c r="T835" s="145"/>
      <c r="U835" s="145"/>
      <c r="V835" s="145"/>
      <c r="W835" s="145"/>
      <c r="X835" s="145"/>
      <c r="Y835" s="145"/>
      <c r="Z835" s="145"/>
      <c r="AA835" s="145"/>
      <c r="AB835" s="145"/>
      <c r="AC835" s="145"/>
      <c r="AD835" s="145"/>
      <c r="AE835" s="145"/>
      <c r="AF835" s="145"/>
      <c r="AG835" s="145"/>
      <c r="AH835" s="145"/>
      <c r="AI835" s="145"/>
      <c r="AJ835" s="145"/>
      <c r="AK835" s="145"/>
      <c r="AL835" s="145"/>
      <c r="AM835" s="321"/>
      <c r="AN835" s="321"/>
      <c r="AO835" s="321"/>
      <c r="AP835" s="321"/>
      <c r="AQ835" s="321"/>
      <c r="AR835" s="321"/>
      <c r="AS835" s="321"/>
      <c r="AT835" s="321"/>
    </row>
    <row r="836" spans="10:46">
      <c r="J836" s="145"/>
      <c r="K836" s="145"/>
      <c r="L836" s="145"/>
      <c r="M836" s="145"/>
      <c r="N836" s="145"/>
      <c r="O836" s="145"/>
      <c r="P836" s="145"/>
      <c r="Q836" s="145"/>
      <c r="R836" s="145"/>
      <c r="S836" s="145"/>
      <c r="T836" s="145"/>
      <c r="U836" s="145"/>
      <c r="V836" s="145"/>
      <c r="W836" s="145"/>
      <c r="X836" s="145"/>
      <c r="Y836" s="145"/>
      <c r="Z836" s="145"/>
      <c r="AA836" s="145"/>
      <c r="AB836" s="145"/>
      <c r="AC836" s="145"/>
      <c r="AD836" s="145"/>
      <c r="AE836" s="145"/>
      <c r="AF836" s="145"/>
      <c r="AG836" s="145"/>
      <c r="AH836" s="145"/>
      <c r="AI836" s="145"/>
      <c r="AJ836" s="145"/>
      <c r="AK836" s="145"/>
      <c r="AL836" s="145"/>
      <c r="AM836" s="321"/>
      <c r="AN836" s="321"/>
      <c r="AO836" s="321"/>
      <c r="AP836" s="321"/>
      <c r="AQ836" s="321"/>
      <c r="AR836" s="321"/>
      <c r="AS836" s="321"/>
      <c r="AT836" s="321"/>
    </row>
    <row r="837" spans="10:46">
      <c r="J837" s="145"/>
      <c r="K837" s="145"/>
      <c r="L837" s="145"/>
      <c r="M837" s="145"/>
      <c r="N837" s="145"/>
      <c r="O837" s="145"/>
      <c r="P837" s="145"/>
      <c r="Q837" s="145"/>
      <c r="R837" s="145"/>
      <c r="S837" s="145"/>
      <c r="T837" s="145"/>
      <c r="U837" s="145"/>
      <c r="V837" s="145"/>
      <c r="W837" s="145"/>
      <c r="X837" s="145"/>
      <c r="Y837" s="145"/>
      <c r="Z837" s="145"/>
      <c r="AA837" s="145"/>
      <c r="AB837" s="145"/>
      <c r="AC837" s="145"/>
      <c r="AD837" s="145"/>
      <c r="AE837" s="145"/>
      <c r="AF837" s="145"/>
      <c r="AG837" s="145"/>
      <c r="AH837" s="145"/>
      <c r="AI837" s="145"/>
      <c r="AJ837" s="145"/>
      <c r="AK837" s="145"/>
      <c r="AL837" s="145"/>
      <c r="AM837" s="321"/>
      <c r="AN837" s="321"/>
      <c r="AO837" s="321"/>
      <c r="AP837" s="321"/>
      <c r="AQ837" s="321"/>
      <c r="AR837" s="321"/>
      <c r="AS837" s="321"/>
      <c r="AT837" s="321"/>
    </row>
    <row r="838" spans="10:46">
      <c r="J838" s="145"/>
      <c r="K838" s="145"/>
      <c r="L838" s="145"/>
      <c r="M838" s="145"/>
      <c r="N838" s="145"/>
      <c r="O838" s="145"/>
      <c r="P838" s="145"/>
      <c r="Q838" s="145"/>
      <c r="R838" s="145"/>
      <c r="S838" s="145"/>
      <c r="T838" s="145"/>
      <c r="U838" s="145"/>
      <c r="V838" s="145"/>
      <c r="W838" s="145"/>
      <c r="X838" s="145"/>
      <c r="Y838" s="145"/>
      <c r="Z838" s="145"/>
      <c r="AA838" s="145"/>
      <c r="AB838" s="145"/>
      <c r="AC838" s="145"/>
      <c r="AD838" s="145"/>
      <c r="AE838" s="145"/>
      <c r="AF838" s="145"/>
      <c r="AG838" s="145"/>
      <c r="AH838" s="145"/>
      <c r="AI838" s="145"/>
      <c r="AJ838" s="145"/>
      <c r="AK838" s="145"/>
      <c r="AL838" s="145"/>
      <c r="AM838" s="321"/>
      <c r="AN838" s="321"/>
      <c r="AO838" s="321"/>
      <c r="AP838" s="321"/>
      <c r="AQ838" s="321"/>
      <c r="AR838" s="321"/>
      <c r="AS838" s="321"/>
      <c r="AT838" s="321"/>
    </row>
    <row r="839" spans="10:46">
      <c r="J839" s="145"/>
      <c r="K839" s="145"/>
      <c r="L839" s="145"/>
      <c r="M839" s="145"/>
      <c r="N839" s="145"/>
      <c r="O839" s="145"/>
      <c r="P839" s="145"/>
      <c r="Q839" s="145"/>
      <c r="R839" s="145"/>
      <c r="S839" s="145"/>
      <c r="T839" s="145"/>
      <c r="U839" s="145"/>
      <c r="V839" s="145"/>
      <c r="W839" s="145"/>
      <c r="X839" s="145"/>
      <c r="Y839" s="145"/>
      <c r="Z839" s="145"/>
      <c r="AA839" s="145"/>
      <c r="AB839" s="145"/>
      <c r="AC839" s="145"/>
      <c r="AD839" s="145"/>
      <c r="AE839" s="145"/>
      <c r="AF839" s="145"/>
      <c r="AG839" s="145"/>
      <c r="AH839" s="145"/>
      <c r="AI839" s="145"/>
      <c r="AJ839" s="145"/>
      <c r="AK839" s="145"/>
      <c r="AL839" s="145"/>
      <c r="AM839" s="321"/>
      <c r="AN839" s="321"/>
      <c r="AO839" s="321"/>
      <c r="AP839" s="321"/>
      <c r="AQ839" s="321"/>
      <c r="AR839" s="321"/>
      <c r="AS839" s="321"/>
      <c r="AT839" s="321"/>
    </row>
    <row r="840" spans="10:46">
      <c r="J840" s="145"/>
      <c r="K840" s="145"/>
      <c r="L840" s="145"/>
      <c r="M840" s="145"/>
      <c r="N840" s="145"/>
      <c r="O840" s="145"/>
      <c r="P840" s="145"/>
      <c r="Q840" s="145"/>
      <c r="R840" s="145"/>
      <c r="S840" s="145"/>
      <c r="T840" s="145"/>
      <c r="U840" s="145"/>
      <c r="V840" s="145"/>
      <c r="W840" s="145"/>
      <c r="X840" s="145"/>
      <c r="Y840" s="145"/>
      <c r="Z840" s="145"/>
      <c r="AA840" s="145"/>
      <c r="AB840" s="145"/>
      <c r="AC840" s="145"/>
      <c r="AD840" s="145"/>
      <c r="AE840" s="145"/>
      <c r="AF840" s="145"/>
      <c r="AG840" s="145"/>
      <c r="AH840" s="145"/>
      <c r="AI840" s="145"/>
      <c r="AJ840" s="145"/>
      <c r="AK840" s="145"/>
      <c r="AL840" s="145"/>
      <c r="AM840" s="321"/>
      <c r="AN840" s="321"/>
      <c r="AO840" s="321"/>
      <c r="AP840" s="321"/>
      <c r="AQ840" s="321"/>
      <c r="AR840" s="321"/>
      <c r="AS840" s="321"/>
      <c r="AT840" s="321"/>
    </row>
    <row r="841" spans="10:46">
      <c r="J841" s="145"/>
      <c r="K841" s="145"/>
      <c r="L841" s="145"/>
      <c r="M841" s="145"/>
      <c r="N841" s="145"/>
      <c r="O841" s="145"/>
      <c r="P841" s="145"/>
      <c r="Q841" s="145"/>
      <c r="R841" s="145"/>
      <c r="S841" s="145"/>
      <c r="T841" s="145"/>
      <c r="U841" s="145"/>
      <c r="V841" s="145"/>
      <c r="W841" s="145"/>
      <c r="X841" s="145"/>
      <c r="Y841" s="145"/>
      <c r="Z841" s="145"/>
      <c r="AA841" s="145"/>
      <c r="AB841" s="145"/>
      <c r="AC841" s="145"/>
      <c r="AD841" s="145"/>
      <c r="AE841" s="145"/>
      <c r="AF841" s="145"/>
      <c r="AG841" s="145"/>
      <c r="AH841" s="145"/>
      <c r="AI841" s="145"/>
      <c r="AJ841" s="145"/>
      <c r="AK841" s="145"/>
      <c r="AL841" s="145"/>
      <c r="AM841" s="321"/>
      <c r="AN841" s="321"/>
      <c r="AO841" s="321"/>
      <c r="AP841" s="321"/>
      <c r="AQ841" s="321"/>
      <c r="AR841" s="321"/>
      <c r="AS841" s="321"/>
      <c r="AT841" s="321"/>
    </row>
    <row r="842" spans="10:46">
      <c r="J842" s="145"/>
      <c r="K842" s="145"/>
      <c r="L842" s="145"/>
      <c r="M842" s="145"/>
      <c r="N842" s="145"/>
      <c r="O842" s="145"/>
      <c r="P842" s="145"/>
      <c r="Q842" s="145"/>
      <c r="R842" s="145"/>
      <c r="S842" s="145"/>
      <c r="T842" s="145"/>
      <c r="U842" s="145"/>
      <c r="V842" s="145"/>
      <c r="W842" s="145"/>
      <c r="X842" s="145"/>
      <c r="Y842" s="145"/>
      <c r="Z842" s="145"/>
      <c r="AA842" s="145"/>
      <c r="AB842" s="145"/>
      <c r="AC842" s="145"/>
      <c r="AD842" s="145"/>
      <c r="AE842" s="145"/>
      <c r="AF842" s="145"/>
      <c r="AG842" s="145"/>
      <c r="AH842" s="145"/>
      <c r="AI842" s="145"/>
      <c r="AJ842" s="145"/>
      <c r="AK842" s="145"/>
      <c r="AL842" s="145"/>
      <c r="AM842" s="321"/>
      <c r="AN842" s="321"/>
      <c r="AO842" s="321"/>
      <c r="AP842" s="321"/>
      <c r="AQ842" s="321"/>
      <c r="AR842" s="321"/>
      <c r="AS842" s="321"/>
      <c r="AT842" s="321"/>
    </row>
    <row r="843" spans="10:46">
      <c r="J843" s="145"/>
      <c r="K843" s="145"/>
      <c r="L843" s="145"/>
      <c r="M843" s="145"/>
      <c r="N843" s="145"/>
      <c r="O843" s="145"/>
      <c r="P843" s="145"/>
      <c r="Q843" s="145"/>
      <c r="R843" s="145"/>
      <c r="S843" s="145"/>
      <c r="T843" s="145"/>
      <c r="U843" s="145"/>
      <c r="V843" s="145"/>
      <c r="W843" s="145"/>
      <c r="X843" s="145"/>
      <c r="Y843" s="145"/>
      <c r="Z843" s="145"/>
      <c r="AA843" s="145"/>
      <c r="AB843" s="145"/>
      <c r="AC843" s="145"/>
      <c r="AD843" s="145"/>
      <c r="AE843" s="145"/>
      <c r="AF843" s="145"/>
      <c r="AG843" s="145"/>
      <c r="AH843" s="145"/>
      <c r="AI843" s="145"/>
      <c r="AJ843" s="145"/>
      <c r="AK843" s="145"/>
      <c r="AL843" s="145"/>
      <c r="AM843" s="321"/>
      <c r="AN843" s="321"/>
      <c r="AO843" s="321"/>
      <c r="AP843" s="321"/>
      <c r="AQ843" s="321"/>
      <c r="AR843" s="321"/>
      <c r="AS843" s="321"/>
      <c r="AT843" s="321"/>
    </row>
    <row r="844" spans="10:46">
      <c r="J844" s="145"/>
      <c r="K844" s="145"/>
      <c r="L844" s="145"/>
      <c r="M844" s="145"/>
      <c r="N844" s="145"/>
      <c r="O844" s="145"/>
      <c r="P844" s="145"/>
      <c r="Q844" s="145"/>
      <c r="R844" s="145"/>
      <c r="S844" s="145"/>
      <c r="T844" s="145"/>
      <c r="U844" s="145"/>
      <c r="V844" s="145"/>
      <c r="W844" s="145"/>
      <c r="X844" s="145"/>
      <c r="Y844" s="145"/>
      <c r="Z844" s="145"/>
      <c r="AA844" s="145"/>
      <c r="AB844" s="145"/>
      <c r="AC844" s="145"/>
      <c r="AD844" s="145"/>
      <c r="AE844" s="145"/>
      <c r="AF844" s="145"/>
      <c r="AG844" s="145"/>
      <c r="AH844" s="145"/>
      <c r="AI844" s="145"/>
      <c r="AJ844" s="145"/>
      <c r="AK844" s="145"/>
      <c r="AL844" s="145"/>
      <c r="AM844" s="321"/>
      <c r="AN844" s="321"/>
      <c r="AO844" s="321"/>
      <c r="AP844" s="321"/>
      <c r="AQ844" s="321"/>
      <c r="AR844" s="321"/>
      <c r="AS844" s="321"/>
      <c r="AT844" s="321"/>
    </row>
    <row r="845" spans="10:46">
      <c r="J845" s="145"/>
      <c r="K845" s="145"/>
      <c r="L845" s="145"/>
      <c r="M845" s="145"/>
      <c r="N845" s="145"/>
      <c r="O845" s="145"/>
      <c r="P845" s="145"/>
      <c r="Q845" s="145"/>
      <c r="R845" s="145"/>
      <c r="S845" s="145"/>
      <c r="T845" s="145"/>
      <c r="U845" s="145"/>
      <c r="V845" s="145"/>
      <c r="W845" s="145"/>
      <c r="X845" s="145"/>
      <c r="Y845" s="145"/>
      <c r="Z845" s="145"/>
      <c r="AA845" s="145"/>
      <c r="AB845" s="145"/>
      <c r="AC845" s="145"/>
      <c r="AD845" s="145"/>
      <c r="AE845" s="145"/>
      <c r="AF845" s="145"/>
      <c r="AG845" s="145"/>
      <c r="AH845" s="145"/>
      <c r="AI845" s="145"/>
      <c r="AJ845" s="145"/>
      <c r="AK845" s="145"/>
      <c r="AL845" s="145"/>
      <c r="AM845" s="321"/>
      <c r="AN845" s="321"/>
      <c r="AO845" s="321"/>
      <c r="AP845" s="321"/>
      <c r="AQ845" s="321"/>
      <c r="AR845" s="321"/>
      <c r="AS845" s="321"/>
      <c r="AT845" s="321"/>
    </row>
    <row r="846" spans="10:46">
      <c r="J846" s="145"/>
      <c r="K846" s="145"/>
      <c r="L846" s="145"/>
      <c r="M846" s="145"/>
      <c r="N846" s="145"/>
      <c r="O846" s="145"/>
      <c r="P846" s="145"/>
      <c r="Q846" s="145"/>
      <c r="R846" s="145"/>
      <c r="S846" s="145"/>
      <c r="T846" s="145"/>
      <c r="U846" s="145"/>
      <c r="V846" s="145"/>
      <c r="W846" s="145"/>
      <c r="X846" s="145"/>
      <c r="Y846" s="145"/>
      <c r="Z846" s="145"/>
      <c r="AA846" s="145"/>
      <c r="AB846" s="145"/>
      <c r="AC846" s="145"/>
      <c r="AD846" s="145"/>
      <c r="AE846" s="145"/>
      <c r="AF846" s="145"/>
      <c r="AG846" s="145"/>
      <c r="AH846" s="145"/>
      <c r="AI846" s="145"/>
      <c r="AJ846" s="145"/>
      <c r="AK846" s="145"/>
      <c r="AL846" s="145"/>
      <c r="AM846" s="321"/>
      <c r="AN846" s="321"/>
      <c r="AO846" s="321"/>
      <c r="AP846" s="321"/>
      <c r="AQ846" s="321"/>
      <c r="AR846" s="321"/>
      <c r="AS846" s="321"/>
      <c r="AT846" s="321"/>
    </row>
    <row r="847" spans="10:46">
      <c r="J847" s="145"/>
      <c r="K847" s="145"/>
      <c r="L847" s="145"/>
      <c r="M847" s="145"/>
      <c r="N847" s="145"/>
      <c r="O847" s="145"/>
      <c r="P847" s="145"/>
      <c r="Q847" s="145"/>
      <c r="R847" s="145"/>
      <c r="S847" s="145"/>
      <c r="T847" s="145"/>
      <c r="U847" s="145"/>
      <c r="V847" s="145"/>
      <c r="W847" s="145"/>
      <c r="X847" s="145"/>
      <c r="Y847" s="145"/>
      <c r="Z847" s="145"/>
      <c r="AA847" s="145"/>
      <c r="AB847" s="145"/>
      <c r="AC847" s="145"/>
      <c r="AD847" s="145"/>
      <c r="AE847" s="145"/>
      <c r="AF847" s="145"/>
      <c r="AG847" s="145"/>
      <c r="AH847" s="145"/>
      <c r="AI847" s="145"/>
      <c r="AJ847" s="145"/>
      <c r="AK847" s="145"/>
      <c r="AL847" s="145"/>
      <c r="AM847" s="321"/>
      <c r="AN847" s="321"/>
      <c r="AO847" s="321"/>
      <c r="AP847" s="321"/>
      <c r="AQ847" s="321"/>
      <c r="AR847" s="321"/>
      <c r="AS847" s="321"/>
      <c r="AT847" s="321"/>
    </row>
    <row r="848" spans="10:46">
      <c r="J848" s="145"/>
      <c r="K848" s="145"/>
      <c r="L848" s="145"/>
      <c r="M848" s="145"/>
      <c r="N848" s="145"/>
      <c r="O848" s="145"/>
      <c r="P848" s="145"/>
      <c r="Q848" s="145"/>
      <c r="R848" s="145"/>
      <c r="S848" s="145"/>
      <c r="T848" s="145"/>
      <c r="U848" s="145"/>
      <c r="V848" s="145"/>
      <c r="W848" s="145"/>
      <c r="X848" s="145"/>
      <c r="Y848" s="145"/>
      <c r="Z848" s="145"/>
      <c r="AA848" s="145"/>
      <c r="AB848" s="145"/>
      <c r="AC848" s="145"/>
      <c r="AD848" s="145"/>
      <c r="AE848" s="145"/>
      <c r="AF848" s="145"/>
      <c r="AG848" s="145"/>
      <c r="AH848" s="145"/>
      <c r="AI848" s="145"/>
      <c r="AJ848" s="145"/>
      <c r="AK848" s="145"/>
      <c r="AL848" s="145"/>
      <c r="AM848" s="321"/>
      <c r="AN848" s="321"/>
      <c r="AO848" s="321"/>
      <c r="AP848" s="321"/>
      <c r="AQ848" s="321"/>
      <c r="AR848" s="321"/>
      <c r="AS848" s="321"/>
      <c r="AT848" s="321"/>
    </row>
    <row r="849" spans="10:46">
      <c r="J849" s="145"/>
      <c r="K849" s="145"/>
      <c r="L849" s="145"/>
      <c r="M849" s="145"/>
      <c r="N849" s="145"/>
      <c r="O849" s="145"/>
      <c r="P849" s="145"/>
      <c r="Q849" s="145"/>
      <c r="R849" s="145"/>
      <c r="S849" s="145"/>
      <c r="T849" s="145"/>
      <c r="U849" s="145"/>
      <c r="V849" s="145"/>
      <c r="W849" s="145"/>
      <c r="X849" s="145"/>
      <c r="Y849" s="145"/>
      <c r="Z849" s="145"/>
      <c r="AA849" s="145"/>
      <c r="AB849" s="145"/>
      <c r="AC849" s="145"/>
      <c r="AD849" s="145"/>
      <c r="AE849" s="145"/>
      <c r="AF849" s="145"/>
      <c r="AG849" s="145"/>
      <c r="AH849" s="145"/>
      <c r="AI849" s="145"/>
      <c r="AJ849" s="145"/>
      <c r="AK849" s="145"/>
      <c r="AL849" s="145"/>
      <c r="AM849" s="321"/>
      <c r="AN849" s="321"/>
      <c r="AO849" s="321"/>
      <c r="AP849" s="321"/>
      <c r="AQ849" s="321"/>
      <c r="AR849" s="321"/>
      <c r="AS849" s="321"/>
      <c r="AT849" s="321"/>
    </row>
    <row r="850" spans="10:46">
      <c r="J850" s="145"/>
      <c r="K850" s="145"/>
      <c r="L850" s="145"/>
      <c r="M850" s="145"/>
      <c r="N850" s="145"/>
      <c r="O850" s="145"/>
      <c r="P850" s="145"/>
      <c r="Q850" s="145"/>
      <c r="R850" s="145"/>
      <c r="S850" s="145"/>
      <c r="T850" s="145"/>
      <c r="U850" s="145"/>
      <c r="V850" s="145"/>
      <c r="W850" s="145"/>
      <c r="X850" s="145"/>
      <c r="Y850" s="145"/>
      <c r="Z850" s="145"/>
      <c r="AA850" s="145"/>
      <c r="AB850" s="145"/>
      <c r="AC850" s="145"/>
      <c r="AD850" s="145"/>
      <c r="AE850" s="145"/>
      <c r="AF850" s="145"/>
      <c r="AG850" s="145"/>
      <c r="AH850" s="145"/>
      <c r="AI850" s="145"/>
      <c r="AJ850" s="145"/>
      <c r="AK850" s="145"/>
      <c r="AL850" s="145"/>
      <c r="AM850" s="321"/>
      <c r="AN850" s="321"/>
      <c r="AO850" s="321"/>
      <c r="AP850" s="321"/>
      <c r="AQ850" s="321"/>
      <c r="AR850" s="321"/>
      <c r="AS850" s="321"/>
      <c r="AT850" s="321"/>
    </row>
    <row r="851" spans="10:46">
      <c r="J851" s="145"/>
      <c r="K851" s="145"/>
      <c r="L851" s="145"/>
      <c r="M851" s="145"/>
      <c r="N851" s="145"/>
      <c r="O851" s="145"/>
      <c r="P851" s="145"/>
      <c r="Q851" s="145"/>
      <c r="R851" s="145"/>
      <c r="S851" s="145"/>
      <c r="T851" s="145"/>
      <c r="U851" s="145"/>
      <c r="V851" s="145"/>
      <c r="W851" s="145"/>
      <c r="X851" s="145"/>
      <c r="Y851" s="145"/>
      <c r="Z851" s="145"/>
      <c r="AA851" s="145"/>
      <c r="AB851" s="145"/>
      <c r="AC851" s="145"/>
      <c r="AD851" s="145"/>
      <c r="AE851" s="145"/>
      <c r="AF851" s="145"/>
      <c r="AG851" s="145"/>
      <c r="AH851" s="145"/>
      <c r="AI851" s="145"/>
      <c r="AJ851" s="145"/>
      <c r="AK851" s="145"/>
      <c r="AL851" s="145"/>
      <c r="AM851" s="321"/>
      <c r="AN851" s="321"/>
      <c r="AO851" s="321"/>
      <c r="AP851" s="321"/>
      <c r="AQ851" s="321"/>
      <c r="AR851" s="321"/>
      <c r="AS851" s="321"/>
      <c r="AT851" s="321"/>
    </row>
    <row r="852" spans="10:46">
      <c r="J852" s="145"/>
      <c r="K852" s="145"/>
      <c r="L852" s="145"/>
      <c r="M852" s="145"/>
      <c r="N852" s="145"/>
      <c r="O852" s="145"/>
      <c r="P852" s="145"/>
      <c r="Q852" s="145"/>
      <c r="R852" s="145"/>
      <c r="S852" s="145"/>
      <c r="T852" s="145"/>
      <c r="U852" s="145"/>
      <c r="V852" s="145"/>
      <c r="W852" s="145"/>
      <c r="X852" s="145"/>
      <c r="Y852" s="145"/>
      <c r="Z852" s="145"/>
      <c r="AA852" s="145"/>
      <c r="AB852" s="145"/>
      <c r="AC852" s="145"/>
      <c r="AD852" s="145"/>
      <c r="AE852" s="145"/>
      <c r="AF852" s="145"/>
      <c r="AG852" s="145"/>
      <c r="AH852" s="145"/>
      <c r="AI852" s="145"/>
      <c r="AJ852" s="145"/>
      <c r="AK852" s="145"/>
      <c r="AL852" s="145"/>
      <c r="AM852" s="321"/>
      <c r="AN852" s="321"/>
      <c r="AO852" s="321"/>
      <c r="AP852" s="321"/>
      <c r="AQ852" s="321"/>
      <c r="AR852" s="321"/>
      <c r="AS852" s="321"/>
      <c r="AT852" s="321"/>
    </row>
    <row r="853" spans="10:46">
      <c r="J853" s="145"/>
      <c r="K853" s="145"/>
      <c r="L853" s="145"/>
      <c r="M853" s="145"/>
      <c r="N853" s="145"/>
      <c r="O853" s="145"/>
      <c r="P853" s="145"/>
      <c r="Q853" s="145"/>
      <c r="R853" s="145"/>
      <c r="S853" s="145"/>
      <c r="T853" s="145"/>
      <c r="U853" s="145"/>
      <c r="V853" s="145"/>
      <c r="W853" s="145"/>
      <c r="X853" s="145"/>
      <c r="Y853" s="145"/>
      <c r="Z853" s="145"/>
      <c r="AA853" s="145"/>
      <c r="AB853" s="145"/>
      <c r="AC853" s="145"/>
      <c r="AD853" s="145"/>
      <c r="AE853" s="145"/>
      <c r="AF853" s="145"/>
      <c r="AG853" s="145"/>
      <c r="AH853" s="145"/>
      <c r="AI853" s="145"/>
      <c r="AJ853" s="145"/>
      <c r="AK853" s="145"/>
      <c r="AL853" s="145"/>
      <c r="AM853" s="321"/>
      <c r="AN853" s="321"/>
      <c r="AO853" s="321"/>
      <c r="AP853" s="321"/>
      <c r="AQ853" s="321"/>
      <c r="AR853" s="321"/>
      <c r="AS853" s="321"/>
      <c r="AT853" s="321"/>
    </row>
    <row r="854" spans="10:46">
      <c r="J854" s="145"/>
      <c r="K854" s="145"/>
      <c r="L854" s="145"/>
      <c r="M854" s="145"/>
      <c r="N854" s="145"/>
      <c r="O854" s="145"/>
      <c r="P854" s="145"/>
      <c r="Q854" s="145"/>
      <c r="R854" s="145"/>
      <c r="S854" s="145"/>
      <c r="T854" s="145"/>
      <c r="U854" s="145"/>
      <c r="V854" s="145"/>
      <c r="W854" s="145"/>
      <c r="X854" s="145"/>
      <c r="Y854" s="145"/>
      <c r="Z854" s="145"/>
      <c r="AA854" s="145"/>
      <c r="AB854" s="145"/>
      <c r="AC854" s="145"/>
      <c r="AD854" s="145"/>
      <c r="AE854" s="145"/>
      <c r="AF854" s="145"/>
      <c r="AG854" s="145"/>
      <c r="AH854" s="145"/>
      <c r="AI854" s="145"/>
      <c r="AJ854" s="145"/>
      <c r="AK854" s="145"/>
      <c r="AL854" s="145"/>
      <c r="AM854" s="321"/>
      <c r="AN854" s="321"/>
      <c r="AO854" s="321"/>
      <c r="AP854" s="321"/>
      <c r="AQ854" s="321"/>
      <c r="AR854" s="321"/>
      <c r="AS854" s="321"/>
      <c r="AT854" s="321"/>
    </row>
    <row r="855" spans="10:46">
      <c r="J855" s="145"/>
      <c r="K855" s="145"/>
      <c r="L855" s="145"/>
      <c r="M855" s="145"/>
      <c r="N855" s="145"/>
      <c r="O855" s="145"/>
      <c r="P855" s="145"/>
      <c r="Q855" s="145"/>
      <c r="R855" s="145"/>
      <c r="S855" s="145"/>
      <c r="T855" s="145"/>
      <c r="U855" s="145"/>
      <c r="V855" s="145"/>
      <c r="W855" s="145"/>
      <c r="X855" s="145"/>
      <c r="Y855" s="145"/>
      <c r="Z855" s="145"/>
      <c r="AA855" s="145"/>
      <c r="AB855" s="145"/>
      <c r="AC855" s="145"/>
      <c r="AD855" s="145"/>
      <c r="AE855" s="145"/>
      <c r="AF855" s="145"/>
      <c r="AG855" s="145"/>
      <c r="AH855" s="145"/>
      <c r="AI855" s="145"/>
      <c r="AJ855" s="145"/>
      <c r="AK855" s="145"/>
      <c r="AL855" s="145"/>
      <c r="AM855" s="321"/>
      <c r="AN855" s="321"/>
      <c r="AO855" s="321"/>
      <c r="AP855" s="321"/>
      <c r="AQ855" s="321"/>
      <c r="AR855" s="321"/>
      <c r="AS855" s="321"/>
      <c r="AT855" s="321"/>
    </row>
    <row r="856" spans="10:46">
      <c r="J856" s="145"/>
      <c r="K856" s="145"/>
      <c r="L856" s="145"/>
      <c r="M856" s="145"/>
      <c r="N856" s="145"/>
      <c r="O856" s="145"/>
      <c r="P856" s="145"/>
      <c r="Q856" s="145"/>
      <c r="R856" s="145"/>
      <c r="S856" s="145"/>
      <c r="T856" s="145"/>
      <c r="U856" s="145"/>
      <c r="V856" s="145"/>
      <c r="W856" s="145"/>
      <c r="X856" s="145"/>
      <c r="Y856" s="145"/>
      <c r="Z856" s="145"/>
      <c r="AA856" s="145"/>
      <c r="AB856" s="145"/>
      <c r="AC856" s="145"/>
      <c r="AD856" s="145"/>
      <c r="AE856" s="145"/>
      <c r="AF856" s="145"/>
      <c r="AG856" s="145"/>
      <c r="AH856" s="145"/>
      <c r="AI856" s="145"/>
      <c r="AJ856" s="145"/>
      <c r="AK856" s="145"/>
      <c r="AL856" s="145"/>
      <c r="AM856" s="321"/>
      <c r="AN856" s="321"/>
      <c r="AO856" s="321"/>
      <c r="AP856" s="321"/>
      <c r="AQ856" s="321"/>
      <c r="AR856" s="321"/>
      <c r="AS856" s="321"/>
      <c r="AT856" s="321"/>
    </row>
    <row r="857" spans="10:46">
      <c r="J857" s="145"/>
      <c r="K857" s="145"/>
      <c r="L857" s="145"/>
      <c r="M857" s="145"/>
      <c r="N857" s="145"/>
      <c r="O857" s="145"/>
      <c r="P857" s="145"/>
      <c r="Q857" s="145"/>
      <c r="R857" s="145"/>
      <c r="S857" s="145"/>
      <c r="T857" s="145"/>
      <c r="U857" s="145"/>
      <c r="V857" s="145"/>
      <c r="W857" s="145"/>
      <c r="X857" s="145"/>
      <c r="Y857" s="145"/>
      <c r="Z857" s="145"/>
      <c r="AA857" s="145"/>
      <c r="AB857" s="145"/>
      <c r="AC857" s="145"/>
      <c r="AD857" s="145"/>
      <c r="AE857" s="145"/>
      <c r="AF857" s="145"/>
      <c r="AG857" s="145"/>
      <c r="AH857" s="145"/>
      <c r="AI857" s="145"/>
      <c r="AJ857" s="145"/>
      <c r="AK857" s="145"/>
      <c r="AL857" s="145"/>
      <c r="AM857" s="321"/>
      <c r="AN857" s="321"/>
      <c r="AO857" s="321"/>
      <c r="AP857" s="321"/>
      <c r="AQ857" s="321"/>
      <c r="AR857" s="321"/>
      <c r="AS857" s="321"/>
      <c r="AT857" s="321"/>
    </row>
    <row r="858" spans="10:46">
      <c r="J858" s="145"/>
      <c r="K858" s="145"/>
      <c r="L858" s="145"/>
      <c r="M858" s="145"/>
      <c r="N858" s="145"/>
      <c r="O858" s="145"/>
      <c r="P858" s="145"/>
      <c r="Q858" s="145"/>
      <c r="R858" s="145"/>
      <c r="S858" s="145"/>
      <c r="T858" s="145"/>
      <c r="U858" s="145"/>
      <c r="V858" s="145"/>
      <c r="W858" s="145"/>
      <c r="X858" s="145"/>
      <c r="Y858" s="145"/>
      <c r="Z858" s="145"/>
      <c r="AA858" s="145"/>
      <c r="AB858" s="145"/>
      <c r="AC858" s="145"/>
      <c r="AD858" s="145"/>
      <c r="AE858" s="145"/>
      <c r="AF858" s="145"/>
      <c r="AG858" s="145"/>
      <c r="AH858" s="145"/>
      <c r="AI858" s="145"/>
      <c r="AJ858" s="145"/>
      <c r="AK858" s="145"/>
      <c r="AL858" s="145"/>
      <c r="AM858" s="321"/>
      <c r="AN858" s="321"/>
      <c r="AO858" s="321"/>
      <c r="AP858" s="321"/>
      <c r="AQ858" s="321"/>
      <c r="AR858" s="321"/>
      <c r="AS858" s="321"/>
      <c r="AT858" s="321"/>
    </row>
    <row r="859" spans="10:46">
      <c r="J859" s="145"/>
      <c r="K859" s="145"/>
      <c r="L859" s="145"/>
      <c r="M859" s="145"/>
      <c r="N859" s="145"/>
      <c r="O859" s="145"/>
      <c r="P859" s="145"/>
      <c r="Q859" s="145"/>
      <c r="R859" s="145"/>
      <c r="S859" s="145"/>
      <c r="T859" s="145"/>
      <c r="U859" s="145"/>
      <c r="V859" s="145"/>
      <c r="W859" s="145"/>
      <c r="X859" s="145"/>
      <c r="Y859" s="145"/>
      <c r="Z859" s="145"/>
      <c r="AA859" s="145"/>
      <c r="AB859" s="145"/>
      <c r="AC859" s="145"/>
      <c r="AD859" s="145"/>
      <c r="AE859" s="145"/>
      <c r="AF859" s="145"/>
      <c r="AG859" s="145"/>
      <c r="AH859" s="145"/>
      <c r="AI859" s="145"/>
      <c r="AJ859" s="145"/>
      <c r="AK859" s="145"/>
      <c r="AL859" s="145"/>
      <c r="AM859" s="321"/>
      <c r="AN859" s="321"/>
      <c r="AO859" s="321"/>
      <c r="AP859" s="321"/>
      <c r="AQ859" s="321"/>
      <c r="AR859" s="321"/>
      <c r="AS859" s="321"/>
      <c r="AT859" s="321"/>
    </row>
    <row r="860" spans="10:46">
      <c r="J860" s="145"/>
      <c r="K860" s="145"/>
      <c r="L860" s="145"/>
      <c r="M860" s="145"/>
      <c r="N860" s="145"/>
      <c r="O860" s="145"/>
      <c r="P860" s="145"/>
      <c r="Q860" s="145"/>
      <c r="R860" s="145"/>
      <c r="S860" s="145"/>
      <c r="T860" s="145"/>
      <c r="U860" s="145"/>
      <c r="V860" s="145"/>
      <c r="W860" s="145"/>
      <c r="X860" s="145"/>
      <c r="Y860" s="145"/>
      <c r="Z860" s="145"/>
      <c r="AA860" s="145"/>
      <c r="AB860" s="145"/>
      <c r="AC860" s="145"/>
      <c r="AD860" s="145"/>
      <c r="AE860" s="145"/>
      <c r="AF860" s="145"/>
      <c r="AG860" s="145"/>
      <c r="AH860" s="145"/>
      <c r="AI860" s="145"/>
      <c r="AJ860" s="145"/>
      <c r="AK860" s="145"/>
      <c r="AL860" s="145"/>
      <c r="AM860" s="321"/>
      <c r="AN860" s="321"/>
      <c r="AO860" s="321"/>
      <c r="AP860" s="321"/>
      <c r="AQ860" s="321"/>
      <c r="AR860" s="321"/>
      <c r="AS860" s="321"/>
      <c r="AT860" s="321"/>
    </row>
    <row r="861" spans="10:46">
      <c r="J861" s="145"/>
      <c r="K861" s="145"/>
      <c r="L861" s="145"/>
      <c r="M861" s="145"/>
      <c r="N861" s="145"/>
      <c r="O861" s="145"/>
      <c r="P861" s="145"/>
      <c r="Q861" s="145"/>
      <c r="R861" s="145"/>
      <c r="S861" s="145"/>
      <c r="T861" s="145"/>
      <c r="U861" s="145"/>
      <c r="V861" s="145"/>
      <c r="W861" s="145"/>
      <c r="X861" s="145"/>
      <c r="Y861" s="145"/>
      <c r="Z861" s="145"/>
      <c r="AA861" s="145"/>
      <c r="AB861" s="145"/>
      <c r="AC861" s="145"/>
      <c r="AD861" s="145"/>
      <c r="AE861" s="145"/>
      <c r="AF861" s="145"/>
      <c r="AG861" s="145"/>
      <c r="AH861" s="145"/>
      <c r="AI861" s="145"/>
      <c r="AJ861" s="145"/>
      <c r="AK861" s="145"/>
      <c r="AL861" s="145"/>
      <c r="AM861" s="321"/>
      <c r="AN861" s="321"/>
      <c r="AO861" s="321"/>
      <c r="AP861" s="321"/>
      <c r="AQ861" s="321"/>
      <c r="AR861" s="321"/>
      <c r="AS861" s="321"/>
      <c r="AT861" s="321"/>
    </row>
    <row r="862" spans="10:46">
      <c r="J862" s="145"/>
      <c r="K862" s="145"/>
      <c r="L862" s="145"/>
      <c r="M862" s="145"/>
      <c r="N862" s="145"/>
      <c r="O862" s="145"/>
      <c r="P862" s="145"/>
      <c r="Q862" s="145"/>
      <c r="R862" s="145"/>
      <c r="S862" s="145"/>
      <c r="T862" s="145"/>
      <c r="U862" s="145"/>
      <c r="V862" s="145"/>
      <c r="W862" s="145"/>
      <c r="X862" s="145"/>
      <c r="Y862" s="145"/>
      <c r="Z862" s="145"/>
      <c r="AA862" s="145"/>
      <c r="AB862" s="145"/>
      <c r="AC862" s="145"/>
      <c r="AD862" s="145"/>
      <c r="AE862" s="145"/>
      <c r="AF862" s="145"/>
      <c r="AG862" s="145"/>
      <c r="AH862" s="145"/>
      <c r="AI862" s="145"/>
      <c r="AJ862" s="145"/>
      <c r="AK862" s="145"/>
      <c r="AL862" s="145"/>
      <c r="AM862" s="321"/>
      <c r="AN862" s="321"/>
      <c r="AO862" s="321"/>
      <c r="AP862" s="321"/>
      <c r="AQ862" s="321"/>
      <c r="AR862" s="321"/>
      <c r="AS862" s="321"/>
      <c r="AT862" s="321"/>
    </row>
    <row r="863" spans="10:46">
      <c r="J863" s="145"/>
      <c r="K863" s="145"/>
      <c r="L863" s="145"/>
      <c r="M863" s="145"/>
      <c r="N863" s="145"/>
      <c r="O863" s="145"/>
      <c r="P863" s="145"/>
      <c r="Q863" s="145"/>
      <c r="R863" s="145"/>
      <c r="S863" s="145"/>
      <c r="T863" s="145"/>
      <c r="U863" s="145"/>
      <c r="V863" s="145"/>
      <c r="W863" s="145"/>
      <c r="X863" s="145"/>
      <c r="Y863" s="145"/>
      <c r="Z863" s="145"/>
      <c r="AA863" s="145"/>
      <c r="AB863" s="145"/>
      <c r="AC863" s="145"/>
      <c r="AD863" s="145"/>
      <c r="AE863" s="145"/>
      <c r="AF863" s="145"/>
      <c r="AG863" s="145"/>
      <c r="AH863" s="145"/>
      <c r="AI863" s="145"/>
      <c r="AJ863" s="145"/>
      <c r="AK863" s="145"/>
      <c r="AL863" s="145"/>
      <c r="AM863" s="321"/>
      <c r="AN863" s="321"/>
      <c r="AO863" s="321"/>
      <c r="AP863" s="321"/>
      <c r="AQ863" s="321"/>
      <c r="AR863" s="321"/>
      <c r="AS863" s="321"/>
      <c r="AT863" s="321"/>
    </row>
    <row r="864" spans="10:46">
      <c r="J864" s="145"/>
      <c r="K864" s="145"/>
      <c r="L864" s="145"/>
      <c r="M864" s="145"/>
      <c r="N864" s="145"/>
      <c r="O864" s="145"/>
      <c r="P864" s="145"/>
      <c r="Q864" s="145"/>
      <c r="R864" s="145"/>
      <c r="S864" s="145"/>
      <c r="T864" s="145"/>
      <c r="U864" s="145"/>
      <c r="V864" s="145"/>
      <c r="W864" s="145"/>
      <c r="X864" s="145"/>
      <c r="Y864" s="145"/>
      <c r="Z864" s="145"/>
      <c r="AA864" s="145"/>
      <c r="AB864" s="145"/>
      <c r="AC864" s="145"/>
      <c r="AD864" s="145"/>
      <c r="AE864" s="145"/>
      <c r="AF864" s="145"/>
      <c r="AG864" s="145"/>
      <c r="AH864" s="145"/>
      <c r="AI864" s="145"/>
      <c r="AJ864" s="145"/>
      <c r="AK864" s="145"/>
      <c r="AL864" s="145"/>
      <c r="AM864" s="321"/>
      <c r="AN864" s="321"/>
      <c r="AO864" s="321"/>
      <c r="AP864" s="321"/>
      <c r="AQ864" s="321"/>
      <c r="AR864" s="321"/>
      <c r="AS864" s="321"/>
      <c r="AT864" s="321"/>
    </row>
    <row r="865" spans="10:46">
      <c r="J865" s="145"/>
      <c r="K865" s="145"/>
      <c r="L865" s="145"/>
      <c r="M865" s="145"/>
      <c r="N865" s="145"/>
      <c r="O865" s="145"/>
      <c r="P865" s="145"/>
      <c r="Q865" s="145"/>
      <c r="R865" s="145"/>
      <c r="S865" s="145"/>
      <c r="T865" s="145"/>
      <c r="U865" s="145"/>
      <c r="V865" s="145"/>
      <c r="W865" s="145"/>
      <c r="X865" s="145"/>
      <c r="Y865" s="145"/>
      <c r="Z865" s="145"/>
      <c r="AA865" s="145"/>
      <c r="AB865" s="145"/>
      <c r="AC865" s="145"/>
      <c r="AD865" s="145"/>
      <c r="AE865" s="145"/>
      <c r="AF865" s="145"/>
      <c r="AG865" s="145"/>
      <c r="AH865" s="145"/>
      <c r="AI865" s="145"/>
      <c r="AJ865" s="145"/>
      <c r="AK865" s="145"/>
      <c r="AL865" s="145"/>
      <c r="AM865" s="321"/>
      <c r="AN865" s="321"/>
      <c r="AO865" s="321"/>
      <c r="AP865" s="321"/>
      <c r="AQ865" s="321"/>
      <c r="AR865" s="321"/>
      <c r="AS865" s="321"/>
      <c r="AT865" s="321"/>
    </row>
    <row r="866" spans="10:46">
      <c r="J866" s="145"/>
      <c r="K866" s="145"/>
      <c r="L866" s="145"/>
      <c r="M866" s="145"/>
      <c r="N866" s="145"/>
      <c r="O866" s="145"/>
      <c r="P866" s="145"/>
      <c r="Q866" s="145"/>
      <c r="R866" s="145"/>
      <c r="S866" s="145"/>
      <c r="T866" s="145"/>
      <c r="U866" s="145"/>
      <c r="V866" s="145"/>
      <c r="W866" s="145"/>
      <c r="X866" s="145"/>
      <c r="Y866" s="145"/>
      <c r="Z866" s="145"/>
      <c r="AA866" s="145"/>
      <c r="AB866" s="145"/>
      <c r="AC866" s="145"/>
      <c r="AD866" s="145"/>
      <c r="AE866" s="145"/>
      <c r="AF866" s="145"/>
      <c r="AG866" s="145"/>
      <c r="AH866" s="145"/>
      <c r="AI866" s="145"/>
      <c r="AJ866" s="145"/>
      <c r="AK866" s="145"/>
      <c r="AL866" s="145"/>
      <c r="AM866" s="321"/>
      <c r="AN866" s="321"/>
      <c r="AO866" s="321"/>
      <c r="AP866" s="321"/>
      <c r="AQ866" s="321"/>
      <c r="AR866" s="321"/>
      <c r="AS866" s="321"/>
      <c r="AT866" s="321"/>
    </row>
    <row r="867" spans="10:46">
      <c r="J867" s="145"/>
      <c r="K867" s="145"/>
      <c r="L867" s="145"/>
      <c r="M867" s="145"/>
      <c r="N867" s="145"/>
      <c r="O867" s="145"/>
      <c r="P867" s="145"/>
      <c r="Q867" s="145"/>
      <c r="R867" s="145"/>
      <c r="S867" s="145"/>
      <c r="T867" s="145"/>
      <c r="U867" s="145"/>
      <c r="V867" s="145"/>
      <c r="W867" s="145"/>
      <c r="X867" s="145"/>
      <c r="Y867" s="145"/>
      <c r="Z867" s="145"/>
      <c r="AA867" s="145"/>
      <c r="AB867" s="145"/>
      <c r="AC867" s="145"/>
      <c r="AD867" s="145"/>
      <c r="AE867" s="145"/>
      <c r="AF867" s="145"/>
      <c r="AG867" s="145"/>
      <c r="AH867" s="145"/>
      <c r="AI867" s="145"/>
      <c r="AJ867" s="145"/>
      <c r="AK867" s="145"/>
      <c r="AL867" s="145"/>
      <c r="AM867" s="321"/>
      <c r="AN867" s="321"/>
      <c r="AO867" s="321"/>
      <c r="AP867" s="321"/>
      <c r="AQ867" s="321"/>
      <c r="AR867" s="321"/>
      <c r="AS867" s="321"/>
      <c r="AT867" s="321"/>
    </row>
    <row r="868" spans="10:46">
      <c r="J868" s="145"/>
      <c r="K868" s="145"/>
      <c r="L868" s="145"/>
      <c r="M868" s="145"/>
      <c r="N868" s="145"/>
      <c r="O868" s="145"/>
      <c r="P868" s="145"/>
      <c r="Q868" s="145"/>
      <c r="R868" s="145"/>
      <c r="S868" s="145"/>
      <c r="T868" s="145"/>
      <c r="U868" s="145"/>
      <c r="V868" s="145"/>
      <c r="W868" s="145"/>
      <c r="X868" s="145"/>
      <c r="Y868" s="145"/>
      <c r="Z868" s="145"/>
      <c r="AA868" s="145"/>
      <c r="AB868" s="145"/>
      <c r="AC868" s="145"/>
      <c r="AD868" s="145"/>
      <c r="AE868" s="145"/>
      <c r="AF868" s="145"/>
      <c r="AG868" s="145"/>
      <c r="AH868" s="145"/>
      <c r="AI868" s="145"/>
      <c r="AJ868" s="145"/>
      <c r="AK868" s="145"/>
      <c r="AL868" s="145"/>
      <c r="AM868" s="321"/>
      <c r="AN868" s="321"/>
      <c r="AO868" s="321"/>
      <c r="AP868" s="321"/>
      <c r="AQ868" s="321"/>
      <c r="AR868" s="321"/>
      <c r="AS868" s="321"/>
      <c r="AT868" s="321"/>
    </row>
    <row r="869" spans="10:46">
      <c r="J869" s="145"/>
      <c r="K869" s="145"/>
      <c r="L869" s="145"/>
      <c r="M869" s="145"/>
      <c r="N869" s="145"/>
      <c r="O869" s="145"/>
      <c r="P869" s="145"/>
      <c r="Q869" s="145"/>
      <c r="R869" s="145"/>
      <c r="S869" s="145"/>
      <c r="T869" s="145"/>
      <c r="U869" s="145"/>
      <c r="V869" s="145"/>
      <c r="W869" s="145"/>
      <c r="X869" s="145"/>
      <c r="Y869" s="145"/>
      <c r="Z869" s="145"/>
      <c r="AA869" s="145"/>
      <c r="AB869" s="145"/>
      <c r="AC869" s="145"/>
      <c r="AD869" s="145"/>
      <c r="AE869" s="145"/>
      <c r="AF869" s="145"/>
      <c r="AG869" s="145"/>
      <c r="AH869" s="145"/>
      <c r="AI869" s="145"/>
      <c r="AJ869" s="145"/>
      <c r="AK869" s="145"/>
      <c r="AL869" s="145"/>
      <c r="AM869" s="321"/>
      <c r="AN869" s="321"/>
      <c r="AO869" s="321"/>
      <c r="AP869" s="321"/>
      <c r="AQ869" s="321"/>
      <c r="AR869" s="321"/>
      <c r="AS869" s="321"/>
      <c r="AT869" s="321"/>
    </row>
    <row r="870" spans="10:46">
      <c r="J870" s="145"/>
      <c r="K870" s="145"/>
      <c r="L870" s="145"/>
      <c r="M870" s="145"/>
      <c r="N870" s="145"/>
      <c r="O870" s="145"/>
      <c r="P870" s="145"/>
      <c r="Q870" s="145"/>
      <c r="R870" s="145"/>
      <c r="S870" s="145"/>
      <c r="T870" s="145"/>
      <c r="U870" s="145"/>
      <c r="V870" s="145"/>
      <c r="W870" s="145"/>
      <c r="X870" s="145"/>
      <c r="Y870" s="145"/>
      <c r="Z870" s="145"/>
      <c r="AA870" s="145"/>
      <c r="AB870" s="145"/>
      <c r="AC870" s="145"/>
      <c r="AD870" s="145"/>
      <c r="AE870" s="145"/>
      <c r="AF870" s="145"/>
      <c r="AG870" s="145"/>
      <c r="AH870" s="145"/>
      <c r="AI870" s="145"/>
      <c r="AJ870" s="145"/>
      <c r="AK870" s="145"/>
      <c r="AL870" s="145"/>
      <c r="AM870" s="321"/>
      <c r="AN870" s="321"/>
      <c r="AO870" s="321"/>
      <c r="AP870" s="321"/>
      <c r="AQ870" s="321"/>
      <c r="AR870" s="321"/>
      <c r="AS870" s="321"/>
      <c r="AT870" s="321"/>
    </row>
    <row r="871" spans="10:46">
      <c r="J871" s="145"/>
      <c r="K871" s="145"/>
      <c r="L871" s="145"/>
      <c r="M871" s="145"/>
      <c r="N871" s="145"/>
      <c r="O871" s="145"/>
      <c r="P871" s="145"/>
      <c r="Q871" s="145"/>
      <c r="R871" s="145"/>
      <c r="S871" s="145"/>
      <c r="T871" s="145"/>
      <c r="U871" s="145"/>
      <c r="V871" s="145"/>
      <c r="W871" s="145"/>
      <c r="X871" s="145"/>
      <c r="Y871" s="145"/>
      <c r="Z871" s="145"/>
      <c r="AA871" s="145"/>
      <c r="AB871" s="145"/>
      <c r="AC871" s="145"/>
      <c r="AD871" s="145"/>
      <c r="AE871" s="145"/>
      <c r="AF871" s="145"/>
      <c r="AG871" s="145"/>
      <c r="AH871" s="145"/>
      <c r="AI871" s="145"/>
      <c r="AJ871" s="145"/>
      <c r="AK871" s="145"/>
      <c r="AL871" s="145"/>
      <c r="AM871" s="321"/>
      <c r="AN871" s="321"/>
      <c r="AO871" s="321"/>
      <c r="AP871" s="321"/>
      <c r="AQ871" s="321"/>
      <c r="AR871" s="321"/>
      <c r="AS871" s="321"/>
      <c r="AT871" s="321"/>
    </row>
    <row r="872" spans="10:46">
      <c r="J872" s="145"/>
      <c r="K872" s="145"/>
      <c r="L872" s="145"/>
      <c r="M872" s="145"/>
      <c r="N872" s="145"/>
      <c r="O872" s="145"/>
      <c r="P872" s="145"/>
      <c r="Q872" s="145"/>
      <c r="R872" s="145"/>
      <c r="S872" s="145"/>
      <c r="T872" s="145"/>
      <c r="U872" s="145"/>
      <c r="V872" s="145"/>
      <c r="W872" s="145"/>
      <c r="X872" s="145"/>
      <c r="Y872" s="145"/>
      <c r="Z872" s="145"/>
      <c r="AA872" s="145"/>
      <c r="AB872" s="145"/>
      <c r="AC872" s="145"/>
      <c r="AD872" s="145"/>
      <c r="AE872" s="145"/>
      <c r="AF872" s="145"/>
      <c r="AG872" s="145"/>
      <c r="AH872" s="145"/>
      <c r="AI872" s="145"/>
      <c r="AJ872" s="145"/>
      <c r="AK872" s="145"/>
      <c r="AL872" s="145"/>
      <c r="AM872" s="321"/>
      <c r="AN872" s="321"/>
      <c r="AO872" s="321"/>
      <c r="AP872" s="321"/>
      <c r="AQ872" s="321"/>
      <c r="AR872" s="321"/>
      <c r="AS872" s="321"/>
      <c r="AT872" s="321"/>
    </row>
    <row r="873" spans="10:46">
      <c r="J873" s="145"/>
      <c r="K873" s="145"/>
      <c r="L873" s="145"/>
      <c r="M873" s="145"/>
      <c r="N873" s="145"/>
      <c r="O873" s="145"/>
      <c r="P873" s="145"/>
      <c r="Q873" s="145"/>
      <c r="R873" s="145"/>
      <c r="S873" s="145"/>
      <c r="T873" s="145"/>
      <c r="U873" s="145"/>
      <c r="V873" s="145"/>
      <c r="W873" s="145"/>
      <c r="X873" s="145"/>
      <c r="Y873" s="145"/>
      <c r="Z873" s="145"/>
      <c r="AA873" s="145"/>
      <c r="AB873" s="145"/>
      <c r="AC873" s="145"/>
      <c r="AD873" s="145"/>
      <c r="AE873" s="145"/>
      <c r="AF873" s="145"/>
      <c r="AG873" s="145"/>
      <c r="AH873" s="145"/>
      <c r="AI873" s="145"/>
      <c r="AJ873" s="145"/>
      <c r="AK873" s="145"/>
      <c r="AL873" s="145"/>
      <c r="AM873" s="321"/>
      <c r="AN873" s="321"/>
      <c r="AO873" s="321"/>
      <c r="AP873" s="321"/>
      <c r="AQ873" s="321"/>
      <c r="AR873" s="321"/>
      <c r="AS873" s="321"/>
      <c r="AT873" s="321"/>
    </row>
    <row r="874" spans="10:46">
      <c r="J874" s="145"/>
      <c r="K874" s="145"/>
      <c r="L874" s="145"/>
      <c r="M874" s="145"/>
      <c r="N874" s="145"/>
      <c r="O874" s="145"/>
      <c r="P874" s="145"/>
      <c r="Q874" s="145"/>
      <c r="R874" s="145"/>
      <c r="S874" s="145"/>
      <c r="T874" s="145"/>
      <c r="U874" s="145"/>
      <c r="V874" s="145"/>
      <c r="W874" s="145"/>
      <c r="X874" s="145"/>
      <c r="Y874" s="145"/>
      <c r="Z874" s="145"/>
      <c r="AA874" s="145"/>
      <c r="AB874" s="145"/>
      <c r="AC874" s="145"/>
      <c r="AD874" s="145"/>
      <c r="AE874" s="145"/>
      <c r="AF874" s="145"/>
      <c r="AG874" s="145"/>
      <c r="AH874" s="145"/>
      <c r="AI874" s="145"/>
      <c r="AJ874" s="145"/>
      <c r="AK874" s="145"/>
      <c r="AL874" s="145"/>
      <c r="AM874" s="321"/>
      <c r="AN874" s="321"/>
      <c r="AO874" s="321"/>
      <c r="AP874" s="321"/>
      <c r="AQ874" s="321"/>
      <c r="AR874" s="321"/>
      <c r="AS874" s="321"/>
      <c r="AT874" s="321"/>
    </row>
    <row r="875" spans="10:46">
      <c r="J875" s="145"/>
      <c r="K875" s="145"/>
      <c r="L875" s="145"/>
      <c r="M875" s="145"/>
      <c r="N875" s="145"/>
      <c r="O875" s="145"/>
      <c r="P875" s="145"/>
      <c r="Q875" s="145"/>
      <c r="R875" s="145"/>
      <c r="S875" s="145"/>
      <c r="T875" s="145"/>
      <c r="U875" s="145"/>
      <c r="V875" s="145"/>
      <c r="W875" s="145"/>
      <c r="X875" s="145"/>
      <c r="Y875" s="145"/>
      <c r="Z875" s="145"/>
      <c r="AA875" s="145"/>
      <c r="AB875" s="145"/>
      <c r="AC875" s="145"/>
      <c r="AD875" s="145"/>
      <c r="AE875" s="145"/>
      <c r="AF875" s="145"/>
      <c r="AG875" s="145"/>
      <c r="AH875" s="145"/>
      <c r="AI875" s="145"/>
      <c r="AJ875" s="145"/>
      <c r="AK875" s="145"/>
      <c r="AL875" s="145"/>
      <c r="AM875" s="321"/>
      <c r="AN875" s="321"/>
      <c r="AO875" s="321"/>
      <c r="AP875" s="321"/>
      <c r="AQ875" s="321"/>
      <c r="AR875" s="321"/>
      <c r="AS875" s="321"/>
      <c r="AT875" s="321"/>
    </row>
    <row r="876" spans="10:46">
      <c r="J876" s="145"/>
      <c r="K876" s="145"/>
      <c r="L876" s="145"/>
      <c r="M876" s="145"/>
      <c r="N876" s="145"/>
      <c r="O876" s="145"/>
      <c r="P876" s="145"/>
      <c r="Q876" s="145"/>
      <c r="R876" s="145"/>
      <c r="S876" s="145"/>
      <c r="T876" s="145"/>
      <c r="U876" s="145"/>
      <c r="V876" s="145"/>
      <c r="W876" s="145"/>
      <c r="X876" s="145"/>
      <c r="Y876" s="145"/>
      <c r="Z876" s="145"/>
      <c r="AA876" s="145"/>
      <c r="AB876" s="145"/>
      <c r="AC876" s="145"/>
      <c r="AD876" s="145"/>
      <c r="AE876" s="145"/>
      <c r="AF876" s="145"/>
      <c r="AG876" s="145"/>
      <c r="AH876" s="145"/>
      <c r="AI876" s="145"/>
      <c r="AJ876" s="145"/>
      <c r="AK876" s="145"/>
      <c r="AL876" s="145"/>
      <c r="AM876" s="321"/>
      <c r="AN876" s="321"/>
      <c r="AO876" s="321"/>
      <c r="AP876" s="321"/>
      <c r="AQ876" s="321"/>
      <c r="AR876" s="321"/>
      <c r="AS876" s="321"/>
      <c r="AT876" s="321"/>
    </row>
    <row r="877" spans="10:46">
      <c r="J877" s="145"/>
      <c r="K877" s="145"/>
      <c r="L877" s="145"/>
      <c r="M877" s="145"/>
      <c r="N877" s="145"/>
      <c r="O877" s="145"/>
      <c r="P877" s="145"/>
      <c r="Q877" s="145"/>
      <c r="R877" s="145"/>
      <c r="S877" s="145"/>
      <c r="T877" s="145"/>
      <c r="U877" s="145"/>
      <c r="V877" s="145"/>
      <c r="W877" s="145"/>
      <c r="X877" s="145"/>
      <c r="Y877" s="145"/>
      <c r="Z877" s="145"/>
      <c r="AA877" s="145"/>
      <c r="AB877" s="145"/>
      <c r="AC877" s="145"/>
      <c r="AD877" s="145"/>
      <c r="AE877" s="145"/>
      <c r="AF877" s="145"/>
      <c r="AG877" s="145"/>
      <c r="AH877" s="145"/>
      <c r="AI877" s="145"/>
      <c r="AJ877" s="145"/>
      <c r="AK877" s="145"/>
      <c r="AL877" s="145"/>
      <c r="AM877" s="321"/>
      <c r="AN877" s="321"/>
      <c r="AO877" s="321"/>
      <c r="AP877" s="321"/>
      <c r="AQ877" s="321"/>
      <c r="AR877" s="321"/>
      <c r="AS877" s="321"/>
      <c r="AT877" s="321"/>
    </row>
    <row r="878" spans="10:46">
      <c r="J878" s="145"/>
      <c r="K878" s="145"/>
      <c r="L878" s="145"/>
      <c r="M878" s="145"/>
      <c r="N878" s="145"/>
      <c r="O878" s="145"/>
      <c r="P878" s="145"/>
      <c r="Q878" s="145"/>
      <c r="R878" s="145"/>
      <c r="S878" s="145"/>
      <c r="T878" s="145"/>
      <c r="U878" s="145"/>
      <c r="V878" s="145"/>
      <c r="W878" s="145"/>
      <c r="X878" s="145"/>
      <c r="Y878" s="145"/>
      <c r="Z878" s="145"/>
      <c r="AA878" s="145"/>
      <c r="AB878" s="145"/>
      <c r="AC878" s="145"/>
      <c r="AD878" s="145"/>
      <c r="AE878" s="145"/>
      <c r="AF878" s="145"/>
      <c r="AG878" s="145"/>
      <c r="AH878" s="145"/>
      <c r="AI878" s="145"/>
      <c r="AJ878" s="145"/>
      <c r="AK878" s="145"/>
      <c r="AL878" s="145"/>
      <c r="AM878" s="321"/>
      <c r="AN878" s="321"/>
      <c r="AO878" s="321"/>
      <c r="AP878" s="321"/>
      <c r="AQ878" s="321"/>
      <c r="AR878" s="321"/>
      <c r="AS878" s="321"/>
      <c r="AT878" s="321"/>
    </row>
    <row r="879" spans="10:46">
      <c r="J879" s="145"/>
      <c r="K879" s="145"/>
      <c r="L879" s="145"/>
      <c r="M879" s="145"/>
      <c r="N879" s="145"/>
      <c r="O879" s="145"/>
      <c r="P879" s="145"/>
      <c r="Q879" s="145"/>
      <c r="R879" s="145"/>
      <c r="S879" s="145"/>
      <c r="T879" s="145"/>
      <c r="U879" s="145"/>
      <c r="V879" s="145"/>
      <c r="W879" s="145"/>
      <c r="X879" s="145"/>
      <c r="Y879" s="145"/>
      <c r="Z879" s="145"/>
      <c r="AA879" s="145"/>
      <c r="AB879" s="145"/>
      <c r="AC879" s="145"/>
      <c r="AD879" s="145"/>
      <c r="AE879" s="145"/>
      <c r="AF879" s="145"/>
      <c r="AG879" s="145"/>
      <c r="AH879" s="145"/>
      <c r="AI879" s="145"/>
      <c r="AJ879" s="145"/>
      <c r="AK879" s="145"/>
      <c r="AL879" s="145"/>
      <c r="AM879" s="321"/>
      <c r="AN879" s="321"/>
      <c r="AO879" s="321"/>
      <c r="AP879" s="321"/>
      <c r="AQ879" s="321"/>
      <c r="AR879" s="321"/>
      <c r="AS879" s="321"/>
      <c r="AT879" s="321"/>
    </row>
    <row r="880" spans="10:46">
      <c r="J880" s="145"/>
      <c r="K880" s="145"/>
      <c r="L880" s="145"/>
      <c r="M880" s="145"/>
      <c r="N880" s="145"/>
      <c r="O880" s="145"/>
      <c r="P880" s="145"/>
      <c r="Q880" s="145"/>
      <c r="R880" s="145"/>
      <c r="S880" s="145"/>
      <c r="T880" s="145"/>
      <c r="U880" s="145"/>
      <c r="V880" s="145"/>
      <c r="W880" s="145"/>
      <c r="X880" s="145"/>
      <c r="Y880" s="145"/>
      <c r="Z880" s="145"/>
      <c r="AA880" s="145"/>
      <c r="AB880" s="145"/>
      <c r="AC880" s="145"/>
      <c r="AD880" s="145"/>
      <c r="AE880" s="145"/>
      <c r="AF880" s="145"/>
      <c r="AG880" s="145"/>
      <c r="AH880" s="145"/>
      <c r="AI880" s="145"/>
      <c r="AJ880" s="145"/>
      <c r="AK880" s="145"/>
      <c r="AL880" s="145"/>
      <c r="AM880" s="321"/>
      <c r="AN880" s="321"/>
      <c r="AO880" s="321"/>
      <c r="AP880" s="321"/>
      <c r="AQ880" s="321"/>
      <c r="AR880" s="321"/>
      <c r="AS880" s="321"/>
      <c r="AT880" s="321"/>
    </row>
    <row r="881" spans="10:46">
      <c r="J881" s="145"/>
      <c r="K881" s="145"/>
      <c r="L881" s="145"/>
      <c r="M881" s="145"/>
      <c r="N881" s="145"/>
      <c r="O881" s="145"/>
      <c r="P881" s="145"/>
      <c r="Q881" s="145"/>
      <c r="R881" s="145"/>
      <c r="S881" s="145"/>
      <c r="T881" s="145"/>
      <c r="U881" s="145"/>
      <c r="V881" s="145"/>
      <c r="W881" s="145"/>
      <c r="X881" s="145"/>
      <c r="Y881" s="145"/>
      <c r="Z881" s="145"/>
      <c r="AA881" s="145"/>
      <c r="AB881" s="145"/>
      <c r="AC881" s="145"/>
      <c r="AD881" s="145"/>
      <c r="AE881" s="145"/>
      <c r="AF881" s="145"/>
      <c r="AG881" s="145"/>
      <c r="AH881" s="145"/>
      <c r="AI881" s="145"/>
      <c r="AJ881" s="145"/>
      <c r="AK881" s="145"/>
      <c r="AL881" s="145"/>
      <c r="AM881" s="321"/>
      <c r="AN881" s="321"/>
      <c r="AO881" s="321"/>
      <c r="AP881" s="321"/>
      <c r="AQ881" s="321"/>
      <c r="AR881" s="321"/>
      <c r="AS881" s="321"/>
      <c r="AT881" s="321"/>
    </row>
    <row r="882" spans="10:46">
      <c r="J882" s="145"/>
      <c r="K882" s="145"/>
      <c r="L882" s="145"/>
      <c r="M882" s="145"/>
      <c r="N882" s="145"/>
      <c r="O882" s="145"/>
      <c r="P882" s="145"/>
      <c r="Q882" s="145"/>
      <c r="R882" s="145"/>
      <c r="S882" s="145"/>
      <c r="T882" s="145"/>
      <c r="U882" s="145"/>
      <c r="V882" s="145"/>
      <c r="W882" s="145"/>
      <c r="X882" s="145"/>
      <c r="Y882" s="145"/>
      <c r="Z882" s="145"/>
      <c r="AA882" s="145"/>
      <c r="AB882" s="145"/>
      <c r="AC882" s="145"/>
      <c r="AD882" s="145"/>
      <c r="AE882" s="145"/>
      <c r="AF882" s="145"/>
      <c r="AG882" s="145"/>
      <c r="AH882" s="145"/>
      <c r="AI882" s="145"/>
      <c r="AJ882" s="145"/>
      <c r="AK882" s="145"/>
      <c r="AL882" s="145"/>
      <c r="AM882" s="321"/>
      <c r="AN882" s="321"/>
      <c r="AO882" s="321"/>
      <c r="AP882" s="321"/>
      <c r="AQ882" s="321"/>
      <c r="AR882" s="321"/>
      <c r="AS882" s="321"/>
      <c r="AT882" s="321"/>
    </row>
    <row r="883" spans="10:46">
      <c r="J883" s="145"/>
      <c r="K883" s="145"/>
      <c r="L883" s="145"/>
      <c r="M883" s="145"/>
      <c r="N883" s="145"/>
      <c r="O883" s="145"/>
      <c r="P883" s="145"/>
      <c r="Q883" s="145"/>
      <c r="R883" s="145"/>
      <c r="S883" s="145"/>
      <c r="T883" s="145"/>
      <c r="U883" s="145"/>
      <c r="V883" s="145"/>
      <c r="W883" s="145"/>
      <c r="X883" s="145"/>
      <c r="Y883" s="145"/>
      <c r="Z883" s="145"/>
      <c r="AA883" s="145"/>
      <c r="AB883" s="145"/>
      <c r="AC883" s="145"/>
      <c r="AD883" s="145"/>
      <c r="AE883" s="145"/>
      <c r="AF883" s="145"/>
      <c r="AG883" s="145"/>
      <c r="AH883" s="145"/>
      <c r="AI883" s="145"/>
      <c r="AJ883" s="145"/>
      <c r="AK883" s="145"/>
      <c r="AL883" s="145"/>
      <c r="AM883" s="321"/>
      <c r="AN883" s="321"/>
      <c r="AO883" s="321"/>
      <c r="AP883" s="321"/>
      <c r="AQ883" s="321"/>
      <c r="AR883" s="321"/>
      <c r="AS883" s="321"/>
      <c r="AT883" s="321"/>
    </row>
    <row r="884" spans="10:46">
      <c r="J884" s="145"/>
      <c r="K884" s="145"/>
      <c r="L884" s="145"/>
      <c r="M884" s="145"/>
      <c r="N884" s="145"/>
      <c r="O884" s="145"/>
      <c r="P884" s="145"/>
      <c r="Q884" s="145"/>
      <c r="R884" s="145"/>
      <c r="S884" s="145"/>
      <c r="T884" s="145"/>
      <c r="U884" s="145"/>
      <c r="V884" s="145"/>
      <c r="W884" s="145"/>
      <c r="X884" s="145"/>
      <c r="Y884" s="145"/>
      <c r="Z884" s="145"/>
      <c r="AA884" s="145"/>
      <c r="AB884" s="145"/>
      <c r="AC884" s="145"/>
      <c r="AD884" s="145"/>
      <c r="AE884" s="145"/>
      <c r="AF884" s="145"/>
      <c r="AG884" s="145"/>
      <c r="AH884" s="145"/>
      <c r="AI884" s="145"/>
      <c r="AJ884" s="145"/>
      <c r="AK884" s="145"/>
      <c r="AL884" s="145"/>
      <c r="AM884" s="321"/>
      <c r="AN884" s="321"/>
      <c r="AO884" s="321"/>
      <c r="AP884" s="321"/>
      <c r="AQ884" s="321"/>
      <c r="AR884" s="321"/>
      <c r="AS884" s="321"/>
      <c r="AT884" s="321"/>
    </row>
    <row r="885" spans="10:46">
      <c r="J885" s="145"/>
      <c r="K885" s="145"/>
      <c r="L885" s="145"/>
      <c r="M885" s="145"/>
      <c r="N885" s="145"/>
      <c r="O885" s="145"/>
      <c r="P885" s="145"/>
      <c r="Q885" s="145"/>
      <c r="R885" s="145"/>
      <c r="S885" s="145"/>
      <c r="T885" s="145"/>
      <c r="U885" s="145"/>
      <c r="V885" s="145"/>
      <c r="W885" s="145"/>
      <c r="X885" s="145"/>
      <c r="Y885" s="145"/>
      <c r="Z885" s="145"/>
      <c r="AA885" s="145"/>
      <c r="AB885" s="145"/>
      <c r="AC885" s="145"/>
      <c r="AD885" s="145"/>
      <c r="AE885" s="145"/>
      <c r="AF885" s="145"/>
      <c r="AG885" s="145"/>
      <c r="AH885" s="145"/>
      <c r="AI885" s="145"/>
      <c r="AJ885" s="145"/>
      <c r="AK885" s="145"/>
      <c r="AL885" s="145"/>
      <c r="AM885" s="321"/>
      <c r="AN885" s="321"/>
      <c r="AO885" s="321"/>
      <c r="AP885" s="321"/>
      <c r="AQ885" s="321"/>
      <c r="AR885" s="321"/>
      <c r="AS885" s="321"/>
      <c r="AT885" s="321"/>
    </row>
    <row r="886" spans="10:46">
      <c r="J886" s="145"/>
      <c r="K886" s="145"/>
      <c r="L886" s="145"/>
      <c r="M886" s="145"/>
      <c r="N886" s="145"/>
      <c r="O886" s="145"/>
      <c r="P886" s="145"/>
      <c r="Q886" s="145"/>
      <c r="R886" s="145"/>
      <c r="S886" s="145"/>
      <c r="T886" s="145"/>
      <c r="U886" s="145"/>
      <c r="V886" s="145"/>
      <c r="W886" s="145"/>
      <c r="X886" s="145"/>
      <c r="Y886" s="145"/>
      <c r="Z886" s="145"/>
      <c r="AA886" s="145"/>
      <c r="AB886" s="145"/>
      <c r="AC886" s="145"/>
      <c r="AD886" s="145"/>
      <c r="AE886" s="145"/>
      <c r="AF886" s="145"/>
      <c r="AG886" s="145"/>
      <c r="AH886" s="145"/>
      <c r="AI886" s="145"/>
      <c r="AJ886" s="145"/>
      <c r="AK886" s="145"/>
      <c r="AL886" s="145"/>
      <c r="AM886" s="321"/>
      <c r="AN886" s="321"/>
      <c r="AO886" s="321"/>
      <c r="AP886" s="321"/>
      <c r="AQ886" s="321"/>
      <c r="AR886" s="321"/>
      <c r="AS886" s="321"/>
      <c r="AT886" s="321"/>
    </row>
    <row r="887" spans="10:46">
      <c r="J887" s="145"/>
      <c r="K887" s="145"/>
      <c r="L887" s="145"/>
      <c r="M887" s="145"/>
      <c r="N887" s="145"/>
      <c r="O887" s="145"/>
      <c r="P887" s="145"/>
      <c r="Q887" s="145"/>
      <c r="R887" s="145"/>
      <c r="S887" s="145"/>
      <c r="T887" s="145"/>
      <c r="U887" s="145"/>
      <c r="V887" s="145"/>
      <c r="W887" s="145"/>
      <c r="X887" s="145"/>
      <c r="Y887" s="145"/>
      <c r="Z887" s="145"/>
      <c r="AA887" s="145"/>
      <c r="AB887" s="145"/>
      <c r="AC887" s="145"/>
      <c r="AD887" s="145"/>
      <c r="AE887" s="145"/>
      <c r="AF887" s="145"/>
      <c r="AG887" s="145"/>
      <c r="AH887" s="145"/>
      <c r="AI887" s="145"/>
      <c r="AJ887" s="145"/>
      <c r="AK887" s="145"/>
      <c r="AL887" s="145"/>
      <c r="AM887" s="321"/>
      <c r="AN887" s="321"/>
      <c r="AO887" s="321"/>
      <c r="AP887" s="321"/>
      <c r="AQ887" s="321"/>
      <c r="AR887" s="321"/>
      <c r="AS887" s="321"/>
      <c r="AT887" s="321"/>
    </row>
    <row r="888" spans="10:46">
      <c r="J888" s="145"/>
      <c r="K888" s="145"/>
      <c r="L888" s="145"/>
      <c r="M888" s="145"/>
      <c r="N888" s="145"/>
      <c r="O888" s="145"/>
      <c r="P888" s="145"/>
      <c r="Q888" s="145"/>
      <c r="R888" s="145"/>
      <c r="S888" s="145"/>
      <c r="T888" s="145"/>
      <c r="U888" s="145"/>
      <c r="V888" s="145"/>
      <c r="W888" s="145"/>
      <c r="X888" s="145"/>
      <c r="Y888" s="145"/>
      <c r="Z888" s="145"/>
      <c r="AA888" s="145"/>
      <c r="AB888" s="145"/>
      <c r="AC888" s="145"/>
      <c r="AD888" s="145"/>
      <c r="AE888" s="145"/>
      <c r="AF888" s="145"/>
      <c r="AG888" s="145"/>
      <c r="AH888" s="145"/>
      <c r="AI888" s="145"/>
      <c r="AJ888" s="145"/>
      <c r="AK888" s="145"/>
      <c r="AL888" s="145"/>
      <c r="AM888" s="321"/>
      <c r="AN888" s="321"/>
      <c r="AO888" s="321"/>
      <c r="AP888" s="321"/>
      <c r="AQ888" s="321"/>
      <c r="AR888" s="321"/>
      <c r="AS888" s="321"/>
      <c r="AT888" s="321"/>
    </row>
    <row r="889" spans="10:46">
      <c r="J889" s="145"/>
      <c r="K889" s="145"/>
      <c r="L889" s="145"/>
      <c r="M889" s="145"/>
      <c r="N889" s="145"/>
      <c r="O889" s="145"/>
      <c r="P889" s="145"/>
      <c r="Q889" s="145"/>
      <c r="R889" s="145"/>
      <c r="S889" s="145"/>
      <c r="T889" s="145"/>
      <c r="U889" s="145"/>
      <c r="V889" s="145"/>
      <c r="W889" s="145"/>
      <c r="X889" s="145"/>
      <c r="Y889" s="145"/>
      <c r="Z889" s="145"/>
      <c r="AA889" s="145"/>
      <c r="AB889" s="145"/>
      <c r="AC889" s="145"/>
      <c r="AD889" s="145"/>
      <c r="AE889" s="145"/>
      <c r="AF889" s="145"/>
      <c r="AG889" s="145"/>
      <c r="AH889" s="145"/>
      <c r="AI889" s="145"/>
      <c r="AJ889" s="145"/>
      <c r="AK889" s="145"/>
      <c r="AL889" s="145"/>
      <c r="AM889" s="321"/>
      <c r="AN889" s="321"/>
      <c r="AO889" s="321"/>
      <c r="AP889" s="321"/>
      <c r="AQ889" s="321"/>
      <c r="AR889" s="321"/>
      <c r="AS889" s="321"/>
      <c r="AT889" s="321"/>
    </row>
    <row r="890" spans="10:46">
      <c r="J890" s="145"/>
      <c r="K890" s="145"/>
      <c r="L890" s="145"/>
      <c r="M890" s="145"/>
      <c r="N890" s="145"/>
      <c r="O890" s="145"/>
      <c r="P890" s="145"/>
      <c r="Q890" s="145"/>
      <c r="R890" s="145"/>
      <c r="S890" s="145"/>
      <c r="T890" s="145"/>
      <c r="U890" s="145"/>
      <c r="V890" s="145"/>
      <c r="W890" s="145"/>
      <c r="X890" s="145"/>
      <c r="Y890" s="145"/>
      <c r="Z890" s="145"/>
      <c r="AA890" s="145"/>
      <c r="AB890" s="145"/>
      <c r="AC890" s="145"/>
      <c r="AD890" s="145"/>
      <c r="AE890" s="145"/>
      <c r="AF890" s="145"/>
      <c r="AG890" s="145"/>
      <c r="AH890" s="145"/>
      <c r="AI890" s="145"/>
      <c r="AJ890" s="145"/>
      <c r="AK890" s="145"/>
      <c r="AL890" s="145"/>
      <c r="AM890" s="321"/>
      <c r="AN890" s="321"/>
      <c r="AO890" s="321"/>
      <c r="AP890" s="321"/>
      <c r="AQ890" s="321"/>
      <c r="AR890" s="321"/>
      <c r="AS890" s="321"/>
      <c r="AT890" s="321"/>
    </row>
    <row r="891" spans="10:46">
      <c r="J891" s="145"/>
      <c r="K891" s="145"/>
      <c r="L891" s="145"/>
      <c r="M891" s="145"/>
      <c r="N891" s="145"/>
      <c r="O891" s="145"/>
      <c r="P891" s="145"/>
      <c r="Q891" s="145"/>
      <c r="R891" s="145"/>
      <c r="S891" s="145"/>
      <c r="T891" s="145"/>
      <c r="U891" s="145"/>
      <c r="V891" s="145"/>
      <c r="W891" s="145"/>
      <c r="X891" s="145"/>
      <c r="Y891" s="145"/>
      <c r="Z891" s="145"/>
      <c r="AA891" s="145"/>
      <c r="AB891" s="145"/>
      <c r="AC891" s="145"/>
      <c r="AD891" s="145"/>
      <c r="AE891" s="145"/>
      <c r="AF891" s="145"/>
      <c r="AG891" s="145"/>
      <c r="AH891" s="145"/>
      <c r="AI891" s="145"/>
      <c r="AJ891" s="145"/>
      <c r="AK891" s="145"/>
      <c r="AL891" s="145"/>
      <c r="AM891" s="321"/>
      <c r="AN891" s="321"/>
      <c r="AO891" s="321"/>
      <c r="AP891" s="321"/>
      <c r="AQ891" s="321"/>
      <c r="AR891" s="321"/>
      <c r="AS891" s="321"/>
      <c r="AT891" s="321"/>
    </row>
    <row r="892" spans="10:46">
      <c r="J892" s="145"/>
      <c r="K892" s="145"/>
      <c r="L892" s="145"/>
      <c r="M892" s="145"/>
      <c r="N892" s="145"/>
      <c r="O892" s="145"/>
      <c r="P892" s="145"/>
      <c r="Q892" s="145"/>
      <c r="R892" s="145"/>
      <c r="S892" s="145"/>
      <c r="T892" s="145"/>
      <c r="U892" s="145"/>
      <c r="V892" s="145"/>
      <c r="W892" s="145"/>
      <c r="X892" s="145"/>
      <c r="Y892" s="145"/>
      <c r="Z892" s="145"/>
      <c r="AA892" s="145"/>
      <c r="AB892" s="145"/>
      <c r="AC892" s="145"/>
      <c r="AD892" s="145"/>
      <c r="AE892" s="145"/>
      <c r="AF892" s="145"/>
      <c r="AG892" s="145"/>
      <c r="AH892" s="145"/>
      <c r="AI892" s="145"/>
      <c r="AJ892" s="145"/>
      <c r="AK892" s="145"/>
      <c r="AL892" s="145"/>
      <c r="AM892" s="321"/>
      <c r="AN892" s="321"/>
      <c r="AO892" s="321"/>
      <c r="AP892" s="321"/>
      <c r="AQ892" s="321"/>
      <c r="AR892" s="321"/>
      <c r="AS892" s="321"/>
      <c r="AT892" s="321"/>
    </row>
    <row r="893" spans="10:46">
      <c r="J893" s="145"/>
      <c r="K893" s="145"/>
      <c r="L893" s="145"/>
      <c r="M893" s="145"/>
      <c r="N893" s="145"/>
      <c r="O893" s="145"/>
      <c r="P893" s="145"/>
      <c r="Q893" s="145"/>
      <c r="R893" s="145"/>
      <c r="S893" s="145"/>
      <c r="T893" s="145"/>
      <c r="U893" s="145"/>
      <c r="V893" s="145"/>
      <c r="W893" s="145"/>
      <c r="X893" s="145"/>
      <c r="Y893" s="145"/>
      <c r="Z893" s="145"/>
      <c r="AA893" s="145"/>
      <c r="AB893" s="145"/>
      <c r="AC893" s="145"/>
      <c r="AD893" s="145"/>
      <c r="AE893" s="145"/>
      <c r="AF893" s="145"/>
      <c r="AG893" s="145"/>
      <c r="AH893" s="145"/>
      <c r="AI893" s="145"/>
      <c r="AJ893" s="145"/>
      <c r="AK893" s="145"/>
      <c r="AL893" s="145"/>
      <c r="AM893" s="321"/>
      <c r="AN893" s="321"/>
      <c r="AO893" s="321"/>
      <c r="AP893" s="321"/>
      <c r="AQ893" s="321"/>
      <c r="AR893" s="321"/>
      <c r="AS893" s="321"/>
      <c r="AT893" s="321"/>
    </row>
    <row r="894" spans="10:46">
      <c r="J894" s="145"/>
      <c r="K894" s="145"/>
      <c r="L894" s="145"/>
      <c r="M894" s="145"/>
      <c r="N894" s="145"/>
      <c r="O894" s="145"/>
      <c r="P894" s="145"/>
      <c r="Q894" s="145"/>
      <c r="R894" s="145"/>
      <c r="S894" s="145"/>
      <c r="T894" s="145"/>
      <c r="U894" s="145"/>
      <c r="V894" s="145"/>
      <c r="W894" s="145"/>
      <c r="X894" s="145"/>
      <c r="Y894" s="145"/>
      <c r="Z894" s="145"/>
      <c r="AA894" s="145"/>
      <c r="AB894" s="145"/>
      <c r="AC894" s="145"/>
      <c r="AD894" s="145"/>
      <c r="AE894" s="145"/>
      <c r="AF894" s="145"/>
      <c r="AG894" s="145"/>
      <c r="AH894" s="145"/>
      <c r="AI894" s="145"/>
      <c r="AJ894" s="145"/>
      <c r="AK894" s="145"/>
      <c r="AL894" s="145"/>
      <c r="AM894" s="321"/>
      <c r="AN894" s="321"/>
      <c r="AO894" s="321"/>
      <c r="AP894" s="321"/>
      <c r="AQ894" s="321"/>
      <c r="AR894" s="321"/>
      <c r="AS894" s="321"/>
      <c r="AT894" s="321"/>
    </row>
    <row r="895" spans="10:46">
      <c r="J895" s="145"/>
      <c r="K895" s="145"/>
      <c r="L895" s="145"/>
      <c r="M895" s="145"/>
      <c r="N895" s="145"/>
      <c r="O895" s="145"/>
      <c r="P895" s="145"/>
      <c r="Q895" s="145"/>
      <c r="R895" s="145"/>
      <c r="S895" s="145"/>
      <c r="T895" s="145"/>
      <c r="U895" s="145"/>
      <c r="V895" s="145"/>
      <c r="W895" s="145"/>
      <c r="X895" s="145"/>
      <c r="Y895" s="145"/>
      <c r="Z895" s="145"/>
      <c r="AA895" s="145"/>
      <c r="AB895" s="145"/>
      <c r="AC895" s="145"/>
      <c r="AD895" s="145"/>
      <c r="AE895" s="145"/>
      <c r="AF895" s="145"/>
      <c r="AG895" s="145"/>
      <c r="AH895" s="145"/>
      <c r="AI895" s="145"/>
      <c r="AJ895" s="145"/>
      <c r="AK895" s="145"/>
      <c r="AL895" s="145"/>
      <c r="AM895" s="321"/>
      <c r="AN895" s="321"/>
      <c r="AO895" s="321"/>
      <c r="AP895" s="321"/>
      <c r="AQ895" s="321"/>
      <c r="AR895" s="321"/>
      <c r="AS895" s="321"/>
      <c r="AT895" s="321"/>
    </row>
    <row r="896" spans="10:46">
      <c r="J896" s="145"/>
      <c r="K896" s="145"/>
      <c r="L896" s="145"/>
      <c r="M896" s="145"/>
      <c r="N896" s="145"/>
      <c r="O896" s="145"/>
      <c r="P896" s="145"/>
      <c r="Q896" s="145"/>
      <c r="R896" s="145"/>
      <c r="S896" s="145"/>
      <c r="T896" s="145"/>
      <c r="U896" s="145"/>
      <c r="V896" s="145"/>
      <c r="W896" s="145"/>
      <c r="X896" s="145"/>
      <c r="Y896" s="145"/>
      <c r="Z896" s="145"/>
      <c r="AA896" s="145"/>
      <c r="AB896" s="145"/>
      <c r="AC896" s="145"/>
      <c r="AD896" s="145"/>
      <c r="AE896" s="145"/>
      <c r="AF896" s="145"/>
      <c r="AG896" s="145"/>
      <c r="AH896" s="145"/>
      <c r="AI896" s="145"/>
      <c r="AJ896" s="145"/>
      <c r="AK896" s="145"/>
      <c r="AL896" s="145"/>
      <c r="AM896" s="321"/>
      <c r="AN896" s="321"/>
      <c r="AO896" s="321"/>
      <c r="AP896" s="321"/>
      <c r="AQ896" s="321"/>
      <c r="AR896" s="321"/>
      <c r="AS896" s="321"/>
      <c r="AT896" s="321"/>
    </row>
    <row r="897" spans="10:46">
      <c r="J897" s="145"/>
      <c r="K897" s="145"/>
      <c r="L897" s="145"/>
      <c r="M897" s="145"/>
      <c r="N897" s="145"/>
      <c r="O897" s="145"/>
      <c r="P897" s="145"/>
      <c r="Q897" s="145"/>
      <c r="R897" s="145"/>
      <c r="S897" s="145"/>
      <c r="T897" s="145"/>
      <c r="U897" s="145"/>
      <c r="V897" s="145"/>
      <c r="W897" s="145"/>
      <c r="X897" s="145"/>
      <c r="Y897" s="145"/>
      <c r="Z897" s="145"/>
      <c r="AA897" s="145"/>
      <c r="AB897" s="145"/>
      <c r="AC897" s="145"/>
      <c r="AD897" s="145"/>
      <c r="AE897" s="145"/>
      <c r="AF897" s="145"/>
      <c r="AG897" s="145"/>
      <c r="AH897" s="145"/>
      <c r="AI897" s="145"/>
      <c r="AJ897" s="145"/>
      <c r="AK897" s="145"/>
      <c r="AL897" s="145"/>
      <c r="AM897" s="321"/>
      <c r="AN897" s="321"/>
      <c r="AO897" s="321"/>
      <c r="AP897" s="321"/>
      <c r="AQ897" s="321"/>
      <c r="AR897" s="321"/>
      <c r="AS897" s="321"/>
      <c r="AT897" s="321"/>
    </row>
    <row r="898" spans="10:46">
      <c r="J898" s="145"/>
      <c r="K898" s="145"/>
      <c r="L898" s="145"/>
      <c r="M898" s="145"/>
      <c r="N898" s="145"/>
      <c r="O898" s="145"/>
      <c r="P898" s="145"/>
      <c r="Q898" s="145"/>
      <c r="R898" s="145"/>
      <c r="S898" s="145"/>
      <c r="T898" s="145"/>
      <c r="U898" s="145"/>
      <c r="V898" s="145"/>
      <c r="W898" s="145"/>
      <c r="X898" s="145"/>
      <c r="Y898" s="145"/>
      <c r="Z898" s="145"/>
      <c r="AA898" s="145"/>
      <c r="AB898" s="145"/>
      <c r="AC898" s="145"/>
      <c r="AD898" s="145"/>
      <c r="AE898" s="145"/>
      <c r="AF898" s="145"/>
      <c r="AG898" s="145"/>
      <c r="AH898" s="145"/>
      <c r="AI898" s="145"/>
      <c r="AJ898" s="145"/>
      <c r="AK898" s="145"/>
      <c r="AL898" s="145"/>
      <c r="AM898" s="321"/>
      <c r="AN898" s="321"/>
      <c r="AO898" s="321"/>
      <c r="AP898" s="321"/>
      <c r="AQ898" s="321"/>
      <c r="AR898" s="321"/>
      <c r="AS898" s="321"/>
      <c r="AT898" s="321"/>
    </row>
    <row r="899" spans="10:46">
      <c r="J899" s="145"/>
      <c r="K899" s="145"/>
      <c r="L899" s="145"/>
      <c r="M899" s="145"/>
      <c r="N899" s="145"/>
      <c r="O899" s="145"/>
      <c r="P899" s="145"/>
      <c r="Q899" s="145"/>
      <c r="R899" s="145"/>
      <c r="S899" s="145"/>
      <c r="T899" s="145"/>
      <c r="U899" s="145"/>
      <c r="V899" s="145"/>
      <c r="W899" s="145"/>
      <c r="X899" s="145"/>
      <c r="Y899" s="145"/>
      <c r="Z899" s="145"/>
      <c r="AA899" s="145"/>
      <c r="AB899" s="145"/>
      <c r="AC899" s="145"/>
      <c r="AD899" s="145"/>
      <c r="AE899" s="145"/>
      <c r="AF899" s="145"/>
      <c r="AG899" s="145"/>
      <c r="AH899" s="145"/>
      <c r="AI899" s="145"/>
      <c r="AJ899" s="145"/>
      <c r="AK899" s="145"/>
      <c r="AL899" s="145"/>
      <c r="AM899" s="321"/>
      <c r="AN899" s="321"/>
      <c r="AO899" s="321"/>
      <c r="AP899" s="321"/>
      <c r="AQ899" s="321"/>
      <c r="AR899" s="321"/>
      <c r="AS899" s="321"/>
      <c r="AT899" s="321"/>
    </row>
    <row r="900" spans="10:46">
      <c r="J900" s="145"/>
      <c r="K900" s="145"/>
      <c r="L900" s="145"/>
      <c r="M900" s="145"/>
      <c r="N900" s="145"/>
      <c r="O900" s="145"/>
      <c r="P900" s="145"/>
      <c r="Q900" s="145"/>
      <c r="R900" s="145"/>
      <c r="S900" s="145"/>
      <c r="T900" s="145"/>
      <c r="U900" s="145"/>
      <c r="V900" s="145"/>
      <c r="W900" s="145"/>
      <c r="X900" s="145"/>
      <c r="Y900" s="145"/>
      <c r="Z900" s="145"/>
      <c r="AA900" s="145"/>
      <c r="AB900" s="145"/>
      <c r="AC900" s="145"/>
      <c r="AD900" s="145"/>
      <c r="AE900" s="145"/>
      <c r="AF900" s="145"/>
      <c r="AG900" s="145"/>
      <c r="AH900" s="145"/>
      <c r="AI900" s="145"/>
      <c r="AJ900" s="145"/>
      <c r="AK900" s="145"/>
      <c r="AL900" s="145"/>
      <c r="AM900" s="321"/>
      <c r="AN900" s="321"/>
      <c r="AO900" s="321"/>
      <c r="AP900" s="321"/>
      <c r="AQ900" s="321"/>
      <c r="AR900" s="321"/>
      <c r="AS900" s="321"/>
      <c r="AT900" s="321"/>
    </row>
    <row r="901" spans="10:46">
      <c r="J901" s="145"/>
      <c r="K901" s="145"/>
      <c r="L901" s="145"/>
      <c r="M901" s="145"/>
      <c r="N901" s="145"/>
      <c r="O901" s="145"/>
      <c r="P901" s="145"/>
      <c r="Q901" s="145"/>
      <c r="R901" s="145"/>
      <c r="S901" s="145"/>
      <c r="T901" s="145"/>
      <c r="U901" s="145"/>
      <c r="V901" s="145"/>
      <c r="W901" s="145"/>
      <c r="X901" s="145"/>
      <c r="Y901" s="145"/>
      <c r="Z901" s="145"/>
      <c r="AA901" s="145"/>
      <c r="AB901" s="145"/>
      <c r="AC901" s="145"/>
      <c r="AD901" s="145"/>
      <c r="AE901" s="145"/>
      <c r="AF901" s="145"/>
      <c r="AG901" s="145"/>
      <c r="AH901" s="145"/>
      <c r="AI901" s="145"/>
      <c r="AJ901" s="145"/>
      <c r="AK901" s="145"/>
      <c r="AL901" s="145"/>
      <c r="AM901" s="321"/>
      <c r="AN901" s="321"/>
      <c r="AO901" s="321"/>
      <c r="AP901" s="321"/>
      <c r="AQ901" s="321"/>
      <c r="AR901" s="321"/>
      <c r="AS901" s="321"/>
      <c r="AT901" s="321"/>
    </row>
    <row r="902" spans="10:46">
      <c r="J902" s="145"/>
      <c r="K902" s="145"/>
      <c r="L902" s="145"/>
      <c r="M902" s="145"/>
      <c r="N902" s="145"/>
      <c r="O902" s="145"/>
      <c r="P902" s="145"/>
      <c r="Q902" s="145"/>
      <c r="R902" s="145"/>
      <c r="S902" s="145"/>
      <c r="T902" s="145"/>
      <c r="U902" s="145"/>
      <c r="V902" s="145"/>
      <c r="W902" s="145"/>
      <c r="X902" s="145"/>
      <c r="Y902" s="145"/>
      <c r="Z902" s="145"/>
      <c r="AA902" s="145"/>
      <c r="AB902" s="145"/>
      <c r="AC902" s="145"/>
      <c r="AD902" s="145"/>
      <c r="AE902" s="145"/>
      <c r="AF902" s="145"/>
      <c r="AG902" s="145"/>
      <c r="AH902" s="145"/>
      <c r="AI902" s="145"/>
      <c r="AJ902" s="145"/>
      <c r="AK902" s="145"/>
      <c r="AL902" s="145"/>
      <c r="AM902" s="321"/>
      <c r="AN902" s="321"/>
      <c r="AO902" s="321"/>
      <c r="AP902" s="321"/>
      <c r="AQ902" s="321"/>
      <c r="AR902" s="321"/>
      <c r="AS902" s="321"/>
      <c r="AT902" s="321"/>
    </row>
    <row r="903" spans="10:46">
      <c r="J903" s="145"/>
      <c r="K903" s="145"/>
      <c r="L903" s="145"/>
      <c r="M903" s="145"/>
      <c r="N903" s="145"/>
      <c r="O903" s="145"/>
      <c r="P903" s="145"/>
      <c r="Q903" s="145"/>
      <c r="R903" s="145"/>
      <c r="S903" s="145"/>
      <c r="T903" s="145"/>
      <c r="U903" s="145"/>
      <c r="V903" s="145"/>
      <c r="W903" s="145"/>
      <c r="X903" s="145"/>
      <c r="Y903" s="145"/>
      <c r="Z903" s="145"/>
      <c r="AA903" s="145"/>
      <c r="AB903" s="145"/>
      <c r="AC903" s="145"/>
      <c r="AD903" s="145"/>
      <c r="AE903" s="145"/>
      <c r="AF903" s="145"/>
      <c r="AG903" s="145"/>
      <c r="AH903" s="145"/>
      <c r="AI903" s="145"/>
      <c r="AJ903" s="145"/>
      <c r="AK903" s="145"/>
      <c r="AL903" s="145"/>
      <c r="AM903" s="321"/>
      <c r="AN903" s="321"/>
      <c r="AO903" s="321"/>
      <c r="AP903" s="321"/>
      <c r="AQ903" s="321"/>
      <c r="AR903" s="321"/>
      <c r="AS903" s="321"/>
      <c r="AT903" s="321"/>
    </row>
    <row r="904" spans="10:46">
      <c r="J904" s="145"/>
      <c r="K904" s="145"/>
      <c r="L904" s="145"/>
      <c r="M904" s="145"/>
      <c r="N904" s="145"/>
      <c r="O904" s="145"/>
      <c r="P904" s="145"/>
      <c r="Q904" s="145"/>
      <c r="R904" s="145"/>
      <c r="S904" s="145"/>
      <c r="T904" s="145"/>
      <c r="U904" s="145"/>
      <c r="V904" s="145"/>
      <c r="W904" s="145"/>
      <c r="X904" s="145"/>
      <c r="Y904" s="145"/>
      <c r="Z904" s="145"/>
      <c r="AA904" s="145"/>
      <c r="AB904" s="145"/>
      <c r="AC904" s="145"/>
      <c r="AD904" s="145"/>
      <c r="AE904" s="145"/>
      <c r="AF904" s="145"/>
      <c r="AG904" s="145"/>
      <c r="AH904" s="145"/>
      <c r="AI904" s="145"/>
      <c r="AJ904" s="145"/>
      <c r="AK904" s="145"/>
      <c r="AL904" s="145"/>
      <c r="AM904" s="321"/>
      <c r="AN904" s="321"/>
      <c r="AO904" s="321"/>
      <c r="AP904" s="321"/>
      <c r="AQ904" s="321"/>
      <c r="AR904" s="321"/>
      <c r="AS904" s="321"/>
      <c r="AT904" s="321"/>
    </row>
    <row r="905" spans="10:46">
      <c r="J905" s="145"/>
      <c r="K905" s="145"/>
      <c r="L905" s="145"/>
      <c r="M905" s="145"/>
      <c r="N905" s="145"/>
      <c r="O905" s="145"/>
      <c r="P905" s="145"/>
      <c r="Q905" s="145"/>
      <c r="R905" s="145"/>
      <c r="S905" s="145"/>
      <c r="T905" s="145"/>
      <c r="U905" s="145"/>
      <c r="V905" s="145"/>
      <c r="W905" s="145"/>
      <c r="X905" s="145"/>
      <c r="Y905" s="145"/>
      <c r="Z905" s="145"/>
      <c r="AA905" s="145"/>
      <c r="AB905" s="145"/>
      <c r="AC905" s="145"/>
      <c r="AD905" s="145"/>
      <c r="AE905" s="145"/>
      <c r="AF905" s="145"/>
      <c r="AG905" s="145"/>
      <c r="AH905" s="145"/>
      <c r="AI905" s="145"/>
      <c r="AJ905" s="145"/>
      <c r="AK905" s="145"/>
      <c r="AL905" s="145"/>
      <c r="AM905" s="321"/>
      <c r="AN905" s="321"/>
      <c r="AO905" s="321"/>
      <c r="AP905" s="321"/>
      <c r="AQ905" s="321"/>
      <c r="AR905" s="321"/>
      <c r="AS905" s="321"/>
      <c r="AT905" s="321"/>
    </row>
    <row r="906" spans="10:46">
      <c r="J906" s="145"/>
      <c r="K906" s="145"/>
      <c r="L906" s="145"/>
      <c r="M906" s="145"/>
      <c r="N906" s="145"/>
      <c r="O906" s="145"/>
      <c r="P906" s="145"/>
      <c r="Q906" s="145"/>
      <c r="R906" s="145"/>
      <c r="S906" s="145"/>
      <c r="T906" s="145"/>
      <c r="U906" s="145"/>
      <c r="V906" s="145"/>
      <c r="W906" s="145"/>
      <c r="X906" s="145"/>
      <c r="Y906" s="145"/>
      <c r="Z906" s="145"/>
      <c r="AA906" s="145"/>
      <c r="AB906" s="145"/>
      <c r="AC906" s="145"/>
      <c r="AD906" s="145"/>
      <c r="AE906" s="145"/>
      <c r="AF906" s="145"/>
      <c r="AG906" s="145"/>
      <c r="AH906" s="145"/>
      <c r="AI906" s="145"/>
      <c r="AJ906" s="145"/>
      <c r="AK906" s="145"/>
      <c r="AL906" s="145"/>
      <c r="AM906" s="321"/>
      <c r="AN906" s="321"/>
      <c r="AO906" s="321"/>
      <c r="AP906" s="321"/>
      <c r="AQ906" s="321"/>
      <c r="AR906" s="321"/>
      <c r="AS906" s="321"/>
      <c r="AT906" s="321"/>
    </row>
    <row r="907" spans="10:46">
      <c r="J907" s="145"/>
      <c r="K907" s="145"/>
      <c r="L907" s="145"/>
      <c r="M907" s="145"/>
      <c r="N907" s="145"/>
      <c r="O907" s="145"/>
      <c r="P907" s="145"/>
      <c r="Q907" s="145"/>
      <c r="R907" s="145"/>
      <c r="S907" s="145"/>
      <c r="T907" s="145"/>
      <c r="U907" s="145"/>
      <c r="V907" s="145"/>
      <c r="W907" s="145"/>
      <c r="X907" s="145"/>
      <c r="Y907" s="145"/>
      <c r="Z907" s="145"/>
      <c r="AA907" s="145"/>
      <c r="AB907" s="145"/>
      <c r="AC907" s="145"/>
      <c r="AD907" s="145"/>
      <c r="AE907" s="145"/>
      <c r="AF907" s="145"/>
      <c r="AG907" s="145"/>
      <c r="AH907" s="145"/>
      <c r="AI907" s="145"/>
      <c r="AJ907" s="145"/>
      <c r="AK907" s="145"/>
      <c r="AL907" s="145"/>
      <c r="AM907" s="321"/>
      <c r="AN907" s="321"/>
      <c r="AO907" s="321"/>
      <c r="AP907" s="321"/>
      <c r="AQ907" s="321"/>
      <c r="AR907" s="321"/>
      <c r="AS907" s="321"/>
      <c r="AT907" s="321"/>
    </row>
    <row r="908" spans="10:46">
      <c r="J908" s="145"/>
      <c r="K908" s="145"/>
      <c r="L908" s="145"/>
      <c r="M908" s="145"/>
      <c r="N908" s="145"/>
      <c r="O908" s="145"/>
      <c r="P908" s="145"/>
      <c r="Q908" s="145"/>
      <c r="R908" s="145"/>
      <c r="S908" s="145"/>
      <c r="T908" s="145"/>
      <c r="U908" s="145"/>
      <c r="V908" s="145"/>
      <c r="W908" s="145"/>
      <c r="X908" s="145"/>
      <c r="Y908" s="145"/>
      <c r="Z908" s="145"/>
      <c r="AA908" s="145"/>
      <c r="AB908" s="145"/>
      <c r="AC908" s="145"/>
      <c r="AD908" s="145"/>
      <c r="AE908" s="145"/>
      <c r="AF908" s="145"/>
      <c r="AG908" s="145"/>
      <c r="AH908" s="145"/>
      <c r="AI908" s="145"/>
      <c r="AJ908" s="145"/>
      <c r="AK908" s="145"/>
      <c r="AL908" s="145"/>
      <c r="AM908" s="321"/>
      <c r="AN908" s="321"/>
      <c r="AO908" s="321"/>
      <c r="AP908" s="321"/>
      <c r="AQ908" s="321"/>
      <c r="AR908" s="321"/>
      <c r="AS908" s="321"/>
      <c r="AT908" s="321"/>
    </row>
    <row r="909" spans="10:46">
      <c r="J909" s="145"/>
      <c r="K909" s="145"/>
      <c r="L909" s="145"/>
      <c r="M909" s="145"/>
      <c r="N909" s="145"/>
      <c r="O909" s="145"/>
      <c r="P909" s="145"/>
      <c r="Q909" s="145"/>
      <c r="R909" s="145"/>
      <c r="S909" s="145"/>
      <c r="T909" s="145"/>
      <c r="U909" s="145"/>
      <c r="V909" s="145"/>
      <c r="W909" s="145"/>
      <c r="X909" s="145"/>
      <c r="Y909" s="145"/>
      <c r="Z909" s="145"/>
      <c r="AA909" s="145"/>
      <c r="AB909" s="145"/>
      <c r="AC909" s="145"/>
      <c r="AD909" s="145"/>
      <c r="AE909" s="145"/>
      <c r="AF909" s="145"/>
      <c r="AG909" s="145"/>
      <c r="AH909" s="145"/>
      <c r="AI909" s="145"/>
      <c r="AJ909" s="145"/>
      <c r="AK909" s="145"/>
      <c r="AL909" s="145"/>
      <c r="AM909" s="321"/>
      <c r="AN909" s="321"/>
      <c r="AO909" s="321"/>
      <c r="AP909" s="321"/>
      <c r="AQ909" s="321"/>
      <c r="AR909" s="321"/>
      <c r="AS909" s="321"/>
      <c r="AT909" s="321"/>
    </row>
    <row r="910" spans="10:46">
      <c r="J910" s="145"/>
      <c r="K910" s="145"/>
      <c r="L910" s="145"/>
      <c r="M910" s="145"/>
      <c r="N910" s="145"/>
      <c r="O910" s="145"/>
      <c r="P910" s="145"/>
      <c r="Q910" s="145"/>
      <c r="R910" s="145"/>
      <c r="S910" s="145"/>
      <c r="T910" s="145"/>
      <c r="U910" s="145"/>
      <c r="V910" s="145"/>
      <c r="W910" s="145"/>
      <c r="X910" s="145"/>
      <c r="Y910" s="145"/>
      <c r="Z910" s="145"/>
      <c r="AA910" s="145"/>
      <c r="AB910" s="145"/>
      <c r="AC910" s="145"/>
      <c r="AD910" s="145"/>
      <c r="AE910" s="145"/>
      <c r="AF910" s="145"/>
      <c r="AG910" s="145"/>
      <c r="AH910" s="145"/>
      <c r="AI910" s="145"/>
      <c r="AJ910" s="145"/>
      <c r="AK910" s="145"/>
      <c r="AL910" s="145"/>
      <c r="AM910" s="321"/>
      <c r="AN910" s="321"/>
      <c r="AO910" s="321"/>
      <c r="AP910" s="321"/>
      <c r="AQ910" s="321"/>
      <c r="AR910" s="321"/>
      <c r="AS910" s="321"/>
      <c r="AT910" s="321"/>
    </row>
    <row r="911" spans="10:46">
      <c r="J911" s="145"/>
      <c r="K911" s="145"/>
      <c r="L911" s="145"/>
      <c r="M911" s="145"/>
      <c r="N911" s="145"/>
      <c r="O911" s="145"/>
      <c r="P911" s="145"/>
      <c r="Q911" s="145"/>
      <c r="R911" s="145"/>
      <c r="S911" s="145"/>
      <c r="T911" s="145"/>
      <c r="U911" s="145"/>
      <c r="V911" s="145"/>
      <c r="W911" s="145"/>
      <c r="X911" s="145"/>
      <c r="Y911" s="145"/>
      <c r="Z911" s="145"/>
      <c r="AA911" s="145"/>
      <c r="AB911" s="145"/>
      <c r="AC911" s="145"/>
      <c r="AD911" s="145"/>
      <c r="AE911" s="145"/>
      <c r="AF911" s="145"/>
      <c r="AG911" s="145"/>
      <c r="AH911" s="145"/>
      <c r="AI911" s="145"/>
      <c r="AJ911" s="145"/>
      <c r="AK911" s="145"/>
      <c r="AL911" s="145"/>
      <c r="AM911" s="321"/>
      <c r="AN911" s="321"/>
      <c r="AO911" s="321"/>
      <c r="AP911" s="321"/>
      <c r="AQ911" s="321"/>
      <c r="AR911" s="321"/>
      <c r="AS911" s="321"/>
      <c r="AT911" s="321"/>
    </row>
    <row r="912" spans="10:46">
      <c r="J912" s="145"/>
      <c r="K912" s="145"/>
      <c r="L912" s="145"/>
      <c r="M912" s="145"/>
      <c r="N912" s="145"/>
      <c r="O912" s="145"/>
      <c r="P912" s="145"/>
      <c r="Q912" s="145"/>
      <c r="R912" s="145"/>
      <c r="S912" s="145"/>
      <c r="T912" s="145"/>
      <c r="U912" s="145"/>
      <c r="V912" s="145"/>
      <c r="W912" s="145"/>
      <c r="X912" s="145"/>
      <c r="Y912" s="145"/>
      <c r="Z912" s="145"/>
      <c r="AA912" s="145"/>
      <c r="AB912" s="145"/>
      <c r="AC912" s="145"/>
      <c r="AD912" s="145"/>
      <c r="AE912" s="145"/>
      <c r="AF912" s="145"/>
      <c r="AG912" s="145"/>
      <c r="AH912" s="145"/>
      <c r="AI912" s="145"/>
      <c r="AJ912" s="145"/>
      <c r="AK912" s="145"/>
      <c r="AL912" s="145"/>
      <c r="AM912" s="321"/>
      <c r="AN912" s="321"/>
      <c r="AO912" s="321"/>
      <c r="AP912" s="321"/>
      <c r="AQ912" s="321"/>
      <c r="AR912" s="321"/>
      <c r="AS912" s="321"/>
      <c r="AT912" s="321"/>
    </row>
    <row r="913" spans="10:46">
      <c r="J913" s="145"/>
      <c r="K913" s="145"/>
      <c r="L913" s="145"/>
      <c r="M913" s="145"/>
      <c r="N913" s="145"/>
      <c r="O913" s="145"/>
      <c r="P913" s="145"/>
      <c r="Q913" s="145"/>
      <c r="R913" s="145"/>
      <c r="S913" s="145"/>
      <c r="T913" s="145"/>
      <c r="U913" s="145"/>
      <c r="V913" s="145"/>
      <c r="W913" s="145"/>
      <c r="X913" s="145"/>
      <c r="Y913" s="145"/>
      <c r="Z913" s="145"/>
      <c r="AA913" s="145"/>
      <c r="AB913" s="145"/>
      <c r="AC913" s="145"/>
      <c r="AD913" s="145"/>
      <c r="AE913" s="145"/>
      <c r="AF913" s="145"/>
      <c r="AG913" s="145"/>
      <c r="AH913" s="145"/>
      <c r="AI913" s="145"/>
      <c r="AJ913" s="145"/>
      <c r="AK913" s="145"/>
      <c r="AL913" s="145"/>
      <c r="AM913" s="321"/>
      <c r="AN913" s="321"/>
      <c r="AO913" s="321"/>
      <c r="AP913" s="321"/>
      <c r="AQ913" s="321"/>
      <c r="AR913" s="321"/>
      <c r="AS913" s="321"/>
      <c r="AT913" s="321"/>
    </row>
    <row r="914" spans="10:46">
      <c r="J914" s="145"/>
      <c r="K914" s="145"/>
      <c r="L914" s="145"/>
      <c r="M914" s="145"/>
      <c r="N914" s="145"/>
      <c r="O914" s="145"/>
      <c r="P914" s="145"/>
      <c r="Q914" s="145"/>
      <c r="R914" s="145"/>
      <c r="S914" s="145"/>
      <c r="T914" s="145"/>
      <c r="U914" s="145"/>
      <c r="V914" s="145"/>
      <c r="W914" s="145"/>
      <c r="X914" s="145"/>
      <c r="Y914" s="145"/>
      <c r="Z914" s="145"/>
      <c r="AA914" s="145"/>
      <c r="AB914" s="145"/>
      <c r="AC914" s="145"/>
      <c r="AD914" s="145"/>
      <c r="AE914" s="145"/>
      <c r="AF914" s="145"/>
      <c r="AG914" s="145"/>
      <c r="AH914" s="145"/>
      <c r="AI914" s="145"/>
      <c r="AJ914" s="145"/>
      <c r="AK914" s="145"/>
      <c r="AL914" s="145"/>
      <c r="AM914" s="321"/>
      <c r="AN914" s="321"/>
      <c r="AO914" s="321"/>
      <c r="AP914" s="321"/>
      <c r="AQ914" s="321"/>
      <c r="AR914" s="321"/>
      <c r="AS914" s="321"/>
      <c r="AT914" s="321"/>
    </row>
    <row r="915" spans="10:46">
      <c r="J915" s="145"/>
      <c r="K915" s="145"/>
      <c r="L915" s="145"/>
      <c r="M915" s="145"/>
      <c r="N915" s="145"/>
      <c r="O915" s="145"/>
      <c r="P915" s="145"/>
      <c r="Q915" s="145"/>
      <c r="R915" s="145"/>
      <c r="S915" s="145"/>
      <c r="T915" s="145"/>
      <c r="U915" s="145"/>
      <c r="V915" s="145"/>
      <c r="W915" s="145"/>
      <c r="X915" s="145"/>
      <c r="Y915" s="145"/>
      <c r="Z915" s="145"/>
      <c r="AA915" s="145"/>
      <c r="AB915" s="145"/>
      <c r="AC915" s="145"/>
      <c r="AD915" s="145"/>
      <c r="AE915" s="145"/>
      <c r="AF915" s="145"/>
      <c r="AG915" s="145"/>
      <c r="AH915" s="145"/>
      <c r="AI915" s="145"/>
      <c r="AJ915" s="145"/>
      <c r="AK915" s="145"/>
      <c r="AL915" s="145"/>
      <c r="AM915" s="321"/>
      <c r="AN915" s="321"/>
      <c r="AO915" s="321"/>
      <c r="AP915" s="321"/>
      <c r="AQ915" s="321"/>
      <c r="AR915" s="321"/>
      <c r="AS915" s="321"/>
      <c r="AT915" s="321"/>
    </row>
    <row r="916" spans="10:46">
      <c r="J916" s="145"/>
      <c r="K916" s="145"/>
      <c r="L916" s="145"/>
      <c r="M916" s="145"/>
      <c r="N916" s="145"/>
      <c r="O916" s="145"/>
      <c r="P916" s="145"/>
      <c r="Q916" s="145"/>
      <c r="R916" s="145"/>
      <c r="S916" s="145"/>
      <c r="T916" s="145"/>
      <c r="U916" s="145"/>
      <c r="V916" s="145"/>
      <c r="W916" s="145"/>
      <c r="X916" s="145"/>
      <c r="Y916" s="145"/>
      <c r="Z916" s="145"/>
      <c r="AA916" s="145"/>
      <c r="AB916" s="145"/>
      <c r="AC916" s="145"/>
      <c r="AD916" s="145"/>
      <c r="AE916" s="145"/>
      <c r="AF916" s="145"/>
      <c r="AG916" s="145"/>
      <c r="AH916" s="145"/>
      <c r="AI916" s="145"/>
      <c r="AJ916" s="145"/>
      <c r="AK916" s="145"/>
      <c r="AL916" s="145"/>
      <c r="AM916" s="321"/>
      <c r="AN916" s="321"/>
      <c r="AO916" s="321"/>
      <c r="AP916" s="321"/>
      <c r="AQ916" s="321"/>
      <c r="AR916" s="321"/>
      <c r="AS916" s="321"/>
      <c r="AT916" s="321"/>
    </row>
    <row r="917" spans="10:46">
      <c r="J917" s="145"/>
      <c r="K917" s="145"/>
      <c r="L917" s="145"/>
      <c r="M917" s="145"/>
      <c r="N917" s="145"/>
      <c r="O917" s="145"/>
      <c r="P917" s="145"/>
      <c r="Q917" s="145"/>
      <c r="R917" s="145"/>
      <c r="S917" s="145"/>
      <c r="T917" s="145"/>
      <c r="U917" s="145"/>
      <c r="V917" s="145"/>
      <c r="W917" s="145"/>
      <c r="X917" s="145"/>
      <c r="Y917" s="145"/>
      <c r="Z917" s="145"/>
      <c r="AA917" s="145"/>
      <c r="AB917" s="145"/>
      <c r="AC917" s="145"/>
      <c r="AD917" s="145"/>
      <c r="AE917" s="145"/>
      <c r="AF917" s="145"/>
      <c r="AG917" s="145"/>
      <c r="AH917" s="145"/>
      <c r="AI917" s="145"/>
      <c r="AJ917" s="145"/>
      <c r="AK917" s="145"/>
      <c r="AL917" s="145"/>
      <c r="AM917" s="321"/>
      <c r="AN917" s="321"/>
      <c r="AO917" s="321"/>
      <c r="AP917" s="321"/>
      <c r="AQ917" s="321"/>
      <c r="AR917" s="321"/>
      <c r="AS917" s="321"/>
      <c r="AT917" s="321"/>
    </row>
    <row r="918" spans="10:46">
      <c r="J918" s="145"/>
      <c r="K918" s="145"/>
      <c r="L918" s="145"/>
      <c r="M918" s="145"/>
      <c r="N918" s="145"/>
      <c r="O918" s="145"/>
      <c r="P918" s="145"/>
      <c r="Q918" s="145"/>
      <c r="R918" s="145"/>
      <c r="S918" s="145"/>
      <c r="T918" s="145"/>
      <c r="U918" s="145"/>
      <c r="V918" s="145"/>
      <c r="W918" s="145"/>
      <c r="X918" s="145"/>
      <c r="Y918" s="145"/>
      <c r="Z918" s="145"/>
      <c r="AA918" s="145"/>
      <c r="AB918" s="145"/>
      <c r="AC918" s="145"/>
      <c r="AD918" s="145"/>
      <c r="AE918" s="145"/>
      <c r="AF918" s="145"/>
      <c r="AG918" s="145"/>
      <c r="AH918" s="145"/>
      <c r="AI918" s="145"/>
      <c r="AJ918" s="145"/>
      <c r="AK918" s="145"/>
      <c r="AL918" s="145"/>
      <c r="AM918" s="321"/>
      <c r="AN918" s="321"/>
      <c r="AO918" s="321"/>
      <c r="AP918" s="321"/>
      <c r="AQ918" s="321"/>
      <c r="AR918" s="321"/>
      <c r="AS918" s="321"/>
      <c r="AT918" s="321"/>
    </row>
    <row r="919" spans="10:46">
      <c r="J919" s="145"/>
      <c r="K919" s="145"/>
      <c r="L919" s="145"/>
      <c r="M919" s="145"/>
      <c r="N919" s="145"/>
      <c r="O919" s="145"/>
      <c r="P919" s="145"/>
      <c r="Q919" s="145"/>
      <c r="R919" s="145"/>
      <c r="S919" s="145"/>
      <c r="T919" s="145"/>
      <c r="U919" s="145"/>
      <c r="V919" s="145"/>
      <c r="W919" s="145"/>
      <c r="X919" s="145"/>
      <c r="Y919" s="145"/>
      <c r="Z919" s="145"/>
      <c r="AA919" s="145"/>
      <c r="AB919" s="145"/>
      <c r="AC919" s="145"/>
      <c r="AD919" s="145"/>
      <c r="AE919" s="145"/>
      <c r="AF919" s="145"/>
      <c r="AG919" s="145"/>
      <c r="AH919" s="145"/>
      <c r="AI919" s="145"/>
      <c r="AJ919" s="145"/>
      <c r="AK919" s="145"/>
      <c r="AL919" s="145"/>
      <c r="AM919" s="321"/>
      <c r="AN919" s="321"/>
      <c r="AO919" s="321"/>
      <c r="AP919" s="321"/>
      <c r="AQ919" s="321"/>
      <c r="AR919" s="321"/>
      <c r="AS919" s="321"/>
      <c r="AT919" s="321"/>
    </row>
    <row r="920" spans="10:46">
      <c r="J920" s="145"/>
      <c r="K920" s="145"/>
      <c r="L920" s="145"/>
      <c r="M920" s="145"/>
      <c r="N920" s="145"/>
      <c r="O920" s="145"/>
      <c r="P920" s="145"/>
      <c r="Q920" s="145"/>
      <c r="R920" s="145"/>
      <c r="S920" s="145"/>
      <c r="T920" s="145"/>
      <c r="U920" s="145"/>
      <c r="V920" s="145"/>
      <c r="W920" s="145"/>
      <c r="X920" s="145"/>
      <c r="Y920" s="145"/>
      <c r="Z920" s="145"/>
      <c r="AA920" s="145"/>
      <c r="AB920" s="145"/>
      <c r="AC920" s="145"/>
      <c r="AD920" s="145"/>
      <c r="AE920" s="145"/>
      <c r="AF920" s="145"/>
      <c r="AG920" s="145"/>
      <c r="AH920" s="145"/>
      <c r="AI920" s="145"/>
      <c r="AJ920" s="145"/>
      <c r="AK920" s="145"/>
      <c r="AL920" s="145"/>
      <c r="AM920" s="321"/>
      <c r="AN920" s="321"/>
      <c r="AO920" s="321"/>
      <c r="AP920" s="321"/>
      <c r="AQ920" s="321"/>
      <c r="AR920" s="321"/>
      <c r="AS920" s="321"/>
      <c r="AT920" s="321"/>
    </row>
    <row r="921" spans="10:46">
      <c r="J921" s="145"/>
      <c r="K921" s="145"/>
      <c r="L921" s="145"/>
      <c r="M921" s="145"/>
      <c r="N921" s="145"/>
      <c r="O921" s="145"/>
      <c r="P921" s="145"/>
      <c r="Q921" s="145"/>
      <c r="R921" s="145"/>
      <c r="S921" s="145"/>
      <c r="T921" s="145"/>
      <c r="U921" s="145"/>
      <c r="V921" s="145"/>
      <c r="W921" s="145"/>
      <c r="X921" s="145"/>
      <c r="Y921" s="145"/>
      <c r="Z921" s="145"/>
      <c r="AA921" s="145"/>
      <c r="AB921" s="145"/>
      <c r="AC921" s="145"/>
      <c r="AD921" s="145"/>
      <c r="AE921" s="145"/>
      <c r="AF921" s="145"/>
      <c r="AG921" s="145"/>
      <c r="AH921" s="145"/>
      <c r="AI921" s="145"/>
      <c r="AJ921" s="145"/>
      <c r="AK921" s="145"/>
      <c r="AL921" s="145"/>
      <c r="AM921" s="321"/>
      <c r="AN921" s="321"/>
      <c r="AO921" s="321"/>
      <c r="AP921" s="321"/>
      <c r="AQ921" s="321"/>
      <c r="AR921" s="321"/>
      <c r="AS921" s="321"/>
      <c r="AT921" s="321"/>
    </row>
    <row r="922" spans="10:46">
      <c r="J922" s="145"/>
      <c r="K922" s="145"/>
      <c r="L922" s="145"/>
      <c r="M922" s="145"/>
      <c r="N922" s="145"/>
      <c r="O922" s="145"/>
      <c r="P922" s="145"/>
      <c r="Q922" s="145"/>
      <c r="R922" s="145"/>
      <c r="S922" s="145"/>
      <c r="T922" s="145"/>
      <c r="U922" s="145"/>
      <c r="V922" s="145"/>
      <c r="W922" s="145"/>
      <c r="X922" s="145"/>
      <c r="Y922" s="145"/>
      <c r="Z922" s="145"/>
      <c r="AA922" s="145"/>
      <c r="AB922" s="145"/>
      <c r="AC922" s="145"/>
      <c r="AD922" s="145"/>
      <c r="AE922" s="145"/>
      <c r="AF922" s="145"/>
      <c r="AG922" s="145"/>
      <c r="AH922" s="145"/>
      <c r="AI922" s="145"/>
      <c r="AJ922" s="145"/>
      <c r="AK922" s="145"/>
      <c r="AL922" s="145"/>
      <c r="AM922" s="321"/>
      <c r="AN922" s="321"/>
      <c r="AO922" s="321"/>
      <c r="AP922" s="321"/>
      <c r="AQ922" s="321"/>
      <c r="AR922" s="321"/>
      <c r="AS922" s="321"/>
      <c r="AT922" s="321"/>
    </row>
    <row r="923" spans="10:46">
      <c r="J923" s="145"/>
      <c r="K923" s="145"/>
      <c r="L923" s="145"/>
      <c r="M923" s="145"/>
      <c r="N923" s="145"/>
      <c r="O923" s="145"/>
      <c r="P923" s="145"/>
      <c r="Q923" s="145"/>
      <c r="R923" s="145"/>
      <c r="S923" s="145"/>
      <c r="T923" s="145"/>
      <c r="U923" s="145"/>
      <c r="V923" s="145"/>
      <c r="W923" s="145"/>
      <c r="X923" s="145"/>
      <c r="Y923" s="145"/>
      <c r="Z923" s="145"/>
      <c r="AA923" s="145"/>
      <c r="AB923" s="145"/>
      <c r="AC923" s="145"/>
      <c r="AD923" s="145"/>
      <c r="AE923" s="145"/>
      <c r="AF923" s="145"/>
      <c r="AG923" s="145"/>
      <c r="AH923" s="145"/>
      <c r="AI923" s="145"/>
      <c r="AJ923" s="145"/>
      <c r="AK923" s="145"/>
      <c r="AL923" s="145"/>
      <c r="AM923" s="321"/>
      <c r="AN923" s="321"/>
      <c r="AO923" s="321"/>
      <c r="AP923" s="321"/>
      <c r="AQ923" s="321"/>
      <c r="AR923" s="321"/>
      <c r="AS923" s="321"/>
      <c r="AT923" s="321"/>
    </row>
    <row r="924" spans="10:46">
      <c r="J924" s="145"/>
      <c r="K924" s="145"/>
      <c r="L924" s="145"/>
      <c r="M924" s="145"/>
      <c r="N924" s="145"/>
      <c r="O924" s="145"/>
      <c r="P924" s="145"/>
      <c r="Q924" s="145"/>
      <c r="R924" s="145"/>
      <c r="S924" s="145"/>
      <c r="T924" s="145"/>
      <c r="U924" s="145"/>
      <c r="V924" s="145"/>
      <c r="W924" s="145"/>
      <c r="X924" s="145"/>
      <c r="Y924" s="145"/>
      <c r="Z924" s="145"/>
      <c r="AA924" s="145"/>
      <c r="AB924" s="145"/>
      <c r="AC924" s="145"/>
      <c r="AD924" s="145"/>
      <c r="AE924" s="145"/>
      <c r="AF924" s="145"/>
      <c r="AG924" s="145"/>
      <c r="AH924" s="145"/>
      <c r="AI924" s="145"/>
      <c r="AJ924" s="145"/>
      <c r="AK924" s="145"/>
      <c r="AL924" s="145"/>
      <c r="AM924" s="321"/>
      <c r="AN924" s="321"/>
      <c r="AO924" s="321"/>
      <c r="AP924" s="321"/>
      <c r="AQ924" s="321"/>
      <c r="AR924" s="321"/>
      <c r="AS924" s="321"/>
      <c r="AT924" s="321"/>
    </row>
    <row r="925" spans="10:46">
      <c r="J925" s="145"/>
      <c r="K925" s="145"/>
      <c r="L925" s="145"/>
      <c r="M925" s="145"/>
      <c r="N925" s="145"/>
      <c r="O925" s="145"/>
      <c r="P925" s="145"/>
      <c r="Q925" s="145"/>
      <c r="R925" s="145"/>
      <c r="S925" s="145"/>
      <c r="T925" s="145"/>
      <c r="U925" s="145"/>
      <c r="V925" s="145"/>
      <c r="W925" s="145"/>
      <c r="X925" s="145"/>
      <c r="Y925" s="145"/>
      <c r="Z925" s="145"/>
      <c r="AA925" s="145"/>
      <c r="AB925" s="145"/>
      <c r="AC925" s="145"/>
      <c r="AD925" s="145"/>
      <c r="AE925" s="145"/>
      <c r="AF925" s="145"/>
      <c r="AG925" s="145"/>
      <c r="AH925" s="145"/>
      <c r="AI925" s="145"/>
      <c r="AJ925" s="145"/>
      <c r="AK925" s="145"/>
      <c r="AL925" s="145"/>
      <c r="AM925" s="321"/>
      <c r="AN925" s="321"/>
      <c r="AO925" s="321"/>
      <c r="AP925" s="321"/>
      <c r="AQ925" s="321"/>
      <c r="AR925" s="321"/>
      <c r="AS925" s="321"/>
      <c r="AT925" s="321"/>
    </row>
    <row r="926" spans="10:46">
      <c r="J926" s="145"/>
      <c r="K926" s="145"/>
      <c r="L926" s="145"/>
      <c r="M926" s="145"/>
      <c r="N926" s="145"/>
      <c r="O926" s="145"/>
      <c r="P926" s="145"/>
      <c r="Q926" s="145"/>
      <c r="R926" s="145"/>
      <c r="S926" s="145"/>
      <c r="T926" s="145"/>
      <c r="U926" s="145"/>
      <c r="V926" s="145"/>
      <c r="W926" s="145"/>
      <c r="X926" s="145"/>
      <c r="Y926" s="145"/>
      <c r="Z926" s="145"/>
      <c r="AA926" s="145"/>
      <c r="AB926" s="145"/>
      <c r="AC926" s="145"/>
      <c r="AD926" s="145"/>
      <c r="AE926" s="145"/>
      <c r="AF926" s="145"/>
      <c r="AG926" s="145"/>
      <c r="AH926" s="145"/>
      <c r="AI926" s="145"/>
      <c r="AJ926" s="145"/>
      <c r="AK926" s="145"/>
      <c r="AL926" s="145"/>
      <c r="AM926" s="321"/>
      <c r="AN926" s="321"/>
      <c r="AO926" s="321"/>
      <c r="AP926" s="321"/>
      <c r="AQ926" s="321"/>
      <c r="AR926" s="321"/>
      <c r="AS926" s="321"/>
      <c r="AT926" s="321"/>
    </row>
    <row r="927" spans="10:46">
      <c r="J927" s="145"/>
      <c r="K927" s="145"/>
      <c r="L927" s="145"/>
      <c r="M927" s="145"/>
      <c r="N927" s="145"/>
      <c r="O927" s="145"/>
      <c r="P927" s="145"/>
      <c r="Q927" s="145"/>
      <c r="R927" s="145"/>
      <c r="S927" s="145"/>
      <c r="T927" s="145"/>
      <c r="U927" s="145"/>
      <c r="V927" s="145"/>
      <c r="W927" s="145"/>
      <c r="X927" s="145"/>
      <c r="Y927" s="145"/>
      <c r="Z927" s="145"/>
      <c r="AA927" s="145"/>
      <c r="AB927" s="145"/>
      <c r="AC927" s="145"/>
      <c r="AD927" s="145"/>
      <c r="AE927" s="145"/>
      <c r="AF927" s="145"/>
      <c r="AG927" s="145"/>
      <c r="AH927" s="145"/>
      <c r="AI927" s="145"/>
      <c r="AJ927" s="145"/>
      <c r="AK927" s="145"/>
      <c r="AL927" s="145"/>
      <c r="AM927" s="321"/>
      <c r="AN927" s="321"/>
      <c r="AO927" s="321"/>
      <c r="AP927" s="321"/>
      <c r="AQ927" s="321"/>
      <c r="AR927" s="321"/>
      <c r="AS927" s="321"/>
      <c r="AT927" s="321"/>
    </row>
    <row r="928" spans="10:46">
      <c r="J928" s="145"/>
      <c r="K928" s="145"/>
      <c r="L928" s="145"/>
      <c r="M928" s="145"/>
      <c r="N928" s="145"/>
      <c r="O928" s="145"/>
      <c r="P928" s="145"/>
      <c r="Q928" s="145"/>
      <c r="R928" s="145"/>
      <c r="S928" s="145"/>
      <c r="T928" s="145"/>
      <c r="U928" s="145"/>
      <c r="V928" s="145"/>
      <c r="W928" s="145"/>
      <c r="X928" s="145"/>
      <c r="Y928" s="145"/>
      <c r="Z928" s="145"/>
      <c r="AA928" s="145"/>
      <c r="AB928" s="145"/>
      <c r="AC928" s="145"/>
      <c r="AD928" s="145"/>
      <c r="AE928" s="145"/>
      <c r="AF928" s="145"/>
      <c r="AG928" s="145"/>
      <c r="AH928" s="145"/>
      <c r="AI928" s="145"/>
      <c r="AJ928" s="145"/>
      <c r="AK928" s="145"/>
      <c r="AL928" s="145"/>
      <c r="AM928" s="321"/>
      <c r="AN928" s="321"/>
      <c r="AO928" s="321"/>
      <c r="AP928" s="321"/>
      <c r="AQ928" s="321"/>
      <c r="AR928" s="321"/>
      <c r="AS928" s="321"/>
      <c r="AT928" s="321"/>
    </row>
    <row r="929" spans="10:46">
      <c r="J929" s="145"/>
      <c r="K929" s="145"/>
      <c r="L929" s="145"/>
      <c r="M929" s="145"/>
      <c r="N929" s="145"/>
      <c r="O929" s="145"/>
      <c r="P929" s="145"/>
      <c r="Q929" s="145"/>
      <c r="R929" s="145"/>
      <c r="S929" s="145"/>
      <c r="T929" s="145"/>
      <c r="U929" s="145"/>
      <c r="V929" s="145"/>
      <c r="W929" s="145"/>
      <c r="X929" s="145"/>
      <c r="Y929" s="145"/>
      <c r="Z929" s="145"/>
      <c r="AA929" s="145"/>
      <c r="AB929" s="145"/>
      <c r="AC929" s="145"/>
      <c r="AD929" s="145"/>
      <c r="AE929" s="145"/>
      <c r="AF929" s="145"/>
      <c r="AG929" s="145"/>
      <c r="AH929" s="145"/>
      <c r="AI929" s="145"/>
      <c r="AJ929" s="145"/>
      <c r="AK929" s="145"/>
      <c r="AL929" s="145"/>
      <c r="AM929" s="321"/>
      <c r="AN929" s="321"/>
      <c r="AO929" s="321"/>
      <c r="AP929" s="321"/>
      <c r="AQ929" s="321"/>
      <c r="AR929" s="321"/>
      <c r="AS929" s="321"/>
      <c r="AT929" s="321"/>
    </row>
    <row r="930" spans="10:46">
      <c r="J930" s="145"/>
      <c r="K930" s="145"/>
      <c r="L930" s="145"/>
      <c r="M930" s="145"/>
      <c r="N930" s="145"/>
      <c r="O930" s="145"/>
      <c r="P930" s="145"/>
      <c r="Q930" s="145"/>
      <c r="R930" s="145"/>
      <c r="S930" s="145"/>
      <c r="T930" s="145"/>
      <c r="U930" s="145"/>
      <c r="V930" s="145"/>
      <c r="W930" s="145"/>
      <c r="X930" s="145"/>
      <c r="Y930" s="145"/>
      <c r="Z930" s="145"/>
      <c r="AA930" s="145"/>
      <c r="AB930" s="145"/>
      <c r="AC930" s="145"/>
      <c r="AD930" s="145"/>
      <c r="AE930" s="145"/>
      <c r="AF930" s="145"/>
      <c r="AG930" s="145"/>
      <c r="AH930" s="145"/>
      <c r="AI930" s="145"/>
      <c r="AJ930" s="145"/>
      <c r="AK930" s="145"/>
      <c r="AL930" s="145"/>
      <c r="AM930" s="321"/>
      <c r="AN930" s="321"/>
      <c r="AO930" s="321"/>
      <c r="AP930" s="321"/>
      <c r="AQ930" s="321"/>
      <c r="AR930" s="321"/>
      <c r="AS930" s="321"/>
      <c r="AT930" s="321"/>
    </row>
    <row r="931" spans="10:46">
      <c r="J931" s="145"/>
      <c r="K931" s="145"/>
      <c r="L931" s="145"/>
      <c r="M931" s="145"/>
      <c r="N931" s="145"/>
      <c r="O931" s="145"/>
      <c r="P931" s="145"/>
      <c r="Q931" s="145"/>
      <c r="R931" s="145"/>
      <c r="S931" s="145"/>
      <c r="T931" s="145"/>
      <c r="U931" s="145"/>
      <c r="V931" s="145"/>
      <c r="W931" s="145"/>
      <c r="X931" s="145"/>
      <c r="Y931" s="145"/>
      <c r="Z931" s="145"/>
      <c r="AA931" s="145"/>
      <c r="AB931" s="145"/>
      <c r="AC931" s="145"/>
      <c r="AD931" s="145"/>
      <c r="AE931" s="145"/>
      <c r="AF931" s="145"/>
      <c r="AG931" s="145"/>
      <c r="AH931" s="145"/>
      <c r="AI931" s="145"/>
      <c r="AJ931" s="145"/>
      <c r="AK931" s="145"/>
      <c r="AL931" s="145"/>
      <c r="AM931" s="321"/>
      <c r="AN931" s="321"/>
      <c r="AO931" s="321"/>
      <c r="AP931" s="321"/>
      <c r="AQ931" s="321"/>
      <c r="AR931" s="321"/>
      <c r="AS931" s="321"/>
      <c r="AT931" s="321"/>
    </row>
    <row r="932" spans="10:46">
      <c r="J932" s="145"/>
      <c r="K932" s="145"/>
      <c r="L932" s="145"/>
      <c r="M932" s="145"/>
      <c r="N932" s="145"/>
      <c r="O932" s="145"/>
      <c r="P932" s="145"/>
      <c r="Q932" s="145"/>
      <c r="R932" s="145"/>
      <c r="S932" s="145"/>
      <c r="T932" s="145"/>
      <c r="U932" s="145"/>
      <c r="V932" s="145"/>
      <c r="W932" s="145"/>
      <c r="X932" s="145"/>
      <c r="Y932" s="145"/>
      <c r="Z932" s="145"/>
      <c r="AA932" s="145"/>
      <c r="AB932" s="145"/>
      <c r="AC932" s="145"/>
      <c r="AD932" s="145"/>
      <c r="AE932" s="145"/>
      <c r="AF932" s="145"/>
      <c r="AG932" s="145"/>
      <c r="AH932" s="145"/>
      <c r="AI932" s="145"/>
      <c r="AJ932" s="145"/>
      <c r="AK932" s="145"/>
      <c r="AL932" s="145"/>
      <c r="AM932" s="321"/>
      <c r="AN932" s="321"/>
      <c r="AO932" s="321"/>
      <c r="AP932" s="321"/>
      <c r="AQ932" s="321"/>
      <c r="AR932" s="321"/>
      <c r="AS932" s="321"/>
      <c r="AT932" s="321"/>
    </row>
    <row r="933" spans="10:46">
      <c r="J933" s="145"/>
      <c r="K933" s="145"/>
      <c r="L933" s="145"/>
      <c r="M933" s="145"/>
      <c r="N933" s="145"/>
      <c r="O933" s="145"/>
      <c r="P933" s="145"/>
      <c r="Q933" s="145"/>
      <c r="R933" s="145"/>
      <c r="S933" s="145"/>
      <c r="T933" s="145"/>
      <c r="U933" s="145"/>
      <c r="V933" s="145"/>
      <c r="W933" s="145"/>
      <c r="X933" s="145"/>
      <c r="Y933" s="145"/>
      <c r="Z933" s="145"/>
      <c r="AA933" s="145"/>
      <c r="AB933" s="145"/>
      <c r="AC933" s="145"/>
      <c r="AD933" s="145"/>
      <c r="AE933" s="145"/>
      <c r="AF933" s="145"/>
      <c r="AG933" s="145"/>
      <c r="AH933" s="145"/>
      <c r="AI933" s="145"/>
      <c r="AJ933" s="145"/>
      <c r="AK933" s="145"/>
      <c r="AL933" s="145"/>
      <c r="AM933" s="321"/>
      <c r="AN933" s="321"/>
      <c r="AO933" s="321"/>
      <c r="AP933" s="321"/>
      <c r="AQ933" s="321"/>
      <c r="AR933" s="321"/>
      <c r="AS933" s="321"/>
      <c r="AT933" s="321"/>
    </row>
    <row r="934" spans="10:46">
      <c r="J934" s="145"/>
      <c r="K934" s="145"/>
      <c r="L934" s="145"/>
      <c r="M934" s="145"/>
      <c r="N934" s="145"/>
      <c r="O934" s="145"/>
      <c r="P934" s="145"/>
      <c r="Q934" s="145"/>
      <c r="R934" s="145"/>
      <c r="S934" s="145"/>
      <c r="T934" s="145"/>
      <c r="U934" s="145"/>
      <c r="V934" s="145"/>
      <c r="W934" s="145"/>
      <c r="X934" s="145"/>
      <c r="Y934" s="145"/>
      <c r="Z934" s="145"/>
      <c r="AA934" s="145"/>
      <c r="AB934" s="145"/>
      <c r="AC934" s="145"/>
      <c r="AD934" s="145"/>
      <c r="AE934" s="145"/>
      <c r="AF934" s="145"/>
      <c r="AG934" s="145"/>
      <c r="AH934" s="145"/>
      <c r="AI934" s="145"/>
      <c r="AJ934" s="145"/>
      <c r="AK934" s="145"/>
      <c r="AL934" s="145"/>
      <c r="AM934" s="321"/>
      <c r="AN934" s="321"/>
      <c r="AO934" s="321"/>
      <c r="AP934" s="321"/>
      <c r="AQ934" s="321"/>
      <c r="AR934" s="321"/>
      <c r="AS934" s="321"/>
      <c r="AT934" s="321"/>
    </row>
    <row r="935" spans="10:46">
      <c r="J935" s="145"/>
      <c r="K935" s="145"/>
      <c r="L935" s="145"/>
      <c r="M935" s="145"/>
      <c r="N935" s="145"/>
      <c r="O935" s="145"/>
      <c r="P935" s="145"/>
      <c r="Q935" s="145"/>
      <c r="R935" s="145"/>
      <c r="S935" s="145"/>
      <c r="T935" s="145"/>
      <c r="U935" s="145"/>
      <c r="V935" s="145"/>
      <c r="W935" s="145"/>
      <c r="X935" s="145"/>
      <c r="Y935" s="145"/>
      <c r="Z935" s="145"/>
      <c r="AA935" s="145"/>
      <c r="AB935" s="145"/>
      <c r="AC935" s="145"/>
      <c r="AD935" s="145"/>
      <c r="AE935" s="145"/>
      <c r="AF935" s="145"/>
      <c r="AG935" s="145"/>
      <c r="AH935" s="145"/>
      <c r="AI935" s="145"/>
      <c r="AJ935" s="145"/>
      <c r="AK935" s="145"/>
      <c r="AL935" s="145"/>
      <c r="AM935" s="321"/>
      <c r="AN935" s="321"/>
      <c r="AO935" s="321"/>
      <c r="AP935" s="321"/>
      <c r="AQ935" s="321"/>
      <c r="AR935" s="321"/>
      <c r="AS935" s="321"/>
      <c r="AT935" s="321"/>
    </row>
    <row r="936" spans="10:46">
      <c r="J936" s="145"/>
      <c r="K936" s="145"/>
      <c r="L936" s="145"/>
      <c r="M936" s="145"/>
      <c r="N936" s="145"/>
      <c r="O936" s="145"/>
      <c r="P936" s="145"/>
      <c r="Q936" s="145"/>
      <c r="R936" s="145"/>
      <c r="S936" s="145"/>
      <c r="T936" s="145"/>
      <c r="U936" s="145"/>
      <c r="V936" s="145"/>
      <c r="W936" s="145"/>
      <c r="X936" s="145"/>
      <c r="Y936" s="145"/>
      <c r="Z936" s="145"/>
      <c r="AA936" s="145"/>
      <c r="AB936" s="145"/>
      <c r="AC936" s="145"/>
      <c r="AD936" s="145"/>
      <c r="AE936" s="145"/>
      <c r="AF936" s="145"/>
      <c r="AG936" s="145"/>
      <c r="AH936" s="145"/>
      <c r="AI936" s="145"/>
      <c r="AJ936" s="145"/>
      <c r="AK936" s="145"/>
      <c r="AL936" s="145"/>
      <c r="AM936" s="321"/>
      <c r="AN936" s="321"/>
      <c r="AO936" s="321"/>
      <c r="AP936" s="321"/>
      <c r="AQ936" s="321"/>
      <c r="AR936" s="321"/>
      <c r="AS936" s="321"/>
      <c r="AT936" s="321"/>
    </row>
    <row r="937" spans="10:46">
      <c r="J937" s="145"/>
      <c r="K937" s="145"/>
      <c r="L937" s="145"/>
      <c r="M937" s="145"/>
      <c r="N937" s="145"/>
      <c r="O937" s="145"/>
      <c r="P937" s="145"/>
      <c r="Q937" s="145"/>
      <c r="R937" s="145"/>
      <c r="S937" s="145"/>
      <c r="T937" s="145"/>
      <c r="U937" s="145"/>
      <c r="V937" s="145"/>
      <c r="W937" s="145"/>
      <c r="X937" s="145"/>
      <c r="Y937" s="145"/>
      <c r="Z937" s="145"/>
      <c r="AA937" s="145"/>
      <c r="AB937" s="145"/>
      <c r="AC937" s="145"/>
      <c r="AD937" s="145"/>
      <c r="AE937" s="145"/>
      <c r="AF937" s="145"/>
      <c r="AG937" s="145"/>
      <c r="AH937" s="145"/>
      <c r="AI937" s="145"/>
      <c r="AJ937" s="145"/>
      <c r="AK937" s="145"/>
      <c r="AL937" s="145"/>
      <c r="AM937" s="321"/>
      <c r="AN937" s="321"/>
      <c r="AO937" s="321"/>
      <c r="AP937" s="321"/>
      <c r="AQ937" s="321"/>
      <c r="AR937" s="321"/>
      <c r="AS937" s="321"/>
      <c r="AT937" s="321"/>
    </row>
    <row r="938" spans="10:46">
      <c r="J938" s="145"/>
      <c r="K938" s="145"/>
      <c r="L938" s="145"/>
      <c r="M938" s="145"/>
      <c r="N938" s="145"/>
      <c r="O938" s="145"/>
      <c r="P938" s="145"/>
      <c r="Q938" s="145"/>
      <c r="R938" s="145"/>
      <c r="S938" s="145"/>
      <c r="T938" s="145"/>
      <c r="U938" s="145"/>
      <c r="V938" s="145"/>
      <c r="W938" s="145"/>
      <c r="X938" s="145"/>
      <c r="Y938" s="145"/>
      <c r="Z938" s="145"/>
      <c r="AA938" s="145"/>
      <c r="AB938" s="145"/>
      <c r="AC938" s="145"/>
      <c r="AD938" s="145"/>
      <c r="AE938" s="145"/>
      <c r="AF938" s="145"/>
      <c r="AG938" s="145"/>
      <c r="AH938" s="145"/>
      <c r="AI938" s="145"/>
      <c r="AJ938" s="145"/>
      <c r="AK938" s="145"/>
      <c r="AL938" s="145"/>
      <c r="AM938" s="321"/>
      <c r="AN938" s="321"/>
      <c r="AO938" s="321"/>
      <c r="AP938" s="321"/>
      <c r="AQ938" s="321"/>
      <c r="AR938" s="321"/>
      <c r="AS938" s="321"/>
      <c r="AT938" s="321"/>
    </row>
    <row r="939" spans="10:46">
      <c r="J939" s="145"/>
      <c r="K939" s="145"/>
      <c r="L939" s="145"/>
      <c r="M939" s="145"/>
      <c r="N939" s="145"/>
      <c r="O939" s="145"/>
      <c r="P939" s="145"/>
      <c r="Q939" s="145"/>
      <c r="R939" s="145"/>
      <c r="S939" s="145"/>
      <c r="T939" s="145"/>
      <c r="U939" s="145"/>
      <c r="V939" s="145"/>
      <c r="W939" s="145"/>
      <c r="X939" s="145"/>
      <c r="Y939" s="145"/>
      <c r="Z939" s="145"/>
      <c r="AA939" s="145"/>
      <c r="AB939" s="145"/>
      <c r="AC939" s="145"/>
      <c r="AD939" s="145"/>
      <c r="AE939" s="145"/>
      <c r="AF939" s="145"/>
      <c r="AG939" s="145"/>
      <c r="AH939" s="145"/>
      <c r="AI939" s="145"/>
      <c r="AJ939" s="145"/>
      <c r="AK939" s="145"/>
      <c r="AL939" s="145"/>
      <c r="AM939" s="321"/>
      <c r="AN939" s="321"/>
      <c r="AO939" s="321"/>
      <c r="AP939" s="321"/>
      <c r="AQ939" s="321"/>
      <c r="AR939" s="321"/>
      <c r="AS939" s="321"/>
      <c r="AT939" s="321"/>
    </row>
    <row r="940" spans="10:46">
      <c r="J940" s="145"/>
      <c r="K940" s="145"/>
      <c r="L940" s="145"/>
      <c r="M940" s="145"/>
      <c r="N940" s="145"/>
      <c r="O940" s="145"/>
      <c r="P940" s="145"/>
      <c r="Q940" s="145"/>
      <c r="R940" s="145"/>
      <c r="S940" s="145"/>
      <c r="T940" s="145"/>
      <c r="U940" s="145"/>
      <c r="V940" s="145"/>
      <c r="W940" s="145"/>
      <c r="X940" s="145"/>
      <c r="Y940" s="145"/>
      <c r="Z940" s="145"/>
      <c r="AA940" s="145"/>
      <c r="AB940" s="145"/>
      <c r="AC940" s="145"/>
      <c r="AD940" s="145"/>
      <c r="AE940" s="145"/>
      <c r="AF940" s="145"/>
      <c r="AG940" s="145"/>
      <c r="AH940" s="145"/>
      <c r="AI940" s="145"/>
      <c r="AJ940" s="145"/>
      <c r="AK940" s="145"/>
      <c r="AL940" s="145"/>
      <c r="AM940" s="321"/>
      <c r="AN940" s="321"/>
      <c r="AO940" s="321"/>
      <c r="AP940" s="321"/>
      <c r="AQ940" s="321"/>
      <c r="AR940" s="321"/>
      <c r="AS940" s="321"/>
      <c r="AT940" s="321"/>
    </row>
    <row r="941" spans="10:46">
      <c r="J941" s="145"/>
      <c r="K941" s="145"/>
      <c r="L941" s="145"/>
      <c r="M941" s="145"/>
      <c r="N941" s="145"/>
      <c r="O941" s="145"/>
      <c r="P941" s="145"/>
      <c r="Q941" s="145"/>
      <c r="R941" s="145"/>
      <c r="S941" s="145"/>
      <c r="T941" s="145"/>
      <c r="U941" s="145"/>
      <c r="V941" s="145"/>
      <c r="W941" s="145"/>
      <c r="X941" s="145"/>
      <c r="Y941" s="145"/>
      <c r="Z941" s="145"/>
      <c r="AA941" s="145"/>
      <c r="AB941" s="145"/>
      <c r="AC941" s="145"/>
      <c r="AD941" s="145"/>
      <c r="AE941" s="145"/>
      <c r="AF941" s="145"/>
      <c r="AG941" s="145"/>
      <c r="AH941" s="145"/>
      <c r="AI941" s="145"/>
      <c r="AJ941" s="145"/>
      <c r="AK941" s="145"/>
      <c r="AL941" s="145"/>
      <c r="AM941" s="321"/>
      <c r="AN941" s="321"/>
      <c r="AO941" s="321"/>
      <c r="AP941" s="321"/>
      <c r="AQ941" s="321"/>
      <c r="AR941" s="321"/>
      <c r="AS941" s="321"/>
      <c r="AT941" s="321"/>
    </row>
    <row r="942" spans="10:46">
      <c r="J942" s="145"/>
      <c r="K942" s="145"/>
      <c r="L942" s="145"/>
      <c r="M942" s="145"/>
      <c r="N942" s="145"/>
      <c r="O942" s="145"/>
      <c r="P942" s="145"/>
      <c r="Q942" s="145"/>
      <c r="R942" s="145"/>
      <c r="S942" s="145"/>
      <c r="T942" s="145"/>
      <c r="U942" s="145"/>
      <c r="V942" s="145"/>
      <c r="W942" s="145"/>
      <c r="X942" s="145"/>
      <c r="Y942" s="145"/>
      <c r="Z942" s="145"/>
      <c r="AA942" s="145"/>
      <c r="AB942" s="145"/>
      <c r="AC942" s="145"/>
      <c r="AD942" s="145"/>
      <c r="AE942" s="145"/>
      <c r="AF942" s="145"/>
      <c r="AG942" s="145"/>
      <c r="AH942" s="145"/>
      <c r="AI942" s="145"/>
      <c r="AJ942" s="145"/>
      <c r="AK942" s="145"/>
      <c r="AL942" s="145"/>
      <c r="AM942" s="321"/>
      <c r="AN942" s="321"/>
      <c r="AO942" s="321"/>
      <c r="AP942" s="321"/>
      <c r="AQ942" s="321"/>
      <c r="AR942" s="321"/>
      <c r="AS942" s="321"/>
      <c r="AT942" s="321"/>
    </row>
    <row r="943" spans="10:46">
      <c r="J943" s="145"/>
      <c r="K943" s="145"/>
      <c r="L943" s="145"/>
      <c r="M943" s="145"/>
      <c r="N943" s="145"/>
      <c r="O943" s="145"/>
      <c r="P943" s="145"/>
      <c r="Q943" s="145"/>
      <c r="R943" s="145"/>
      <c r="S943" s="145"/>
      <c r="T943" s="145"/>
      <c r="U943" s="145"/>
      <c r="V943" s="145"/>
      <c r="W943" s="145"/>
      <c r="X943" s="145"/>
      <c r="Y943" s="145"/>
      <c r="Z943" s="145"/>
      <c r="AA943" s="145"/>
      <c r="AB943" s="145"/>
      <c r="AC943" s="145"/>
      <c r="AD943" s="145"/>
      <c r="AE943" s="145"/>
      <c r="AF943" s="145"/>
      <c r="AG943" s="145"/>
      <c r="AH943" s="145"/>
      <c r="AI943" s="145"/>
      <c r="AJ943" s="145"/>
      <c r="AK943" s="145"/>
      <c r="AL943" s="145"/>
      <c r="AM943" s="321"/>
      <c r="AN943" s="321"/>
      <c r="AO943" s="321"/>
      <c r="AP943" s="321"/>
      <c r="AQ943" s="321"/>
      <c r="AR943" s="321"/>
      <c r="AS943" s="321"/>
      <c r="AT943" s="321"/>
    </row>
    <row r="944" spans="10:46">
      <c r="J944" s="145"/>
      <c r="K944" s="145"/>
      <c r="L944" s="145"/>
      <c r="M944" s="145"/>
      <c r="N944" s="145"/>
      <c r="O944" s="145"/>
      <c r="P944" s="145"/>
      <c r="Q944" s="145"/>
      <c r="R944" s="145"/>
      <c r="S944" s="145"/>
      <c r="T944" s="145"/>
      <c r="U944" s="145"/>
      <c r="V944" s="145"/>
      <c r="W944" s="145"/>
      <c r="X944" s="145"/>
      <c r="Y944" s="145"/>
      <c r="Z944" s="145"/>
      <c r="AA944" s="145"/>
      <c r="AB944" s="145"/>
      <c r="AC944" s="145"/>
      <c r="AD944" s="145"/>
      <c r="AE944" s="145"/>
      <c r="AF944" s="145"/>
      <c r="AG944" s="145"/>
      <c r="AH944" s="145"/>
      <c r="AI944" s="145"/>
      <c r="AJ944" s="145"/>
      <c r="AK944" s="145"/>
      <c r="AL944" s="145"/>
      <c r="AM944" s="321"/>
      <c r="AN944" s="321"/>
      <c r="AO944" s="321"/>
      <c r="AP944" s="321"/>
      <c r="AQ944" s="321"/>
      <c r="AR944" s="321"/>
      <c r="AS944" s="321"/>
      <c r="AT944" s="321"/>
    </row>
    <row r="945" spans="10:46">
      <c r="J945" s="145"/>
      <c r="K945" s="145"/>
      <c r="L945" s="145"/>
      <c r="M945" s="145"/>
      <c r="N945" s="145"/>
      <c r="O945" s="145"/>
      <c r="P945" s="145"/>
      <c r="Q945" s="145"/>
      <c r="R945" s="145"/>
      <c r="S945" s="145"/>
      <c r="T945" s="145"/>
      <c r="U945" s="145"/>
      <c r="V945" s="145"/>
      <c r="W945" s="145"/>
      <c r="X945" s="145"/>
      <c r="Y945" s="145"/>
      <c r="Z945" s="145"/>
      <c r="AA945" s="145"/>
      <c r="AB945" s="145"/>
      <c r="AC945" s="145"/>
      <c r="AD945" s="145"/>
      <c r="AE945" s="145"/>
      <c r="AF945" s="145"/>
      <c r="AG945" s="145"/>
      <c r="AH945" s="145"/>
      <c r="AI945" s="145"/>
      <c r="AJ945" s="145"/>
      <c r="AK945" s="145"/>
      <c r="AL945" s="145"/>
      <c r="AM945" s="321"/>
      <c r="AN945" s="321"/>
      <c r="AO945" s="321"/>
      <c r="AP945" s="321"/>
      <c r="AQ945" s="321"/>
      <c r="AR945" s="321"/>
      <c r="AS945" s="321"/>
      <c r="AT945" s="321"/>
    </row>
    <row r="946" spans="10:46">
      <c r="J946" s="145"/>
      <c r="K946" s="145"/>
      <c r="L946" s="145"/>
      <c r="M946" s="145"/>
      <c r="N946" s="145"/>
      <c r="O946" s="145"/>
      <c r="P946" s="145"/>
      <c r="Q946" s="145"/>
      <c r="R946" s="145"/>
      <c r="S946" s="145"/>
      <c r="T946" s="145"/>
      <c r="U946" s="145"/>
      <c r="V946" s="145"/>
      <c r="W946" s="145"/>
      <c r="X946" s="145"/>
      <c r="Y946" s="145"/>
      <c r="Z946" s="145"/>
      <c r="AA946" s="145"/>
      <c r="AB946" s="145"/>
      <c r="AC946" s="145"/>
      <c r="AD946" s="145"/>
      <c r="AE946" s="145"/>
      <c r="AF946" s="145"/>
      <c r="AG946" s="145"/>
      <c r="AH946" s="145"/>
      <c r="AI946" s="145"/>
      <c r="AJ946" s="145"/>
      <c r="AK946" s="145"/>
      <c r="AL946" s="145"/>
      <c r="AM946" s="321"/>
      <c r="AN946" s="321"/>
      <c r="AO946" s="321"/>
      <c r="AP946" s="321"/>
      <c r="AQ946" s="321"/>
      <c r="AR946" s="321"/>
      <c r="AS946" s="321"/>
      <c r="AT946" s="321"/>
    </row>
    <row r="947" spans="10:46">
      <c r="J947" s="145"/>
      <c r="K947" s="145"/>
      <c r="L947" s="145"/>
      <c r="M947" s="145"/>
      <c r="N947" s="145"/>
      <c r="O947" s="145"/>
      <c r="P947" s="145"/>
      <c r="Q947" s="145"/>
      <c r="R947" s="145"/>
      <c r="S947" s="145"/>
      <c r="T947" s="145"/>
      <c r="U947" s="145"/>
      <c r="V947" s="145"/>
      <c r="W947" s="145"/>
      <c r="X947" s="145"/>
      <c r="Y947" s="145"/>
      <c r="Z947" s="145"/>
      <c r="AA947" s="145"/>
      <c r="AB947" s="145"/>
      <c r="AC947" s="145"/>
      <c r="AD947" s="145"/>
      <c r="AE947" s="145"/>
      <c r="AF947" s="145"/>
      <c r="AG947" s="145"/>
      <c r="AH947" s="145"/>
      <c r="AI947" s="145"/>
      <c r="AJ947" s="145"/>
      <c r="AK947" s="145"/>
      <c r="AL947" s="145"/>
      <c r="AM947" s="321"/>
      <c r="AN947" s="321"/>
      <c r="AO947" s="321"/>
      <c r="AP947" s="321"/>
      <c r="AQ947" s="321"/>
      <c r="AR947" s="321"/>
      <c r="AS947" s="321"/>
      <c r="AT947" s="321"/>
    </row>
    <row r="948" spans="10:46">
      <c r="J948" s="145"/>
      <c r="K948" s="145"/>
      <c r="L948" s="145"/>
      <c r="M948" s="145"/>
      <c r="N948" s="145"/>
      <c r="O948" s="145"/>
      <c r="P948" s="145"/>
      <c r="Q948" s="145"/>
      <c r="R948" s="145"/>
      <c r="S948" s="145"/>
      <c r="T948" s="145"/>
      <c r="U948" s="145"/>
      <c r="V948" s="145"/>
      <c r="W948" s="145"/>
      <c r="X948" s="145"/>
      <c r="Y948" s="145"/>
      <c r="Z948" s="145"/>
      <c r="AA948" s="145"/>
      <c r="AB948" s="145"/>
      <c r="AC948" s="145"/>
      <c r="AD948" s="145"/>
      <c r="AE948" s="145"/>
      <c r="AF948" s="145"/>
      <c r="AG948" s="145"/>
      <c r="AH948" s="145"/>
      <c r="AI948" s="145"/>
      <c r="AJ948" s="145"/>
      <c r="AK948" s="145"/>
      <c r="AL948" s="145"/>
      <c r="AM948" s="321"/>
      <c r="AN948" s="321"/>
      <c r="AO948" s="321"/>
      <c r="AP948" s="321"/>
      <c r="AQ948" s="321"/>
      <c r="AR948" s="321"/>
      <c r="AS948" s="321"/>
      <c r="AT948" s="321"/>
    </row>
    <row r="949" spans="10:46">
      <c r="J949" s="145"/>
      <c r="K949" s="145"/>
      <c r="L949" s="145"/>
      <c r="M949" s="145"/>
      <c r="N949" s="145"/>
      <c r="O949" s="145"/>
      <c r="P949" s="145"/>
      <c r="Q949" s="145"/>
      <c r="R949" s="145"/>
      <c r="S949" s="145"/>
      <c r="T949" s="145"/>
      <c r="U949" s="145"/>
      <c r="V949" s="145"/>
      <c r="W949" s="145"/>
      <c r="X949" s="145"/>
      <c r="Y949" s="145"/>
      <c r="Z949" s="145"/>
      <c r="AA949" s="145"/>
      <c r="AB949" s="145"/>
      <c r="AC949" s="145"/>
      <c r="AD949" s="145"/>
      <c r="AE949" s="145"/>
      <c r="AF949" s="145"/>
      <c r="AG949" s="145"/>
      <c r="AH949" s="145"/>
      <c r="AI949" s="145"/>
      <c r="AJ949" s="145"/>
      <c r="AK949" s="145"/>
      <c r="AL949" s="145"/>
      <c r="AM949" s="321"/>
      <c r="AN949" s="321"/>
      <c r="AO949" s="321"/>
      <c r="AP949" s="321"/>
      <c r="AQ949" s="321"/>
      <c r="AR949" s="321"/>
      <c r="AS949" s="321"/>
      <c r="AT949" s="321"/>
    </row>
    <row r="950" spans="10:46">
      <c r="J950" s="145"/>
      <c r="K950" s="145"/>
      <c r="L950" s="145"/>
      <c r="M950" s="145"/>
      <c r="N950" s="145"/>
      <c r="O950" s="145"/>
      <c r="P950" s="145"/>
      <c r="Q950" s="145"/>
      <c r="R950" s="145"/>
      <c r="S950" s="145"/>
      <c r="T950" s="145"/>
      <c r="U950" s="145"/>
      <c r="V950" s="145"/>
      <c r="W950" s="145"/>
      <c r="X950" s="145"/>
      <c r="Y950" s="145"/>
      <c r="Z950" s="145"/>
      <c r="AA950" s="145"/>
      <c r="AB950" s="145"/>
      <c r="AC950" s="145"/>
      <c r="AD950" s="145"/>
      <c r="AE950" s="145"/>
      <c r="AF950" s="145"/>
      <c r="AG950" s="145"/>
      <c r="AH950" s="145"/>
      <c r="AI950" s="145"/>
      <c r="AJ950" s="145"/>
      <c r="AK950" s="145"/>
      <c r="AL950" s="145"/>
      <c r="AM950" s="321"/>
      <c r="AN950" s="321"/>
      <c r="AO950" s="321"/>
      <c r="AP950" s="321"/>
      <c r="AQ950" s="321"/>
      <c r="AR950" s="321"/>
      <c r="AS950" s="321"/>
      <c r="AT950" s="321"/>
    </row>
    <row r="951" spans="10:46">
      <c r="J951" s="145"/>
      <c r="K951" s="145"/>
      <c r="L951" s="145"/>
      <c r="M951" s="145"/>
      <c r="N951" s="145"/>
      <c r="O951" s="145"/>
      <c r="P951" s="145"/>
      <c r="Q951" s="145"/>
      <c r="R951" s="145"/>
      <c r="S951" s="145"/>
      <c r="T951" s="145"/>
      <c r="U951" s="145"/>
      <c r="V951" s="145"/>
      <c r="W951" s="145"/>
      <c r="X951" s="145"/>
      <c r="Y951" s="145"/>
      <c r="Z951" s="145"/>
      <c r="AA951" s="145"/>
      <c r="AB951" s="145"/>
      <c r="AC951" s="145"/>
      <c r="AD951" s="145"/>
      <c r="AE951" s="145"/>
      <c r="AF951" s="145"/>
      <c r="AG951" s="145"/>
      <c r="AH951" s="145"/>
      <c r="AI951" s="145"/>
      <c r="AJ951" s="145"/>
      <c r="AK951" s="145"/>
      <c r="AL951" s="145"/>
      <c r="AM951" s="321"/>
      <c r="AN951" s="321"/>
      <c r="AO951" s="321"/>
      <c r="AP951" s="321"/>
      <c r="AQ951" s="321"/>
      <c r="AR951" s="321"/>
      <c r="AS951" s="321"/>
      <c r="AT951" s="321"/>
    </row>
    <row r="952" spans="10:46">
      <c r="J952" s="145"/>
      <c r="K952" s="145"/>
      <c r="L952" s="145"/>
      <c r="M952" s="145"/>
      <c r="N952" s="145"/>
      <c r="O952" s="145"/>
      <c r="P952" s="145"/>
      <c r="Q952" s="145"/>
      <c r="R952" s="145"/>
      <c r="S952" s="145"/>
      <c r="T952" s="145"/>
      <c r="U952" s="145"/>
      <c r="V952" s="145"/>
      <c r="W952" s="145"/>
      <c r="X952" s="145"/>
      <c r="Y952" s="145"/>
      <c r="Z952" s="145"/>
      <c r="AA952" s="145"/>
      <c r="AB952" s="145"/>
      <c r="AC952" s="145"/>
      <c r="AD952" s="145"/>
      <c r="AE952" s="145"/>
      <c r="AF952" s="145"/>
      <c r="AG952" s="145"/>
      <c r="AH952" s="145"/>
      <c r="AI952" s="145"/>
      <c r="AJ952" s="145"/>
      <c r="AK952" s="145"/>
      <c r="AL952" s="145"/>
      <c r="AM952" s="321"/>
      <c r="AN952" s="321"/>
      <c r="AO952" s="321"/>
      <c r="AP952" s="321"/>
      <c r="AQ952" s="321"/>
      <c r="AR952" s="321"/>
      <c r="AS952" s="321"/>
      <c r="AT952" s="321"/>
    </row>
    <row r="953" spans="10:46">
      <c r="J953" s="145"/>
      <c r="K953" s="145"/>
      <c r="L953" s="145"/>
      <c r="M953" s="145"/>
      <c r="N953" s="145"/>
      <c r="O953" s="145"/>
      <c r="P953" s="145"/>
      <c r="Q953" s="145"/>
      <c r="R953" s="145"/>
      <c r="S953" s="145"/>
      <c r="T953" s="145"/>
      <c r="U953" s="145"/>
      <c r="V953" s="145"/>
      <c r="W953" s="145"/>
      <c r="X953" s="145"/>
      <c r="Y953" s="145"/>
      <c r="Z953" s="145"/>
      <c r="AA953" s="145"/>
      <c r="AB953" s="145"/>
      <c r="AC953" s="145"/>
      <c r="AD953" s="145"/>
      <c r="AE953" s="145"/>
      <c r="AF953" s="145"/>
      <c r="AG953" s="145"/>
      <c r="AH953" s="145"/>
      <c r="AI953" s="145"/>
      <c r="AJ953" s="145"/>
      <c r="AK953" s="145"/>
      <c r="AL953" s="145"/>
      <c r="AM953" s="321"/>
      <c r="AN953" s="321"/>
      <c r="AO953" s="321"/>
      <c r="AP953" s="321"/>
      <c r="AQ953" s="321"/>
      <c r="AR953" s="321"/>
      <c r="AS953" s="321"/>
      <c r="AT953" s="321"/>
    </row>
    <row r="954" spans="10:46">
      <c r="J954" s="145"/>
      <c r="K954" s="145"/>
      <c r="L954" s="145"/>
      <c r="M954" s="145"/>
      <c r="N954" s="145"/>
      <c r="O954" s="145"/>
      <c r="P954" s="145"/>
      <c r="Q954" s="145"/>
      <c r="R954" s="145"/>
      <c r="S954" s="145"/>
      <c r="T954" s="145"/>
      <c r="U954" s="145"/>
      <c r="V954" s="145"/>
      <c r="W954" s="145"/>
      <c r="X954" s="145"/>
      <c r="Y954" s="145"/>
      <c r="Z954" s="145"/>
      <c r="AA954" s="145"/>
      <c r="AB954" s="145"/>
      <c r="AC954" s="145"/>
      <c r="AD954" s="145"/>
      <c r="AE954" s="145"/>
      <c r="AF954" s="145"/>
      <c r="AG954" s="145"/>
      <c r="AH954" s="145"/>
      <c r="AI954" s="145"/>
      <c r="AJ954" s="145"/>
      <c r="AK954" s="145"/>
      <c r="AL954" s="145"/>
      <c r="AM954" s="321"/>
      <c r="AN954" s="321"/>
      <c r="AO954" s="321"/>
      <c r="AP954" s="321"/>
      <c r="AQ954" s="321"/>
      <c r="AR954" s="321"/>
      <c r="AS954" s="321"/>
      <c r="AT954" s="321"/>
    </row>
    <row r="955" spans="10:46">
      <c r="J955" s="145"/>
      <c r="K955" s="145"/>
      <c r="L955" s="145"/>
      <c r="M955" s="145"/>
      <c r="N955" s="145"/>
      <c r="O955" s="145"/>
      <c r="P955" s="145"/>
      <c r="Q955" s="145"/>
      <c r="R955" s="145"/>
      <c r="S955" s="145"/>
      <c r="T955" s="145"/>
      <c r="U955" s="145"/>
      <c r="V955" s="145"/>
      <c r="W955" s="145"/>
      <c r="X955" s="145"/>
      <c r="Y955" s="145"/>
      <c r="Z955" s="145"/>
      <c r="AA955" s="145"/>
      <c r="AB955" s="145"/>
      <c r="AC955" s="145"/>
      <c r="AD955" s="145"/>
      <c r="AE955" s="145"/>
      <c r="AF955" s="145"/>
      <c r="AG955" s="145"/>
      <c r="AH955" s="145"/>
      <c r="AI955" s="145"/>
      <c r="AJ955" s="145"/>
      <c r="AK955" s="145"/>
      <c r="AL955" s="145"/>
      <c r="AM955" s="321"/>
      <c r="AN955" s="321"/>
      <c r="AO955" s="321"/>
      <c r="AP955" s="321"/>
      <c r="AQ955" s="321"/>
      <c r="AR955" s="321"/>
      <c r="AS955" s="321"/>
      <c r="AT955" s="321"/>
    </row>
    <row r="956" spans="10:46">
      <c r="J956" s="145"/>
      <c r="K956" s="145"/>
      <c r="L956" s="145"/>
      <c r="M956" s="145"/>
      <c r="N956" s="145"/>
      <c r="O956" s="145"/>
      <c r="P956" s="145"/>
      <c r="Q956" s="145"/>
      <c r="R956" s="145"/>
      <c r="S956" s="145"/>
      <c r="T956" s="145"/>
      <c r="U956" s="145"/>
      <c r="V956" s="145"/>
      <c r="W956" s="145"/>
      <c r="X956" s="145"/>
      <c r="Y956" s="145"/>
      <c r="Z956" s="145"/>
      <c r="AA956" s="145"/>
      <c r="AB956" s="145"/>
      <c r="AC956" s="145"/>
      <c r="AD956" s="145"/>
      <c r="AE956" s="145"/>
      <c r="AF956" s="145"/>
      <c r="AG956" s="145"/>
      <c r="AH956" s="145"/>
      <c r="AI956" s="145"/>
      <c r="AJ956" s="145"/>
      <c r="AK956" s="145"/>
      <c r="AL956" s="145"/>
      <c r="AM956" s="321"/>
      <c r="AN956" s="321"/>
      <c r="AO956" s="321"/>
      <c r="AP956" s="321"/>
      <c r="AQ956" s="321"/>
      <c r="AR956" s="321"/>
      <c r="AS956" s="321"/>
      <c r="AT956" s="321"/>
    </row>
    <row r="957" spans="10:46">
      <c r="J957" s="145"/>
      <c r="K957" s="145"/>
      <c r="L957" s="145"/>
      <c r="M957" s="145"/>
      <c r="N957" s="145"/>
      <c r="O957" s="145"/>
      <c r="P957" s="145"/>
      <c r="Q957" s="145"/>
      <c r="R957" s="145"/>
      <c r="S957" s="145"/>
      <c r="T957" s="145"/>
      <c r="U957" s="145"/>
      <c r="V957" s="145"/>
      <c r="W957" s="145"/>
      <c r="X957" s="145"/>
      <c r="Y957" s="145"/>
      <c r="Z957" s="145"/>
      <c r="AA957" s="145"/>
      <c r="AB957" s="145"/>
      <c r="AC957" s="145"/>
      <c r="AD957" s="145"/>
      <c r="AE957" s="145"/>
      <c r="AF957" s="145"/>
      <c r="AG957" s="145"/>
      <c r="AH957" s="145"/>
      <c r="AI957" s="145"/>
      <c r="AJ957" s="145"/>
      <c r="AK957" s="145"/>
      <c r="AL957" s="145"/>
      <c r="AM957" s="321"/>
      <c r="AN957" s="321"/>
      <c r="AO957" s="321"/>
      <c r="AP957" s="321"/>
      <c r="AQ957" s="321"/>
      <c r="AR957" s="321"/>
      <c r="AS957" s="321"/>
      <c r="AT957" s="321"/>
    </row>
    <row r="958" spans="10:46">
      <c r="J958" s="145"/>
      <c r="K958" s="145"/>
      <c r="L958" s="145"/>
      <c r="M958" s="145"/>
      <c r="N958" s="145"/>
      <c r="O958" s="145"/>
      <c r="P958" s="145"/>
      <c r="Q958" s="145"/>
      <c r="R958" s="145"/>
      <c r="S958" s="145"/>
      <c r="T958" s="145"/>
      <c r="U958" s="145"/>
      <c r="V958" s="145"/>
      <c r="W958" s="145"/>
      <c r="X958" s="145"/>
      <c r="Y958" s="145"/>
      <c r="Z958" s="145"/>
      <c r="AA958" s="145"/>
      <c r="AB958" s="145"/>
      <c r="AC958" s="145"/>
      <c r="AD958" s="145"/>
      <c r="AE958" s="145"/>
      <c r="AF958" s="145"/>
      <c r="AG958" s="145"/>
      <c r="AH958" s="145"/>
      <c r="AI958" s="145"/>
      <c r="AJ958" s="145"/>
      <c r="AK958" s="145"/>
      <c r="AL958" s="145"/>
      <c r="AM958" s="321"/>
      <c r="AN958" s="321"/>
      <c r="AO958" s="321"/>
      <c r="AP958" s="321"/>
      <c r="AQ958" s="321"/>
      <c r="AR958" s="321"/>
      <c r="AS958" s="321"/>
      <c r="AT958" s="321"/>
    </row>
    <row r="959" spans="10:46">
      <c r="J959" s="145"/>
      <c r="K959" s="145"/>
      <c r="L959" s="145"/>
      <c r="M959" s="145"/>
      <c r="N959" s="145"/>
      <c r="O959" s="145"/>
      <c r="P959" s="145"/>
      <c r="Q959" s="145"/>
      <c r="R959" s="145"/>
      <c r="S959" s="145"/>
      <c r="T959" s="145"/>
      <c r="U959" s="145"/>
      <c r="V959" s="145"/>
      <c r="W959" s="145"/>
      <c r="X959" s="145"/>
      <c r="Y959" s="145"/>
      <c r="Z959" s="145"/>
      <c r="AA959" s="145"/>
      <c r="AB959" s="145"/>
      <c r="AC959" s="145"/>
      <c r="AD959" s="145"/>
      <c r="AE959" s="145"/>
      <c r="AF959" s="145"/>
      <c r="AG959" s="145"/>
      <c r="AH959" s="145"/>
      <c r="AI959" s="145"/>
      <c r="AJ959" s="145"/>
      <c r="AK959" s="145"/>
      <c r="AL959" s="145"/>
      <c r="AM959" s="321"/>
      <c r="AN959" s="321"/>
      <c r="AO959" s="321"/>
      <c r="AP959" s="321"/>
      <c r="AQ959" s="321"/>
      <c r="AR959" s="321"/>
      <c r="AS959" s="321"/>
      <c r="AT959" s="321"/>
    </row>
    <row r="960" spans="10:46">
      <c r="J960" s="145"/>
      <c r="K960" s="145"/>
      <c r="L960" s="145"/>
      <c r="M960" s="145"/>
      <c r="N960" s="145"/>
      <c r="O960" s="145"/>
      <c r="P960" s="145"/>
      <c r="Q960" s="145"/>
      <c r="R960" s="145"/>
      <c r="S960" s="145"/>
      <c r="T960" s="145"/>
      <c r="U960" s="145"/>
      <c r="V960" s="145"/>
      <c r="W960" s="145"/>
      <c r="X960" s="145"/>
      <c r="Y960" s="145"/>
      <c r="Z960" s="145"/>
      <c r="AA960" s="145"/>
      <c r="AB960" s="145"/>
      <c r="AC960" s="145"/>
      <c r="AD960" s="145"/>
      <c r="AE960" s="145"/>
      <c r="AF960" s="145"/>
      <c r="AG960" s="145"/>
      <c r="AH960" s="145"/>
      <c r="AI960" s="145"/>
      <c r="AJ960" s="145"/>
      <c r="AK960" s="145"/>
      <c r="AL960" s="145"/>
      <c r="AM960" s="321"/>
      <c r="AN960" s="321"/>
      <c r="AO960" s="321"/>
      <c r="AP960" s="321"/>
      <c r="AQ960" s="321"/>
      <c r="AR960" s="321"/>
      <c r="AS960" s="321"/>
      <c r="AT960" s="321"/>
    </row>
    <row r="961" spans="10:46">
      <c r="J961" s="145"/>
      <c r="K961" s="145"/>
      <c r="L961" s="145"/>
      <c r="M961" s="145"/>
      <c r="N961" s="145"/>
      <c r="O961" s="145"/>
      <c r="P961" s="145"/>
      <c r="Q961" s="145"/>
      <c r="R961" s="145"/>
      <c r="S961" s="145"/>
      <c r="T961" s="145"/>
      <c r="U961" s="145"/>
      <c r="V961" s="145"/>
      <c r="W961" s="145"/>
      <c r="X961" s="145"/>
      <c r="Y961" s="145"/>
      <c r="Z961" s="145"/>
      <c r="AA961" s="145"/>
      <c r="AB961" s="145"/>
      <c r="AC961" s="145"/>
      <c r="AD961" s="145"/>
      <c r="AE961" s="145"/>
      <c r="AF961" s="145"/>
      <c r="AG961" s="145"/>
      <c r="AH961" s="145"/>
      <c r="AI961" s="145"/>
      <c r="AJ961" s="145"/>
      <c r="AK961" s="145"/>
      <c r="AL961" s="145"/>
      <c r="AM961" s="321"/>
      <c r="AN961" s="321"/>
      <c r="AO961" s="321"/>
      <c r="AP961" s="321"/>
      <c r="AQ961" s="321"/>
      <c r="AR961" s="321"/>
      <c r="AS961" s="321"/>
      <c r="AT961" s="321"/>
    </row>
    <row r="962" spans="10:46">
      <c r="J962" s="145"/>
      <c r="K962" s="145"/>
      <c r="L962" s="145"/>
      <c r="M962" s="145"/>
      <c r="N962" s="145"/>
      <c r="O962" s="145"/>
      <c r="P962" s="145"/>
      <c r="Q962" s="145"/>
      <c r="R962" s="145"/>
      <c r="S962" s="145"/>
      <c r="T962" s="145"/>
      <c r="U962" s="145"/>
      <c r="V962" s="145"/>
      <c r="W962" s="145"/>
      <c r="X962" s="145"/>
      <c r="Y962" s="145"/>
      <c r="Z962" s="145"/>
      <c r="AA962" s="145"/>
      <c r="AB962" s="145"/>
      <c r="AC962" s="145"/>
      <c r="AD962" s="145"/>
      <c r="AE962" s="145"/>
      <c r="AF962" s="145"/>
      <c r="AG962" s="145"/>
      <c r="AH962" s="145"/>
      <c r="AI962" s="145"/>
      <c r="AJ962" s="145"/>
      <c r="AK962" s="145"/>
      <c r="AL962" s="145"/>
      <c r="AM962" s="321"/>
      <c r="AN962" s="321"/>
      <c r="AO962" s="321"/>
      <c r="AP962" s="321"/>
      <c r="AQ962" s="321"/>
      <c r="AR962" s="321"/>
      <c r="AS962" s="321"/>
      <c r="AT962" s="321"/>
    </row>
    <row r="963" spans="10:46">
      <c r="J963" s="145"/>
      <c r="K963" s="145"/>
      <c r="L963" s="145"/>
      <c r="M963" s="145"/>
      <c r="N963" s="145"/>
      <c r="O963" s="145"/>
      <c r="P963" s="145"/>
      <c r="Q963" s="145"/>
      <c r="R963" s="145"/>
      <c r="S963" s="145"/>
      <c r="T963" s="145"/>
      <c r="U963" s="145"/>
      <c r="V963" s="145"/>
      <c r="W963" s="145"/>
      <c r="X963" s="145"/>
      <c r="Y963" s="145"/>
      <c r="Z963" s="145"/>
      <c r="AA963" s="145"/>
      <c r="AB963" s="145"/>
      <c r="AC963" s="145"/>
      <c r="AD963" s="145"/>
      <c r="AE963" s="145"/>
      <c r="AF963" s="145"/>
      <c r="AG963" s="145"/>
      <c r="AH963" s="145"/>
      <c r="AI963" s="145"/>
      <c r="AJ963" s="145"/>
      <c r="AK963" s="145"/>
      <c r="AL963" s="145"/>
      <c r="AM963" s="321"/>
      <c r="AN963" s="321"/>
      <c r="AO963" s="321"/>
      <c r="AP963" s="321"/>
      <c r="AQ963" s="321"/>
      <c r="AR963" s="321"/>
      <c r="AS963" s="321"/>
      <c r="AT963" s="321"/>
    </row>
    <row r="964" spans="10:46">
      <c r="J964" s="145"/>
      <c r="K964" s="145"/>
      <c r="L964" s="145"/>
      <c r="M964" s="145"/>
      <c r="N964" s="145"/>
      <c r="O964" s="145"/>
      <c r="P964" s="145"/>
      <c r="Q964" s="145"/>
      <c r="R964" s="145"/>
      <c r="S964" s="145"/>
      <c r="T964" s="145"/>
      <c r="U964" s="145"/>
      <c r="V964" s="145"/>
      <c r="W964" s="145"/>
      <c r="X964" s="145"/>
      <c r="Y964" s="145"/>
      <c r="Z964" s="145"/>
      <c r="AA964" s="145"/>
      <c r="AB964" s="145"/>
      <c r="AC964" s="145"/>
      <c r="AD964" s="145"/>
      <c r="AE964" s="145"/>
      <c r="AF964" s="145"/>
      <c r="AG964" s="145"/>
      <c r="AH964" s="145"/>
      <c r="AI964" s="145"/>
      <c r="AJ964" s="145"/>
      <c r="AK964" s="145"/>
      <c r="AL964" s="145"/>
      <c r="AM964" s="321"/>
      <c r="AN964" s="321"/>
      <c r="AO964" s="321"/>
      <c r="AP964" s="321"/>
      <c r="AQ964" s="321"/>
      <c r="AR964" s="321"/>
      <c r="AS964" s="321"/>
      <c r="AT964" s="321"/>
    </row>
    <row r="965" spans="10:46">
      <c r="J965" s="145"/>
      <c r="K965" s="145"/>
      <c r="L965" s="145"/>
      <c r="M965" s="145"/>
      <c r="N965" s="145"/>
      <c r="O965" s="145"/>
      <c r="P965" s="145"/>
      <c r="Q965" s="145"/>
      <c r="R965" s="145"/>
      <c r="S965" s="145"/>
      <c r="T965" s="145"/>
      <c r="U965" s="145"/>
      <c r="V965" s="145"/>
      <c r="W965" s="145"/>
      <c r="X965" s="145"/>
      <c r="Y965" s="145"/>
      <c r="Z965" s="145"/>
      <c r="AA965" s="145"/>
      <c r="AB965" s="145"/>
      <c r="AC965" s="145"/>
      <c r="AD965" s="145"/>
      <c r="AE965" s="145"/>
      <c r="AF965" s="145"/>
      <c r="AG965" s="145"/>
      <c r="AH965" s="145"/>
      <c r="AI965" s="145"/>
      <c r="AJ965" s="145"/>
      <c r="AK965" s="145"/>
      <c r="AL965" s="145"/>
      <c r="AM965" s="321"/>
      <c r="AN965" s="321"/>
      <c r="AO965" s="321"/>
      <c r="AP965" s="321"/>
      <c r="AQ965" s="321"/>
      <c r="AR965" s="321"/>
      <c r="AS965" s="321"/>
      <c r="AT965" s="321"/>
    </row>
    <row r="966" spans="10:46">
      <c r="J966" s="145"/>
      <c r="K966" s="145"/>
      <c r="L966" s="145"/>
      <c r="M966" s="145"/>
      <c r="N966" s="145"/>
      <c r="O966" s="145"/>
      <c r="P966" s="145"/>
      <c r="Q966" s="145"/>
      <c r="R966" s="145"/>
      <c r="S966" s="145"/>
      <c r="T966" s="145"/>
      <c r="U966" s="145"/>
      <c r="V966" s="145"/>
      <c r="W966" s="145"/>
      <c r="X966" s="145"/>
      <c r="Y966" s="145"/>
      <c r="Z966" s="145"/>
      <c r="AA966" s="145"/>
      <c r="AB966" s="145"/>
      <c r="AC966" s="145"/>
      <c r="AD966" s="145"/>
      <c r="AE966" s="145"/>
      <c r="AF966" s="145"/>
      <c r="AG966" s="145"/>
      <c r="AH966" s="145"/>
      <c r="AI966" s="145"/>
      <c r="AJ966" s="145"/>
      <c r="AK966" s="145"/>
      <c r="AL966" s="145"/>
      <c r="AM966" s="321"/>
      <c r="AN966" s="321"/>
      <c r="AO966" s="321"/>
      <c r="AP966" s="321"/>
      <c r="AQ966" s="321"/>
      <c r="AR966" s="321"/>
      <c r="AS966" s="321"/>
      <c r="AT966" s="321"/>
    </row>
    <row r="967" spans="10:46">
      <c r="J967" s="145"/>
      <c r="K967" s="145"/>
      <c r="L967" s="145"/>
      <c r="M967" s="145"/>
      <c r="N967" s="145"/>
      <c r="O967" s="145"/>
      <c r="P967" s="145"/>
      <c r="Q967" s="145"/>
      <c r="R967" s="145"/>
      <c r="S967" s="145"/>
      <c r="T967" s="145"/>
      <c r="U967" s="145"/>
      <c r="V967" s="145"/>
      <c r="W967" s="145"/>
      <c r="X967" s="145"/>
      <c r="Y967" s="145"/>
      <c r="Z967" s="145"/>
      <c r="AA967" s="145"/>
      <c r="AB967" s="145"/>
      <c r="AC967" s="145"/>
      <c r="AD967" s="145"/>
      <c r="AE967" s="145"/>
      <c r="AF967" s="145"/>
      <c r="AG967" s="145"/>
      <c r="AH967" s="145"/>
      <c r="AI967" s="145"/>
      <c r="AJ967" s="145"/>
      <c r="AK967" s="145"/>
      <c r="AL967" s="145"/>
      <c r="AM967" s="321"/>
      <c r="AN967" s="321"/>
      <c r="AO967" s="321"/>
      <c r="AP967" s="321"/>
      <c r="AQ967" s="321"/>
      <c r="AR967" s="321"/>
      <c r="AS967" s="321"/>
      <c r="AT967" s="321"/>
    </row>
    <row r="968" spans="10:46">
      <c r="J968" s="145"/>
      <c r="K968" s="145"/>
      <c r="L968" s="145"/>
      <c r="M968" s="145"/>
      <c r="N968" s="145"/>
      <c r="O968" s="145"/>
      <c r="P968" s="145"/>
      <c r="Q968" s="145"/>
      <c r="R968" s="145"/>
      <c r="S968" s="145"/>
      <c r="T968" s="145"/>
      <c r="U968" s="145"/>
      <c r="V968" s="145"/>
      <c r="W968" s="145"/>
      <c r="X968" s="145"/>
      <c r="Y968" s="145"/>
      <c r="Z968" s="145"/>
      <c r="AA968" s="145"/>
      <c r="AB968" s="145"/>
      <c r="AC968" s="145"/>
      <c r="AD968" s="145"/>
      <c r="AE968" s="145"/>
      <c r="AF968" s="145"/>
      <c r="AG968" s="145"/>
      <c r="AH968" s="145"/>
      <c r="AI968" s="145"/>
      <c r="AJ968" s="145"/>
      <c r="AK968" s="145"/>
      <c r="AL968" s="145"/>
      <c r="AM968" s="321"/>
      <c r="AN968" s="321"/>
      <c r="AO968" s="321"/>
      <c r="AP968" s="321"/>
      <c r="AQ968" s="321"/>
      <c r="AR968" s="321"/>
      <c r="AS968" s="321"/>
      <c r="AT968" s="321"/>
    </row>
    <row r="969" spans="10:46">
      <c r="J969" s="145"/>
      <c r="K969" s="145"/>
      <c r="L969" s="145"/>
      <c r="M969" s="145"/>
      <c r="N969" s="145"/>
      <c r="O969" s="145"/>
      <c r="P969" s="145"/>
      <c r="Q969" s="145"/>
      <c r="R969" s="145"/>
      <c r="S969" s="145"/>
      <c r="T969" s="145"/>
      <c r="U969" s="145"/>
      <c r="V969" s="145"/>
      <c r="W969" s="145"/>
      <c r="X969" s="145"/>
      <c r="Y969" s="145"/>
      <c r="Z969" s="145"/>
      <c r="AA969" s="145"/>
      <c r="AB969" s="145"/>
      <c r="AC969" s="145"/>
      <c r="AD969" s="145"/>
      <c r="AE969" s="145"/>
      <c r="AF969" s="145"/>
      <c r="AG969" s="145"/>
      <c r="AH969" s="145"/>
      <c r="AI969" s="145"/>
      <c r="AJ969" s="145"/>
      <c r="AK969" s="145"/>
      <c r="AL969" s="145"/>
      <c r="AM969" s="321"/>
      <c r="AN969" s="321"/>
      <c r="AO969" s="321"/>
      <c r="AP969" s="321"/>
      <c r="AQ969" s="321"/>
      <c r="AR969" s="321"/>
      <c r="AS969" s="321"/>
      <c r="AT969" s="321"/>
    </row>
    <row r="970" spans="10:46">
      <c r="J970" s="145"/>
      <c r="K970" s="145"/>
      <c r="L970" s="145"/>
      <c r="M970" s="145"/>
      <c r="N970" s="145"/>
      <c r="O970" s="145"/>
      <c r="P970" s="145"/>
      <c r="Q970" s="145"/>
      <c r="R970" s="145"/>
      <c r="S970" s="145"/>
      <c r="T970" s="145"/>
      <c r="U970" s="145"/>
      <c r="V970" s="145"/>
      <c r="W970" s="145"/>
      <c r="X970" s="145"/>
      <c r="Y970" s="145"/>
      <c r="Z970" s="145"/>
      <c r="AA970" s="145"/>
      <c r="AB970" s="145"/>
      <c r="AC970" s="145"/>
      <c r="AD970" s="145"/>
      <c r="AE970" s="145"/>
      <c r="AF970" s="145"/>
      <c r="AG970" s="145"/>
      <c r="AH970" s="145"/>
      <c r="AI970" s="145"/>
      <c r="AJ970" s="145"/>
      <c r="AK970" s="145"/>
      <c r="AL970" s="145"/>
      <c r="AM970" s="321"/>
      <c r="AN970" s="321"/>
      <c r="AO970" s="321"/>
      <c r="AP970" s="321"/>
      <c r="AQ970" s="321"/>
      <c r="AR970" s="321"/>
      <c r="AS970" s="321"/>
      <c r="AT970" s="321"/>
    </row>
    <row r="971" spans="10:46">
      <c r="J971" s="145"/>
      <c r="K971" s="145"/>
      <c r="L971" s="145"/>
      <c r="M971" s="145"/>
      <c r="N971" s="145"/>
      <c r="O971" s="145"/>
      <c r="P971" s="145"/>
      <c r="Q971" s="145"/>
      <c r="R971" s="145"/>
      <c r="S971" s="145"/>
      <c r="T971" s="145"/>
      <c r="U971" s="145"/>
      <c r="V971" s="145"/>
      <c r="W971" s="145"/>
      <c r="X971" s="145"/>
      <c r="Y971" s="145"/>
      <c r="Z971" s="145"/>
      <c r="AA971" s="145"/>
      <c r="AB971" s="145"/>
      <c r="AC971" s="145"/>
      <c r="AD971" s="145"/>
      <c r="AE971" s="145"/>
      <c r="AF971" s="145"/>
      <c r="AG971" s="145"/>
      <c r="AH971" s="145"/>
      <c r="AI971" s="145"/>
      <c r="AJ971" s="145"/>
      <c r="AK971" s="145"/>
      <c r="AL971" s="145"/>
      <c r="AM971" s="321"/>
      <c r="AN971" s="321"/>
      <c r="AO971" s="321"/>
      <c r="AP971" s="321"/>
      <c r="AQ971" s="321"/>
      <c r="AR971" s="321"/>
      <c r="AS971" s="321"/>
      <c r="AT971" s="321"/>
    </row>
    <row r="972" spans="10:46">
      <c r="J972" s="145"/>
      <c r="K972" s="145"/>
      <c r="L972" s="145"/>
      <c r="M972" s="145"/>
      <c r="N972" s="145"/>
      <c r="O972" s="145"/>
      <c r="P972" s="145"/>
      <c r="Q972" s="145"/>
      <c r="R972" s="145"/>
      <c r="S972" s="145"/>
      <c r="T972" s="145"/>
      <c r="U972" s="145"/>
      <c r="V972" s="145"/>
      <c r="W972" s="145"/>
      <c r="X972" s="145"/>
      <c r="Y972" s="145"/>
      <c r="Z972" s="145"/>
      <c r="AA972" s="145"/>
      <c r="AB972" s="145"/>
      <c r="AC972" s="145"/>
      <c r="AD972" s="145"/>
      <c r="AE972" s="145"/>
      <c r="AF972" s="145"/>
      <c r="AG972" s="145"/>
      <c r="AH972" s="145"/>
      <c r="AI972" s="145"/>
      <c r="AJ972" s="145"/>
      <c r="AK972" s="145"/>
      <c r="AL972" s="145"/>
      <c r="AM972" s="321"/>
      <c r="AN972" s="321"/>
      <c r="AO972" s="321"/>
      <c r="AP972" s="321"/>
      <c r="AQ972" s="321"/>
      <c r="AR972" s="321"/>
      <c r="AS972" s="321"/>
      <c r="AT972" s="321"/>
    </row>
    <row r="973" spans="10:46">
      <c r="J973" s="145"/>
      <c r="K973" s="145"/>
      <c r="L973" s="145"/>
      <c r="M973" s="145"/>
      <c r="N973" s="145"/>
      <c r="O973" s="145"/>
      <c r="P973" s="145"/>
      <c r="Q973" s="145"/>
      <c r="R973" s="145"/>
      <c r="S973" s="145"/>
      <c r="T973" s="145"/>
      <c r="U973" s="145"/>
      <c r="V973" s="145"/>
      <c r="W973" s="145"/>
      <c r="X973" s="145"/>
      <c r="Y973" s="145"/>
      <c r="Z973" s="145"/>
      <c r="AA973" s="145"/>
      <c r="AB973" s="145"/>
      <c r="AC973" s="145"/>
      <c r="AD973" s="145"/>
      <c r="AE973" s="145"/>
      <c r="AF973" s="145"/>
      <c r="AG973" s="145"/>
      <c r="AH973" s="145"/>
      <c r="AI973" s="145"/>
      <c r="AJ973" s="145"/>
      <c r="AK973" s="145"/>
      <c r="AL973" s="145"/>
      <c r="AM973" s="321"/>
      <c r="AN973" s="321"/>
      <c r="AO973" s="321"/>
      <c r="AP973" s="321"/>
      <c r="AQ973" s="321"/>
      <c r="AR973" s="321"/>
      <c r="AS973" s="321"/>
      <c r="AT973" s="321"/>
    </row>
    <row r="974" spans="10:46">
      <c r="J974" s="145"/>
      <c r="K974" s="145"/>
      <c r="L974" s="145"/>
      <c r="M974" s="145"/>
      <c r="N974" s="145"/>
      <c r="O974" s="145"/>
      <c r="P974" s="145"/>
      <c r="Q974" s="145"/>
      <c r="R974" s="145"/>
      <c r="S974" s="145"/>
      <c r="T974" s="145"/>
      <c r="U974" s="145"/>
      <c r="V974" s="145"/>
      <c r="W974" s="145"/>
      <c r="X974" s="145"/>
      <c r="Y974" s="145"/>
      <c r="Z974" s="145"/>
      <c r="AA974" s="145"/>
      <c r="AB974" s="145"/>
      <c r="AC974" s="145"/>
      <c r="AD974" s="145"/>
      <c r="AE974" s="145"/>
      <c r="AF974" s="145"/>
      <c r="AG974" s="145"/>
      <c r="AH974" s="145"/>
      <c r="AI974" s="145"/>
      <c r="AJ974" s="145"/>
      <c r="AK974" s="145"/>
      <c r="AL974" s="145"/>
      <c r="AM974" s="321"/>
      <c r="AN974" s="321"/>
      <c r="AO974" s="321"/>
      <c r="AP974" s="321"/>
      <c r="AQ974" s="321"/>
      <c r="AR974" s="321"/>
      <c r="AS974" s="321"/>
      <c r="AT974" s="321"/>
    </row>
    <row r="975" spans="10:46">
      <c r="J975" s="145"/>
      <c r="K975" s="145"/>
      <c r="L975" s="145"/>
      <c r="M975" s="145"/>
      <c r="N975" s="145"/>
      <c r="O975" s="145"/>
      <c r="P975" s="145"/>
      <c r="Q975" s="145"/>
      <c r="R975" s="145"/>
      <c r="S975" s="145"/>
      <c r="T975" s="145"/>
      <c r="U975" s="145"/>
      <c r="V975" s="145"/>
      <c r="W975" s="145"/>
      <c r="X975" s="145"/>
      <c r="Y975" s="145"/>
      <c r="Z975" s="145"/>
      <c r="AA975" s="145"/>
      <c r="AB975" s="145"/>
      <c r="AC975" s="145"/>
      <c r="AD975" s="145"/>
      <c r="AE975" s="145"/>
      <c r="AF975" s="145"/>
      <c r="AG975" s="145"/>
      <c r="AH975" s="145"/>
      <c r="AI975" s="145"/>
      <c r="AJ975" s="145"/>
      <c r="AK975" s="145"/>
      <c r="AL975" s="145"/>
      <c r="AM975" s="321"/>
      <c r="AN975" s="321"/>
      <c r="AO975" s="321"/>
      <c r="AP975" s="321"/>
      <c r="AQ975" s="321"/>
      <c r="AR975" s="321"/>
      <c r="AS975" s="321"/>
      <c r="AT975" s="321"/>
    </row>
    <row r="976" spans="10:46">
      <c r="J976" s="145"/>
      <c r="K976" s="145"/>
      <c r="L976" s="145"/>
      <c r="M976" s="145"/>
      <c r="N976" s="145"/>
      <c r="O976" s="145"/>
      <c r="P976" s="145"/>
      <c r="Q976" s="145"/>
      <c r="R976" s="145"/>
      <c r="S976" s="145"/>
      <c r="T976" s="145"/>
      <c r="U976" s="145"/>
      <c r="V976" s="145"/>
      <c r="W976" s="145"/>
      <c r="X976" s="145"/>
      <c r="Y976" s="145"/>
      <c r="Z976" s="145"/>
      <c r="AA976" s="145"/>
      <c r="AB976" s="145"/>
      <c r="AC976" s="145"/>
      <c r="AD976" s="145"/>
      <c r="AE976" s="145"/>
      <c r="AF976" s="145"/>
      <c r="AG976" s="145"/>
      <c r="AH976" s="145"/>
      <c r="AI976" s="145"/>
      <c r="AJ976" s="145"/>
      <c r="AK976" s="145"/>
      <c r="AL976" s="145"/>
      <c r="AM976" s="321"/>
      <c r="AN976" s="321"/>
      <c r="AO976" s="321"/>
      <c r="AP976" s="321"/>
      <c r="AQ976" s="321"/>
      <c r="AR976" s="321"/>
      <c r="AS976" s="321"/>
      <c r="AT976" s="321"/>
    </row>
    <row r="977" spans="10:46">
      <c r="J977" s="145"/>
      <c r="K977" s="145"/>
      <c r="L977" s="145"/>
      <c r="M977" s="145"/>
      <c r="N977" s="145"/>
      <c r="O977" s="145"/>
      <c r="P977" s="145"/>
      <c r="Q977" s="145"/>
      <c r="R977" s="145"/>
      <c r="S977" s="145"/>
      <c r="T977" s="145"/>
      <c r="U977" s="145"/>
      <c r="V977" s="145"/>
      <c r="W977" s="145"/>
      <c r="X977" s="145"/>
      <c r="Y977" s="145"/>
      <c r="Z977" s="145"/>
      <c r="AA977" s="145"/>
      <c r="AB977" s="145"/>
      <c r="AC977" s="145"/>
      <c r="AD977" s="145"/>
      <c r="AE977" s="145"/>
      <c r="AF977" s="145"/>
      <c r="AG977" s="145"/>
      <c r="AH977" s="145"/>
      <c r="AI977" s="145"/>
      <c r="AJ977" s="145"/>
      <c r="AK977" s="145"/>
      <c r="AL977" s="145"/>
      <c r="AM977" s="321"/>
      <c r="AN977" s="321"/>
      <c r="AO977" s="321"/>
      <c r="AP977" s="321"/>
      <c r="AQ977" s="321"/>
      <c r="AR977" s="321"/>
      <c r="AS977" s="321"/>
      <c r="AT977" s="321"/>
    </row>
    <row r="978" spans="10:46">
      <c r="J978" s="145"/>
      <c r="K978" s="145"/>
      <c r="L978" s="145"/>
      <c r="M978" s="145"/>
      <c r="N978" s="145"/>
      <c r="O978" s="145"/>
      <c r="P978" s="145"/>
      <c r="Q978" s="145"/>
      <c r="R978" s="145"/>
      <c r="S978" s="145"/>
      <c r="T978" s="145"/>
      <c r="U978" s="145"/>
      <c r="V978" s="145"/>
      <c r="W978" s="145"/>
      <c r="X978" s="145"/>
      <c r="Y978" s="145"/>
      <c r="Z978" s="145"/>
      <c r="AA978" s="145"/>
      <c r="AB978" s="145"/>
      <c r="AC978" s="145"/>
      <c r="AD978" s="145"/>
      <c r="AE978" s="145"/>
      <c r="AF978" s="145"/>
      <c r="AG978" s="145"/>
      <c r="AH978" s="145"/>
      <c r="AI978" s="145"/>
      <c r="AJ978" s="145"/>
      <c r="AK978" s="145"/>
      <c r="AL978" s="145"/>
      <c r="AM978" s="321"/>
      <c r="AN978" s="321"/>
      <c r="AO978" s="321"/>
      <c r="AP978" s="321"/>
      <c r="AQ978" s="321"/>
      <c r="AR978" s="321"/>
      <c r="AS978" s="321"/>
      <c r="AT978" s="321"/>
    </row>
    <row r="979" spans="10:46">
      <c r="J979" s="145"/>
      <c r="K979" s="145"/>
      <c r="L979" s="145"/>
      <c r="M979" s="145"/>
      <c r="N979" s="145"/>
      <c r="O979" s="145"/>
      <c r="P979" s="145"/>
      <c r="Q979" s="145"/>
      <c r="R979" s="145"/>
      <c r="S979" s="145"/>
      <c r="T979" s="145"/>
      <c r="U979" s="145"/>
      <c r="V979" s="145"/>
      <c r="W979" s="145"/>
      <c r="X979" s="145"/>
      <c r="Y979" s="145"/>
      <c r="Z979" s="145"/>
      <c r="AA979" s="145"/>
      <c r="AB979" s="145"/>
      <c r="AC979" s="145"/>
      <c r="AD979" s="145"/>
      <c r="AE979" s="145"/>
      <c r="AF979" s="145"/>
      <c r="AG979" s="145"/>
      <c r="AH979" s="145"/>
      <c r="AI979" s="145"/>
      <c r="AJ979" s="145"/>
      <c r="AK979" s="145"/>
      <c r="AL979" s="145"/>
      <c r="AM979" s="321"/>
      <c r="AN979" s="321"/>
      <c r="AO979" s="321"/>
      <c r="AP979" s="321"/>
      <c r="AQ979" s="321"/>
      <c r="AR979" s="321"/>
      <c r="AS979" s="321"/>
      <c r="AT979" s="321"/>
    </row>
    <row r="980" spans="10:46">
      <c r="J980" s="145"/>
      <c r="K980" s="145"/>
      <c r="L980" s="145"/>
      <c r="M980" s="145"/>
      <c r="N980" s="145"/>
      <c r="O980" s="145"/>
      <c r="P980" s="145"/>
      <c r="Q980" s="145"/>
      <c r="R980" s="145"/>
      <c r="S980" s="145"/>
      <c r="T980" s="145"/>
      <c r="U980" s="145"/>
      <c r="V980" s="145"/>
      <c r="W980" s="145"/>
      <c r="X980" s="145"/>
      <c r="Y980" s="145"/>
      <c r="Z980" s="145"/>
      <c r="AA980" s="145"/>
      <c r="AB980" s="145"/>
      <c r="AC980" s="145"/>
      <c r="AD980" s="145"/>
      <c r="AE980" s="145"/>
      <c r="AF980" s="145"/>
      <c r="AG980" s="145"/>
      <c r="AH980" s="145"/>
      <c r="AI980" s="145"/>
      <c r="AJ980" s="145"/>
      <c r="AK980" s="145"/>
      <c r="AL980" s="145"/>
      <c r="AM980" s="321"/>
      <c r="AN980" s="321"/>
      <c r="AO980" s="321"/>
      <c r="AP980" s="321"/>
      <c r="AQ980" s="321"/>
      <c r="AR980" s="321"/>
      <c r="AS980" s="321"/>
      <c r="AT980" s="321"/>
    </row>
    <row r="981" spans="10:46">
      <c r="J981" s="145"/>
      <c r="K981" s="145"/>
      <c r="L981" s="145"/>
      <c r="M981" s="145"/>
      <c r="N981" s="145"/>
      <c r="O981" s="145"/>
      <c r="P981" s="145"/>
      <c r="Q981" s="145"/>
      <c r="R981" s="145"/>
      <c r="S981" s="145"/>
      <c r="T981" s="145"/>
      <c r="U981" s="145"/>
      <c r="V981" s="145"/>
      <c r="W981" s="145"/>
      <c r="X981" s="145"/>
      <c r="Y981" s="145"/>
      <c r="Z981" s="145"/>
      <c r="AA981" s="145"/>
      <c r="AB981" s="145"/>
      <c r="AC981" s="145"/>
      <c r="AD981" s="145"/>
      <c r="AE981" s="145"/>
      <c r="AF981" s="145"/>
      <c r="AG981" s="145"/>
      <c r="AH981" s="145"/>
      <c r="AI981" s="145"/>
      <c r="AJ981" s="145"/>
      <c r="AK981" s="145"/>
      <c r="AL981" s="145"/>
      <c r="AM981" s="321"/>
      <c r="AN981" s="321"/>
      <c r="AO981" s="321"/>
      <c r="AP981" s="321"/>
      <c r="AQ981" s="321"/>
      <c r="AR981" s="321"/>
      <c r="AS981" s="321"/>
      <c r="AT981" s="321"/>
    </row>
    <row r="982" spans="10:46">
      <c r="J982" s="145"/>
      <c r="K982" s="145"/>
      <c r="L982" s="145"/>
      <c r="M982" s="145"/>
      <c r="N982" s="145"/>
      <c r="O982" s="145"/>
      <c r="P982" s="145"/>
      <c r="Q982" s="145"/>
      <c r="R982" s="145"/>
      <c r="S982" s="145"/>
      <c r="T982" s="145"/>
      <c r="U982" s="145"/>
      <c r="V982" s="145"/>
      <c r="W982" s="145"/>
      <c r="X982" s="145"/>
      <c r="Y982" s="145"/>
      <c r="Z982" s="145"/>
      <c r="AA982" s="145"/>
      <c r="AB982" s="145"/>
      <c r="AC982" s="145"/>
      <c r="AD982" s="145"/>
      <c r="AE982" s="145"/>
      <c r="AF982" s="145"/>
      <c r="AG982" s="145"/>
      <c r="AH982" s="145"/>
      <c r="AI982" s="145"/>
      <c r="AJ982" s="145"/>
      <c r="AK982" s="145"/>
      <c r="AL982" s="145"/>
      <c r="AM982" s="321"/>
      <c r="AN982" s="321"/>
      <c r="AO982" s="321"/>
      <c r="AP982" s="321"/>
      <c r="AQ982" s="321"/>
      <c r="AR982" s="321"/>
      <c r="AS982" s="321"/>
      <c r="AT982" s="321"/>
    </row>
    <row r="983" spans="10:46">
      <c r="J983" s="145"/>
      <c r="K983" s="145"/>
      <c r="L983" s="145"/>
      <c r="M983" s="145"/>
      <c r="N983" s="145"/>
      <c r="O983" s="145"/>
      <c r="P983" s="145"/>
      <c r="Q983" s="145"/>
      <c r="R983" s="145"/>
      <c r="S983" s="145"/>
      <c r="T983" s="145"/>
      <c r="U983" s="145"/>
      <c r="V983" s="145"/>
      <c r="W983" s="145"/>
      <c r="X983" s="145"/>
      <c r="Y983" s="145"/>
      <c r="Z983" s="145"/>
      <c r="AA983" s="145"/>
      <c r="AB983" s="145"/>
      <c r="AC983" s="145"/>
      <c r="AD983" s="145"/>
      <c r="AE983" s="145"/>
      <c r="AF983" s="145"/>
      <c r="AG983" s="145"/>
      <c r="AH983" s="145"/>
      <c r="AI983" s="145"/>
      <c r="AJ983" s="145"/>
      <c r="AK983" s="145"/>
      <c r="AL983" s="145"/>
      <c r="AM983" s="321"/>
      <c r="AN983" s="321"/>
      <c r="AO983" s="321"/>
      <c r="AP983" s="321"/>
      <c r="AQ983" s="321"/>
      <c r="AR983" s="321"/>
      <c r="AS983" s="321"/>
      <c r="AT983" s="321"/>
    </row>
    <row r="984" spans="10:46">
      <c r="J984" s="145"/>
      <c r="K984" s="145"/>
      <c r="L984" s="145"/>
      <c r="M984" s="145"/>
      <c r="N984" s="145"/>
      <c r="O984" s="145"/>
      <c r="P984" s="145"/>
      <c r="Q984" s="145"/>
      <c r="R984" s="145"/>
      <c r="S984" s="145"/>
      <c r="T984" s="145"/>
      <c r="U984" s="145"/>
      <c r="V984" s="145"/>
      <c r="W984" s="145"/>
      <c r="X984" s="145"/>
      <c r="Y984" s="145"/>
      <c r="Z984" s="145"/>
      <c r="AA984" s="145"/>
      <c r="AB984" s="145"/>
      <c r="AC984" s="145"/>
      <c r="AD984" s="145"/>
      <c r="AE984" s="145"/>
      <c r="AF984" s="145"/>
      <c r="AG984" s="145"/>
      <c r="AH984" s="145"/>
      <c r="AI984" s="145"/>
      <c r="AJ984" s="145"/>
      <c r="AK984" s="145"/>
      <c r="AL984" s="145"/>
      <c r="AM984" s="321"/>
      <c r="AN984" s="321"/>
      <c r="AO984" s="321"/>
      <c r="AP984" s="321"/>
      <c r="AQ984" s="321"/>
      <c r="AR984" s="321"/>
      <c r="AS984" s="321"/>
      <c r="AT984" s="321"/>
    </row>
    <row r="985" spans="10:46">
      <c r="J985" s="145"/>
      <c r="K985" s="145"/>
      <c r="L985" s="145"/>
      <c r="M985" s="145"/>
      <c r="N985" s="145"/>
      <c r="O985" s="145"/>
      <c r="P985" s="145"/>
      <c r="Q985" s="145"/>
      <c r="R985" s="145"/>
      <c r="S985" s="145"/>
      <c r="T985" s="145"/>
      <c r="U985" s="145"/>
      <c r="V985" s="145"/>
      <c r="W985" s="145"/>
      <c r="X985" s="145"/>
      <c r="Y985" s="145"/>
      <c r="Z985" s="145"/>
      <c r="AA985" s="145"/>
      <c r="AB985" s="145"/>
      <c r="AC985" s="145"/>
      <c r="AD985" s="145"/>
      <c r="AE985" s="145"/>
      <c r="AF985" s="145"/>
      <c r="AG985" s="145"/>
      <c r="AH985" s="145"/>
      <c r="AI985" s="145"/>
      <c r="AJ985" s="145"/>
      <c r="AK985" s="145"/>
      <c r="AL985" s="145"/>
      <c r="AM985" s="321"/>
      <c r="AN985" s="321"/>
      <c r="AO985" s="321"/>
      <c r="AP985" s="321"/>
      <c r="AQ985" s="321"/>
      <c r="AR985" s="321"/>
      <c r="AS985" s="321"/>
      <c r="AT985" s="321"/>
    </row>
    <row r="986" spans="10:46">
      <c r="J986" s="145"/>
      <c r="K986" s="145"/>
      <c r="L986" s="145"/>
      <c r="M986" s="145"/>
      <c r="N986" s="145"/>
      <c r="O986" s="145"/>
      <c r="P986" s="145"/>
      <c r="Q986" s="145"/>
      <c r="R986" s="145"/>
      <c r="S986" s="145"/>
      <c r="T986" s="145"/>
      <c r="U986" s="145"/>
      <c r="V986" s="145"/>
      <c r="W986" s="145"/>
      <c r="X986" s="145"/>
      <c r="Y986" s="145"/>
      <c r="Z986" s="145"/>
      <c r="AA986" s="145"/>
      <c r="AB986" s="145"/>
      <c r="AC986" s="145"/>
      <c r="AD986" s="145"/>
      <c r="AE986" s="145"/>
      <c r="AF986" s="145"/>
      <c r="AG986" s="145"/>
      <c r="AH986" s="145"/>
      <c r="AI986" s="145"/>
      <c r="AJ986" s="145"/>
      <c r="AK986" s="145"/>
      <c r="AL986" s="145"/>
      <c r="AM986" s="321"/>
      <c r="AN986" s="321"/>
      <c r="AO986" s="321"/>
      <c r="AP986" s="321"/>
      <c r="AQ986" s="321"/>
      <c r="AR986" s="321"/>
      <c r="AS986" s="321"/>
      <c r="AT986" s="321"/>
    </row>
    <row r="987" spans="10:46">
      <c r="J987" s="145"/>
      <c r="K987" s="145"/>
      <c r="L987" s="145"/>
      <c r="M987" s="145"/>
      <c r="N987" s="145"/>
      <c r="O987" s="145"/>
      <c r="P987" s="145"/>
      <c r="Q987" s="145"/>
      <c r="R987" s="145"/>
      <c r="S987" s="145"/>
      <c r="T987" s="145"/>
      <c r="U987" s="145"/>
      <c r="V987" s="145"/>
      <c r="W987" s="145"/>
      <c r="X987" s="145"/>
      <c r="Y987" s="145"/>
      <c r="Z987" s="145"/>
      <c r="AA987" s="145"/>
      <c r="AB987" s="145"/>
      <c r="AC987" s="145"/>
      <c r="AD987" s="145"/>
      <c r="AE987" s="145"/>
      <c r="AF987" s="145"/>
      <c r="AG987" s="145"/>
      <c r="AH987" s="145"/>
      <c r="AI987" s="145"/>
      <c r="AJ987" s="145"/>
      <c r="AK987" s="145"/>
      <c r="AL987" s="145"/>
      <c r="AM987" s="321"/>
      <c r="AN987" s="321"/>
      <c r="AO987" s="321"/>
      <c r="AP987" s="321"/>
      <c r="AQ987" s="321"/>
      <c r="AR987" s="321"/>
      <c r="AS987" s="321"/>
      <c r="AT987" s="321"/>
    </row>
    <row r="988" spans="10:46">
      <c r="J988" s="145"/>
      <c r="K988" s="145"/>
      <c r="L988" s="145"/>
      <c r="M988" s="145"/>
      <c r="N988" s="145"/>
      <c r="O988" s="145"/>
      <c r="P988" s="145"/>
      <c r="Q988" s="145"/>
      <c r="R988" s="145"/>
      <c r="S988" s="145"/>
      <c r="T988" s="145"/>
      <c r="U988" s="145"/>
      <c r="V988" s="145"/>
      <c r="W988" s="145"/>
      <c r="X988" s="145"/>
      <c r="Y988" s="145"/>
      <c r="Z988" s="145"/>
      <c r="AA988" s="145"/>
      <c r="AB988" s="145"/>
      <c r="AC988" s="145"/>
      <c r="AD988" s="145"/>
      <c r="AE988" s="145"/>
      <c r="AF988" s="145"/>
      <c r="AG988" s="145"/>
      <c r="AH988" s="145"/>
      <c r="AI988" s="145"/>
      <c r="AJ988" s="145"/>
      <c r="AK988" s="145"/>
      <c r="AL988" s="145"/>
      <c r="AM988" s="321"/>
      <c r="AN988" s="321"/>
      <c r="AO988" s="321"/>
      <c r="AP988" s="321"/>
      <c r="AQ988" s="321"/>
      <c r="AR988" s="321"/>
      <c r="AS988" s="321"/>
      <c r="AT988" s="321"/>
    </row>
    <row r="989" spans="10:46">
      <c r="J989" s="145"/>
      <c r="K989" s="145"/>
      <c r="L989" s="145"/>
      <c r="M989" s="145"/>
      <c r="N989" s="145"/>
      <c r="O989" s="145"/>
      <c r="P989" s="145"/>
      <c r="Q989" s="145"/>
      <c r="R989" s="145"/>
      <c r="S989" s="145"/>
      <c r="T989" s="145"/>
      <c r="U989" s="145"/>
      <c r="V989" s="145"/>
      <c r="W989" s="145"/>
      <c r="X989" s="145"/>
      <c r="Y989" s="145"/>
      <c r="Z989" s="145"/>
      <c r="AA989" s="145"/>
      <c r="AB989" s="145"/>
      <c r="AC989" s="145"/>
      <c r="AD989" s="145"/>
      <c r="AE989" s="145"/>
      <c r="AF989" s="145"/>
      <c r="AG989" s="145"/>
      <c r="AH989" s="145"/>
      <c r="AI989" s="145"/>
      <c r="AJ989" s="145"/>
      <c r="AK989" s="145"/>
      <c r="AL989" s="145"/>
      <c r="AM989" s="321"/>
      <c r="AN989" s="321"/>
      <c r="AO989" s="321"/>
      <c r="AP989" s="321"/>
      <c r="AQ989" s="321"/>
      <c r="AR989" s="321"/>
      <c r="AS989" s="321"/>
      <c r="AT989" s="321"/>
    </row>
    <row r="990" spans="10:46">
      <c r="J990" s="145"/>
      <c r="K990" s="145"/>
      <c r="L990" s="145"/>
      <c r="M990" s="145"/>
      <c r="N990" s="145"/>
      <c r="O990" s="145"/>
      <c r="P990" s="145"/>
      <c r="Q990" s="145"/>
      <c r="R990" s="145"/>
      <c r="S990" s="145"/>
      <c r="T990" s="145"/>
      <c r="U990" s="145"/>
      <c r="V990" s="145"/>
      <c r="W990" s="145"/>
      <c r="X990" s="145"/>
      <c r="Y990" s="145"/>
      <c r="Z990" s="145"/>
      <c r="AA990" s="145"/>
      <c r="AB990" s="145"/>
      <c r="AC990" s="145"/>
      <c r="AD990" s="145"/>
      <c r="AE990" s="145"/>
      <c r="AF990" s="145"/>
      <c r="AG990" s="145"/>
      <c r="AH990" s="145"/>
      <c r="AI990" s="145"/>
      <c r="AJ990" s="145"/>
      <c r="AK990" s="145"/>
      <c r="AL990" s="145"/>
      <c r="AM990" s="321"/>
      <c r="AN990" s="321"/>
      <c r="AO990" s="321"/>
      <c r="AP990" s="321"/>
      <c r="AQ990" s="321"/>
      <c r="AR990" s="321"/>
      <c r="AS990" s="321"/>
      <c r="AT990" s="321"/>
    </row>
    <row r="991" spans="10:46">
      <c r="J991" s="145"/>
      <c r="K991" s="145"/>
      <c r="L991" s="145"/>
      <c r="M991" s="145"/>
      <c r="N991" s="145"/>
      <c r="O991" s="145"/>
      <c r="P991" s="145"/>
      <c r="Q991" s="145"/>
      <c r="R991" s="145"/>
      <c r="S991" s="145"/>
      <c r="T991" s="145"/>
      <c r="U991" s="145"/>
      <c r="V991" s="145"/>
      <c r="W991" s="145"/>
      <c r="X991" s="145"/>
      <c r="Y991" s="145"/>
      <c r="Z991" s="145"/>
      <c r="AA991" s="145"/>
      <c r="AB991" s="145"/>
      <c r="AC991" s="145"/>
      <c r="AD991" s="145"/>
      <c r="AE991" s="145"/>
      <c r="AF991" s="145"/>
      <c r="AG991" s="145"/>
      <c r="AH991" s="145"/>
      <c r="AI991" s="145"/>
      <c r="AJ991" s="145"/>
      <c r="AK991" s="145"/>
      <c r="AL991" s="145"/>
      <c r="AM991" s="321"/>
      <c r="AN991" s="321"/>
      <c r="AO991" s="321"/>
      <c r="AP991" s="321"/>
      <c r="AQ991" s="321"/>
      <c r="AR991" s="321"/>
      <c r="AS991" s="321"/>
      <c r="AT991" s="321"/>
    </row>
    <row r="992" spans="10:46">
      <c r="J992" s="145"/>
      <c r="K992" s="145"/>
      <c r="L992" s="145"/>
      <c r="M992" s="145"/>
      <c r="N992" s="145"/>
      <c r="O992" s="145"/>
      <c r="P992" s="145"/>
      <c r="Q992" s="145"/>
      <c r="R992" s="145"/>
      <c r="S992" s="145"/>
      <c r="T992" s="145"/>
      <c r="U992" s="145"/>
      <c r="V992" s="145"/>
      <c r="W992" s="145"/>
      <c r="X992" s="145"/>
      <c r="Y992" s="145"/>
      <c r="Z992" s="145"/>
      <c r="AA992" s="145"/>
      <c r="AB992" s="145"/>
      <c r="AC992" s="145"/>
      <c r="AD992" s="145"/>
      <c r="AE992" s="145"/>
      <c r="AF992" s="145"/>
      <c r="AG992" s="145"/>
      <c r="AH992" s="145"/>
      <c r="AI992" s="145"/>
      <c r="AJ992" s="145"/>
      <c r="AK992" s="145"/>
      <c r="AL992" s="145"/>
      <c r="AM992" s="321"/>
      <c r="AN992" s="321"/>
      <c r="AO992" s="321"/>
      <c r="AP992" s="321"/>
      <c r="AQ992" s="321"/>
      <c r="AR992" s="321"/>
      <c r="AS992" s="321"/>
      <c r="AT992" s="321"/>
    </row>
    <row r="993" spans="10:46">
      <c r="J993" s="145"/>
      <c r="K993" s="145"/>
      <c r="L993" s="145"/>
      <c r="M993" s="145"/>
      <c r="N993" s="145"/>
      <c r="O993" s="145"/>
      <c r="P993" s="145"/>
      <c r="Q993" s="145"/>
      <c r="R993" s="145"/>
      <c r="S993" s="145"/>
      <c r="T993" s="145"/>
      <c r="U993" s="145"/>
      <c r="V993" s="145"/>
      <c r="W993" s="145"/>
      <c r="X993" s="145"/>
      <c r="Y993" s="145"/>
      <c r="Z993" s="145"/>
      <c r="AA993" s="145"/>
      <c r="AB993" s="145"/>
      <c r="AC993" s="145"/>
      <c r="AD993" s="145"/>
      <c r="AE993" s="145"/>
      <c r="AF993" s="145"/>
      <c r="AG993" s="145"/>
      <c r="AH993" s="145"/>
      <c r="AI993" s="145"/>
      <c r="AJ993" s="145"/>
      <c r="AK993" s="145"/>
      <c r="AL993" s="145"/>
      <c r="AM993" s="321"/>
      <c r="AN993" s="321"/>
      <c r="AO993" s="321"/>
      <c r="AP993" s="321"/>
      <c r="AQ993" s="321"/>
      <c r="AR993" s="321"/>
      <c r="AS993" s="321"/>
      <c r="AT993" s="321"/>
    </row>
    <row r="994" spans="10:46">
      <c r="J994" s="145"/>
      <c r="K994" s="145"/>
      <c r="L994" s="145"/>
      <c r="M994" s="145"/>
      <c r="N994" s="145"/>
      <c r="O994" s="145"/>
      <c r="P994" s="145"/>
      <c r="Q994" s="145"/>
      <c r="R994" s="145"/>
      <c r="S994" s="145"/>
      <c r="T994" s="145"/>
      <c r="U994" s="145"/>
      <c r="V994" s="145"/>
      <c r="W994" s="145"/>
      <c r="X994" s="145"/>
      <c r="Y994" s="145"/>
      <c r="Z994" s="145"/>
      <c r="AA994" s="145"/>
      <c r="AB994" s="145"/>
      <c r="AC994" s="145"/>
      <c r="AD994" s="145"/>
      <c r="AE994" s="145"/>
      <c r="AF994" s="145"/>
      <c r="AG994" s="145"/>
      <c r="AH994" s="145"/>
      <c r="AI994" s="145"/>
      <c r="AJ994" s="145"/>
      <c r="AK994" s="145"/>
      <c r="AL994" s="145"/>
      <c r="AM994" s="321"/>
      <c r="AN994" s="321"/>
      <c r="AO994" s="321"/>
      <c r="AP994" s="321"/>
      <c r="AQ994" s="321"/>
      <c r="AR994" s="321"/>
      <c r="AS994" s="321"/>
      <c r="AT994" s="321"/>
    </row>
    <row r="995" spans="10:46">
      <c r="J995" s="145"/>
      <c r="K995" s="145"/>
      <c r="L995" s="145"/>
      <c r="M995" s="145"/>
      <c r="N995" s="145"/>
      <c r="O995" s="145"/>
      <c r="P995" s="145"/>
      <c r="Q995" s="145"/>
      <c r="R995" s="145"/>
      <c r="S995" s="145"/>
      <c r="T995" s="145"/>
      <c r="U995" s="145"/>
      <c r="V995" s="145"/>
      <c r="W995" s="145"/>
      <c r="X995" s="145"/>
      <c r="Y995" s="145"/>
      <c r="Z995" s="145"/>
      <c r="AA995" s="145"/>
      <c r="AB995" s="145"/>
      <c r="AC995" s="145"/>
      <c r="AD995" s="145"/>
      <c r="AE995" s="145"/>
      <c r="AF995" s="145"/>
      <c r="AG995" s="145"/>
      <c r="AH995" s="145"/>
      <c r="AI995" s="145"/>
      <c r="AJ995" s="145"/>
      <c r="AK995" s="145"/>
      <c r="AL995" s="145"/>
      <c r="AM995" s="321"/>
      <c r="AN995" s="321"/>
      <c r="AO995" s="321"/>
      <c r="AP995" s="321"/>
      <c r="AQ995" s="321"/>
      <c r="AR995" s="321"/>
      <c r="AS995" s="321"/>
      <c r="AT995" s="321"/>
    </row>
    <row r="996" spans="10:46">
      <c r="J996" s="145"/>
      <c r="K996" s="145"/>
      <c r="L996" s="145"/>
      <c r="M996" s="145"/>
      <c r="N996" s="145"/>
      <c r="O996" s="145"/>
      <c r="P996" s="145"/>
      <c r="Q996" s="145"/>
      <c r="R996" s="145"/>
      <c r="S996" s="145"/>
      <c r="T996" s="145"/>
      <c r="U996" s="145"/>
      <c r="V996" s="145"/>
      <c r="W996" s="145"/>
      <c r="X996" s="145"/>
      <c r="Y996" s="145"/>
      <c r="Z996" s="145"/>
      <c r="AA996" s="145"/>
      <c r="AB996" s="145"/>
      <c r="AC996" s="145"/>
      <c r="AD996" s="145"/>
      <c r="AE996" s="145"/>
      <c r="AF996" s="145"/>
      <c r="AG996" s="145"/>
      <c r="AH996" s="145"/>
      <c r="AI996" s="145"/>
      <c r="AJ996" s="145"/>
      <c r="AK996" s="145"/>
      <c r="AL996" s="145"/>
      <c r="AM996" s="321"/>
      <c r="AN996" s="321"/>
      <c r="AO996" s="321"/>
      <c r="AP996" s="321"/>
      <c r="AQ996" s="321"/>
      <c r="AR996" s="321"/>
      <c r="AS996" s="321"/>
      <c r="AT996" s="321"/>
    </row>
    <row r="997" spans="10:46">
      <c r="J997" s="145"/>
      <c r="K997" s="145"/>
      <c r="L997" s="145"/>
      <c r="M997" s="145"/>
      <c r="N997" s="145"/>
      <c r="O997" s="145"/>
      <c r="P997" s="145"/>
      <c r="Q997" s="145"/>
      <c r="R997" s="145"/>
      <c r="S997" s="145"/>
      <c r="T997" s="145"/>
      <c r="U997" s="145"/>
      <c r="V997" s="145"/>
      <c r="W997" s="145"/>
      <c r="X997" s="145"/>
      <c r="Y997" s="145"/>
      <c r="Z997" s="145"/>
      <c r="AA997" s="145"/>
      <c r="AB997" s="145"/>
      <c r="AC997" s="145"/>
      <c r="AD997" s="145"/>
      <c r="AE997" s="145"/>
      <c r="AF997" s="145"/>
      <c r="AG997" s="145"/>
      <c r="AH997" s="145"/>
      <c r="AI997" s="145"/>
      <c r="AJ997" s="145"/>
      <c r="AK997" s="145"/>
      <c r="AL997" s="145"/>
      <c r="AM997" s="321"/>
      <c r="AN997" s="321"/>
      <c r="AO997" s="321"/>
      <c r="AP997" s="321"/>
      <c r="AQ997" s="321"/>
      <c r="AR997" s="321"/>
      <c r="AS997" s="321"/>
      <c r="AT997" s="321"/>
    </row>
    <row r="998" spans="10:46">
      <c r="J998" s="145"/>
      <c r="K998" s="145"/>
      <c r="L998" s="145"/>
      <c r="M998" s="145"/>
      <c r="N998" s="145"/>
      <c r="O998" s="145"/>
      <c r="P998" s="145"/>
      <c r="Q998" s="145"/>
      <c r="R998" s="145"/>
      <c r="S998" s="145"/>
      <c r="T998" s="145"/>
      <c r="U998" s="145"/>
      <c r="V998" s="145"/>
      <c r="W998" s="145"/>
      <c r="X998" s="145"/>
      <c r="Y998" s="145"/>
      <c r="Z998" s="145"/>
      <c r="AA998" s="145"/>
      <c r="AB998" s="145"/>
      <c r="AC998" s="145"/>
      <c r="AD998" s="145"/>
      <c r="AE998" s="145"/>
      <c r="AF998" s="145"/>
      <c r="AG998" s="145"/>
      <c r="AH998" s="145"/>
      <c r="AI998" s="145"/>
      <c r="AJ998" s="145"/>
      <c r="AK998" s="145"/>
      <c r="AL998" s="145"/>
      <c r="AM998" s="321"/>
      <c r="AN998" s="321"/>
      <c r="AO998" s="321"/>
      <c r="AP998" s="321"/>
      <c r="AQ998" s="321"/>
      <c r="AR998" s="321"/>
      <c r="AS998" s="321"/>
      <c r="AT998" s="321"/>
    </row>
    <row r="999" spans="10:46">
      <c r="J999" s="145"/>
      <c r="K999" s="145"/>
      <c r="L999" s="145"/>
      <c r="M999" s="145"/>
      <c r="N999" s="145"/>
      <c r="O999" s="145"/>
      <c r="P999" s="145"/>
      <c r="Q999" s="145"/>
      <c r="R999" s="145"/>
      <c r="S999" s="145"/>
      <c r="T999" s="145"/>
      <c r="U999" s="145"/>
      <c r="V999" s="145"/>
      <c r="W999" s="145"/>
      <c r="X999" s="145"/>
      <c r="Y999" s="145"/>
      <c r="Z999" s="145"/>
      <c r="AA999" s="145"/>
      <c r="AB999" s="145"/>
      <c r="AC999" s="145"/>
      <c r="AD999" s="145"/>
      <c r="AE999" s="145"/>
      <c r="AF999" s="145"/>
      <c r="AG999" s="145"/>
      <c r="AH999" s="145"/>
      <c r="AI999" s="145"/>
      <c r="AJ999" s="145"/>
      <c r="AK999" s="145"/>
      <c r="AL999" s="145"/>
      <c r="AM999" s="321"/>
      <c r="AN999" s="321"/>
      <c r="AO999" s="321"/>
      <c r="AP999" s="321"/>
      <c r="AQ999" s="321"/>
      <c r="AR999" s="321"/>
      <c r="AS999" s="321"/>
      <c r="AT999" s="321"/>
    </row>
    <row r="1000" spans="10:46">
      <c r="J1000" s="145"/>
      <c r="K1000" s="145"/>
      <c r="L1000" s="145"/>
      <c r="M1000" s="145"/>
      <c r="N1000" s="145"/>
      <c r="O1000" s="145"/>
      <c r="P1000" s="145"/>
      <c r="Q1000" s="145"/>
      <c r="R1000" s="145"/>
      <c r="S1000" s="145"/>
      <c r="T1000" s="145"/>
      <c r="U1000" s="145"/>
      <c r="V1000" s="145"/>
      <c r="W1000" s="145"/>
      <c r="X1000" s="145"/>
      <c r="Y1000" s="145"/>
      <c r="Z1000" s="145"/>
      <c r="AA1000" s="145"/>
      <c r="AB1000" s="145"/>
      <c r="AC1000" s="145"/>
      <c r="AD1000" s="145"/>
      <c r="AE1000" s="145"/>
      <c r="AF1000" s="145"/>
      <c r="AG1000" s="145"/>
      <c r="AH1000" s="145"/>
      <c r="AI1000" s="145"/>
      <c r="AJ1000" s="145"/>
      <c r="AK1000" s="145"/>
      <c r="AL1000" s="145"/>
      <c r="AM1000" s="321"/>
      <c r="AN1000" s="321"/>
      <c r="AO1000" s="321"/>
      <c r="AP1000" s="321"/>
      <c r="AQ1000" s="321"/>
      <c r="AR1000" s="321"/>
      <c r="AS1000" s="321"/>
      <c r="AT1000" s="321"/>
    </row>
    <row r="1001" spans="10:46">
      <c r="J1001" s="145"/>
      <c r="K1001" s="145"/>
      <c r="L1001" s="145"/>
      <c r="M1001" s="145"/>
      <c r="N1001" s="145"/>
      <c r="O1001" s="145"/>
      <c r="P1001" s="145"/>
      <c r="Q1001" s="145"/>
      <c r="R1001" s="145"/>
      <c r="S1001" s="145"/>
      <c r="T1001" s="145"/>
      <c r="U1001" s="145"/>
      <c r="V1001" s="145"/>
      <c r="W1001" s="145"/>
      <c r="X1001" s="145"/>
      <c r="Y1001" s="145"/>
      <c r="Z1001" s="145"/>
      <c r="AA1001" s="145"/>
      <c r="AB1001" s="145"/>
      <c r="AC1001" s="145"/>
      <c r="AD1001" s="145"/>
      <c r="AE1001" s="145"/>
      <c r="AF1001" s="145"/>
      <c r="AG1001" s="145"/>
      <c r="AH1001" s="145"/>
      <c r="AI1001" s="145"/>
      <c r="AJ1001" s="145"/>
      <c r="AK1001" s="145"/>
      <c r="AL1001" s="145"/>
      <c r="AM1001" s="321"/>
      <c r="AN1001" s="321"/>
      <c r="AO1001" s="321"/>
      <c r="AP1001" s="321"/>
      <c r="AQ1001" s="321"/>
      <c r="AR1001" s="321"/>
      <c r="AS1001" s="321"/>
      <c r="AT1001" s="321"/>
    </row>
    <row r="1002" spans="10:46">
      <c r="J1002" s="145"/>
      <c r="K1002" s="145"/>
      <c r="L1002" s="145"/>
      <c r="M1002" s="145"/>
      <c r="N1002" s="145"/>
      <c r="O1002" s="145"/>
      <c r="P1002" s="145"/>
      <c r="Q1002" s="145"/>
      <c r="R1002" s="145"/>
      <c r="S1002" s="145"/>
      <c r="T1002" s="145"/>
      <c r="U1002" s="145"/>
      <c r="V1002" s="145"/>
      <c r="W1002" s="145"/>
      <c r="X1002" s="145"/>
      <c r="Y1002" s="145"/>
      <c r="Z1002" s="145"/>
      <c r="AA1002" s="145"/>
      <c r="AB1002" s="145"/>
      <c r="AC1002" s="145"/>
      <c r="AD1002" s="145"/>
      <c r="AE1002" s="145"/>
      <c r="AF1002" s="145"/>
      <c r="AG1002" s="145"/>
      <c r="AH1002" s="145"/>
      <c r="AI1002" s="145"/>
      <c r="AJ1002" s="145"/>
      <c r="AK1002" s="145"/>
      <c r="AL1002" s="145"/>
      <c r="AM1002" s="321"/>
      <c r="AN1002" s="321"/>
      <c r="AO1002" s="321"/>
      <c r="AP1002" s="321"/>
      <c r="AQ1002" s="321"/>
      <c r="AR1002" s="321"/>
      <c r="AS1002" s="321"/>
      <c r="AT1002" s="321"/>
    </row>
    <row r="1003" spans="10:46">
      <c r="J1003" s="145"/>
      <c r="K1003" s="145"/>
      <c r="L1003" s="145"/>
      <c r="M1003" s="145"/>
      <c r="N1003" s="145"/>
      <c r="O1003" s="145"/>
      <c r="P1003" s="145"/>
      <c r="Q1003" s="145"/>
      <c r="R1003" s="145"/>
      <c r="S1003" s="145"/>
      <c r="T1003" s="145"/>
      <c r="U1003" s="145"/>
      <c r="V1003" s="145"/>
      <c r="W1003" s="145"/>
      <c r="X1003" s="145"/>
      <c r="Y1003" s="145"/>
      <c r="Z1003" s="145"/>
      <c r="AA1003" s="145"/>
      <c r="AB1003" s="145"/>
      <c r="AC1003" s="145"/>
      <c r="AD1003" s="145"/>
      <c r="AE1003" s="145"/>
      <c r="AF1003" s="145"/>
      <c r="AG1003" s="145"/>
      <c r="AH1003" s="145"/>
      <c r="AI1003" s="145"/>
      <c r="AJ1003" s="145"/>
      <c r="AK1003" s="145"/>
      <c r="AL1003" s="145"/>
      <c r="AM1003" s="321"/>
      <c r="AN1003" s="321"/>
      <c r="AO1003" s="321"/>
      <c r="AP1003" s="321"/>
      <c r="AQ1003" s="321"/>
      <c r="AR1003" s="321"/>
      <c r="AS1003" s="321"/>
      <c r="AT1003" s="321"/>
    </row>
    <row r="1004" spans="10:46">
      <c r="J1004" s="145"/>
      <c r="K1004" s="145"/>
      <c r="L1004" s="145"/>
      <c r="M1004" s="145"/>
      <c r="N1004" s="145"/>
      <c r="O1004" s="145"/>
      <c r="P1004" s="145"/>
      <c r="Q1004" s="145"/>
      <c r="R1004" s="145"/>
      <c r="S1004" s="145"/>
      <c r="T1004" s="145"/>
      <c r="U1004" s="145"/>
      <c r="V1004" s="145"/>
      <c r="W1004" s="145"/>
      <c r="X1004" s="145"/>
      <c r="Y1004" s="145"/>
      <c r="Z1004" s="145"/>
      <c r="AA1004" s="145"/>
      <c r="AB1004" s="145"/>
      <c r="AC1004" s="145"/>
      <c r="AD1004" s="145"/>
      <c r="AE1004" s="145"/>
      <c r="AF1004" s="145"/>
      <c r="AG1004" s="145"/>
      <c r="AH1004" s="145"/>
      <c r="AI1004" s="145"/>
      <c r="AJ1004" s="145"/>
      <c r="AK1004" s="145"/>
      <c r="AL1004" s="145"/>
      <c r="AM1004" s="321"/>
      <c r="AN1004" s="321"/>
      <c r="AO1004" s="321"/>
      <c r="AP1004" s="321"/>
      <c r="AQ1004" s="321"/>
      <c r="AR1004" s="321"/>
      <c r="AS1004" s="321"/>
      <c r="AT1004" s="321"/>
    </row>
    <row r="1005" spans="10:46">
      <c r="J1005" s="145"/>
      <c r="K1005" s="145"/>
      <c r="L1005" s="145"/>
      <c r="M1005" s="145"/>
      <c r="N1005" s="145"/>
      <c r="O1005" s="145"/>
      <c r="P1005" s="145"/>
      <c r="Q1005" s="145"/>
      <c r="R1005" s="145"/>
      <c r="S1005" s="145"/>
      <c r="T1005" s="145"/>
      <c r="U1005" s="145"/>
      <c r="V1005" s="145"/>
      <c r="W1005" s="145"/>
      <c r="X1005" s="145"/>
      <c r="Y1005" s="145"/>
      <c r="Z1005" s="145"/>
      <c r="AA1005" s="145"/>
      <c r="AB1005" s="145"/>
      <c r="AC1005" s="145"/>
      <c r="AD1005" s="145"/>
      <c r="AE1005" s="145"/>
      <c r="AF1005" s="145"/>
      <c r="AG1005" s="145"/>
      <c r="AH1005" s="145"/>
      <c r="AI1005" s="145"/>
      <c r="AJ1005" s="145"/>
      <c r="AK1005" s="145"/>
      <c r="AL1005" s="145"/>
      <c r="AM1005" s="321"/>
      <c r="AN1005" s="321"/>
      <c r="AO1005" s="321"/>
      <c r="AP1005" s="321"/>
      <c r="AQ1005" s="321"/>
      <c r="AR1005" s="321"/>
      <c r="AS1005" s="321"/>
      <c r="AT1005" s="321"/>
    </row>
    <row r="1006" spans="10:46">
      <c r="J1006" s="145"/>
      <c r="K1006" s="145"/>
      <c r="L1006" s="145"/>
      <c r="M1006" s="145"/>
      <c r="N1006" s="145"/>
      <c r="O1006" s="145"/>
      <c r="P1006" s="145"/>
      <c r="Q1006" s="145"/>
      <c r="R1006" s="145"/>
      <c r="S1006" s="145"/>
      <c r="T1006" s="145"/>
      <c r="U1006" s="145"/>
      <c r="V1006" s="145"/>
      <c r="W1006" s="145"/>
      <c r="X1006" s="145"/>
      <c r="Y1006" s="145"/>
      <c r="Z1006" s="145"/>
      <c r="AA1006" s="145"/>
      <c r="AB1006" s="145"/>
      <c r="AC1006" s="145"/>
      <c r="AD1006" s="145"/>
      <c r="AE1006" s="145"/>
      <c r="AF1006" s="145"/>
      <c r="AG1006" s="145"/>
      <c r="AH1006" s="145"/>
      <c r="AI1006" s="145"/>
      <c r="AJ1006" s="145"/>
      <c r="AK1006" s="145"/>
      <c r="AL1006" s="145"/>
      <c r="AM1006" s="321"/>
      <c r="AN1006" s="321"/>
      <c r="AO1006" s="321"/>
      <c r="AP1006" s="321"/>
      <c r="AQ1006" s="321"/>
      <c r="AR1006" s="321"/>
      <c r="AS1006" s="321"/>
      <c r="AT1006" s="321"/>
    </row>
    <row r="1007" spans="10:46">
      <c r="J1007" s="145"/>
      <c r="K1007" s="145"/>
      <c r="L1007" s="145"/>
      <c r="M1007" s="145"/>
      <c r="N1007" s="145"/>
      <c r="O1007" s="145"/>
      <c r="P1007" s="145"/>
      <c r="Q1007" s="145"/>
      <c r="R1007" s="145"/>
      <c r="S1007" s="145"/>
      <c r="T1007" s="145"/>
      <c r="U1007" s="145"/>
      <c r="V1007" s="145"/>
      <c r="W1007" s="145"/>
      <c r="X1007" s="145"/>
      <c r="Y1007" s="145"/>
      <c r="Z1007" s="145"/>
      <c r="AA1007" s="145"/>
      <c r="AB1007" s="145"/>
      <c r="AC1007" s="145"/>
      <c r="AD1007" s="145"/>
      <c r="AE1007" s="145"/>
      <c r="AF1007" s="145"/>
      <c r="AG1007" s="145"/>
      <c r="AH1007" s="145"/>
      <c r="AI1007" s="145"/>
      <c r="AJ1007" s="145"/>
      <c r="AK1007" s="145"/>
      <c r="AL1007" s="145"/>
      <c r="AM1007" s="321"/>
      <c r="AN1007" s="321"/>
      <c r="AO1007" s="321"/>
      <c r="AP1007" s="321"/>
      <c r="AQ1007" s="321"/>
      <c r="AR1007" s="321"/>
      <c r="AS1007" s="321"/>
      <c r="AT1007" s="321"/>
    </row>
    <row r="1008" spans="10:46">
      <c r="J1008" s="145"/>
      <c r="K1008" s="145"/>
      <c r="L1008" s="145"/>
      <c r="M1008" s="145"/>
      <c r="N1008" s="145"/>
      <c r="O1008" s="145"/>
      <c r="P1008" s="145"/>
      <c r="Q1008" s="145"/>
      <c r="R1008" s="145"/>
      <c r="S1008" s="145"/>
      <c r="T1008" s="145"/>
      <c r="U1008" s="145"/>
      <c r="V1008" s="145"/>
      <c r="W1008" s="145"/>
      <c r="X1008" s="145"/>
      <c r="Y1008" s="145"/>
      <c r="Z1008" s="145"/>
      <c r="AA1008" s="145"/>
      <c r="AB1008" s="145"/>
      <c r="AC1008" s="145"/>
      <c r="AD1008" s="145"/>
      <c r="AE1008" s="145"/>
      <c r="AF1008" s="145"/>
      <c r="AG1008" s="145"/>
      <c r="AH1008" s="145"/>
      <c r="AI1008" s="145"/>
      <c r="AJ1008" s="145"/>
      <c r="AK1008" s="145"/>
      <c r="AL1008" s="145"/>
      <c r="AM1008" s="321"/>
      <c r="AN1008" s="321"/>
      <c r="AO1008" s="321"/>
      <c r="AP1008" s="321"/>
      <c r="AQ1008" s="321"/>
      <c r="AR1008" s="321"/>
      <c r="AS1008" s="321"/>
      <c r="AT1008" s="321"/>
    </row>
    <row r="1009" spans="10:46">
      <c r="J1009" s="145"/>
      <c r="K1009" s="145"/>
      <c r="L1009" s="145"/>
      <c r="M1009" s="145"/>
      <c r="N1009" s="145"/>
      <c r="O1009" s="145"/>
      <c r="P1009" s="145"/>
      <c r="Q1009" s="145"/>
      <c r="R1009" s="145"/>
      <c r="S1009" s="145"/>
      <c r="T1009" s="145"/>
      <c r="U1009" s="145"/>
      <c r="V1009" s="145"/>
      <c r="W1009" s="145"/>
      <c r="X1009" s="145"/>
      <c r="Y1009" s="145"/>
      <c r="Z1009" s="145"/>
      <c r="AA1009" s="145"/>
      <c r="AB1009" s="145"/>
      <c r="AC1009" s="145"/>
      <c r="AD1009" s="145"/>
      <c r="AE1009" s="145"/>
      <c r="AF1009" s="145"/>
      <c r="AG1009" s="145"/>
      <c r="AH1009" s="145"/>
      <c r="AI1009" s="145"/>
      <c r="AJ1009" s="145"/>
      <c r="AK1009" s="145"/>
      <c r="AL1009" s="145"/>
      <c r="AM1009" s="321"/>
      <c r="AN1009" s="321"/>
      <c r="AO1009" s="321"/>
      <c r="AP1009" s="321"/>
      <c r="AQ1009" s="321"/>
      <c r="AR1009" s="321"/>
      <c r="AS1009" s="321"/>
      <c r="AT1009" s="321"/>
    </row>
    <row r="1010" spans="10:46">
      <c r="J1010" s="145"/>
      <c r="K1010" s="145"/>
      <c r="L1010" s="145"/>
      <c r="M1010" s="145"/>
      <c r="N1010" s="145"/>
      <c r="O1010" s="145"/>
      <c r="P1010" s="145"/>
      <c r="Q1010" s="145"/>
      <c r="R1010" s="145"/>
      <c r="S1010" s="145"/>
      <c r="T1010" s="145"/>
      <c r="U1010" s="145"/>
      <c r="V1010" s="145"/>
      <c r="W1010" s="145"/>
      <c r="X1010" s="145"/>
      <c r="Y1010" s="145"/>
      <c r="Z1010" s="145"/>
      <c r="AA1010" s="145"/>
      <c r="AB1010" s="145"/>
      <c r="AC1010" s="145"/>
      <c r="AD1010" s="145"/>
      <c r="AE1010" s="145"/>
      <c r="AF1010" s="145"/>
      <c r="AG1010" s="145"/>
      <c r="AH1010" s="145"/>
      <c r="AI1010" s="145"/>
      <c r="AJ1010" s="145"/>
      <c r="AK1010" s="145"/>
      <c r="AL1010" s="145"/>
      <c r="AM1010" s="321"/>
      <c r="AN1010" s="321"/>
      <c r="AO1010" s="321"/>
      <c r="AP1010" s="321"/>
      <c r="AQ1010" s="321"/>
      <c r="AR1010" s="321"/>
      <c r="AS1010" s="321"/>
      <c r="AT1010" s="321"/>
    </row>
    <row r="1011" spans="10:46">
      <c r="J1011" s="145"/>
      <c r="K1011" s="145"/>
      <c r="L1011" s="145"/>
      <c r="M1011" s="145"/>
      <c r="N1011" s="145"/>
      <c r="O1011" s="145"/>
      <c r="P1011" s="145"/>
      <c r="Q1011" s="145"/>
      <c r="R1011" s="145"/>
      <c r="S1011" s="145"/>
      <c r="T1011" s="145"/>
      <c r="U1011" s="145"/>
      <c r="V1011" s="145"/>
      <c r="W1011" s="145"/>
      <c r="X1011" s="145"/>
      <c r="Y1011" s="145"/>
      <c r="Z1011" s="145"/>
      <c r="AA1011" s="145"/>
      <c r="AB1011" s="145"/>
      <c r="AC1011" s="145"/>
      <c r="AD1011" s="145"/>
      <c r="AE1011" s="145"/>
      <c r="AF1011" s="145"/>
      <c r="AG1011" s="145"/>
      <c r="AH1011" s="145"/>
      <c r="AI1011" s="145"/>
      <c r="AJ1011" s="145"/>
      <c r="AK1011" s="145"/>
      <c r="AL1011" s="145"/>
      <c r="AM1011" s="321"/>
      <c r="AN1011" s="321"/>
      <c r="AO1011" s="321"/>
      <c r="AP1011" s="321"/>
      <c r="AQ1011" s="321"/>
      <c r="AR1011" s="321"/>
      <c r="AS1011" s="321"/>
      <c r="AT1011" s="321"/>
    </row>
    <row r="1012" spans="10:46">
      <c r="J1012" s="145"/>
      <c r="K1012" s="145"/>
      <c r="L1012" s="145"/>
      <c r="M1012" s="145"/>
      <c r="N1012" s="145"/>
      <c r="O1012" s="145"/>
      <c r="P1012" s="145"/>
      <c r="Q1012" s="145"/>
      <c r="R1012" s="145"/>
      <c r="S1012" s="145"/>
      <c r="T1012" s="145"/>
      <c r="U1012" s="145"/>
      <c r="V1012" s="145"/>
      <c r="W1012" s="145"/>
      <c r="X1012" s="145"/>
      <c r="Y1012" s="145"/>
      <c r="Z1012" s="145"/>
      <c r="AA1012" s="145"/>
      <c r="AB1012" s="145"/>
      <c r="AC1012" s="145"/>
      <c r="AD1012" s="145"/>
      <c r="AE1012" s="145"/>
      <c r="AF1012" s="145"/>
      <c r="AG1012" s="145"/>
      <c r="AH1012" s="145"/>
      <c r="AI1012" s="145"/>
      <c r="AJ1012" s="145"/>
      <c r="AK1012" s="145"/>
      <c r="AL1012" s="145"/>
      <c r="AM1012" s="321"/>
      <c r="AN1012" s="321"/>
      <c r="AO1012" s="321"/>
      <c r="AP1012" s="321"/>
      <c r="AQ1012" s="321"/>
      <c r="AR1012" s="321"/>
      <c r="AS1012" s="321"/>
      <c r="AT1012" s="321"/>
    </row>
    <row r="1013" spans="10:46">
      <c r="J1013" s="145"/>
      <c r="K1013" s="145"/>
      <c r="L1013" s="145"/>
      <c r="M1013" s="145"/>
      <c r="N1013" s="145"/>
      <c r="O1013" s="145"/>
      <c r="P1013" s="145"/>
      <c r="Q1013" s="145"/>
      <c r="R1013" s="145"/>
      <c r="S1013" s="145"/>
      <c r="T1013" s="145"/>
      <c r="U1013" s="145"/>
      <c r="V1013" s="145"/>
      <c r="W1013" s="145"/>
      <c r="X1013" s="145"/>
      <c r="Y1013" s="145"/>
      <c r="Z1013" s="145"/>
      <c r="AA1013" s="145"/>
      <c r="AB1013" s="145"/>
      <c r="AC1013" s="145"/>
      <c r="AD1013" s="145"/>
      <c r="AE1013" s="145"/>
      <c r="AF1013" s="145"/>
      <c r="AG1013" s="145"/>
      <c r="AH1013" s="145"/>
      <c r="AI1013" s="145"/>
      <c r="AJ1013" s="145"/>
      <c r="AK1013" s="145"/>
      <c r="AL1013" s="145"/>
      <c r="AM1013" s="321"/>
      <c r="AN1013" s="321"/>
      <c r="AO1013" s="321"/>
      <c r="AP1013" s="321"/>
      <c r="AQ1013" s="321"/>
      <c r="AR1013" s="321"/>
      <c r="AS1013" s="321"/>
      <c r="AT1013" s="321"/>
    </row>
    <row r="1014" spans="10:46">
      <c r="J1014" s="145"/>
      <c r="K1014" s="145"/>
      <c r="L1014" s="145"/>
      <c r="M1014" s="145"/>
      <c r="N1014" s="145"/>
      <c r="O1014" s="145"/>
      <c r="P1014" s="145"/>
      <c r="Q1014" s="145"/>
      <c r="R1014" s="145"/>
      <c r="S1014" s="145"/>
      <c r="T1014" s="145"/>
      <c r="U1014" s="145"/>
      <c r="V1014" s="145"/>
      <c r="W1014" s="145"/>
      <c r="X1014" s="145"/>
      <c r="Y1014" s="145"/>
      <c r="Z1014" s="145"/>
      <c r="AA1014" s="145"/>
      <c r="AB1014" s="145"/>
      <c r="AC1014" s="145"/>
      <c r="AD1014" s="145"/>
      <c r="AE1014" s="145"/>
      <c r="AF1014" s="145"/>
      <c r="AG1014" s="145"/>
      <c r="AH1014" s="145"/>
      <c r="AI1014" s="145"/>
      <c r="AJ1014" s="145"/>
      <c r="AK1014" s="145"/>
      <c r="AL1014" s="145"/>
      <c r="AM1014" s="321"/>
      <c r="AN1014" s="321"/>
      <c r="AO1014" s="321"/>
      <c r="AP1014" s="321"/>
      <c r="AQ1014" s="321"/>
      <c r="AR1014" s="321"/>
      <c r="AS1014" s="321"/>
      <c r="AT1014" s="321"/>
    </row>
    <row r="1015" spans="10:46">
      <c r="J1015" s="145"/>
      <c r="K1015" s="145"/>
      <c r="L1015" s="145"/>
      <c r="M1015" s="145"/>
      <c r="N1015" s="145"/>
      <c r="O1015" s="145"/>
      <c r="P1015" s="145"/>
      <c r="Q1015" s="145"/>
      <c r="R1015" s="145"/>
      <c r="S1015" s="145"/>
      <c r="T1015" s="145"/>
      <c r="U1015" s="145"/>
      <c r="V1015" s="145"/>
      <c r="W1015" s="145"/>
      <c r="X1015" s="145"/>
      <c r="Y1015" s="145"/>
      <c r="Z1015" s="145"/>
      <c r="AA1015" s="145"/>
      <c r="AB1015" s="145"/>
      <c r="AC1015" s="145"/>
      <c r="AD1015" s="145"/>
      <c r="AE1015" s="145"/>
      <c r="AF1015" s="145"/>
      <c r="AG1015" s="145"/>
      <c r="AH1015" s="145"/>
      <c r="AI1015" s="145"/>
      <c r="AJ1015" s="145"/>
      <c r="AK1015" s="145"/>
      <c r="AL1015" s="145"/>
      <c r="AM1015" s="321"/>
      <c r="AN1015" s="321"/>
      <c r="AO1015" s="321"/>
      <c r="AP1015" s="321"/>
      <c r="AQ1015" s="321"/>
      <c r="AR1015" s="321"/>
      <c r="AS1015" s="321"/>
      <c r="AT1015" s="321"/>
    </row>
    <row r="1016" spans="10:46">
      <c r="J1016" s="145"/>
      <c r="K1016" s="145"/>
      <c r="L1016" s="145"/>
      <c r="M1016" s="145"/>
      <c r="N1016" s="145"/>
      <c r="O1016" s="145"/>
      <c r="P1016" s="145"/>
      <c r="Q1016" s="145"/>
      <c r="R1016" s="145"/>
      <c r="S1016" s="145"/>
      <c r="T1016" s="145"/>
      <c r="U1016" s="145"/>
      <c r="V1016" s="145"/>
      <c r="W1016" s="145"/>
      <c r="X1016" s="145"/>
      <c r="Y1016" s="145"/>
      <c r="Z1016" s="145"/>
      <c r="AA1016" s="145"/>
      <c r="AB1016" s="145"/>
      <c r="AC1016" s="145"/>
      <c r="AD1016" s="145"/>
      <c r="AE1016" s="145"/>
      <c r="AF1016" s="145"/>
      <c r="AG1016" s="145"/>
      <c r="AH1016" s="145"/>
      <c r="AI1016" s="145"/>
      <c r="AJ1016" s="145"/>
      <c r="AK1016" s="145"/>
      <c r="AL1016" s="145"/>
      <c r="AM1016" s="321"/>
      <c r="AN1016" s="321"/>
      <c r="AO1016" s="321"/>
      <c r="AP1016" s="321"/>
      <c r="AQ1016" s="321"/>
      <c r="AR1016" s="321"/>
      <c r="AS1016" s="321"/>
      <c r="AT1016" s="321"/>
    </row>
    <row r="1017" spans="10:46">
      <c r="J1017" s="145"/>
      <c r="K1017" s="145"/>
      <c r="L1017" s="145"/>
      <c r="M1017" s="145"/>
      <c r="N1017" s="145"/>
      <c r="O1017" s="145"/>
      <c r="P1017" s="145"/>
      <c r="Q1017" s="145"/>
      <c r="R1017" s="145"/>
      <c r="S1017" s="145"/>
      <c r="T1017" s="145"/>
      <c r="U1017" s="145"/>
      <c r="V1017" s="145"/>
      <c r="W1017" s="145"/>
      <c r="X1017" s="145"/>
      <c r="Y1017" s="145"/>
      <c r="Z1017" s="145"/>
      <c r="AA1017" s="145"/>
      <c r="AB1017" s="145"/>
      <c r="AC1017" s="145"/>
      <c r="AD1017" s="145"/>
      <c r="AE1017" s="145"/>
      <c r="AF1017" s="145"/>
      <c r="AG1017" s="145"/>
      <c r="AH1017" s="145"/>
      <c r="AI1017" s="145"/>
      <c r="AJ1017" s="145"/>
      <c r="AK1017" s="145"/>
      <c r="AL1017" s="145"/>
      <c r="AM1017" s="321"/>
      <c r="AN1017" s="321"/>
      <c r="AO1017" s="321"/>
      <c r="AP1017" s="321"/>
      <c r="AQ1017" s="321"/>
      <c r="AR1017" s="321"/>
      <c r="AS1017" s="321"/>
      <c r="AT1017" s="321"/>
    </row>
    <row r="1018" spans="10:46">
      <c r="J1018" s="145"/>
      <c r="K1018" s="145"/>
      <c r="L1018" s="145"/>
      <c r="M1018" s="145"/>
      <c r="N1018" s="145"/>
      <c r="O1018" s="145"/>
      <c r="P1018" s="145"/>
      <c r="Q1018" s="145"/>
      <c r="R1018" s="145"/>
      <c r="S1018" s="145"/>
      <c r="T1018" s="145"/>
      <c r="U1018" s="145"/>
      <c r="V1018" s="145"/>
      <c r="W1018" s="145"/>
      <c r="X1018" s="145"/>
      <c r="Y1018" s="145"/>
      <c r="Z1018" s="145"/>
      <c r="AA1018" s="145"/>
      <c r="AB1018" s="145"/>
      <c r="AC1018" s="145"/>
      <c r="AD1018" s="145"/>
      <c r="AE1018" s="145"/>
      <c r="AF1018" s="145"/>
      <c r="AG1018" s="145"/>
      <c r="AH1018" s="145"/>
      <c r="AI1018" s="145"/>
      <c r="AJ1018" s="145"/>
      <c r="AK1018" s="145"/>
      <c r="AL1018" s="145"/>
      <c r="AM1018" s="321"/>
      <c r="AN1018" s="321"/>
      <c r="AO1018" s="321"/>
      <c r="AP1018" s="321"/>
      <c r="AQ1018" s="321"/>
      <c r="AR1018" s="321"/>
      <c r="AS1018" s="321"/>
      <c r="AT1018" s="321"/>
    </row>
    <row r="1019" spans="10:46">
      <c r="J1019" s="145"/>
      <c r="K1019" s="145"/>
      <c r="L1019" s="145"/>
      <c r="M1019" s="145"/>
      <c r="N1019" s="145"/>
      <c r="O1019" s="145"/>
      <c r="P1019" s="145"/>
      <c r="Q1019" s="145"/>
      <c r="R1019" s="145"/>
      <c r="S1019" s="145"/>
      <c r="T1019" s="145"/>
      <c r="U1019" s="145"/>
      <c r="V1019" s="145"/>
      <c r="W1019" s="145"/>
      <c r="X1019" s="145"/>
      <c r="Y1019" s="145"/>
      <c r="Z1019" s="145"/>
      <c r="AA1019" s="145"/>
      <c r="AB1019" s="145"/>
      <c r="AC1019" s="145"/>
      <c r="AD1019" s="145"/>
      <c r="AE1019" s="145"/>
      <c r="AF1019" s="145"/>
      <c r="AG1019" s="145"/>
      <c r="AH1019" s="145"/>
      <c r="AI1019" s="145"/>
      <c r="AJ1019" s="145"/>
      <c r="AK1019" s="145"/>
      <c r="AL1019" s="145"/>
      <c r="AM1019" s="321"/>
      <c r="AN1019" s="321"/>
      <c r="AO1019" s="321"/>
      <c r="AP1019" s="321"/>
      <c r="AQ1019" s="321"/>
      <c r="AR1019" s="321"/>
      <c r="AS1019" s="321"/>
      <c r="AT1019" s="321"/>
    </row>
    <row r="1020" spans="10:46">
      <c r="J1020" s="145"/>
      <c r="K1020" s="145"/>
      <c r="L1020" s="145"/>
      <c r="M1020" s="145"/>
      <c r="N1020" s="145"/>
      <c r="O1020" s="145"/>
      <c r="P1020" s="145"/>
      <c r="Q1020" s="145"/>
      <c r="R1020" s="145"/>
      <c r="S1020" s="145"/>
      <c r="T1020" s="145"/>
      <c r="U1020" s="145"/>
      <c r="V1020" s="145"/>
      <c r="W1020" s="145"/>
      <c r="X1020" s="145"/>
      <c r="Y1020" s="145"/>
      <c r="Z1020" s="145"/>
      <c r="AA1020" s="145"/>
      <c r="AB1020" s="145"/>
      <c r="AC1020" s="145"/>
      <c r="AD1020" s="145"/>
      <c r="AE1020" s="145"/>
      <c r="AF1020" s="145"/>
      <c r="AG1020" s="145"/>
      <c r="AH1020" s="145"/>
      <c r="AI1020" s="145"/>
      <c r="AJ1020" s="145"/>
      <c r="AK1020" s="145"/>
      <c r="AL1020" s="145"/>
      <c r="AM1020" s="321"/>
      <c r="AN1020" s="321"/>
      <c r="AO1020" s="321"/>
      <c r="AP1020" s="321"/>
      <c r="AQ1020" s="321"/>
      <c r="AR1020" s="321"/>
      <c r="AS1020" s="321"/>
      <c r="AT1020" s="321"/>
    </row>
    <row r="1021" spans="10:46">
      <c r="J1021" s="145"/>
      <c r="K1021" s="145"/>
      <c r="L1021" s="145"/>
      <c r="M1021" s="145"/>
      <c r="N1021" s="145"/>
      <c r="O1021" s="145"/>
      <c r="P1021" s="145"/>
      <c r="Q1021" s="145"/>
      <c r="R1021" s="145"/>
      <c r="S1021" s="145"/>
      <c r="T1021" s="145"/>
      <c r="U1021" s="145"/>
      <c r="V1021" s="145"/>
      <c r="W1021" s="145"/>
      <c r="X1021" s="145"/>
      <c r="Y1021" s="145"/>
      <c r="Z1021" s="145"/>
      <c r="AA1021" s="145"/>
      <c r="AB1021" s="145"/>
      <c r="AC1021" s="145"/>
      <c r="AD1021" s="145"/>
      <c r="AE1021" s="145"/>
      <c r="AF1021" s="145"/>
      <c r="AG1021" s="145"/>
      <c r="AH1021" s="145"/>
      <c r="AI1021" s="145"/>
      <c r="AJ1021" s="145"/>
      <c r="AK1021" s="145"/>
      <c r="AL1021" s="145"/>
      <c r="AM1021" s="321"/>
      <c r="AN1021" s="321"/>
      <c r="AO1021" s="321"/>
      <c r="AP1021" s="321"/>
      <c r="AQ1021" s="321"/>
      <c r="AR1021" s="321"/>
      <c r="AS1021" s="321"/>
      <c r="AT1021" s="321"/>
    </row>
    <row r="1022" spans="10:46">
      <c r="J1022" s="145"/>
      <c r="K1022" s="145"/>
      <c r="L1022" s="145"/>
      <c r="M1022" s="145"/>
      <c r="N1022" s="145"/>
      <c r="O1022" s="145"/>
      <c r="P1022" s="145"/>
      <c r="Q1022" s="145"/>
      <c r="R1022" s="145"/>
      <c r="S1022" s="145"/>
      <c r="T1022" s="145"/>
      <c r="U1022" s="145"/>
      <c r="V1022" s="145"/>
      <c r="W1022" s="145"/>
      <c r="X1022" s="145"/>
      <c r="Y1022" s="145"/>
      <c r="Z1022" s="145"/>
      <c r="AA1022" s="145"/>
      <c r="AB1022" s="145"/>
      <c r="AC1022" s="145"/>
      <c r="AD1022" s="145"/>
      <c r="AE1022" s="145"/>
      <c r="AF1022" s="145"/>
      <c r="AG1022" s="145"/>
      <c r="AH1022" s="145"/>
      <c r="AI1022" s="145"/>
      <c r="AJ1022" s="145"/>
      <c r="AK1022" s="145"/>
      <c r="AL1022" s="145"/>
      <c r="AM1022" s="321"/>
      <c r="AN1022" s="321"/>
      <c r="AO1022" s="321"/>
      <c r="AP1022" s="321"/>
      <c r="AQ1022" s="321"/>
      <c r="AR1022" s="321"/>
      <c r="AS1022" s="321"/>
      <c r="AT1022" s="321"/>
    </row>
    <row r="1023" spans="10:46">
      <c r="J1023" s="145"/>
      <c r="K1023" s="145"/>
      <c r="L1023" s="145"/>
      <c r="M1023" s="145"/>
      <c r="N1023" s="145"/>
      <c r="O1023" s="145"/>
      <c r="P1023" s="145"/>
      <c r="Q1023" s="145"/>
      <c r="R1023" s="145"/>
      <c r="S1023" s="145"/>
      <c r="T1023" s="145"/>
      <c r="U1023" s="145"/>
      <c r="V1023" s="145"/>
      <c r="W1023" s="145"/>
      <c r="X1023" s="145"/>
      <c r="Y1023" s="145"/>
      <c r="Z1023" s="145"/>
      <c r="AA1023" s="145"/>
      <c r="AB1023" s="145"/>
      <c r="AC1023" s="145"/>
      <c r="AD1023" s="145"/>
      <c r="AE1023" s="145"/>
      <c r="AF1023" s="145"/>
      <c r="AG1023" s="145"/>
      <c r="AH1023" s="145"/>
      <c r="AI1023" s="145"/>
      <c r="AJ1023" s="145"/>
      <c r="AK1023" s="145"/>
      <c r="AL1023" s="145"/>
      <c r="AM1023" s="321"/>
      <c r="AN1023" s="321"/>
      <c r="AO1023" s="321"/>
      <c r="AP1023" s="321"/>
      <c r="AQ1023" s="321"/>
      <c r="AR1023" s="321"/>
      <c r="AS1023" s="321"/>
      <c r="AT1023" s="321"/>
    </row>
    <row r="1024" spans="10:46">
      <c r="J1024" s="145"/>
      <c r="K1024" s="145"/>
      <c r="L1024" s="145"/>
      <c r="M1024" s="145"/>
      <c r="N1024" s="145"/>
      <c r="O1024" s="145"/>
      <c r="P1024" s="145"/>
      <c r="Q1024" s="145"/>
      <c r="R1024" s="145"/>
      <c r="S1024" s="145"/>
      <c r="T1024" s="145"/>
      <c r="U1024" s="145"/>
      <c r="V1024" s="145"/>
      <c r="W1024" s="145"/>
      <c r="X1024" s="145"/>
      <c r="Y1024" s="145"/>
      <c r="Z1024" s="145"/>
      <c r="AA1024" s="145"/>
      <c r="AB1024" s="145"/>
      <c r="AC1024" s="145"/>
      <c r="AD1024" s="145"/>
      <c r="AE1024" s="145"/>
      <c r="AF1024" s="145"/>
      <c r="AG1024" s="145"/>
      <c r="AH1024" s="145"/>
      <c r="AI1024" s="145"/>
      <c r="AJ1024" s="145"/>
      <c r="AK1024" s="145"/>
      <c r="AL1024" s="145"/>
      <c r="AM1024" s="321"/>
      <c r="AN1024" s="321"/>
      <c r="AO1024" s="321"/>
      <c r="AP1024" s="321"/>
      <c r="AQ1024" s="321"/>
      <c r="AR1024" s="321"/>
      <c r="AS1024" s="321"/>
      <c r="AT1024" s="321"/>
    </row>
    <row r="1025" spans="10:46">
      <c r="J1025" s="145"/>
      <c r="K1025" s="145"/>
      <c r="L1025" s="145"/>
      <c r="M1025" s="145"/>
      <c r="N1025" s="145"/>
      <c r="O1025" s="145"/>
      <c r="P1025" s="145"/>
      <c r="Q1025" s="145"/>
      <c r="R1025" s="145"/>
      <c r="S1025" s="145"/>
      <c r="T1025" s="145"/>
      <c r="U1025" s="145"/>
      <c r="V1025" s="145"/>
      <c r="W1025" s="145"/>
      <c r="X1025" s="145"/>
      <c r="Y1025" s="145"/>
      <c r="Z1025" s="145"/>
      <c r="AA1025" s="145"/>
      <c r="AB1025" s="145"/>
      <c r="AC1025" s="145"/>
      <c r="AD1025" s="145"/>
      <c r="AE1025" s="145"/>
      <c r="AF1025" s="145"/>
      <c r="AG1025" s="145"/>
      <c r="AH1025" s="145"/>
      <c r="AI1025" s="145"/>
      <c r="AJ1025" s="145"/>
      <c r="AK1025" s="145"/>
      <c r="AL1025" s="145"/>
      <c r="AM1025" s="321"/>
      <c r="AN1025" s="321"/>
      <c r="AO1025" s="321"/>
      <c r="AP1025" s="321"/>
      <c r="AQ1025" s="321"/>
      <c r="AR1025" s="321"/>
      <c r="AS1025" s="321"/>
      <c r="AT1025" s="321"/>
    </row>
    <row r="1026" spans="10:46">
      <c r="J1026" s="145"/>
      <c r="K1026" s="145"/>
      <c r="L1026" s="145"/>
      <c r="M1026" s="145"/>
      <c r="N1026" s="145"/>
      <c r="O1026" s="145"/>
      <c r="P1026" s="145"/>
      <c r="Q1026" s="145"/>
      <c r="R1026" s="145"/>
      <c r="S1026" s="145"/>
      <c r="T1026" s="145"/>
      <c r="U1026" s="145"/>
      <c r="V1026" s="145"/>
      <c r="W1026" s="145"/>
      <c r="X1026" s="145"/>
      <c r="Y1026" s="145"/>
      <c r="Z1026" s="145"/>
      <c r="AA1026" s="145"/>
      <c r="AB1026" s="145"/>
      <c r="AC1026" s="145"/>
      <c r="AD1026" s="145"/>
      <c r="AE1026" s="145"/>
      <c r="AF1026" s="145"/>
      <c r="AG1026" s="145"/>
      <c r="AH1026" s="145"/>
      <c r="AI1026" s="145"/>
      <c r="AJ1026" s="145"/>
      <c r="AK1026" s="145"/>
      <c r="AL1026" s="145"/>
      <c r="AM1026" s="321"/>
      <c r="AN1026" s="321"/>
      <c r="AO1026" s="321"/>
      <c r="AP1026" s="321"/>
      <c r="AQ1026" s="321"/>
      <c r="AR1026" s="321"/>
      <c r="AS1026" s="321"/>
      <c r="AT1026" s="321"/>
    </row>
    <row r="1027" spans="10:46">
      <c r="J1027" s="145"/>
      <c r="K1027" s="145"/>
      <c r="L1027" s="145"/>
      <c r="M1027" s="145"/>
      <c r="N1027" s="145"/>
      <c r="O1027" s="145"/>
      <c r="P1027" s="145"/>
      <c r="Q1027" s="145"/>
      <c r="R1027" s="145"/>
      <c r="S1027" s="145"/>
      <c r="T1027" s="145"/>
      <c r="U1027" s="145"/>
      <c r="V1027" s="145"/>
      <c r="W1027" s="145"/>
      <c r="X1027" s="145"/>
      <c r="Y1027" s="145"/>
      <c r="Z1027" s="145"/>
      <c r="AA1027" s="145"/>
      <c r="AB1027" s="145"/>
      <c r="AC1027" s="145"/>
      <c r="AD1027" s="145"/>
      <c r="AE1027" s="145"/>
      <c r="AF1027" s="145"/>
      <c r="AG1027" s="145"/>
      <c r="AH1027" s="145"/>
      <c r="AI1027" s="145"/>
      <c r="AJ1027" s="145"/>
      <c r="AK1027" s="145"/>
      <c r="AL1027" s="145"/>
      <c r="AM1027" s="321"/>
      <c r="AN1027" s="321"/>
      <c r="AO1027" s="321"/>
      <c r="AP1027" s="321"/>
      <c r="AQ1027" s="321"/>
      <c r="AR1027" s="321"/>
      <c r="AS1027" s="321"/>
      <c r="AT1027" s="321"/>
    </row>
    <row r="1028" spans="10:46">
      <c r="J1028" s="145"/>
      <c r="K1028" s="145"/>
      <c r="L1028" s="145"/>
      <c r="M1028" s="145"/>
      <c r="N1028" s="145"/>
      <c r="O1028" s="145"/>
      <c r="P1028" s="145"/>
      <c r="Q1028" s="145"/>
      <c r="R1028" s="145"/>
      <c r="S1028" s="145"/>
      <c r="T1028" s="145"/>
      <c r="U1028" s="145"/>
      <c r="V1028" s="145"/>
      <c r="W1028" s="145"/>
      <c r="X1028" s="145"/>
      <c r="Y1028" s="145"/>
      <c r="Z1028" s="145"/>
      <c r="AA1028" s="145"/>
      <c r="AB1028" s="145"/>
      <c r="AC1028" s="145"/>
      <c r="AD1028" s="145"/>
      <c r="AE1028" s="145"/>
      <c r="AF1028" s="145"/>
      <c r="AG1028" s="145"/>
      <c r="AH1028" s="145"/>
      <c r="AI1028" s="145"/>
      <c r="AJ1028" s="145"/>
      <c r="AK1028" s="145"/>
      <c r="AL1028" s="145"/>
      <c r="AM1028" s="321"/>
      <c r="AN1028" s="321"/>
      <c r="AO1028" s="321"/>
      <c r="AP1028" s="321"/>
      <c r="AQ1028" s="321"/>
      <c r="AR1028" s="321"/>
      <c r="AS1028" s="321"/>
      <c r="AT1028" s="321"/>
    </row>
    <row r="1029" spans="10:46">
      <c r="J1029" s="145"/>
      <c r="K1029" s="145"/>
      <c r="L1029" s="145"/>
      <c r="M1029" s="145"/>
      <c r="N1029" s="145"/>
      <c r="O1029" s="145"/>
      <c r="P1029" s="145"/>
      <c r="Q1029" s="145"/>
      <c r="R1029" s="145"/>
      <c r="S1029" s="145"/>
      <c r="T1029" s="145"/>
      <c r="U1029" s="145"/>
      <c r="V1029" s="145"/>
      <c r="W1029" s="145"/>
      <c r="X1029" s="145"/>
      <c r="Y1029" s="145"/>
      <c r="Z1029" s="145"/>
      <c r="AA1029" s="145"/>
      <c r="AB1029" s="145"/>
      <c r="AC1029" s="145"/>
      <c r="AD1029" s="145"/>
      <c r="AE1029" s="145"/>
      <c r="AF1029" s="145"/>
      <c r="AG1029" s="145"/>
      <c r="AH1029" s="145"/>
      <c r="AI1029" s="145"/>
      <c r="AJ1029" s="145"/>
      <c r="AK1029" s="145"/>
      <c r="AL1029" s="145"/>
      <c r="AM1029" s="321"/>
      <c r="AN1029" s="321"/>
      <c r="AO1029" s="321"/>
      <c r="AP1029" s="321"/>
      <c r="AQ1029" s="321"/>
      <c r="AR1029" s="321"/>
      <c r="AS1029" s="321"/>
      <c r="AT1029" s="321"/>
    </row>
    <row r="1030" spans="10:46">
      <c r="J1030" s="145"/>
      <c r="K1030" s="145"/>
      <c r="L1030" s="145"/>
      <c r="M1030" s="145"/>
      <c r="N1030" s="145"/>
      <c r="O1030" s="145"/>
      <c r="P1030" s="145"/>
      <c r="Q1030" s="145"/>
      <c r="R1030" s="145"/>
      <c r="S1030" s="145"/>
      <c r="T1030" s="145"/>
      <c r="U1030" s="145"/>
      <c r="V1030" s="145"/>
      <c r="W1030" s="145"/>
      <c r="X1030" s="145"/>
      <c r="Y1030" s="145"/>
      <c r="Z1030" s="145"/>
      <c r="AA1030" s="145"/>
      <c r="AB1030" s="145"/>
      <c r="AC1030" s="145"/>
      <c r="AD1030" s="145"/>
      <c r="AE1030" s="145"/>
      <c r="AF1030" s="145"/>
      <c r="AG1030" s="145"/>
      <c r="AH1030" s="145"/>
      <c r="AI1030" s="145"/>
      <c r="AJ1030" s="145"/>
      <c r="AK1030" s="145"/>
      <c r="AL1030" s="145"/>
      <c r="AM1030" s="321"/>
      <c r="AN1030" s="321"/>
      <c r="AO1030" s="321"/>
      <c r="AP1030" s="321"/>
      <c r="AQ1030" s="321"/>
      <c r="AR1030" s="321"/>
      <c r="AS1030" s="321"/>
      <c r="AT1030" s="321"/>
    </row>
    <row r="1031" spans="10:46">
      <c r="J1031" s="145"/>
      <c r="K1031" s="145"/>
      <c r="L1031" s="145"/>
      <c r="M1031" s="145"/>
      <c r="N1031" s="145"/>
      <c r="O1031" s="145"/>
      <c r="P1031" s="145"/>
      <c r="Q1031" s="145"/>
      <c r="R1031" s="145"/>
      <c r="S1031" s="145"/>
      <c r="T1031" s="145"/>
      <c r="U1031" s="145"/>
      <c r="V1031" s="145"/>
      <c r="W1031" s="145"/>
      <c r="X1031" s="145"/>
      <c r="Y1031" s="145"/>
      <c r="Z1031" s="145"/>
      <c r="AA1031" s="145"/>
      <c r="AB1031" s="145"/>
      <c r="AC1031" s="145"/>
      <c r="AD1031" s="145"/>
      <c r="AE1031" s="145"/>
      <c r="AF1031" s="145"/>
      <c r="AG1031" s="145"/>
      <c r="AH1031" s="145"/>
      <c r="AI1031" s="145"/>
      <c r="AJ1031" s="145"/>
      <c r="AK1031" s="145"/>
      <c r="AL1031" s="145"/>
      <c r="AM1031" s="321"/>
      <c r="AN1031" s="321"/>
      <c r="AO1031" s="321"/>
      <c r="AP1031" s="321"/>
      <c r="AQ1031" s="321"/>
      <c r="AR1031" s="321"/>
      <c r="AS1031" s="321"/>
      <c r="AT1031" s="321"/>
    </row>
    <row r="1032" spans="10:46">
      <c r="J1032" s="145"/>
      <c r="K1032" s="145"/>
      <c r="L1032" s="145"/>
      <c r="M1032" s="145"/>
      <c r="N1032" s="145"/>
      <c r="O1032" s="145"/>
      <c r="P1032" s="145"/>
      <c r="Q1032" s="145"/>
      <c r="R1032" s="145"/>
      <c r="S1032" s="145"/>
      <c r="T1032" s="145"/>
      <c r="U1032" s="145"/>
      <c r="V1032" s="145"/>
      <c r="W1032" s="145"/>
      <c r="X1032" s="145"/>
      <c r="Y1032" s="145"/>
      <c r="Z1032" s="145"/>
      <c r="AA1032" s="145"/>
      <c r="AB1032" s="145"/>
      <c r="AC1032" s="145"/>
      <c r="AD1032" s="145"/>
      <c r="AE1032" s="145"/>
      <c r="AF1032" s="145"/>
      <c r="AG1032" s="145"/>
      <c r="AH1032" s="145"/>
      <c r="AI1032" s="145"/>
      <c r="AJ1032" s="145"/>
      <c r="AK1032" s="145"/>
      <c r="AL1032" s="145"/>
      <c r="AM1032" s="321"/>
      <c r="AN1032" s="321"/>
      <c r="AO1032" s="321"/>
      <c r="AP1032" s="321"/>
      <c r="AQ1032" s="321"/>
      <c r="AR1032" s="321"/>
      <c r="AS1032" s="321"/>
      <c r="AT1032" s="321"/>
    </row>
    <row r="1033" spans="10:46">
      <c r="J1033" s="145"/>
      <c r="K1033" s="145"/>
      <c r="L1033" s="145"/>
      <c r="M1033" s="145"/>
      <c r="N1033" s="145"/>
      <c r="O1033" s="145"/>
      <c r="P1033" s="145"/>
      <c r="Q1033" s="145"/>
      <c r="R1033" s="145"/>
      <c r="S1033" s="145"/>
      <c r="T1033" s="145"/>
      <c r="U1033" s="145"/>
      <c r="V1033" s="145"/>
      <c r="W1033" s="145"/>
      <c r="X1033" s="145"/>
      <c r="Y1033" s="145"/>
      <c r="Z1033" s="145"/>
      <c r="AA1033" s="145"/>
      <c r="AB1033" s="145"/>
      <c r="AC1033" s="145"/>
      <c r="AD1033" s="145"/>
      <c r="AE1033" s="145"/>
      <c r="AF1033" s="145"/>
      <c r="AG1033" s="145"/>
      <c r="AH1033" s="145"/>
      <c r="AI1033" s="145"/>
      <c r="AJ1033" s="145"/>
      <c r="AK1033" s="145"/>
      <c r="AL1033" s="145"/>
      <c r="AM1033" s="321"/>
      <c r="AN1033" s="321"/>
      <c r="AO1033" s="321"/>
      <c r="AP1033" s="321"/>
      <c r="AQ1033" s="321"/>
      <c r="AR1033" s="321"/>
      <c r="AS1033" s="321"/>
      <c r="AT1033" s="321"/>
    </row>
    <row r="1034" spans="10:46">
      <c r="J1034" s="145"/>
      <c r="K1034" s="145"/>
      <c r="L1034" s="145"/>
      <c r="M1034" s="145"/>
      <c r="N1034" s="145"/>
      <c r="O1034" s="145"/>
      <c r="P1034" s="145"/>
      <c r="Q1034" s="145"/>
      <c r="R1034" s="145"/>
      <c r="S1034" s="145"/>
      <c r="T1034" s="145"/>
      <c r="U1034" s="145"/>
      <c r="V1034" s="145"/>
      <c r="W1034" s="145"/>
      <c r="X1034" s="145"/>
      <c r="Y1034" s="145"/>
      <c r="Z1034" s="145"/>
      <c r="AA1034" s="145"/>
      <c r="AB1034" s="145"/>
      <c r="AC1034" s="145"/>
      <c r="AD1034" s="145"/>
      <c r="AE1034" s="145"/>
      <c r="AF1034" s="145"/>
      <c r="AG1034" s="145"/>
      <c r="AH1034" s="145"/>
      <c r="AI1034" s="145"/>
      <c r="AJ1034" s="145"/>
      <c r="AK1034" s="145"/>
      <c r="AL1034" s="145"/>
      <c r="AM1034" s="321"/>
      <c r="AN1034" s="321"/>
      <c r="AO1034" s="321"/>
      <c r="AP1034" s="321"/>
      <c r="AQ1034" s="321"/>
      <c r="AR1034" s="321"/>
      <c r="AS1034" s="321"/>
      <c r="AT1034" s="321"/>
    </row>
    <row r="1035" spans="10:46">
      <c r="J1035" s="145"/>
      <c r="K1035" s="145"/>
      <c r="L1035" s="145"/>
      <c r="M1035" s="145"/>
      <c r="N1035" s="145"/>
      <c r="O1035" s="145"/>
      <c r="P1035" s="145"/>
      <c r="Q1035" s="145"/>
      <c r="R1035" s="145"/>
      <c r="S1035" s="145"/>
      <c r="T1035" s="145"/>
      <c r="U1035" s="145"/>
      <c r="V1035" s="145"/>
      <c r="W1035" s="145"/>
      <c r="X1035" s="145"/>
      <c r="Y1035" s="145"/>
      <c r="Z1035" s="145"/>
      <c r="AA1035" s="145"/>
      <c r="AB1035" s="145"/>
      <c r="AC1035" s="145"/>
      <c r="AD1035" s="145"/>
      <c r="AE1035" s="145"/>
      <c r="AF1035" s="145"/>
      <c r="AG1035" s="145"/>
      <c r="AH1035" s="145"/>
      <c r="AI1035" s="145"/>
      <c r="AJ1035" s="145"/>
      <c r="AK1035" s="145"/>
      <c r="AL1035" s="145"/>
      <c r="AM1035" s="321"/>
      <c r="AN1035" s="321"/>
      <c r="AO1035" s="321"/>
      <c r="AP1035" s="321"/>
      <c r="AQ1035" s="321"/>
      <c r="AR1035" s="321"/>
      <c r="AS1035" s="321"/>
      <c r="AT1035" s="321"/>
    </row>
    <row r="1036" spans="10:46">
      <c r="J1036" s="145"/>
      <c r="K1036" s="145"/>
      <c r="L1036" s="145"/>
      <c r="M1036" s="145"/>
      <c r="N1036" s="145"/>
      <c r="O1036" s="145"/>
      <c r="P1036" s="145"/>
      <c r="Q1036" s="145"/>
      <c r="R1036" s="145"/>
      <c r="S1036" s="145"/>
      <c r="T1036" s="145"/>
      <c r="U1036" s="145"/>
      <c r="V1036" s="145"/>
      <c r="W1036" s="145"/>
      <c r="X1036" s="145"/>
      <c r="Y1036" s="145"/>
      <c r="Z1036" s="145"/>
      <c r="AA1036" s="145"/>
      <c r="AB1036" s="145"/>
      <c r="AC1036" s="145"/>
      <c r="AD1036" s="145"/>
      <c r="AE1036" s="145"/>
      <c r="AF1036" s="145"/>
      <c r="AG1036" s="145"/>
      <c r="AH1036" s="145"/>
      <c r="AI1036" s="145"/>
      <c r="AJ1036" s="145"/>
      <c r="AK1036" s="145"/>
      <c r="AL1036" s="145"/>
      <c r="AM1036" s="321"/>
      <c r="AN1036" s="321"/>
      <c r="AO1036" s="321"/>
      <c r="AP1036" s="321"/>
      <c r="AQ1036" s="321"/>
      <c r="AR1036" s="321"/>
      <c r="AS1036" s="321"/>
      <c r="AT1036" s="321"/>
    </row>
    <row r="1037" spans="10:46">
      <c r="J1037" s="145"/>
      <c r="K1037" s="145"/>
      <c r="L1037" s="145"/>
      <c r="M1037" s="145"/>
      <c r="N1037" s="145"/>
      <c r="O1037" s="145"/>
      <c r="P1037" s="145"/>
      <c r="Q1037" s="145"/>
      <c r="R1037" s="145"/>
      <c r="S1037" s="145"/>
      <c r="T1037" s="145"/>
      <c r="U1037" s="145"/>
      <c r="V1037" s="145"/>
      <c r="W1037" s="145"/>
      <c r="X1037" s="145"/>
      <c r="Y1037" s="145"/>
      <c r="Z1037" s="145"/>
      <c r="AA1037" s="145"/>
      <c r="AB1037" s="145"/>
      <c r="AC1037" s="145"/>
      <c r="AD1037" s="145"/>
      <c r="AE1037" s="145"/>
      <c r="AF1037" s="145"/>
      <c r="AG1037" s="145"/>
      <c r="AH1037" s="145"/>
      <c r="AI1037" s="145"/>
      <c r="AJ1037" s="145"/>
      <c r="AK1037" s="145"/>
      <c r="AL1037" s="145"/>
      <c r="AM1037" s="321"/>
      <c r="AN1037" s="321"/>
      <c r="AO1037" s="321"/>
      <c r="AP1037" s="321"/>
      <c r="AQ1037" s="321"/>
      <c r="AR1037" s="321"/>
      <c r="AS1037" s="321"/>
      <c r="AT1037" s="321"/>
    </row>
    <row r="1038" spans="10:46">
      <c r="J1038" s="145"/>
      <c r="K1038" s="145"/>
      <c r="L1038" s="145"/>
      <c r="M1038" s="145"/>
      <c r="N1038" s="145"/>
      <c r="O1038" s="145"/>
      <c r="P1038" s="145"/>
      <c r="Q1038" s="145"/>
      <c r="R1038" s="145"/>
      <c r="S1038" s="145"/>
      <c r="T1038" s="145"/>
      <c r="U1038" s="145"/>
      <c r="V1038" s="145"/>
      <c r="W1038" s="145"/>
      <c r="X1038" s="145"/>
      <c r="Y1038" s="145"/>
      <c r="Z1038" s="145"/>
      <c r="AA1038" s="145"/>
      <c r="AB1038" s="145"/>
      <c r="AC1038" s="145"/>
      <c r="AD1038" s="145"/>
      <c r="AE1038" s="145"/>
      <c r="AF1038" s="145"/>
      <c r="AG1038" s="145"/>
      <c r="AH1038" s="145"/>
      <c r="AI1038" s="145"/>
      <c r="AJ1038" s="145"/>
      <c r="AK1038" s="145"/>
      <c r="AL1038" s="145"/>
      <c r="AM1038" s="321"/>
      <c r="AN1038" s="321"/>
      <c r="AO1038" s="321"/>
      <c r="AP1038" s="321"/>
      <c r="AQ1038" s="321"/>
      <c r="AR1038" s="321"/>
      <c r="AS1038" s="321"/>
      <c r="AT1038" s="321"/>
    </row>
    <row r="1039" spans="10:46">
      <c r="J1039" s="145"/>
      <c r="K1039" s="145"/>
      <c r="L1039" s="145"/>
      <c r="M1039" s="145"/>
      <c r="N1039" s="145"/>
      <c r="O1039" s="145"/>
      <c r="P1039" s="145"/>
      <c r="Q1039" s="145"/>
      <c r="R1039" s="145"/>
      <c r="S1039" s="145"/>
      <c r="T1039" s="145"/>
      <c r="U1039" s="145"/>
      <c r="V1039" s="145"/>
      <c r="W1039" s="145"/>
      <c r="X1039" s="145"/>
      <c r="Y1039" s="145"/>
      <c r="Z1039" s="145"/>
      <c r="AA1039" s="145"/>
      <c r="AB1039" s="145"/>
      <c r="AC1039" s="145"/>
      <c r="AD1039" s="145"/>
      <c r="AE1039" s="145"/>
      <c r="AF1039" s="145"/>
      <c r="AG1039" s="145"/>
      <c r="AH1039" s="145"/>
      <c r="AI1039" s="145"/>
      <c r="AJ1039" s="145"/>
      <c r="AK1039" s="145"/>
      <c r="AL1039" s="145"/>
      <c r="AM1039" s="321"/>
      <c r="AN1039" s="321"/>
      <c r="AO1039" s="321"/>
      <c r="AP1039" s="321"/>
      <c r="AQ1039" s="321"/>
      <c r="AR1039" s="321"/>
      <c r="AS1039" s="321"/>
      <c r="AT1039" s="321"/>
    </row>
    <row r="1040" spans="10:46">
      <c r="J1040" s="145"/>
      <c r="K1040" s="145"/>
      <c r="L1040" s="145"/>
      <c r="M1040" s="145"/>
      <c r="N1040" s="145"/>
      <c r="O1040" s="145"/>
      <c r="P1040" s="145"/>
      <c r="Q1040" s="145"/>
      <c r="R1040" s="145"/>
      <c r="S1040" s="145"/>
      <c r="T1040" s="145"/>
      <c r="U1040" s="145"/>
      <c r="V1040" s="145"/>
      <c r="W1040" s="145"/>
      <c r="X1040" s="145"/>
      <c r="Y1040" s="145"/>
      <c r="Z1040" s="145"/>
      <c r="AA1040" s="145"/>
      <c r="AB1040" s="145"/>
      <c r="AC1040" s="145"/>
      <c r="AD1040" s="145"/>
      <c r="AE1040" s="145"/>
      <c r="AF1040" s="145"/>
      <c r="AG1040" s="145"/>
      <c r="AH1040" s="145"/>
      <c r="AI1040" s="145"/>
      <c r="AJ1040" s="145"/>
      <c r="AK1040" s="145"/>
      <c r="AL1040" s="145"/>
      <c r="AM1040" s="321"/>
      <c r="AN1040" s="321"/>
      <c r="AO1040" s="321"/>
      <c r="AP1040" s="321"/>
      <c r="AQ1040" s="321"/>
      <c r="AR1040" s="321"/>
      <c r="AS1040" s="321"/>
      <c r="AT1040" s="321"/>
    </row>
    <row r="1041" spans="10:46">
      <c r="J1041" s="145"/>
      <c r="K1041" s="145"/>
      <c r="L1041" s="145"/>
      <c r="M1041" s="145"/>
      <c r="N1041" s="145"/>
      <c r="O1041" s="145"/>
      <c r="P1041" s="145"/>
      <c r="Q1041" s="145"/>
      <c r="R1041" s="145"/>
      <c r="S1041" s="145"/>
      <c r="T1041" s="145"/>
      <c r="U1041" s="145"/>
      <c r="V1041" s="145"/>
      <c r="W1041" s="145"/>
      <c r="X1041" s="145"/>
      <c r="Y1041" s="145"/>
      <c r="Z1041" s="145"/>
      <c r="AA1041" s="145"/>
      <c r="AB1041" s="145"/>
      <c r="AC1041" s="145"/>
      <c r="AD1041" s="145"/>
      <c r="AE1041" s="145"/>
      <c r="AF1041" s="145"/>
      <c r="AG1041" s="145"/>
      <c r="AH1041" s="145"/>
      <c r="AI1041" s="145"/>
      <c r="AJ1041" s="145"/>
      <c r="AK1041" s="145"/>
      <c r="AL1041" s="145"/>
      <c r="AM1041" s="321"/>
      <c r="AN1041" s="321"/>
      <c r="AO1041" s="321"/>
      <c r="AP1041" s="321"/>
      <c r="AQ1041" s="321"/>
      <c r="AR1041" s="321"/>
      <c r="AS1041" s="321"/>
      <c r="AT1041" s="321"/>
    </row>
    <row r="1042" spans="10:46">
      <c r="J1042" s="145"/>
      <c r="K1042" s="145"/>
      <c r="L1042" s="145"/>
      <c r="M1042" s="145"/>
      <c r="N1042" s="145"/>
      <c r="O1042" s="145"/>
      <c r="P1042" s="145"/>
      <c r="Q1042" s="145"/>
      <c r="R1042" s="145"/>
      <c r="S1042" s="145"/>
      <c r="T1042" s="145"/>
      <c r="U1042" s="145"/>
      <c r="V1042" s="145"/>
      <c r="W1042" s="145"/>
      <c r="X1042" s="145"/>
      <c r="Y1042" s="145"/>
      <c r="Z1042" s="145"/>
      <c r="AA1042" s="145"/>
      <c r="AB1042" s="145"/>
      <c r="AC1042" s="145"/>
      <c r="AD1042" s="145"/>
      <c r="AE1042" s="145"/>
      <c r="AF1042" s="145"/>
      <c r="AG1042" s="145"/>
      <c r="AH1042" s="145"/>
      <c r="AI1042" s="145"/>
      <c r="AJ1042" s="145"/>
      <c r="AK1042" s="145"/>
      <c r="AL1042" s="145"/>
      <c r="AM1042" s="321"/>
      <c r="AN1042" s="321"/>
      <c r="AO1042" s="321"/>
      <c r="AP1042" s="321"/>
      <c r="AQ1042" s="321"/>
      <c r="AR1042" s="321"/>
      <c r="AS1042" s="321"/>
      <c r="AT1042" s="321"/>
    </row>
    <row r="1043" spans="10:46">
      <c r="J1043" s="145"/>
      <c r="K1043" s="145"/>
      <c r="L1043" s="145"/>
      <c r="M1043" s="145"/>
      <c r="N1043" s="145"/>
      <c r="O1043" s="145"/>
      <c r="P1043" s="145"/>
      <c r="Q1043" s="145"/>
      <c r="R1043" s="145"/>
      <c r="S1043" s="145"/>
      <c r="T1043" s="145"/>
      <c r="U1043" s="145"/>
      <c r="V1043" s="145"/>
      <c r="W1043" s="145"/>
      <c r="X1043" s="145"/>
      <c r="Y1043" s="145"/>
      <c r="Z1043" s="145"/>
      <c r="AA1043" s="145"/>
      <c r="AB1043" s="145"/>
      <c r="AC1043" s="145"/>
      <c r="AD1043" s="145"/>
      <c r="AE1043" s="145"/>
      <c r="AF1043" s="145"/>
      <c r="AG1043" s="145"/>
      <c r="AH1043" s="145"/>
      <c r="AI1043" s="145"/>
      <c r="AJ1043" s="145"/>
      <c r="AK1043" s="145"/>
      <c r="AL1043" s="145"/>
      <c r="AM1043" s="321"/>
      <c r="AN1043" s="321"/>
      <c r="AO1043" s="321"/>
      <c r="AP1043" s="321"/>
      <c r="AQ1043" s="321"/>
      <c r="AR1043" s="321"/>
      <c r="AS1043" s="321"/>
      <c r="AT1043" s="321"/>
    </row>
    <row r="1044" spans="10:46">
      <c r="J1044" s="145"/>
      <c r="K1044" s="145"/>
      <c r="L1044" s="145"/>
      <c r="M1044" s="145"/>
      <c r="N1044" s="145"/>
      <c r="O1044" s="145"/>
      <c r="P1044" s="145"/>
      <c r="Q1044" s="145"/>
      <c r="R1044" s="145"/>
      <c r="S1044" s="145"/>
      <c r="T1044" s="145"/>
      <c r="U1044" s="145"/>
      <c r="V1044" s="145"/>
      <c r="W1044" s="145"/>
      <c r="X1044" s="145"/>
      <c r="Y1044" s="145"/>
      <c r="Z1044" s="145"/>
      <c r="AA1044" s="145"/>
      <c r="AB1044" s="145"/>
      <c r="AC1044" s="145"/>
      <c r="AD1044" s="145"/>
      <c r="AE1044" s="145"/>
      <c r="AF1044" s="145"/>
      <c r="AG1044" s="145"/>
      <c r="AH1044" s="145"/>
      <c r="AI1044" s="145"/>
      <c r="AJ1044" s="145"/>
      <c r="AK1044" s="145"/>
      <c r="AL1044" s="145"/>
      <c r="AM1044" s="321"/>
      <c r="AN1044" s="321"/>
      <c r="AO1044" s="321"/>
      <c r="AP1044" s="321"/>
      <c r="AQ1044" s="321"/>
      <c r="AR1044" s="321"/>
      <c r="AS1044" s="321"/>
      <c r="AT1044" s="321"/>
    </row>
    <row r="1045" spans="10:46">
      <c r="J1045" s="145"/>
      <c r="K1045" s="145"/>
      <c r="L1045" s="145"/>
      <c r="M1045" s="145"/>
      <c r="N1045" s="145"/>
      <c r="O1045" s="145"/>
      <c r="P1045" s="145"/>
      <c r="Q1045" s="145"/>
      <c r="R1045" s="145"/>
      <c r="S1045" s="145"/>
      <c r="T1045" s="145"/>
      <c r="U1045" s="145"/>
      <c r="V1045" s="145"/>
      <c r="W1045" s="145"/>
      <c r="X1045" s="145"/>
      <c r="Y1045" s="145"/>
      <c r="Z1045" s="145"/>
      <c r="AA1045" s="145"/>
      <c r="AB1045" s="145"/>
      <c r="AC1045" s="145"/>
      <c r="AD1045" s="145"/>
      <c r="AE1045" s="145"/>
      <c r="AF1045" s="145"/>
      <c r="AG1045" s="145"/>
      <c r="AH1045" s="145"/>
      <c r="AI1045" s="145"/>
      <c r="AJ1045" s="145"/>
      <c r="AK1045" s="145"/>
      <c r="AL1045" s="145"/>
      <c r="AM1045" s="321"/>
      <c r="AN1045" s="321"/>
      <c r="AO1045" s="321"/>
      <c r="AP1045" s="321"/>
      <c r="AQ1045" s="321"/>
      <c r="AR1045" s="321"/>
      <c r="AS1045" s="321"/>
      <c r="AT1045" s="321"/>
    </row>
    <row r="1046" spans="10:46">
      <c r="J1046" s="145"/>
      <c r="K1046" s="145"/>
      <c r="L1046" s="145"/>
      <c r="M1046" s="145"/>
      <c r="N1046" s="145"/>
      <c r="O1046" s="145"/>
      <c r="P1046" s="145"/>
      <c r="Q1046" s="145"/>
      <c r="R1046" s="145"/>
      <c r="S1046" s="145"/>
      <c r="T1046" s="145"/>
      <c r="U1046" s="145"/>
      <c r="V1046" s="145"/>
      <c r="W1046" s="145"/>
      <c r="X1046" s="145"/>
      <c r="Y1046" s="145"/>
      <c r="Z1046" s="145"/>
      <c r="AA1046" s="145"/>
      <c r="AB1046" s="145"/>
      <c r="AC1046" s="145"/>
      <c r="AD1046" s="145"/>
      <c r="AE1046" s="145"/>
      <c r="AF1046" s="145"/>
      <c r="AG1046" s="145"/>
      <c r="AH1046" s="145"/>
      <c r="AI1046" s="145"/>
      <c r="AJ1046" s="145"/>
      <c r="AK1046" s="145"/>
      <c r="AL1046" s="145"/>
      <c r="AM1046" s="321"/>
      <c r="AN1046" s="321"/>
      <c r="AO1046" s="321"/>
      <c r="AP1046" s="321"/>
      <c r="AQ1046" s="321"/>
      <c r="AR1046" s="321"/>
      <c r="AS1046" s="321"/>
      <c r="AT1046" s="321"/>
    </row>
    <row r="1047" spans="10:46">
      <c r="J1047" s="145"/>
      <c r="K1047" s="145"/>
      <c r="L1047" s="145"/>
      <c r="M1047" s="145"/>
      <c r="N1047" s="145"/>
      <c r="O1047" s="145"/>
      <c r="P1047" s="145"/>
      <c r="Q1047" s="145"/>
      <c r="R1047" s="145"/>
      <c r="S1047" s="145"/>
      <c r="T1047" s="145"/>
      <c r="U1047" s="145"/>
      <c r="V1047" s="145"/>
      <c r="W1047" s="145"/>
      <c r="X1047" s="145"/>
      <c r="Y1047" s="145"/>
      <c r="Z1047" s="145"/>
      <c r="AA1047" s="145"/>
      <c r="AB1047" s="145"/>
      <c r="AC1047" s="145"/>
      <c r="AD1047" s="145"/>
      <c r="AE1047" s="145"/>
      <c r="AF1047" s="145"/>
      <c r="AG1047" s="145"/>
      <c r="AH1047" s="145"/>
      <c r="AI1047" s="145"/>
      <c r="AJ1047" s="145"/>
      <c r="AK1047" s="145"/>
      <c r="AL1047" s="145"/>
      <c r="AM1047" s="321"/>
      <c r="AN1047" s="321"/>
      <c r="AO1047" s="321"/>
      <c r="AP1047" s="321"/>
      <c r="AQ1047" s="321"/>
      <c r="AR1047" s="321"/>
      <c r="AS1047" s="321"/>
      <c r="AT1047" s="321"/>
    </row>
    <row r="1048" spans="10:46">
      <c r="J1048" s="145"/>
      <c r="K1048" s="145"/>
      <c r="L1048" s="145"/>
      <c r="M1048" s="145"/>
      <c r="N1048" s="145"/>
      <c r="O1048" s="145"/>
      <c r="P1048" s="145"/>
      <c r="Q1048" s="145"/>
      <c r="R1048" s="145"/>
      <c r="S1048" s="145"/>
      <c r="T1048" s="145"/>
      <c r="U1048" s="145"/>
      <c r="V1048" s="145"/>
      <c r="W1048" s="145"/>
      <c r="X1048" s="145"/>
      <c r="Y1048" s="145"/>
      <c r="Z1048" s="145"/>
      <c r="AA1048" s="145"/>
      <c r="AB1048" s="145"/>
      <c r="AC1048" s="145"/>
      <c r="AD1048" s="145"/>
      <c r="AE1048" s="145"/>
      <c r="AF1048" s="145"/>
      <c r="AG1048" s="145"/>
      <c r="AH1048" s="145"/>
      <c r="AI1048" s="145"/>
      <c r="AJ1048" s="145"/>
      <c r="AK1048" s="145"/>
      <c r="AL1048" s="145"/>
      <c r="AM1048" s="321"/>
      <c r="AN1048" s="321"/>
      <c r="AO1048" s="321"/>
      <c r="AP1048" s="321"/>
      <c r="AQ1048" s="321"/>
      <c r="AR1048" s="321"/>
      <c r="AS1048" s="321"/>
      <c r="AT1048" s="321"/>
    </row>
    <row r="1049" spans="10:46">
      <c r="J1049" s="145"/>
      <c r="K1049" s="145"/>
      <c r="L1049" s="145"/>
      <c r="M1049" s="145"/>
      <c r="N1049" s="145"/>
      <c r="O1049" s="145"/>
      <c r="P1049" s="145"/>
      <c r="Q1049" s="145"/>
      <c r="R1049" s="145"/>
      <c r="S1049" s="145"/>
      <c r="T1049" s="145"/>
      <c r="U1049" s="145"/>
      <c r="V1049" s="145"/>
      <c r="W1049" s="145"/>
      <c r="X1049" s="145"/>
      <c r="Y1049" s="145"/>
      <c r="Z1049" s="145"/>
      <c r="AA1049" s="145"/>
      <c r="AB1049" s="145"/>
      <c r="AC1049" s="145"/>
      <c r="AD1049" s="145"/>
      <c r="AE1049" s="145"/>
      <c r="AF1049" s="145"/>
      <c r="AG1049" s="145"/>
      <c r="AH1049" s="145"/>
      <c r="AI1049" s="145"/>
      <c r="AJ1049" s="145"/>
      <c r="AK1049" s="145"/>
      <c r="AL1049" s="145"/>
      <c r="AM1049" s="321"/>
      <c r="AN1049" s="321"/>
      <c r="AO1049" s="321"/>
      <c r="AP1049" s="321"/>
      <c r="AQ1049" s="321"/>
      <c r="AR1049" s="321"/>
      <c r="AS1049" s="321"/>
      <c r="AT1049" s="321"/>
    </row>
    <row r="1050" spans="10:46">
      <c r="J1050" s="145"/>
      <c r="K1050" s="145"/>
      <c r="L1050" s="145"/>
      <c r="M1050" s="145"/>
      <c r="N1050" s="145"/>
      <c r="O1050" s="145"/>
      <c r="P1050" s="145"/>
      <c r="Q1050" s="145"/>
      <c r="R1050" s="145"/>
      <c r="S1050" s="145"/>
      <c r="T1050" s="145"/>
      <c r="U1050" s="145"/>
      <c r="V1050" s="145"/>
      <c r="W1050" s="145"/>
      <c r="X1050" s="145"/>
      <c r="Y1050" s="145"/>
      <c r="Z1050" s="145"/>
      <c r="AA1050" s="145"/>
      <c r="AB1050" s="145"/>
      <c r="AC1050" s="145"/>
      <c r="AD1050" s="145"/>
      <c r="AE1050" s="145"/>
      <c r="AF1050" s="145"/>
      <c r="AG1050" s="145"/>
      <c r="AH1050" s="145"/>
      <c r="AI1050" s="145"/>
      <c r="AJ1050" s="145"/>
      <c r="AK1050" s="145"/>
      <c r="AL1050" s="145"/>
      <c r="AM1050" s="321"/>
      <c r="AN1050" s="321"/>
      <c r="AO1050" s="321"/>
      <c r="AP1050" s="321"/>
      <c r="AQ1050" s="321"/>
      <c r="AR1050" s="321"/>
      <c r="AS1050" s="321"/>
      <c r="AT1050" s="321"/>
    </row>
    <row r="1051" spans="10:46">
      <c r="J1051" s="145"/>
      <c r="K1051" s="145"/>
      <c r="L1051" s="145"/>
      <c r="M1051" s="145"/>
      <c r="N1051" s="145"/>
      <c r="O1051" s="145"/>
      <c r="P1051" s="145"/>
      <c r="Q1051" s="145"/>
      <c r="R1051" s="145"/>
      <c r="S1051" s="145"/>
      <c r="T1051" s="145"/>
      <c r="U1051" s="145"/>
      <c r="V1051" s="145"/>
      <c r="W1051" s="145"/>
      <c r="X1051" s="145"/>
      <c r="Y1051" s="145"/>
      <c r="Z1051" s="145"/>
      <c r="AA1051" s="145"/>
      <c r="AB1051" s="145"/>
      <c r="AC1051" s="145"/>
      <c r="AD1051" s="145"/>
      <c r="AE1051" s="145"/>
      <c r="AF1051" s="145"/>
      <c r="AG1051" s="145"/>
      <c r="AH1051" s="145"/>
      <c r="AI1051" s="145"/>
      <c r="AJ1051" s="145"/>
      <c r="AK1051" s="145"/>
      <c r="AL1051" s="145"/>
      <c r="AM1051" s="321"/>
      <c r="AN1051" s="321"/>
      <c r="AO1051" s="321"/>
      <c r="AP1051" s="321"/>
      <c r="AQ1051" s="321"/>
      <c r="AR1051" s="321"/>
      <c r="AS1051" s="321"/>
      <c r="AT1051" s="321"/>
    </row>
    <row r="1052" spans="10:46">
      <c r="J1052" s="145"/>
      <c r="K1052" s="145"/>
      <c r="L1052" s="145"/>
      <c r="M1052" s="145"/>
      <c r="N1052" s="145"/>
      <c r="O1052" s="145"/>
      <c r="P1052" s="145"/>
      <c r="Q1052" s="145"/>
      <c r="R1052" s="145"/>
      <c r="S1052" s="145"/>
      <c r="T1052" s="145"/>
      <c r="U1052" s="145"/>
      <c r="V1052" s="145"/>
      <c r="W1052" s="145"/>
      <c r="X1052" s="145"/>
      <c r="Y1052" s="145"/>
      <c r="Z1052" s="145"/>
      <c r="AA1052" s="145"/>
      <c r="AB1052" s="145"/>
      <c r="AC1052" s="145"/>
      <c r="AD1052" s="145"/>
      <c r="AE1052" s="145"/>
      <c r="AF1052" s="145"/>
      <c r="AG1052" s="145"/>
      <c r="AH1052" s="145"/>
      <c r="AI1052" s="145"/>
      <c r="AJ1052" s="145"/>
      <c r="AK1052" s="145"/>
      <c r="AL1052" s="145"/>
      <c r="AM1052" s="321"/>
      <c r="AN1052" s="321"/>
      <c r="AO1052" s="321"/>
      <c r="AP1052" s="321"/>
      <c r="AQ1052" s="321"/>
      <c r="AR1052" s="321"/>
      <c r="AS1052" s="321"/>
      <c r="AT1052" s="321"/>
    </row>
    <row r="1053" spans="10:46">
      <c r="J1053" s="145"/>
      <c r="K1053" s="145"/>
      <c r="L1053" s="145"/>
      <c r="M1053" s="145"/>
      <c r="N1053" s="145"/>
      <c r="O1053" s="145"/>
      <c r="P1053" s="145"/>
      <c r="Q1053" s="145"/>
      <c r="R1053" s="145"/>
      <c r="S1053" s="145"/>
      <c r="T1053" s="145"/>
      <c r="U1053" s="145"/>
      <c r="V1053" s="145"/>
      <c r="W1053" s="145"/>
      <c r="X1053" s="145"/>
      <c r="Y1053" s="145"/>
      <c r="Z1053" s="145"/>
      <c r="AA1053" s="145"/>
      <c r="AB1053" s="145"/>
      <c r="AC1053" s="145"/>
      <c r="AD1053" s="145"/>
      <c r="AE1053" s="145"/>
      <c r="AF1053" s="145"/>
      <c r="AG1053" s="145"/>
      <c r="AH1053" s="145"/>
      <c r="AI1053" s="145"/>
      <c r="AJ1053" s="145"/>
      <c r="AK1053" s="145"/>
      <c r="AL1053" s="145"/>
      <c r="AM1053" s="321"/>
      <c r="AN1053" s="321"/>
      <c r="AO1053" s="321"/>
      <c r="AP1053" s="321"/>
      <c r="AQ1053" s="321"/>
      <c r="AR1053" s="321"/>
      <c r="AS1053" s="321"/>
      <c r="AT1053" s="321"/>
    </row>
    <row r="1054" spans="10:46">
      <c r="J1054" s="145"/>
      <c r="K1054" s="145"/>
      <c r="L1054" s="145"/>
      <c r="M1054" s="145"/>
      <c r="N1054" s="145"/>
      <c r="O1054" s="145"/>
      <c r="P1054" s="145"/>
      <c r="Q1054" s="145"/>
      <c r="R1054" s="145"/>
      <c r="S1054" s="145"/>
      <c r="T1054" s="145"/>
      <c r="U1054" s="145"/>
      <c r="V1054" s="145"/>
      <c r="W1054" s="145"/>
      <c r="X1054" s="145"/>
      <c r="Y1054" s="145"/>
      <c r="Z1054" s="145"/>
      <c r="AA1054" s="145"/>
      <c r="AB1054" s="145"/>
      <c r="AC1054" s="145"/>
      <c r="AD1054" s="145"/>
      <c r="AE1054" s="145"/>
      <c r="AF1054" s="145"/>
      <c r="AG1054" s="145"/>
      <c r="AH1054" s="145"/>
      <c r="AI1054" s="145"/>
      <c r="AJ1054" s="145"/>
      <c r="AK1054" s="145"/>
      <c r="AL1054" s="145"/>
      <c r="AM1054" s="321"/>
      <c r="AN1054" s="321"/>
      <c r="AO1054" s="321"/>
      <c r="AP1054" s="321"/>
      <c r="AQ1054" s="321"/>
      <c r="AR1054" s="321"/>
      <c r="AS1054" s="321"/>
      <c r="AT1054" s="321"/>
    </row>
    <row r="1055" spans="10:46">
      <c r="J1055" s="145"/>
      <c r="K1055" s="145"/>
      <c r="L1055" s="145"/>
      <c r="M1055" s="145"/>
      <c r="N1055" s="145"/>
      <c r="O1055" s="145"/>
      <c r="P1055" s="145"/>
      <c r="Q1055" s="145"/>
      <c r="R1055" s="145"/>
      <c r="S1055" s="145"/>
      <c r="T1055" s="145"/>
      <c r="U1055" s="145"/>
      <c r="V1055" s="145"/>
      <c r="W1055" s="145"/>
      <c r="X1055" s="145"/>
      <c r="Y1055" s="145"/>
      <c r="Z1055" s="145"/>
      <c r="AA1055" s="145"/>
      <c r="AB1055" s="145"/>
      <c r="AC1055" s="145"/>
      <c r="AD1055" s="145"/>
      <c r="AE1055" s="145"/>
      <c r="AF1055" s="145"/>
      <c r="AG1055" s="145"/>
      <c r="AH1055" s="145"/>
      <c r="AI1055" s="145"/>
      <c r="AJ1055" s="145"/>
      <c r="AK1055" s="145"/>
      <c r="AL1055" s="145"/>
      <c r="AM1055" s="321"/>
      <c r="AN1055" s="321"/>
      <c r="AO1055" s="321"/>
      <c r="AP1055" s="321"/>
      <c r="AQ1055" s="321"/>
      <c r="AR1055" s="321"/>
      <c r="AS1055" s="321"/>
      <c r="AT1055" s="321"/>
    </row>
    <row r="1056" spans="10:46">
      <c r="J1056" s="145"/>
      <c r="K1056" s="145"/>
      <c r="L1056" s="145"/>
      <c r="M1056" s="145"/>
      <c r="N1056" s="145"/>
      <c r="O1056" s="145"/>
      <c r="P1056" s="145"/>
      <c r="Q1056" s="145"/>
      <c r="R1056" s="145"/>
      <c r="S1056" s="145"/>
      <c r="T1056" s="145"/>
      <c r="U1056" s="145"/>
      <c r="V1056" s="145"/>
      <c r="W1056" s="145"/>
      <c r="X1056" s="145"/>
      <c r="Y1056" s="145"/>
      <c r="Z1056" s="145"/>
      <c r="AA1056" s="145"/>
      <c r="AB1056" s="145"/>
      <c r="AC1056" s="145"/>
      <c r="AD1056" s="145"/>
      <c r="AE1056" s="145"/>
      <c r="AF1056" s="145"/>
      <c r="AG1056" s="145"/>
      <c r="AH1056" s="145"/>
      <c r="AI1056" s="145"/>
      <c r="AJ1056" s="145"/>
      <c r="AK1056" s="145"/>
      <c r="AL1056" s="145"/>
      <c r="AM1056" s="321"/>
      <c r="AN1056" s="321"/>
      <c r="AO1056" s="321"/>
      <c r="AP1056" s="321"/>
      <c r="AQ1056" s="321"/>
      <c r="AR1056" s="321"/>
      <c r="AS1056" s="321"/>
      <c r="AT1056" s="321"/>
    </row>
    <row r="1057" spans="10:46">
      <c r="J1057" s="145"/>
      <c r="K1057" s="145"/>
      <c r="L1057" s="145"/>
      <c r="M1057" s="145"/>
      <c r="N1057" s="145"/>
      <c r="O1057" s="145"/>
      <c r="P1057" s="145"/>
      <c r="Q1057" s="145"/>
      <c r="R1057" s="145"/>
      <c r="S1057" s="145"/>
      <c r="T1057" s="145"/>
      <c r="U1057" s="145"/>
      <c r="V1057" s="145"/>
      <c r="W1057" s="145"/>
      <c r="X1057" s="145"/>
      <c r="Y1057" s="145"/>
      <c r="Z1057" s="145"/>
      <c r="AA1057" s="145"/>
      <c r="AB1057" s="145"/>
      <c r="AC1057" s="145"/>
      <c r="AD1057" s="145"/>
      <c r="AE1057" s="145"/>
      <c r="AF1057" s="145"/>
      <c r="AG1057" s="145"/>
      <c r="AH1057" s="145"/>
      <c r="AI1057" s="145"/>
      <c r="AJ1057" s="145"/>
      <c r="AK1057" s="145"/>
      <c r="AL1057" s="145"/>
      <c r="AM1057" s="321"/>
      <c r="AN1057" s="321"/>
      <c r="AO1057" s="321"/>
      <c r="AP1057" s="321"/>
      <c r="AQ1057" s="321"/>
      <c r="AR1057" s="321"/>
      <c r="AS1057" s="321"/>
      <c r="AT1057" s="321"/>
    </row>
    <row r="1058" spans="10:46">
      <c r="J1058" s="145"/>
      <c r="K1058" s="145"/>
      <c r="L1058" s="145"/>
      <c r="M1058" s="145"/>
      <c r="N1058" s="145"/>
      <c r="O1058" s="145"/>
      <c r="P1058" s="145"/>
      <c r="Q1058" s="145"/>
      <c r="R1058" s="145"/>
      <c r="S1058" s="145"/>
      <c r="T1058" s="145"/>
      <c r="U1058" s="145"/>
      <c r="V1058" s="145"/>
      <c r="W1058" s="145"/>
      <c r="X1058" s="145"/>
      <c r="Y1058" s="145"/>
      <c r="Z1058" s="145"/>
      <c r="AA1058" s="145"/>
      <c r="AB1058" s="145"/>
      <c r="AC1058" s="145"/>
      <c r="AD1058" s="145"/>
      <c r="AE1058" s="145"/>
      <c r="AF1058" s="145"/>
      <c r="AG1058" s="145"/>
      <c r="AH1058" s="145"/>
      <c r="AI1058" s="145"/>
      <c r="AJ1058" s="145"/>
      <c r="AK1058" s="145"/>
      <c r="AL1058" s="145"/>
      <c r="AM1058" s="321"/>
      <c r="AN1058" s="321"/>
      <c r="AO1058" s="321"/>
      <c r="AP1058" s="321"/>
      <c r="AQ1058" s="321"/>
      <c r="AR1058" s="321"/>
      <c r="AS1058" s="321"/>
      <c r="AT1058" s="321"/>
    </row>
    <row r="1059" spans="10:46">
      <c r="J1059" s="145"/>
      <c r="K1059" s="145"/>
      <c r="L1059" s="145"/>
      <c r="M1059" s="145"/>
      <c r="N1059" s="145"/>
      <c r="O1059" s="145"/>
      <c r="P1059" s="145"/>
      <c r="Q1059" s="145"/>
      <c r="R1059" s="145"/>
      <c r="S1059" s="145"/>
      <c r="T1059" s="145"/>
      <c r="U1059" s="145"/>
      <c r="V1059" s="145"/>
      <c r="W1059" s="145"/>
      <c r="X1059" s="145"/>
      <c r="Y1059" s="145"/>
      <c r="Z1059" s="145"/>
      <c r="AA1059" s="145"/>
      <c r="AB1059" s="145"/>
      <c r="AC1059" s="145"/>
      <c r="AD1059" s="145"/>
      <c r="AE1059" s="145"/>
      <c r="AF1059" s="145"/>
      <c r="AG1059" s="145"/>
      <c r="AH1059" s="145"/>
      <c r="AI1059" s="145"/>
      <c r="AJ1059" s="145"/>
      <c r="AK1059" s="145"/>
      <c r="AL1059" s="145"/>
      <c r="AM1059" s="321"/>
      <c r="AN1059" s="321"/>
      <c r="AO1059" s="321"/>
      <c r="AP1059" s="321"/>
      <c r="AQ1059" s="321"/>
      <c r="AR1059" s="321"/>
      <c r="AS1059" s="321"/>
      <c r="AT1059" s="321"/>
    </row>
    <row r="1060" spans="10:46">
      <c r="J1060" s="145"/>
      <c r="K1060" s="145"/>
      <c r="L1060" s="145"/>
      <c r="M1060" s="145"/>
      <c r="N1060" s="145"/>
      <c r="O1060" s="145"/>
      <c r="P1060" s="145"/>
      <c r="Q1060" s="145"/>
      <c r="R1060" s="145"/>
      <c r="S1060" s="145"/>
      <c r="T1060" s="145"/>
      <c r="U1060" s="145"/>
      <c r="V1060" s="145"/>
      <c r="W1060" s="145"/>
      <c r="X1060" s="145"/>
      <c r="Y1060" s="145"/>
      <c r="Z1060" s="145"/>
      <c r="AA1060" s="145"/>
      <c r="AB1060" s="145"/>
      <c r="AC1060" s="145"/>
      <c r="AD1060" s="145"/>
      <c r="AE1060" s="145"/>
      <c r="AF1060" s="145"/>
      <c r="AG1060" s="145"/>
      <c r="AH1060" s="145"/>
      <c r="AI1060" s="145"/>
      <c r="AJ1060" s="145"/>
      <c r="AK1060" s="145"/>
      <c r="AL1060" s="145"/>
      <c r="AM1060" s="321"/>
      <c r="AN1060" s="321"/>
      <c r="AO1060" s="321"/>
      <c r="AP1060" s="321"/>
      <c r="AQ1060" s="321"/>
      <c r="AR1060" s="321"/>
      <c r="AS1060" s="321"/>
      <c r="AT1060" s="321"/>
    </row>
    <row r="1061" spans="10:46">
      <c r="J1061" s="145"/>
      <c r="K1061" s="145"/>
      <c r="L1061" s="145"/>
      <c r="M1061" s="145"/>
      <c r="N1061" s="145"/>
      <c r="O1061" s="145"/>
      <c r="P1061" s="145"/>
      <c r="Q1061" s="145"/>
      <c r="R1061" s="145"/>
      <c r="S1061" s="145"/>
      <c r="T1061" s="145"/>
      <c r="U1061" s="145"/>
      <c r="V1061" s="145"/>
      <c r="W1061" s="145"/>
      <c r="X1061" s="145"/>
      <c r="Y1061" s="145"/>
      <c r="Z1061" s="145"/>
      <c r="AA1061" s="145"/>
      <c r="AB1061" s="145"/>
      <c r="AC1061" s="145"/>
      <c r="AD1061" s="145"/>
      <c r="AE1061" s="145"/>
      <c r="AF1061" s="145"/>
      <c r="AG1061" s="145"/>
      <c r="AH1061" s="145"/>
      <c r="AI1061" s="145"/>
      <c r="AJ1061" s="145"/>
      <c r="AK1061" s="145"/>
      <c r="AL1061" s="145"/>
      <c r="AM1061" s="321"/>
      <c r="AN1061" s="321"/>
      <c r="AO1061" s="321"/>
      <c r="AP1061" s="321"/>
      <c r="AQ1061" s="321"/>
      <c r="AR1061" s="321"/>
      <c r="AS1061" s="321"/>
      <c r="AT1061" s="321"/>
    </row>
    <row r="1062" spans="10:46">
      <c r="J1062" s="145"/>
      <c r="K1062" s="145"/>
      <c r="L1062" s="145"/>
      <c r="M1062" s="145"/>
      <c r="N1062" s="145"/>
      <c r="O1062" s="145"/>
      <c r="P1062" s="145"/>
      <c r="Q1062" s="145"/>
      <c r="R1062" s="145"/>
      <c r="S1062" s="145"/>
      <c r="T1062" s="145"/>
      <c r="U1062" s="145"/>
      <c r="V1062" s="145"/>
      <c r="W1062" s="145"/>
      <c r="X1062" s="145"/>
      <c r="Y1062" s="145"/>
      <c r="Z1062" s="145"/>
      <c r="AA1062" s="145"/>
      <c r="AB1062" s="145"/>
      <c r="AC1062" s="145"/>
      <c r="AD1062" s="145"/>
      <c r="AE1062" s="145"/>
      <c r="AF1062" s="145"/>
      <c r="AG1062" s="145"/>
      <c r="AH1062" s="145"/>
      <c r="AI1062" s="145"/>
      <c r="AJ1062" s="145"/>
      <c r="AK1062" s="145"/>
      <c r="AL1062" s="145"/>
      <c r="AM1062" s="321"/>
      <c r="AN1062" s="321"/>
      <c r="AO1062" s="321"/>
      <c r="AP1062" s="321"/>
      <c r="AQ1062" s="321"/>
      <c r="AR1062" s="321"/>
      <c r="AS1062" s="321"/>
      <c r="AT1062" s="321"/>
    </row>
    <row r="1063" spans="10:46">
      <c r="J1063" s="145"/>
      <c r="K1063" s="145"/>
      <c r="L1063" s="145"/>
      <c r="M1063" s="145"/>
      <c r="N1063" s="145"/>
      <c r="O1063" s="145"/>
      <c r="P1063" s="145"/>
      <c r="Q1063" s="145"/>
      <c r="R1063" s="145"/>
      <c r="S1063" s="145"/>
      <c r="T1063" s="145"/>
      <c r="U1063" s="145"/>
      <c r="V1063" s="145"/>
      <c r="W1063" s="145"/>
      <c r="X1063" s="145"/>
      <c r="Y1063" s="145"/>
      <c r="Z1063" s="145"/>
      <c r="AA1063" s="145"/>
      <c r="AB1063" s="145"/>
      <c r="AC1063" s="145"/>
      <c r="AD1063" s="145"/>
      <c r="AE1063" s="145"/>
      <c r="AF1063" s="145"/>
      <c r="AG1063" s="145"/>
      <c r="AH1063" s="145"/>
      <c r="AI1063" s="145"/>
      <c r="AJ1063" s="145"/>
      <c r="AK1063" s="145"/>
      <c r="AL1063" s="145"/>
      <c r="AM1063" s="321"/>
      <c r="AN1063" s="321"/>
      <c r="AO1063" s="321"/>
      <c r="AP1063" s="321"/>
      <c r="AQ1063" s="321"/>
      <c r="AR1063" s="321"/>
      <c r="AS1063" s="321"/>
      <c r="AT1063" s="321"/>
    </row>
    <row r="1064" spans="10:46">
      <c r="J1064" s="145"/>
      <c r="K1064" s="145"/>
      <c r="L1064" s="145"/>
      <c r="M1064" s="145"/>
      <c r="N1064" s="145"/>
      <c r="O1064" s="145"/>
      <c r="P1064" s="145"/>
      <c r="Q1064" s="145"/>
      <c r="R1064" s="145"/>
      <c r="S1064" s="145"/>
      <c r="T1064" s="145"/>
      <c r="U1064" s="145"/>
      <c r="V1064" s="145"/>
      <c r="W1064" s="145"/>
      <c r="X1064" s="145"/>
      <c r="Y1064" s="145"/>
      <c r="Z1064" s="145"/>
      <c r="AA1064" s="145"/>
      <c r="AB1064" s="145"/>
      <c r="AC1064" s="145"/>
      <c r="AD1064" s="145"/>
      <c r="AE1064" s="145"/>
      <c r="AF1064" s="145"/>
      <c r="AG1064" s="145"/>
      <c r="AH1064" s="145"/>
      <c r="AI1064" s="145"/>
      <c r="AJ1064" s="145"/>
      <c r="AK1064" s="145"/>
      <c r="AL1064" s="145"/>
      <c r="AM1064" s="321"/>
      <c r="AN1064" s="321"/>
      <c r="AO1064" s="321"/>
      <c r="AP1064" s="321"/>
      <c r="AQ1064" s="321"/>
      <c r="AR1064" s="321"/>
      <c r="AS1064" s="321"/>
      <c r="AT1064" s="321"/>
    </row>
    <row r="1065" spans="10:46">
      <c r="J1065" s="145"/>
      <c r="K1065" s="145"/>
      <c r="L1065" s="145"/>
      <c r="M1065" s="145"/>
      <c r="N1065" s="145"/>
      <c r="O1065" s="145"/>
      <c r="P1065" s="145"/>
      <c r="Q1065" s="145"/>
      <c r="R1065" s="145"/>
      <c r="S1065" s="145"/>
      <c r="T1065" s="145"/>
      <c r="U1065" s="145"/>
      <c r="V1065" s="145"/>
      <c r="W1065" s="145"/>
      <c r="X1065" s="145"/>
      <c r="Y1065" s="145"/>
      <c r="Z1065" s="145"/>
      <c r="AA1065" s="145"/>
      <c r="AB1065" s="145"/>
      <c r="AC1065" s="145"/>
      <c r="AD1065" s="145"/>
      <c r="AE1065" s="145"/>
      <c r="AF1065" s="145"/>
      <c r="AG1065" s="145"/>
      <c r="AH1065" s="145"/>
      <c r="AI1065" s="145"/>
      <c r="AJ1065" s="145"/>
      <c r="AK1065" s="145"/>
      <c r="AL1065" s="145"/>
      <c r="AM1065" s="321"/>
      <c r="AN1065" s="321"/>
      <c r="AO1065" s="321"/>
      <c r="AP1065" s="321"/>
      <c r="AQ1065" s="321"/>
      <c r="AR1065" s="321"/>
      <c r="AS1065" s="321"/>
      <c r="AT1065" s="321"/>
    </row>
    <row r="1066" spans="10:46">
      <c r="J1066" s="145"/>
      <c r="K1066" s="145"/>
      <c r="L1066" s="145"/>
      <c r="M1066" s="145"/>
      <c r="N1066" s="145"/>
      <c r="O1066" s="145"/>
      <c r="P1066" s="145"/>
      <c r="Q1066" s="145"/>
      <c r="R1066" s="145"/>
      <c r="S1066" s="145"/>
      <c r="T1066" s="145"/>
      <c r="U1066" s="145"/>
      <c r="V1066" s="145"/>
      <c r="W1066" s="145"/>
      <c r="X1066" s="145"/>
      <c r="Y1066" s="145"/>
      <c r="Z1066" s="145"/>
      <c r="AA1066" s="145"/>
      <c r="AB1066" s="145"/>
      <c r="AC1066" s="145"/>
      <c r="AD1066" s="145"/>
      <c r="AE1066" s="145"/>
      <c r="AF1066" s="145"/>
      <c r="AG1066" s="145"/>
      <c r="AH1066" s="145"/>
      <c r="AI1066" s="145"/>
      <c r="AJ1066" s="145"/>
      <c r="AK1066" s="145"/>
      <c r="AL1066" s="145"/>
      <c r="AM1066" s="321"/>
      <c r="AN1066" s="321"/>
      <c r="AO1066" s="321"/>
      <c r="AP1066" s="321"/>
      <c r="AQ1066" s="321"/>
      <c r="AR1066" s="321"/>
      <c r="AS1066" s="321"/>
      <c r="AT1066" s="321"/>
    </row>
    <row r="1067" spans="10:46">
      <c r="J1067" s="145"/>
      <c r="K1067" s="145"/>
      <c r="L1067" s="145"/>
      <c r="M1067" s="145"/>
      <c r="N1067" s="145"/>
      <c r="O1067" s="145"/>
      <c r="P1067" s="145"/>
      <c r="Q1067" s="145"/>
      <c r="R1067" s="145"/>
      <c r="S1067" s="145"/>
      <c r="T1067" s="145"/>
      <c r="U1067" s="145"/>
      <c r="V1067" s="145"/>
      <c r="W1067" s="145"/>
      <c r="X1067" s="145"/>
      <c r="Y1067" s="145"/>
      <c r="Z1067" s="145"/>
      <c r="AA1067" s="145"/>
      <c r="AB1067" s="145"/>
      <c r="AC1067" s="145"/>
      <c r="AD1067" s="145"/>
      <c r="AE1067" s="145"/>
      <c r="AF1067" s="145"/>
      <c r="AG1067" s="145"/>
      <c r="AH1067" s="145"/>
      <c r="AI1067" s="145"/>
      <c r="AJ1067" s="145"/>
      <c r="AK1067" s="145"/>
      <c r="AL1067" s="145"/>
      <c r="AM1067" s="321"/>
      <c r="AN1067" s="321"/>
      <c r="AO1067" s="321"/>
      <c r="AP1067" s="321"/>
      <c r="AQ1067" s="321"/>
      <c r="AR1067" s="321"/>
      <c r="AS1067" s="321"/>
      <c r="AT1067" s="321"/>
    </row>
    <row r="1068" spans="10:46">
      <c r="J1068" s="145"/>
      <c r="K1068" s="145"/>
      <c r="L1068" s="145"/>
      <c r="M1068" s="145"/>
      <c r="N1068" s="145"/>
      <c r="O1068" s="145"/>
      <c r="P1068" s="145"/>
      <c r="Q1068" s="145"/>
      <c r="R1068" s="145"/>
      <c r="S1068" s="145"/>
      <c r="T1068" s="145"/>
      <c r="U1068" s="145"/>
      <c r="V1068" s="145"/>
      <c r="W1068" s="145"/>
      <c r="X1068" s="145"/>
      <c r="Y1068" s="145"/>
      <c r="Z1068" s="145"/>
      <c r="AA1068" s="145"/>
      <c r="AB1068" s="145"/>
      <c r="AC1068" s="145"/>
      <c r="AD1068" s="145"/>
      <c r="AE1068" s="145"/>
      <c r="AF1068" s="145"/>
      <c r="AG1068" s="145"/>
      <c r="AH1068" s="145"/>
      <c r="AI1068" s="145"/>
      <c r="AJ1068" s="145"/>
      <c r="AK1068" s="145"/>
      <c r="AL1068" s="145"/>
      <c r="AM1068" s="321"/>
      <c r="AN1068" s="321"/>
      <c r="AO1068" s="321"/>
      <c r="AP1068" s="321"/>
      <c r="AQ1068" s="321"/>
      <c r="AR1068" s="321"/>
      <c r="AS1068" s="321"/>
      <c r="AT1068" s="321"/>
    </row>
    <row r="1069" spans="10:46">
      <c r="J1069" s="145"/>
      <c r="K1069" s="145"/>
      <c r="L1069" s="145"/>
      <c r="M1069" s="145"/>
      <c r="N1069" s="145"/>
      <c r="O1069" s="145"/>
      <c r="P1069" s="145"/>
      <c r="Q1069" s="145"/>
      <c r="R1069" s="145"/>
      <c r="S1069" s="145"/>
      <c r="T1069" s="145"/>
      <c r="U1069" s="145"/>
      <c r="V1069" s="145"/>
      <c r="W1069" s="145"/>
      <c r="X1069" s="145"/>
      <c r="Y1069" s="145"/>
      <c r="Z1069" s="145"/>
      <c r="AA1069" s="145"/>
      <c r="AB1069" s="145"/>
      <c r="AC1069" s="145"/>
      <c r="AD1069" s="145"/>
      <c r="AE1069" s="145"/>
      <c r="AF1069" s="145"/>
      <c r="AG1069" s="145"/>
      <c r="AH1069" s="145"/>
      <c r="AI1069" s="145"/>
      <c r="AJ1069" s="145"/>
      <c r="AK1069" s="145"/>
      <c r="AL1069" s="145"/>
      <c r="AM1069" s="321"/>
      <c r="AN1069" s="321"/>
      <c r="AO1069" s="321"/>
      <c r="AP1069" s="321"/>
      <c r="AQ1069" s="321"/>
      <c r="AR1069" s="321"/>
      <c r="AS1069" s="321"/>
      <c r="AT1069" s="321"/>
    </row>
    <row r="1070" spans="10:46">
      <c r="J1070" s="145"/>
      <c r="K1070" s="145"/>
      <c r="L1070" s="145"/>
      <c r="M1070" s="145"/>
      <c r="N1070" s="145"/>
      <c r="O1070" s="145"/>
      <c r="P1070" s="145"/>
      <c r="Q1070" s="145"/>
      <c r="R1070" s="145"/>
      <c r="S1070" s="145"/>
      <c r="T1070" s="145"/>
      <c r="U1070" s="145"/>
      <c r="V1070" s="145"/>
      <c r="W1070" s="145"/>
      <c r="X1070" s="145"/>
      <c r="Y1070" s="145"/>
      <c r="Z1070" s="145"/>
      <c r="AA1070" s="145"/>
      <c r="AB1070" s="145"/>
      <c r="AC1070" s="145"/>
      <c r="AD1070" s="145"/>
      <c r="AE1070" s="145"/>
      <c r="AF1070" s="145"/>
      <c r="AG1070" s="145"/>
      <c r="AH1070" s="145"/>
      <c r="AI1070" s="145"/>
      <c r="AJ1070" s="145"/>
      <c r="AK1070" s="145"/>
      <c r="AL1070" s="145"/>
      <c r="AM1070" s="321"/>
      <c r="AN1070" s="321"/>
      <c r="AO1070" s="321"/>
      <c r="AP1070" s="321"/>
      <c r="AQ1070" s="321"/>
      <c r="AR1070" s="321"/>
      <c r="AS1070" s="321"/>
      <c r="AT1070" s="321"/>
    </row>
    <row r="1071" spans="10:46">
      <c r="J1071" s="145"/>
      <c r="K1071" s="145"/>
      <c r="L1071" s="145"/>
      <c r="M1071" s="145"/>
      <c r="N1071" s="145"/>
      <c r="O1071" s="145"/>
      <c r="P1071" s="145"/>
      <c r="Q1071" s="145"/>
      <c r="R1071" s="145"/>
      <c r="S1071" s="145"/>
      <c r="T1071" s="145"/>
      <c r="U1071" s="145"/>
      <c r="V1071" s="145"/>
      <c r="W1071" s="145"/>
      <c r="X1071" s="145"/>
      <c r="Y1071" s="145"/>
      <c r="Z1071" s="145"/>
      <c r="AA1071" s="145"/>
      <c r="AB1071" s="145"/>
      <c r="AC1071" s="145"/>
      <c r="AD1071" s="145"/>
      <c r="AE1071" s="145"/>
      <c r="AF1071" s="145"/>
      <c r="AG1071" s="145"/>
      <c r="AH1071" s="145"/>
      <c r="AI1071" s="145"/>
      <c r="AJ1071" s="145"/>
      <c r="AK1071" s="145"/>
      <c r="AL1071" s="145"/>
      <c r="AM1071" s="321"/>
      <c r="AN1071" s="321"/>
      <c r="AO1071" s="321"/>
      <c r="AP1071" s="321"/>
      <c r="AQ1071" s="321"/>
      <c r="AR1071" s="321"/>
      <c r="AS1071" s="321"/>
      <c r="AT1071" s="321"/>
    </row>
    <row r="1072" spans="10:46">
      <c r="J1072" s="145"/>
      <c r="K1072" s="145"/>
      <c r="L1072" s="145"/>
      <c r="M1072" s="145"/>
      <c r="N1072" s="145"/>
      <c r="O1072" s="145"/>
      <c r="P1072" s="145"/>
      <c r="Q1072" s="145"/>
      <c r="R1072" s="145"/>
      <c r="S1072" s="145"/>
      <c r="T1072" s="145"/>
      <c r="U1072" s="145"/>
      <c r="V1072" s="145"/>
      <c r="W1072" s="145"/>
      <c r="X1072" s="145"/>
      <c r="Y1072" s="145"/>
      <c r="Z1072" s="145"/>
      <c r="AA1072" s="145"/>
      <c r="AB1072" s="145"/>
      <c r="AC1072" s="145"/>
      <c r="AD1072" s="145"/>
      <c r="AE1072" s="145"/>
      <c r="AF1072" s="145"/>
      <c r="AG1072" s="145"/>
      <c r="AH1072" s="145"/>
      <c r="AI1072" s="145"/>
      <c r="AJ1072" s="145"/>
      <c r="AK1072" s="145"/>
      <c r="AL1072" s="145"/>
      <c r="AM1072" s="321"/>
      <c r="AN1072" s="321"/>
      <c r="AO1072" s="321"/>
      <c r="AP1072" s="321"/>
      <c r="AQ1072" s="321"/>
      <c r="AR1072" s="321"/>
      <c r="AS1072" s="321"/>
      <c r="AT1072" s="321"/>
    </row>
    <row r="1073" spans="10:46">
      <c r="J1073" s="145"/>
      <c r="K1073" s="145"/>
      <c r="L1073" s="145"/>
      <c r="M1073" s="145"/>
      <c r="N1073" s="145"/>
      <c r="O1073" s="145"/>
      <c r="P1073" s="145"/>
      <c r="Q1073" s="145"/>
      <c r="R1073" s="145"/>
      <c r="S1073" s="145"/>
      <c r="T1073" s="145"/>
      <c r="U1073" s="145"/>
      <c r="V1073" s="145"/>
      <c r="W1073" s="145"/>
      <c r="X1073" s="145"/>
      <c r="Y1073" s="145"/>
      <c r="Z1073" s="145"/>
      <c r="AA1073" s="145"/>
      <c r="AB1073" s="145"/>
      <c r="AC1073" s="145"/>
      <c r="AD1073" s="145"/>
      <c r="AE1073" s="145"/>
      <c r="AF1073" s="145"/>
      <c r="AG1073" s="145"/>
      <c r="AH1073" s="145"/>
      <c r="AI1073" s="145"/>
      <c r="AJ1073" s="145"/>
      <c r="AK1073" s="145"/>
      <c r="AL1073" s="145"/>
      <c r="AM1073" s="321"/>
      <c r="AN1073" s="321"/>
      <c r="AO1073" s="321"/>
      <c r="AP1073" s="321"/>
      <c r="AQ1073" s="321"/>
      <c r="AR1073" s="321"/>
      <c r="AS1073" s="321"/>
      <c r="AT1073" s="321"/>
    </row>
    <row r="1074" spans="10:46">
      <c r="J1074" s="145"/>
      <c r="K1074" s="145"/>
      <c r="L1074" s="145"/>
      <c r="M1074" s="145"/>
      <c r="N1074" s="145"/>
      <c r="O1074" s="145"/>
      <c r="P1074" s="145"/>
      <c r="Q1074" s="145"/>
      <c r="R1074" s="145"/>
      <c r="S1074" s="145"/>
      <c r="T1074" s="145"/>
      <c r="U1074" s="145"/>
      <c r="V1074" s="145"/>
      <c r="W1074" s="145"/>
      <c r="X1074" s="145"/>
      <c r="Y1074" s="145"/>
      <c r="Z1074" s="145"/>
      <c r="AA1074" s="145"/>
      <c r="AB1074" s="145"/>
      <c r="AC1074" s="145"/>
      <c r="AD1074" s="145"/>
      <c r="AE1074" s="145"/>
      <c r="AF1074" s="145"/>
      <c r="AG1074" s="145"/>
      <c r="AH1074" s="145"/>
      <c r="AI1074" s="145"/>
      <c r="AJ1074" s="145"/>
      <c r="AK1074" s="145"/>
      <c r="AL1074" s="145"/>
      <c r="AM1074" s="321"/>
      <c r="AN1074" s="321"/>
      <c r="AO1074" s="321"/>
      <c r="AP1074" s="321"/>
      <c r="AQ1074" s="321"/>
      <c r="AR1074" s="321"/>
      <c r="AS1074" s="321"/>
      <c r="AT1074" s="321"/>
    </row>
    <row r="1075" spans="10:46">
      <c r="J1075" s="145"/>
      <c r="K1075" s="145"/>
      <c r="L1075" s="145"/>
      <c r="M1075" s="145"/>
      <c r="N1075" s="145"/>
      <c r="O1075" s="145"/>
      <c r="P1075" s="145"/>
      <c r="Q1075" s="145"/>
      <c r="R1075" s="145"/>
      <c r="S1075" s="145"/>
      <c r="T1075" s="145"/>
      <c r="U1075" s="145"/>
      <c r="V1075" s="145"/>
      <c r="W1075" s="145"/>
      <c r="X1075" s="145"/>
      <c r="Y1075" s="145"/>
      <c r="Z1075" s="145"/>
      <c r="AA1075" s="145"/>
      <c r="AB1075" s="145"/>
      <c r="AC1075" s="145"/>
      <c r="AD1075" s="145"/>
      <c r="AE1075" s="145"/>
      <c r="AF1075" s="145"/>
      <c r="AG1075" s="145"/>
      <c r="AH1075" s="145"/>
      <c r="AI1075" s="145"/>
      <c r="AJ1075" s="145"/>
      <c r="AK1075" s="145"/>
      <c r="AL1075" s="145"/>
      <c r="AM1075" s="321"/>
      <c r="AN1075" s="321"/>
      <c r="AO1075" s="321"/>
      <c r="AP1075" s="321"/>
      <c r="AQ1075" s="321"/>
      <c r="AR1075" s="321"/>
      <c r="AS1075" s="321"/>
      <c r="AT1075" s="321"/>
    </row>
    <row r="1076" spans="10:46">
      <c r="J1076" s="145"/>
      <c r="K1076" s="145"/>
      <c r="L1076" s="145"/>
      <c r="M1076" s="145"/>
      <c r="N1076" s="145"/>
      <c r="O1076" s="145"/>
      <c r="P1076" s="145"/>
      <c r="Q1076" s="145"/>
      <c r="R1076" s="145"/>
      <c r="S1076" s="145"/>
      <c r="T1076" s="145"/>
      <c r="U1076" s="145"/>
      <c r="V1076" s="145"/>
      <c r="W1076" s="145"/>
      <c r="X1076" s="145"/>
      <c r="Y1076" s="145"/>
      <c r="Z1076" s="145"/>
      <c r="AA1076" s="145"/>
      <c r="AB1076" s="145"/>
      <c r="AC1076" s="145"/>
      <c r="AD1076" s="145"/>
      <c r="AE1076" s="145"/>
      <c r="AF1076" s="145"/>
      <c r="AG1076" s="145"/>
      <c r="AH1076" s="145"/>
      <c r="AI1076" s="145"/>
      <c r="AJ1076" s="145"/>
      <c r="AK1076" s="145"/>
      <c r="AL1076" s="145"/>
      <c r="AM1076" s="321"/>
      <c r="AN1076" s="321"/>
      <c r="AO1076" s="321"/>
      <c r="AP1076" s="321"/>
      <c r="AQ1076" s="321"/>
      <c r="AR1076" s="321"/>
      <c r="AS1076" s="321"/>
      <c r="AT1076" s="321"/>
    </row>
    <row r="1077" spans="10:46">
      <c r="J1077" s="145"/>
      <c r="K1077" s="145"/>
      <c r="L1077" s="145"/>
      <c r="M1077" s="145"/>
      <c r="N1077" s="145"/>
      <c r="O1077" s="145"/>
      <c r="P1077" s="145"/>
      <c r="Q1077" s="145"/>
      <c r="R1077" s="145"/>
      <c r="S1077" s="145"/>
      <c r="T1077" s="145"/>
      <c r="U1077" s="145"/>
      <c r="V1077" s="145"/>
      <c r="W1077" s="145"/>
      <c r="X1077" s="145"/>
      <c r="Y1077" s="145"/>
      <c r="Z1077" s="145"/>
      <c r="AA1077" s="145"/>
      <c r="AB1077" s="145"/>
      <c r="AC1077" s="145"/>
      <c r="AD1077" s="145"/>
      <c r="AE1077" s="145"/>
      <c r="AF1077" s="145"/>
      <c r="AG1077" s="145"/>
      <c r="AH1077" s="145"/>
      <c r="AI1077" s="145"/>
      <c r="AJ1077" s="145"/>
      <c r="AK1077" s="145"/>
      <c r="AL1077" s="145"/>
      <c r="AM1077" s="321"/>
      <c r="AN1077" s="321"/>
      <c r="AO1077" s="321"/>
      <c r="AP1077" s="321"/>
      <c r="AQ1077" s="321"/>
      <c r="AR1077" s="321"/>
      <c r="AS1077" s="321"/>
      <c r="AT1077" s="321"/>
    </row>
    <row r="1078" spans="10:46">
      <c r="J1078" s="145"/>
      <c r="K1078" s="145"/>
      <c r="L1078" s="145"/>
      <c r="M1078" s="145"/>
      <c r="N1078" s="145"/>
      <c r="O1078" s="145"/>
      <c r="P1078" s="145"/>
      <c r="Q1078" s="145"/>
      <c r="R1078" s="145"/>
      <c r="S1078" s="145"/>
      <c r="T1078" s="145"/>
      <c r="U1078" s="145"/>
      <c r="V1078" s="145"/>
      <c r="W1078" s="145"/>
      <c r="X1078" s="145"/>
      <c r="Y1078" s="145"/>
      <c r="Z1078" s="145"/>
      <c r="AA1078" s="145"/>
      <c r="AB1078" s="145"/>
      <c r="AC1078" s="145"/>
      <c r="AD1078" s="145"/>
      <c r="AE1078" s="145"/>
      <c r="AF1078" s="145"/>
      <c r="AG1078" s="145"/>
      <c r="AH1078" s="145"/>
      <c r="AI1078" s="145"/>
      <c r="AJ1078" s="145"/>
      <c r="AK1078" s="145"/>
      <c r="AL1078" s="145"/>
      <c r="AM1078" s="321"/>
      <c r="AN1078" s="321"/>
      <c r="AO1078" s="321"/>
      <c r="AP1078" s="321"/>
      <c r="AQ1078" s="321"/>
      <c r="AR1078" s="321"/>
      <c r="AS1078" s="321"/>
      <c r="AT1078" s="321"/>
    </row>
    <row r="1079" spans="10:46">
      <c r="J1079" s="145"/>
      <c r="K1079" s="145"/>
      <c r="L1079" s="145"/>
      <c r="M1079" s="145"/>
      <c r="N1079" s="145"/>
      <c r="O1079" s="145"/>
      <c r="P1079" s="145"/>
      <c r="Q1079" s="145"/>
      <c r="R1079" s="145"/>
      <c r="S1079" s="145"/>
      <c r="T1079" s="145"/>
      <c r="U1079" s="145"/>
      <c r="V1079" s="145"/>
      <c r="W1079" s="145"/>
      <c r="X1079" s="145"/>
      <c r="Y1079" s="145"/>
      <c r="Z1079" s="145"/>
      <c r="AA1079" s="145"/>
      <c r="AB1079" s="145"/>
      <c r="AC1079" s="145"/>
      <c r="AD1079" s="145"/>
      <c r="AE1079" s="145"/>
      <c r="AF1079" s="145"/>
      <c r="AG1079" s="145"/>
      <c r="AH1079" s="145"/>
      <c r="AI1079" s="145"/>
      <c r="AJ1079" s="145"/>
      <c r="AK1079" s="145"/>
      <c r="AL1079" s="145"/>
      <c r="AM1079" s="321"/>
      <c r="AN1079" s="321"/>
      <c r="AO1079" s="321"/>
      <c r="AP1079" s="321"/>
      <c r="AQ1079" s="321"/>
      <c r="AR1079" s="321"/>
      <c r="AS1079" s="321"/>
      <c r="AT1079" s="321"/>
    </row>
    <row r="1080" spans="10:46">
      <c r="J1080" s="145"/>
      <c r="K1080" s="145"/>
      <c r="L1080" s="145"/>
      <c r="M1080" s="145"/>
      <c r="N1080" s="145"/>
      <c r="O1080" s="145"/>
      <c r="P1080" s="145"/>
      <c r="Q1080" s="145"/>
      <c r="R1080" s="145"/>
      <c r="S1080" s="145"/>
      <c r="T1080" s="145"/>
      <c r="U1080" s="145"/>
      <c r="V1080" s="145"/>
      <c r="W1080" s="145"/>
      <c r="X1080" s="145"/>
      <c r="Y1080" s="145"/>
      <c r="Z1080" s="145"/>
      <c r="AA1080" s="145"/>
      <c r="AB1080" s="145"/>
      <c r="AC1080" s="145"/>
      <c r="AD1080" s="145"/>
      <c r="AE1080" s="145"/>
      <c r="AF1080" s="145"/>
      <c r="AG1080" s="145"/>
      <c r="AH1080" s="145"/>
      <c r="AI1080" s="145"/>
      <c r="AJ1080" s="145"/>
      <c r="AK1080" s="145"/>
      <c r="AL1080" s="145"/>
      <c r="AM1080" s="321"/>
      <c r="AN1080" s="321"/>
      <c r="AO1080" s="321"/>
      <c r="AP1080" s="321"/>
      <c r="AQ1080" s="321"/>
      <c r="AR1080" s="321"/>
      <c r="AS1080" s="321"/>
      <c r="AT1080" s="321"/>
    </row>
    <row r="1081" spans="10:46">
      <c r="J1081" s="145"/>
      <c r="K1081" s="145"/>
      <c r="L1081" s="145"/>
      <c r="M1081" s="145"/>
      <c r="N1081" s="145"/>
      <c r="O1081" s="145"/>
      <c r="P1081" s="145"/>
      <c r="Q1081" s="145"/>
      <c r="R1081" s="145"/>
      <c r="S1081" s="145"/>
      <c r="T1081" s="145"/>
      <c r="U1081" s="145"/>
      <c r="V1081" s="145"/>
      <c r="W1081" s="145"/>
      <c r="X1081" s="145"/>
      <c r="Y1081" s="145"/>
      <c r="Z1081" s="145"/>
      <c r="AA1081" s="145"/>
      <c r="AB1081" s="145"/>
      <c r="AC1081" s="145"/>
      <c r="AD1081" s="145"/>
      <c r="AE1081" s="145"/>
      <c r="AF1081" s="145"/>
      <c r="AG1081" s="145"/>
      <c r="AH1081" s="145"/>
      <c r="AI1081" s="145"/>
      <c r="AJ1081" s="145"/>
      <c r="AK1081" s="145"/>
      <c r="AL1081" s="145"/>
      <c r="AM1081" s="321"/>
      <c r="AN1081" s="321"/>
      <c r="AO1081" s="321"/>
      <c r="AP1081" s="321"/>
      <c r="AQ1081" s="321"/>
      <c r="AR1081" s="321"/>
      <c r="AS1081" s="321"/>
      <c r="AT1081" s="321"/>
    </row>
    <row r="1082" spans="10:46">
      <c r="J1082" s="145"/>
      <c r="K1082" s="145"/>
      <c r="L1082" s="145"/>
      <c r="M1082" s="145"/>
      <c r="N1082" s="145"/>
      <c r="O1082" s="145"/>
      <c r="P1082" s="145"/>
      <c r="Q1082" s="145"/>
      <c r="R1082" s="145"/>
      <c r="S1082" s="145"/>
      <c r="T1082" s="145"/>
      <c r="U1082" s="145"/>
      <c r="V1082" s="145"/>
      <c r="W1082" s="145"/>
      <c r="X1082" s="145"/>
      <c r="Y1082" s="145"/>
      <c r="Z1082" s="145"/>
      <c r="AA1082" s="145"/>
      <c r="AB1082" s="145"/>
      <c r="AC1082" s="145"/>
      <c r="AD1082" s="145"/>
      <c r="AE1082" s="145"/>
      <c r="AF1082" s="145"/>
      <c r="AG1082" s="145"/>
      <c r="AH1082" s="145"/>
      <c r="AI1082" s="145"/>
      <c r="AJ1082" s="145"/>
      <c r="AK1082" s="145"/>
      <c r="AL1082" s="145"/>
      <c r="AM1082" s="321"/>
      <c r="AN1082" s="321"/>
      <c r="AO1082" s="321"/>
      <c r="AP1082" s="321"/>
      <c r="AQ1082" s="321"/>
      <c r="AR1082" s="321"/>
      <c r="AS1082" s="321"/>
      <c r="AT1082" s="321"/>
    </row>
    <row r="1083" spans="10:46">
      <c r="J1083" s="145"/>
      <c r="K1083" s="145"/>
      <c r="L1083" s="145"/>
      <c r="M1083" s="145"/>
      <c r="N1083" s="145"/>
      <c r="O1083" s="145"/>
      <c r="P1083" s="145"/>
      <c r="Q1083" s="145"/>
      <c r="R1083" s="145"/>
      <c r="S1083" s="145"/>
      <c r="T1083" s="145"/>
      <c r="U1083" s="145"/>
      <c r="V1083" s="145"/>
      <c r="W1083" s="145"/>
      <c r="X1083" s="145"/>
      <c r="Y1083" s="145"/>
      <c r="Z1083" s="145"/>
      <c r="AA1083" s="145"/>
      <c r="AB1083" s="145"/>
      <c r="AC1083" s="145"/>
      <c r="AD1083" s="145"/>
      <c r="AE1083" s="145"/>
      <c r="AF1083" s="145"/>
      <c r="AG1083" s="145"/>
      <c r="AH1083" s="145"/>
      <c r="AI1083" s="145"/>
      <c r="AJ1083" s="145"/>
      <c r="AK1083" s="145"/>
      <c r="AL1083" s="145"/>
      <c r="AM1083" s="321"/>
      <c r="AN1083" s="321"/>
      <c r="AO1083" s="321"/>
      <c r="AP1083" s="321"/>
      <c r="AQ1083" s="321"/>
      <c r="AR1083" s="321"/>
      <c r="AS1083" s="321"/>
      <c r="AT1083" s="321"/>
    </row>
    <row r="1084" spans="10:46">
      <c r="J1084" s="145"/>
      <c r="K1084" s="145"/>
      <c r="L1084" s="145"/>
      <c r="M1084" s="145"/>
      <c r="N1084" s="145"/>
      <c r="O1084" s="145"/>
      <c r="P1084" s="145"/>
      <c r="Q1084" s="145"/>
      <c r="R1084" s="145"/>
      <c r="S1084" s="145"/>
      <c r="T1084" s="145"/>
      <c r="U1084" s="145"/>
      <c r="V1084" s="145"/>
      <c r="W1084" s="145"/>
      <c r="X1084" s="145"/>
      <c r="Y1084" s="145"/>
      <c r="Z1084" s="145"/>
      <c r="AA1084" s="145"/>
      <c r="AB1084" s="145"/>
      <c r="AC1084" s="145"/>
      <c r="AD1084" s="145"/>
      <c r="AE1084" s="145"/>
      <c r="AF1084" s="145"/>
      <c r="AG1084" s="145"/>
      <c r="AH1084" s="145"/>
      <c r="AI1084" s="145"/>
      <c r="AJ1084" s="145"/>
      <c r="AK1084" s="145"/>
      <c r="AL1084" s="145"/>
      <c r="AM1084" s="321"/>
      <c r="AN1084" s="321"/>
      <c r="AO1084" s="321"/>
      <c r="AP1084" s="321"/>
      <c r="AQ1084" s="321"/>
      <c r="AR1084" s="321"/>
      <c r="AS1084" s="321"/>
      <c r="AT1084" s="321"/>
    </row>
    <row r="1085" spans="10:46">
      <c r="J1085" s="145"/>
      <c r="K1085" s="145"/>
      <c r="L1085" s="145"/>
      <c r="M1085" s="145"/>
      <c r="N1085" s="145"/>
      <c r="O1085" s="145"/>
      <c r="P1085" s="145"/>
      <c r="Q1085" s="145"/>
      <c r="R1085" s="145"/>
      <c r="S1085" s="145"/>
      <c r="T1085" s="145"/>
      <c r="U1085" s="145"/>
      <c r="V1085" s="145"/>
      <c r="W1085" s="145"/>
      <c r="X1085" s="145"/>
      <c r="Y1085" s="145"/>
      <c r="Z1085" s="145"/>
      <c r="AA1085" s="145"/>
      <c r="AB1085" s="145"/>
      <c r="AC1085" s="145"/>
      <c r="AD1085" s="145"/>
      <c r="AE1085" s="145"/>
      <c r="AF1085" s="145"/>
      <c r="AG1085" s="145"/>
      <c r="AH1085" s="145"/>
      <c r="AI1085" s="145"/>
      <c r="AJ1085" s="145"/>
      <c r="AK1085" s="145"/>
      <c r="AL1085" s="145"/>
      <c r="AM1085" s="321"/>
      <c r="AN1085" s="321"/>
      <c r="AO1085" s="321"/>
      <c r="AP1085" s="321"/>
      <c r="AQ1085" s="321"/>
      <c r="AR1085" s="321"/>
      <c r="AS1085" s="321"/>
      <c r="AT1085" s="321"/>
    </row>
    <row r="1086" spans="10:46">
      <c r="J1086" s="145"/>
      <c r="K1086" s="145"/>
      <c r="L1086" s="145"/>
      <c r="M1086" s="145"/>
      <c r="N1086" s="145"/>
      <c r="O1086" s="145"/>
      <c r="P1086" s="145"/>
      <c r="Q1086" s="145"/>
      <c r="R1086" s="145"/>
      <c r="S1086" s="145"/>
      <c r="T1086" s="145"/>
      <c r="U1086" s="145"/>
      <c r="V1086" s="145"/>
      <c r="W1086" s="145"/>
      <c r="X1086" s="145"/>
      <c r="Y1086" s="145"/>
      <c r="Z1086" s="145"/>
      <c r="AA1086" s="145"/>
      <c r="AB1086" s="145"/>
      <c r="AC1086" s="145"/>
      <c r="AD1086" s="145"/>
      <c r="AE1086" s="145"/>
      <c r="AF1086" s="145"/>
      <c r="AG1086" s="145"/>
      <c r="AH1086" s="145"/>
      <c r="AI1086" s="145"/>
      <c r="AJ1086" s="145"/>
      <c r="AK1086" s="145"/>
      <c r="AL1086" s="145"/>
      <c r="AM1086" s="321"/>
      <c r="AN1086" s="321"/>
      <c r="AO1086" s="321"/>
      <c r="AP1086" s="321"/>
      <c r="AQ1086" s="321"/>
      <c r="AR1086" s="321"/>
      <c r="AS1086" s="321"/>
      <c r="AT1086" s="321"/>
    </row>
    <row r="1087" spans="10:46">
      <c r="J1087" s="145"/>
      <c r="K1087" s="145"/>
      <c r="L1087" s="145"/>
      <c r="M1087" s="145"/>
      <c r="N1087" s="145"/>
      <c r="O1087" s="145"/>
      <c r="P1087" s="145"/>
      <c r="Q1087" s="145"/>
      <c r="R1087" s="145"/>
      <c r="S1087" s="145"/>
      <c r="T1087" s="145"/>
      <c r="U1087" s="145"/>
      <c r="V1087" s="145"/>
      <c r="W1087" s="145"/>
      <c r="X1087" s="145"/>
      <c r="Y1087" s="145"/>
      <c r="Z1087" s="145"/>
      <c r="AA1087" s="145"/>
      <c r="AB1087" s="145"/>
      <c r="AC1087" s="145"/>
      <c r="AD1087" s="145"/>
      <c r="AE1087" s="145"/>
      <c r="AF1087" s="145"/>
      <c r="AG1087" s="145"/>
      <c r="AH1087" s="145"/>
      <c r="AI1087" s="145"/>
      <c r="AJ1087" s="145"/>
      <c r="AK1087" s="145"/>
      <c r="AL1087" s="145"/>
      <c r="AM1087" s="321"/>
      <c r="AN1087" s="321"/>
      <c r="AO1087" s="321"/>
      <c r="AP1087" s="321"/>
      <c r="AQ1087" s="321"/>
      <c r="AR1087" s="321"/>
      <c r="AS1087" s="321"/>
      <c r="AT1087" s="321"/>
    </row>
    <row r="1088" spans="10:46">
      <c r="J1088" s="145"/>
      <c r="K1088" s="145"/>
      <c r="L1088" s="145"/>
      <c r="M1088" s="145"/>
      <c r="N1088" s="145"/>
      <c r="O1088" s="145"/>
      <c r="P1088" s="145"/>
      <c r="Q1088" s="145"/>
      <c r="R1088" s="145"/>
      <c r="S1088" s="145"/>
      <c r="T1088" s="145"/>
      <c r="U1088" s="145"/>
      <c r="V1088" s="145"/>
      <c r="W1088" s="145"/>
      <c r="X1088" s="145"/>
      <c r="Y1088" s="145"/>
      <c r="Z1088" s="145"/>
      <c r="AA1088" s="145"/>
      <c r="AB1088" s="145"/>
      <c r="AC1088" s="145"/>
      <c r="AD1088" s="145"/>
      <c r="AE1088" s="145"/>
      <c r="AF1088" s="145"/>
      <c r="AG1088" s="145"/>
      <c r="AH1088" s="145"/>
      <c r="AI1088" s="145"/>
      <c r="AJ1088" s="145"/>
      <c r="AK1088" s="145"/>
      <c r="AL1088" s="145"/>
      <c r="AM1088" s="321"/>
      <c r="AN1088" s="321"/>
      <c r="AO1088" s="321"/>
      <c r="AP1088" s="321"/>
      <c r="AQ1088" s="321"/>
      <c r="AR1088" s="321"/>
      <c r="AS1088" s="321"/>
      <c r="AT1088" s="321"/>
    </row>
    <row r="1089" spans="10:46">
      <c r="J1089" s="145"/>
      <c r="K1089" s="145"/>
      <c r="L1089" s="145"/>
      <c r="M1089" s="145"/>
      <c r="N1089" s="145"/>
      <c r="O1089" s="145"/>
      <c r="P1089" s="145"/>
      <c r="Q1089" s="145"/>
      <c r="R1089" s="145"/>
      <c r="S1089" s="145"/>
      <c r="T1089" s="145"/>
      <c r="U1089" s="145"/>
      <c r="V1089" s="145"/>
      <c r="W1089" s="145"/>
      <c r="X1089" s="145"/>
      <c r="Y1089" s="145"/>
      <c r="Z1089" s="145"/>
      <c r="AA1089" s="145"/>
      <c r="AB1089" s="145"/>
      <c r="AC1089" s="145"/>
      <c r="AD1089" s="145"/>
      <c r="AE1089" s="145"/>
      <c r="AF1089" s="145"/>
      <c r="AG1089" s="145"/>
      <c r="AH1089" s="145"/>
      <c r="AI1089" s="145"/>
      <c r="AJ1089" s="145"/>
      <c r="AK1089" s="145"/>
      <c r="AL1089" s="145"/>
      <c r="AM1089" s="321"/>
      <c r="AN1089" s="321"/>
      <c r="AO1089" s="321"/>
      <c r="AP1089" s="321"/>
      <c r="AQ1089" s="321"/>
      <c r="AR1089" s="321"/>
      <c r="AS1089" s="321"/>
      <c r="AT1089" s="321"/>
    </row>
    <row r="1090" spans="10:46">
      <c r="J1090" s="145"/>
      <c r="K1090" s="145"/>
      <c r="L1090" s="145"/>
      <c r="M1090" s="145"/>
      <c r="N1090" s="145"/>
      <c r="O1090" s="145"/>
      <c r="P1090" s="145"/>
      <c r="Q1090" s="145"/>
      <c r="R1090" s="145"/>
      <c r="S1090" s="145"/>
      <c r="T1090" s="145"/>
      <c r="U1090" s="145"/>
      <c r="V1090" s="145"/>
      <c r="W1090" s="145"/>
      <c r="X1090" s="145"/>
      <c r="Y1090" s="145"/>
      <c r="Z1090" s="145"/>
      <c r="AA1090" s="145"/>
      <c r="AB1090" s="145"/>
      <c r="AC1090" s="145"/>
      <c r="AD1090" s="145"/>
      <c r="AE1090" s="145"/>
      <c r="AF1090" s="145"/>
      <c r="AG1090" s="145"/>
      <c r="AH1090" s="145"/>
      <c r="AI1090" s="145"/>
      <c r="AJ1090" s="145"/>
      <c r="AK1090" s="145"/>
      <c r="AL1090" s="145"/>
      <c r="AM1090" s="321"/>
      <c r="AN1090" s="321"/>
      <c r="AO1090" s="321"/>
      <c r="AP1090" s="321"/>
      <c r="AQ1090" s="321"/>
      <c r="AR1090" s="321"/>
      <c r="AS1090" s="321"/>
      <c r="AT1090" s="321"/>
    </row>
    <row r="1091" spans="10:46">
      <c r="J1091" s="145"/>
      <c r="K1091" s="145"/>
      <c r="L1091" s="145"/>
      <c r="M1091" s="145"/>
      <c r="N1091" s="145"/>
      <c r="O1091" s="145"/>
      <c r="P1091" s="145"/>
      <c r="Q1091" s="145"/>
      <c r="R1091" s="145"/>
      <c r="S1091" s="145"/>
      <c r="T1091" s="145"/>
      <c r="U1091" s="145"/>
      <c r="V1091" s="145"/>
      <c r="W1091" s="145"/>
      <c r="X1091" s="145"/>
      <c r="Y1091" s="145"/>
      <c r="Z1091" s="145"/>
      <c r="AA1091" s="145"/>
      <c r="AB1091" s="145"/>
      <c r="AC1091" s="145"/>
      <c r="AD1091" s="145"/>
      <c r="AE1091" s="145"/>
      <c r="AF1091" s="145"/>
      <c r="AG1091" s="145"/>
      <c r="AH1091" s="145"/>
      <c r="AI1091" s="145"/>
      <c r="AJ1091" s="145"/>
      <c r="AK1091" s="145"/>
      <c r="AL1091" s="145"/>
      <c r="AM1091" s="321"/>
      <c r="AN1091" s="321"/>
      <c r="AO1091" s="321"/>
      <c r="AP1091" s="321"/>
      <c r="AQ1091" s="321"/>
      <c r="AR1091" s="321"/>
      <c r="AS1091" s="321"/>
      <c r="AT1091" s="321"/>
    </row>
    <row r="1092" spans="10:46">
      <c r="J1092" s="145"/>
      <c r="K1092" s="145"/>
      <c r="L1092" s="145"/>
      <c r="M1092" s="145"/>
      <c r="N1092" s="145"/>
      <c r="O1092" s="145"/>
      <c r="P1092" s="145"/>
      <c r="Q1092" s="145"/>
      <c r="R1092" s="145"/>
      <c r="S1092" s="145"/>
      <c r="T1092" s="145"/>
      <c r="U1092" s="145"/>
      <c r="V1092" s="145"/>
      <c r="W1092" s="145"/>
      <c r="X1092" s="145"/>
      <c r="Y1092" s="145"/>
      <c r="Z1092" s="145"/>
      <c r="AA1092" s="145"/>
      <c r="AB1092" s="145"/>
      <c r="AC1092" s="145"/>
      <c r="AD1092" s="145"/>
      <c r="AE1092" s="145"/>
      <c r="AF1092" s="145"/>
      <c r="AG1092" s="145"/>
      <c r="AH1092" s="145"/>
      <c r="AI1092" s="145"/>
      <c r="AJ1092" s="145"/>
      <c r="AK1092" s="145"/>
      <c r="AL1092" s="145"/>
      <c r="AM1092" s="321"/>
      <c r="AN1092" s="321"/>
      <c r="AO1092" s="321"/>
      <c r="AP1092" s="321"/>
      <c r="AQ1092" s="321"/>
      <c r="AR1092" s="321"/>
      <c r="AS1092" s="321"/>
      <c r="AT1092" s="321"/>
    </row>
    <row r="1093" spans="10:46">
      <c r="J1093" s="145"/>
      <c r="K1093" s="145"/>
      <c r="L1093" s="145"/>
      <c r="M1093" s="145"/>
      <c r="N1093" s="145"/>
      <c r="O1093" s="145"/>
      <c r="P1093" s="145"/>
      <c r="Q1093" s="145"/>
      <c r="R1093" s="145"/>
      <c r="S1093" s="145"/>
      <c r="T1093" s="145"/>
      <c r="U1093" s="145"/>
      <c r="V1093" s="145"/>
      <c r="W1093" s="145"/>
      <c r="X1093" s="145"/>
      <c r="Y1093" s="145"/>
      <c r="Z1093" s="145"/>
      <c r="AA1093" s="145"/>
      <c r="AB1093" s="145"/>
      <c r="AC1093" s="145"/>
      <c r="AD1093" s="145"/>
      <c r="AE1093" s="145"/>
      <c r="AF1093" s="145"/>
      <c r="AG1093" s="145"/>
      <c r="AH1093" s="145"/>
      <c r="AI1093" s="145"/>
      <c r="AJ1093" s="145"/>
      <c r="AK1093" s="145"/>
      <c r="AL1093" s="145"/>
      <c r="AM1093" s="321"/>
      <c r="AN1093" s="321"/>
      <c r="AO1093" s="321"/>
      <c r="AP1093" s="321"/>
      <c r="AQ1093" s="321"/>
      <c r="AR1093" s="321"/>
      <c r="AS1093" s="321"/>
      <c r="AT1093" s="321"/>
    </row>
    <row r="1094" spans="10:46">
      <c r="J1094" s="145"/>
      <c r="K1094" s="145"/>
      <c r="L1094" s="145"/>
      <c r="M1094" s="145"/>
      <c r="N1094" s="145"/>
      <c r="O1094" s="145"/>
      <c r="P1094" s="145"/>
      <c r="Q1094" s="145"/>
      <c r="R1094" s="145"/>
      <c r="S1094" s="145"/>
      <c r="T1094" s="145"/>
      <c r="U1094" s="145"/>
      <c r="V1094" s="145"/>
      <c r="W1094" s="145"/>
      <c r="X1094" s="145"/>
      <c r="Y1094" s="145"/>
      <c r="Z1094" s="145"/>
      <c r="AA1094" s="145"/>
      <c r="AB1094" s="145"/>
      <c r="AC1094" s="145"/>
      <c r="AD1094" s="145"/>
      <c r="AE1094" s="145"/>
      <c r="AF1094" s="145"/>
      <c r="AG1094" s="145"/>
      <c r="AH1094" s="145"/>
      <c r="AI1094" s="145"/>
      <c r="AJ1094" s="145"/>
      <c r="AK1094" s="145"/>
      <c r="AL1094" s="145"/>
      <c r="AM1094" s="321"/>
      <c r="AN1094" s="321"/>
      <c r="AO1094" s="321"/>
      <c r="AP1094" s="321"/>
      <c r="AQ1094" s="321"/>
      <c r="AR1094" s="321"/>
      <c r="AS1094" s="321"/>
      <c r="AT1094" s="321"/>
    </row>
    <row r="1095" spans="10:46">
      <c r="J1095" s="145"/>
      <c r="K1095" s="145"/>
      <c r="L1095" s="145"/>
      <c r="M1095" s="145"/>
      <c r="N1095" s="145"/>
      <c r="O1095" s="145"/>
      <c r="P1095" s="145"/>
      <c r="Q1095" s="145"/>
      <c r="R1095" s="145"/>
      <c r="S1095" s="145"/>
      <c r="T1095" s="145"/>
      <c r="U1095" s="145"/>
      <c r="V1095" s="145"/>
      <c r="W1095" s="145"/>
      <c r="X1095" s="145"/>
      <c r="Y1095" s="145"/>
      <c r="Z1095" s="145"/>
      <c r="AA1095" s="145"/>
      <c r="AB1095" s="145"/>
      <c r="AC1095" s="145"/>
      <c r="AD1095" s="145"/>
      <c r="AE1095" s="145"/>
      <c r="AF1095" s="145"/>
      <c r="AG1095" s="145"/>
      <c r="AH1095" s="145"/>
      <c r="AI1095" s="145"/>
      <c r="AJ1095" s="145"/>
      <c r="AK1095" s="145"/>
      <c r="AL1095" s="145"/>
      <c r="AM1095" s="321"/>
      <c r="AN1095" s="321"/>
      <c r="AO1095" s="321"/>
      <c r="AP1095" s="321"/>
      <c r="AQ1095" s="321"/>
      <c r="AR1095" s="321"/>
      <c r="AS1095" s="321"/>
      <c r="AT1095" s="321"/>
    </row>
    <row r="1096" spans="10:46">
      <c r="J1096" s="145"/>
      <c r="K1096" s="145"/>
      <c r="L1096" s="145"/>
      <c r="M1096" s="145"/>
      <c r="N1096" s="145"/>
      <c r="O1096" s="145"/>
      <c r="P1096" s="145"/>
      <c r="Q1096" s="145"/>
      <c r="R1096" s="145"/>
      <c r="S1096" s="145"/>
      <c r="T1096" s="145"/>
      <c r="U1096" s="145"/>
      <c r="V1096" s="145"/>
      <c r="W1096" s="145"/>
      <c r="X1096" s="145"/>
      <c r="Y1096" s="145"/>
      <c r="Z1096" s="145"/>
      <c r="AA1096" s="145"/>
      <c r="AB1096" s="145"/>
      <c r="AC1096" s="145"/>
      <c r="AD1096" s="145"/>
      <c r="AE1096" s="145"/>
      <c r="AF1096" s="145"/>
      <c r="AG1096" s="145"/>
      <c r="AH1096" s="145"/>
      <c r="AI1096" s="145"/>
      <c r="AJ1096" s="145"/>
      <c r="AK1096" s="145"/>
      <c r="AL1096" s="145"/>
      <c r="AM1096" s="321"/>
      <c r="AN1096" s="321"/>
      <c r="AO1096" s="321"/>
      <c r="AP1096" s="321"/>
      <c r="AQ1096" s="321"/>
      <c r="AR1096" s="321"/>
      <c r="AS1096" s="321"/>
      <c r="AT1096" s="321"/>
    </row>
    <row r="1097" spans="10:46">
      <c r="J1097" s="145"/>
      <c r="K1097" s="145"/>
      <c r="L1097" s="145"/>
      <c r="M1097" s="145"/>
      <c r="N1097" s="145"/>
      <c r="O1097" s="145"/>
      <c r="P1097" s="145"/>
      <c r="Q1097" s="145"/>
      <c r="R1097" s="145"/>
      <c r="S1097" s="145"/>
      <c r="T1097" s="145"/>
      <c r="U1097" s="145"/>
      <c r="V1097" s="145"/>
      <c r="W1097" s="145"/>
      <c r="X1097" s="145"/>
      <c r="Y1097" s="145"/>
      <c r="Z1097" s="145"/>
      <c r="AA1097" s="145"/>
      <c r="AB1097" s="145"/>
      <c r="AC1097" s="145"/>
      <c r="AD1097" s="145"/>
      <c r="AE1097" s="145"/>
      <c r="AF1097" s="145"/>
      <c r="AG1097" s="145"/>
      <c r="AH1097" s="145"/>
      <c r="AI1097" s="145"/>
      <c r="AJ1097" s="145"/>
      <c r="AK1097" s="145"/>
      <c r="AL1097" s="145"/>
      <c r="AM1097" s="321"/>
      <c r="AN1097" s="321"/>
      <c r="AO1097" s="321"/>
      <c r="AP1097" s="321"/>
      <c r="AQ1097" s="321"/>
      <c r="AR1097" s="321"/>
      <c r="AS1097" s="321"/>
      <c r="AT1097" s="321"/>
    </row>
    <row r="1098" spans="10:46">
      <c r="J1098" s="145"/>
      <c r="K1098" s="145"/>
      <c r="L1098" s="145"/>
      <c r="M1098" s="145"/>
      <c r="N1098" s="145"/>
      <c r="O1098" s="145"/>
      <c r="P1098" s="145"/>
      <c r="Q1098" s="145"/>
      <c r="R1098" s="145"/>
      <c r="S1098" s="145"/>
      <c r="T1098" s="145"/>
      <c r="U1098" s="145"/>
      <c r="V1098" s="145"/>
      <c r="W1098" s="145"/>
      <c r="X1098" s="145"/>
      <c r="Y1098" s="145"/>
      <c r="Z1098" s="145"/>
      <c r="AA1098" s="145"/>
      <c r="AB1098" s="145"/>
      <c r="AC1098" s="145"/>
      <c r="AD1098" s="145"/>
      <c r="AE1098" s="145"/>
      <c r="AF1098" s="145"/>
      <c r="AG1098" s="145"/>
      <c r="AH1098" s="145"/>
      <c r="AI1098" s="145"/>
      <c r="AJ1098" s="145"/>
      <c r="AK1098" s="145"/>
      <c r="AL1098" s="145"/>
      <c r="AM1098" s="321"/>
      <c r="AN1098" s="321"/>
      <c r="AO1098" s="321"/>
      <c r="AP1098" s="321"/>
      <c r="AQ1098" s="321"/>
      <c r="AR1098" s="321"/>
      <c r="AS1098" s="321"/>
      <c r="AT1098" s="321"/>
    </row>
    <row r="1099" spans="10:46">
      <c r="J1099" s="145"/>
      <c r="K1099" s="145"/>
      <c r="L1099" s="145"/>
      <c r="M1099" s="145"/>
      <c r="N1099" s="145"/>
      <c r="O1099" s="145"/>
      <c r="P1099" s="145"/>
      <c r="Q1099" s="145"/>
      <c r="R1099" s="145"/>
      <c r="S1099" s="145"/>
      <c r="T1099" s="145"/>
      <c r="U1099" s="145"/>
      <c r="V1099" s="145"/>
      <c r="W1099" s="145"/>
      <c r="X1099" s="145"/>
      <c r="Y1099" s="145"/>
      <c r="Z1099" s="145"/>
      <c r="AA1099" s="145"/>
      <c r="AB1099" s="145"/>
      <c r="AC1099" s="145"/>
      <c r="AD1099" s="145"/>
      <c r="AE1099" s="145"/>
      <c r="AF1099" s="145"/>
      <c r="AG1099" s="145"/>
      <c r="AH1099" s="145"/>
      <c r="AI1099" s="145"/>
      <c r="AJ1099" s="145"/>
      <c r="AK1099" s="145"/>
      <c r="AL1099" s="145"/>
      <c r="AM1099" s="321"/>
      <c r="AN1099" s="321"/>
      <c r="AO1099" s="321"/>
      <c r="AP1099" s="321"/>
      <c r="AQ1099" s="321"/>
      <c r="AR1099" s="321"/>
      <c r="AS1099" s="321"/>
      <c r="AT1099" s="321"/>
    </row>
    <row r="1100" spans="10:46">
      <c r="J1100" s="145"/>
      <c r="K1100" s="145"/>
      <c r="L1100" s="145"/>
      <c r="M1100" s="145"/>
      <c r="N1100" s="145"/>
      <c r="O1100" s="145"/>
      <c r="P1100" s="145"/>
      <c r="Q1100" s="145"/>
      <c r="R1100" s="145"/>
      <c r="S1100" s="145"/>
      <c r="T1100" s="145"/>
      <c r="U1100" s="145"/>
      <c r="V1100" s="145"/>
      <c r="W1100" s="145"/>
      <c r="X1100" s="145"/>
      <c r="Y1100" s="145"/>
      <c r="Z1100" s="145"/>
      <c r="AA1100" s="145"/>
      <c r="AB1100" s="145"/>
      <c r="AC1100" s="145"/>
      <c r="AD1100" s="145"/>
      <c r="AE1100" s="145"/>
      <c r="AF1100" s="145"/>
      <c r="AG1100" s="145"/>
      <c r="AH1100" s="145"/>
      <c r="AI1100" s="145"/>
      <c r="AJ1100" s="145"/>
      <c r="AK1100" s="145"/>
      <c r="AL1100" s="145"/>
      <c r="AM1100" s="321"/>
      <c r="AN1100" s="321"/>
      <c r="AO1100" s="321"/>
      <c r="AP1100" s="321"/>
      <c r="AQ1100" s="321"/>
      <c r="AR1100" s="321"/>
      <c r="AS1100" s="321"/>
      <c r="AT1100" s="321"/>
    </row>
    <row r="1101" spans="10:46">
      <c r="J1101" s="145"/>
      <c r="K1101" s="145"/>
      <c r="L1101" s="145"/>
      <c r="M1101" s="145"/>
      <c r="N1101" s="145"/>
      <c r="O1101" s="145"/>
      <c r="P1101" s="145"/>
      <c r="Q1101" s="145"/>
      <c r="R1101" s="145"/>
      <c r="S1101" s="145"/>
      <c r="T1101" s="145"/>
      <c r="U1101" s="145"/>
      <c r="V1101" s="145"/>
      <c r="W1101" s="145"/>
      <c r="X1101" s="145"/>
      <c r="Y1101" s="145"/>
      <c r="Z1101" s="145"/>
      <c r="AA1101" s="145"/>
      <c r="AB1101" s="145"/>
      <c r="AC1101" s="145"/>
      <c r="AD1101" s="145"/>
      <c r="AE1101" s="145"/>
      <c r="AF1101" s="145"/>
      <c r="AG1101" s="145"/>
      <c r="AH1101" s="145"/>
      <c r="AI1101" s="145"/>
      <c r="AJ1101" s="145"/>
      <c r="AK1101" s="145"/>
      <c r="AL1101" s="145"/>
      <c r="AM1101" s="321"/>
      <c r="AN1101" s="321"/>
      <c r="AO1101" s="321"/>
      <c r="AP1101" s="321"/>
      <c r="AQ1101" s="321"/>
      <c r="AR1101" s="321"/>
      <c r="AS1101" s="321"/>
      <c r="AT1101" s="321"/>
    </row>
    <row r="1102" spans="10:46">
      <c r="J1102" s="145"/>
      <c r="K1102" s="145"/>
      <c r="L1102" s="145"/>
      <c r="M1102" s="145"/>
      <c r="N1102" s="145"/>
      <c r="O1102" s="145"/>
      <c r="P1102" s="145"/>
      <c r="Q1102" s="145"/>
      <c r="R1102" s="145"/>
      <c r="S1102" s="145"/>
      <c r="T1102" s="145"/>
      <c r="U1102" s="145"/>
      <c r="V1102" s="145"/>
      <c r="W1102" s="145"/>
      <c r="X1102" s="145"/>
      <c r="Y1102" s="145"/>
      <c r="Z1102" s="145"/>
      <c r="AA1102" s="145"/>
      <c r="AB1102" s="145"/>
      <c r="AC1102" s="145"/>
      <c r="AD1102" s="145"/>
      <c r="AE1102" s="145"/>
      <c r="AF1102" s="145"/>
      <c r="AG1102" s="145"/>
      <c r="AH1102" s="145"/>
      <c r="AI1102" s="145"/>
      <c r="AJ1102" s="145"/>
      <c r="AK1102" s="145"/>
      <c r="AL1102" s="145"/>
      <c r="AM1102" s="321"/>
      <c r="AN1102" s="321"/>
      <c r="AO1102" s="321"/>
      <c r="AP1102" s="321"/>
      <c r="AQ1102" s="321"/>
      <c r="AR1102" s="321"/>
      <c r="AS1102" s="321"/>
      <c r="AT1102" s="321"/>
    </row>
    <row r="1103" spans="10:46">
      <c r="J1103" s="145"/>
      <c r="K1103" s="145"/>
      <c r="L1103" s="145"/>
      <c r="M1103" s="145"/>
      <c r="N1103" s="145"/>
      <c r="O1103" s="145"/>
      <c r="P1103" s="145"/>
      <c r="Q1103" s="145"/>
      <c r="R1103" s="145"/>
      <c r="S1103" s="145"/>
      <c r="T1103" s="145"/>
      <c r="U1103" s="145"/>
      <c r="V1103" s="145"/>
      <c r="W1103" s="145"/>
      <c r="X1103" s="145"/>
      <c r="Y1103" s="145"/>
      <c r="Z1103" s="145"/>
      <c r="AA1103" s="145"/>
      <c r="AB1103" s="145"/>
      <c r="AC1103" s="145"/>
      <c r="AD1103" s="145"/>
      <c r="AE1103" s="145"/>
      <c r="AF1103" s="145"/>
      <c r="AG1103" s="145"/>
      <c r="AH1103" s="145"/>
      <c r="AI1103" s="145"/>
      <c r="AJ1103" s="145"/>
      <c r="AK1103" s="145"/>
      <c r="AL1103" s="145"/>
      <c r="AM1103" s="321"/>
      <c r="AN1103" s="321"/>
      <c r="AO1103" s="321"/>
      <c r="AP1103" s="321"/>
      <c r="AQ1103" s="321"/>
      <c r="AR1103" s="321"/>
      <c r="AS1103" s="321"/>
      <c r="AT1103" s="321"/>
    </row>
    <row r="1104" spans="10:46">
      <c r="J1104" s="145"/>
      <c r="K1104" s="145"/>
      <c r="L1104" s="145"/>
      <c r="M1104" s="145"/>
      <c r="N1104" s="145"/>
      <c r="O1104" s="145"/>
      <c r="P1104" s="145"/>
      <c r="Q1104" s="145"/>
      <c r="R1104" s="145"/>
      <c r="S1104" s="145"/>
      <c r="T1104" s="145"/>
      <c r="U1104" s="145"/>
      <c r="V1104" s="145"/>
      <c r="W1104" s="145"/>
      <c r="X1104" s="145"/>
      <c r="Y1104" s="145"/>
      <c r="Z1104" s="145"/>
      <c r="AA1104" s="145"/>
      <c r="AB1104" s="145"/>
      <c r="AC1104" s="145"/>
      <c r="AD1104" s="145"/>
      <c r="AE1104" s="145"/>
      <c r="AF1104" s="145"/>
      <c r="AG1104" s="145"/>
      <c r="AH1104" s="145"/>
      <c r="AI1104" s="145"/>
      <c r="AJ1104" s="145"/>
      <c r="AK1104" s="145"/>
      <c r="AL1104" s="145"/>
      <c r="AM1104" s="321"/>
      <c r="AN1104" s="321"/>
      <c r="AO1104" s="321"/>
      <c r="AP1104" s="321"/>
      <c r="AQ1104" s="321"/>
      <c r="AR1104" s="321"/>
      <c r="AS1104" s="321"/>
      <c r="AT1104" s="321"/>
    </row>
    <row r="1105" spans="10:46">
      <c r="J1105" s="145"/>
      <c r="K1105" s="145"/>
      <c r="L1105" s="145"/>
      <c r="M1105" s="145"/>
      <c r="N1105" s="145"/>
      <c r="O1105" s="145"/>
      <c r="P1105" s="145"/>
      <c r="Q1105" s="145"/>
      <c r="R1105" s="145"/>
      <c r="S1105" s="145"/>
      <c r="T1105" s="145"/>
      <c r="U1105" s="145"/>
      <c r="V1105" s="145"/>
      <c r="W1105" s="145"/>
      <c r="X1105" s="145"/>
      <c r="Y1105" s="145"/>
      <c r="Z1105" s="145"/>
      <c r="AA1105" s="145"/>
      <c r="AB1105" s="145"/>
      <c r="AC1105" s="145"/>
      <c r="AD1105" s="145"/>
      <c r="AE1105" s="145"/>
      <c r="AF1105" s="145"/>
      <c r="AG1105" s="145"/>
      <c r="AH1105" s="145"/>
      <c r="AI1105" s="145"/>
      <c r="AJ1105" s="145"/>
      <c r="AK1105" s="145"/>
      <c r="AL1105" s="145"/>
      <c r="AM1105" s="321"/>
      <c r="AN1105" s="321"/>
      <c r="AO1105" s="321"/>
      <c r="AP1105" s="321"/>
      <c r="AQ1105" s="321"/>
      <c r="AR1105" s="321"/>
      <c r="AS1105" s="321"/>
      <c r="AT1105" s="321"/>
    </row>
    <row r="1106" spans="10:46">
      <c r="J1106" s="145"/>
      <c r="K1106" s="145"/>
      <c r="L1106" s="145"/>
      <c r="M1106" s="145"/>
      <c r="N1106" s="145"/>
      <c r="O1106" s="145"/>
      <c r="P1106" s="145"/>
      <c r="Q1106" s="145"/>
      <c r="R1106" s="145"/>
      <c r="S1106" s="145"/>
      <c r="T1106" s="145"/>
      <c r="U1106" s="145"/>
      <c r="V1106" s="145"/>
      <c r="W1106" s="145"/>
      <c r="X1106" s="145"/>
      <c r="Y1106" s="145"/>
      <c r="Z1106" s="145"/>
      <c r="AA1106" s="145"/>
      <c r="AB1106" s="145"/>
      <c r="AC1106" s="145"/>
      <c r="AD1106" s="145"/>
      <c r="AE1106" s="145"/>
      <c r="AF1106" s="145"/>
      <c r="AG1106" s="145"/>
      <c r="AH1106" s="145"/>
      <c r="AI1106" s="145"/>
      <c r="AJ1106" s="145"/>
      <c r="AK1106" s="145"/>
      <c r="AL1106" s="145"/>
      <c r="AM1106" s="321"/>
      <c r="AN1106" s="321"/>
      <c r="AO1106" s="321"/>
      <c r="AP1106" s="321"/>
      <c r="AQ1106" s="321"/>
      <c r="AR1106" s="321"/>
      <c r="AS1106" s="321"/>
      <c r="AT1106" s="321"/>
    </row>
    <row r="1107" spans="10:46">
      <c r="J1107" s="145"/>
      <c r="K1107" s="145"/>
      <c r="L1107" s="145"/>
      <c r="M1107" s="145"/>
      <c r="N1107" s="145"/>
      <c r="O1107" s="145"/>
      <c r="P1107" s="145"/>
      <c r="Q1107" s="145"/>
      <c r="R1107" s="145"/>
      <c r="S1107" s="145"/>
      <c r="T1107" s="145"/>
      <c r="U1107" s="145"/>
      <c r="V1107" s="145"/>
      <c r="W1107" s="145"/>
      <c r="X1107" s="145"/>
      <c r="Y1107" s="145"/>
      <c r="Z1107" s="145"/>
      <c r="AA1107" s="145"/>
      <c r="AB1107" s="145"/>
      <c r="AC1107" s="145"/>
      <c r="AD1107" s="145"/>
      <c r="AE1107" s="145"/>
      <c r="AF1107" s="145"/>
      <c r="AG1107" s="145"/>
      <c r="AH1107" s="145"/>
      <c r="AI1107" s="145"/>
      <c r="AJ1107" s="145"/>
      <c r="AK1107" s="145"/>
      <c r="AL1107" s="145"/>
      <c r="AM1107" s="321"/>
      <c r="AN1107" s="321"/>
      <c r="AO1107" s="321"/>
      <c r="AP1107" s="321"/>
      <c r="AQ1107" s="321"/>
      <c r="AR1107" s="321"/>
      <c r="AS1107" s="321"/>
      <c r="AT1107" s="321"/>
    </row>
    <row r="1108" spans="10:46">
      <c r="J1108" s="145"/>
      <c r="K1108" s="145"/>
      <c r="L1108" s="145"/>
      <c r="M1108" s="145"/>
      <c r="N1108" s="145"/>
      <c r="O1108" s="145"/>
      <c r="P1108" s="145"/>
      <c r="Q1108" s="145"/>
      <c r="R1108" s="145"/>
      <c r="S1108" s="145"/>
      <c r="T1108" s="145"/>
      <c r="U1108" s="145"/>
      <c r="V1108" s="145"/>
      <c r="W1108" s="145"/>
      <c r="X1108" s="145"/>
      <c r="Y1108" s="145"/>
      <c r="Z1108" s="145"/>
      <c r="AA1108" s="145"/>
      <c r="AB1108" s="145"/>
      <c r="AC1108" s="145"/>
      <c r="AD1108" s="145"/>
      <c r="AE1108" s="145"/>
      <c r="AF1108" s="145"/>
      <c r="AG1108" s="145"/>
      <c r="AH1108" s="145"/>
      <c r="AI1108" s="145"/>
      <c r="AJ1108" s="145"/>
      <c r="AK1108" s="145"/>
      <c r="AL1108" s="145"/>
      <c r="AM1108" s="321"/>
      <c r="AN1108" s="321"/>
      <c r="AO1108" s="321"/>
      <c r="AP1108" s="321"/>
      <c r="AQ1108" s="321"/>
      <c r="AR1108" s="321"/>
      <c r="AS1108" s="321"/>
      <c r="AT1108" s="321"/>
    </row>
    <row r="1109" spans="10:46">
      <c r="J1109" s="145"/>
      <c r="K1109" s="145"/>
      <c r="L1109" s="145"/>
      <c r="M1109" s="145"/>
      <c r="N1109" s="145"/>
      <c r="O1109" s="145"/>
      <c r="P1109" s="145"/>
      <c r="Q1109" s="145"/>
      <c r="R1109" s="145"/>
      <c r="S1109" s="145"/>
      <c r="T1109" s="145"/>
      <c r="U1109" s="145"/>
      <c r="V1109" s="145"/>
      <c r="W1109" s="145"/>
      <c r="X1109" s="145"/>
      <c r="Y1109" s="145"/>
      <c r="Z1109" s="145"/>
      <c r="AA1109" s="145"/>
      <c r="AB1109" s="145"/>
      <c r="AC1109" s="145"/>
      <c r="AD1109" s="145"/>
      <c r="AE1109" s="145"/>
      <c r="AF1109" s="145"/>
      <c r="AG1109" s="145"/>
      <c r="AH1109" s="145"/>
      <c r="AI1109" s="145"/>
      <c r="AJ1109" s="145"/>
      <c r="AK1109" s="145"/>
      <c r="AL1109" s="145"/>
      <c r="AM1109" s="321"/>
      <c r="AN1109" s="321"/>
      <c r="AO1109" s="321"/>
      <c r="AP1109" s="321"/>
      <c r="AQ1109" s="321"/>
      <c r="AR1109" s="321"/>
      <c r="AS1109" s="321"/>
      <c r="AT1109" s="321"/>
    </row>
    <row r="1110" spans="10:46">
      <c r="J1110" s="145"/>
      <c r="K1110" s="145"/>
      <c r="L1110" s="145"/>
      <c r="M1110" s="145"/>
      <c r="N1110" s="145"/>
      <c r="O1110" s="145"/>
      <c r="P1110" s="145"/>
      <c r="Q1110" s="145"/>
      <c r="R1110" s="145"/>
      <c r="S1110" s="145"/>
      <c r="T1110" s="145"/>
      <c r="U1110" s="145"/>
      <c r="V1110" s="145"/>
      <c r="W1110" s="145"/>
      <c r="X1110" s="145"/>
      <c r="Y1110" s="145"/>
      <c r="Z1110" s="145"/>
      <c r="AA1110" s="145"/>
      <c r="AB1110" s="145"/>
      <c r="AC1110" s="145"/>
      <c r="AD1110" s="145"/>
      <c r="AE1110" s="145"/>
      <c r="AF1110" s="145"/>
      <c r="AG1110" s="145"/>
      <c r="AH1110" s="145"/>
      <c r="AI1110" s="145"/>
      <c r="AJ1110" s="145"/>
      <c r="AK1110" s="145"/>
      <c r="AL1110" s="145"/>
      <c r="AM1110" s="321"/>
      <c r="AN1110" s="321"/>
      <c r="AO1110" s="321"/>
      <c r="AP1110" s="321"/>
      <c r="AQ1110" s="321"/>
      <c r="AR1110" s="321"/>
      <c r="AS1110" s="321"/>
      <c r="AT1110" s="321"/>
    </row>
    <row r="1111" spans="10:46">
      <c r="J1111" s="145"/>
      <c r="K1111" s="145"/>
      <c r="L1111" s="145"/>
      <c r="M1111" s="145"/>
      <c r="N1111" s="145"/>
      <c r="O1111" s="145"/>
      <c r="P1111" s="145"/>
      <c r="Q1111" s="145"/>
      <c r="R1111" s="145"/>
      <c r="S1111" s="145"/>
      <c r="T1111" s="145"/>
      <c r="U1111" s="145"/>
      <c r="V1111" s="145"/>
      <c r="W1111" s="145"/>
      <c r="X1111" s="145"/>
      <c r="Y1111" s="145"/>
      <c r="Z1111" s="145"/>
      <c r="AA1111" s="145"/>
      <c r="AB1111" s="145"/>
      <c r="AC1111" s="145"/>
      <c r="AD1111" s="145"/>
      <c r="AE1111" s="145"/>
      <c r="AF1111" s="145"/>
      <c r="AG1111" s="145"/>
      <c r="AH1111" s="145"/>
      <c r="AI1111" s="145"/>
      <c r="AJ1111" s="145"/>
      <c r="AK1111" s="145"/>
      <c r="AL1111" s="145"/>
      <c r="AM1111" s="321"/>
      <c r="AN1111" s="321"/>
      <c r="AO1111" s="321"/>
      <c r="AP1111" s="321"/>
      <c r="AQ1111" s="321"/>
      <c r="AR1111" s="321"/>
      <c r="AS1111" s="321"/>
      <c r="AT1111" s="321"/>
    </row>
    <row r="1112" spans="10:46">
      <c r="J1112" s="145"/>
      <c r="K1112" s="145"/>
      <c r="L1112" s="145"/>
      <c r="M1112" s="145"/>
      <c r="N1112" s="145"/>
      <c r="O1112" s="145"/>
      <c r="P1112" s="145"/>
      <c r="Q1112" s="145"/>
      <c r="R1112" s="145"/>
      <c r="S1112" s="145"/>
      <c r="T1112" s="145"/>
      <c r="U1112" s="145"/>
      <c r="V1112" s="145"/>
      <c r="W1112" s="145"/>
      <c r="X1112" s="145"/>
      <c r="Y1112" s="145"/>
      <c r="Z1112" s="145"/>
      <c r="AA1112" s="145"/>
      <c r="AB1112" s="145"/>
      <c r="AC1112" s="145"/>
      <c r="AD1112" s="145"/>
      <c r="AE1112" s="145"/>
      <c r="AF1112" s="145"/>
      <c r="AG1112" s="145"/>
      <c r="AH1112" s="145"/>
      <c r="AI1112" s="145"/>
      <c r="AJ1112" s="145"/>
      <c r="AK1112" s="145"/>
      <c r="AL1112" s="145"/>
      <c r="AM1112" s="321"/>
      <c r="AN1112" s="321"/>
      <c r="AO1112" s="321"/>
      <c r="AP1112" s="321"/>
      <c r="AQ1112" s="321"/>
      <c r="AR1112" s="321"/>
      <c r="AS1112" s="321"/>
      <c r="AT1112" s="321"/>
    </row>
    <row r="1113" spans="10:46">
      <c r="J1113" s="145"/>
      <c r="K1113" s="145"/>
      <c r="L1113" s="145"/>
      <c r="M1113" s="145"/>
      <c r="N1113" s="145"/>
      <c r="O1113" s="145"/>
      <c r="P1113" s="145"/>
      <c r="Q1113" s="145"/>
      <c r="R1113" s="145"/>
      <c r="S1113" s="145"/>
      <c r="T1113" s="145"/>
      <c r="U1113" s="145"/>
      <c r="V1113" s="145"/>
      <c r="W1113" s="145"/>
      <c r="X1113" s="145"/>
      <c r="Y1113" s="145"/>
      <c r="Z1113" s="145"/>
      <c r="AA1113" s="145"/>
      <c r="AB1113" s="145"/>
      <c r="AC1113" s="145"/>
      <c r="AD1113" s="145"/>
      <c r="AE1113" s="145"/>
      <c r="AF1113" s="145"/>
      <c r="AG1113" s="145"/>
      <c r="AH1113" s="145"/>
      <c r="AI1113" s="145"/>
      <c r="AJ1113" s="145"/>
      <c r="AK1113" s="145"/>
      <c r="AL1113" s="145"/>
      <c r="AM1113" s="321"/>
      <c r="AN1113" s="321"/>
      <c r="AO1113" s="321"/>
      <c r="AP1113" s="321"/>
      <c r="AQ1113" s="321"/>
      <c r="AR1113" s="321"/>
      <c r="AS1113" s="321"/>
      <c r="AT1113" s="321"/>
    </row>
    <row r="1114" spans="10:46">
      <c r="J1114" s="145"/>
      <c r="K1114" s="145"/>
      <c r="L1114" s="145"/>
      <c r="M1114" s="145"/>
      <c r="N1114" s="145"/>
      <c r="O1114" s="145"/>
      <c r="P1114" s="145"/>
      <c r="Q1114" s="145"/>
      <c r="R1114" s="145"/>
      <c r="S1114" s="145"/>
      <c r="T1114" s="145"/>
      <c r="U1114" s="145"/>
      <c r="V1114" s="145"/>
      <c r="W1114" s="145"/>
      <c r="X1114" s="145"/>
      <c r="Y1114" s="145"/>
      <c r="Z1114" s="145"/>
      <c r="AA1114" s="145"/>
      <c r="AB1114" s="145"/>
      <c r="AC1114" s="145"/>
      <c r="AD1114" s="145"/>
      <c r="AE1114" s="145"/>
      <c r="AF1114" s="145"/>
      <c r="AG1114" s="145"/>
      <c r="AH1114" s="145"/>
      <c r="AI1114" s="145"/>
      <c r="AJ1114" s="145"/>
      <c r="AK1114" s="145"/>
      <c r="AL1114" s="145"/>
      <c r="AM1114" s="321"/>
      <c r="AN1114" s="321"/>
      <c r="AO1114" s="321"/>
      <c r="AP1114" s="321"/>
      <c r="AQ1114" s="321"/>
      <c r="AR1114" s="321"/>
      <c r="AS1114" s="321"/>
      <c r="AT1114" s="321"/>
    </row>
    <row r="1115" spans="10:46">
      <c r="J1115" s="145"/>
      <c r="K1115" s="145"/>
      <c r="L1115" s="145"/>
      <c r="M1115" s="145"/>
      <c r="N1115" s="145"/>
      <c r="O1115" s="145"/>
      <c r="P1115" s="145"/>
      <c r="Q1115" s="145"/>
      <c r="R1115" s="145"/>
      <c r="S1115" s="145"/>
      <c r="T1115" s="145"/>
      <c r="U1115" s="145"/>
      <c r="V1115" s="145"/>
      <c r="W1115" s="145"/>
      <c r="X1115" s="145"/>
      <c r="Y1115" s="145"/>
      <c r="Z1115" s="145"/>
      <c r="AA1115" s="145"/>
      <c r="AB1115" s="145"/>
      <c r="AC1115" s="145"/>
      <c r="AD1115" s="145"/>
      <c r="AE1115" s="145"/>
      <c r="AF1115" s="145"/>
      <c r="AG1115" s="145"/>
      <c r="AH1115" s="145"/>
      <c r="AI1115" s="145"/>
      <c r="AJ1115" s="145"/>
      <c r="AK1115" s="145"/>
      <c r="AL1115" s="145"/>
      <c r="AM1115" s="321"/>
      <c r="AN1115" s="321"/>
      <c r="AO1115" s="321"/>
      <c r="AP1115" s="321"/>
      <c r="AQ1115" s="321"/>
      <c r="AR1115" s="321"/>
      <c r="AS1115" s="321"/>
      <c r="AT1115" s="321"/>
    </row>
    <row r="1116" spans="10:46">
      <c r="J1116" s="145"/>
      <c r="K1116" s="145"/>
      <c r="L1116" s="145"/>
      <c r="M1116" s="145"/>
      <c r="N1116" s="145"/>
      <c r="O1116" s="145"/>
      <c r="P1116" s="145"/>
      <c r="Q1116" s="145"/>
      <c r="R1116" s="145"/>
      <c r="S1116" s="145"/>
      <c r="T1116" s="145"/>
      <c r="U1116" s="145"/>
      <c r="V1116" s="145"/>
      <c r="W1116" s="145"/>
      <c r="X1116" s="145"/>
      <c r="Y1116" s="145"/>
      <c r="Z1116" s="145"/>
      <c r="AA1116" s="145"/>
      <c r="AB1116" s="145"/>
      <c r="AC1116" s="145"/>
      <c r="AD1116" s="145"/>
      <c r="AE1116" s="145"/>
      <c r="AF1116" s="145"/>
      <c r="AG1116" s="145"/>
      <c r="AH1116" s="145"/>
      <c r="AI1116" s="145"/>
      <c r="AJ1116" s="145"/>
      <c r="AK1116" s="145"/>
      <c r="AL1116" s="145"/>
      <c r="AM1116" s="321"/>
      <c r="AN1116" s="321"/>
      <c r="AO1116" s="321"/>
      <c r="AP1116" s="321"/>
      <c r="AQ1116" s="321"/>
      <c r="AR1116" s="321"/>
      <c r="AS1116" s="321"/>
      <c r="AT1116" s="321"/>
    </row>
    <row r="1117" spans="10:46">
      <c r="J1117" s="145"/>
      <c r="K1117" s="145"/>
      <c r="L1117" s="145"/>
      <c r="M1117" s="145"/>
      <c r="N1117" s="145"/>
      <c r="O1117" s="145"/>
      <c r="P1117" s="145"/>
      <c r="Q1117" s="145"/>
      <c r="R1117" s="145"/>
      <c r="S1117" s="145"/>
      <c r="T1117" s="145"/>
      <c r="U1117" s="145"/>
      <c r="V1117" s="145"/>
      <c r="W1117" s="145"/>
      <c r="X1117" s="145"/>
      <c r="Y1117" s="145"/>
      <c r="Z1117" s="145"/>
      <c r="AA1117" s="145"/>
      <c r="AB1117" s="145"/>
      <c r="AC1117" s="145"/>
      <c r="AD1117" s="145"/>
      <c r="AE1117" s="145"/>
      <c r="AF1117" s="145"/>
      <c r="AG1117" s="145"/>
      <c r="AH1117" s="145"/>
      <c r="AI1117" s="145"/>
      <c r="AJ1117" s="145"/>
      <c r="AK1117" s="145"/>
      <c r="AL1117" s="145"/>
      <c r="AM1117" s="321"/>
      <c r="AN1117" s="321"/>
      <c r="AO1117" s="321"/>
      <c r="AP1117" s="321"/>
      <c r="AQ1117" s="321"/>
      <c r="AR1117" s="321"/>
      <c r="AS1117" s="321"/>
      <c r="AT1117" s="321"/>
    </row>
    <row r="1118" spans="10:46">
      <c r="J1118" s="145"/>
      <c r="K1118" s="145"/>
      <c r="L1118" s="145"/>
      <c r="M1118" s="145"/>
      <c r="N1118" s="145"/>
      <c r="O1118" s="145"/>
      <c r="P1118" s="145"/>
      <c r="Q1118" s="145"/>
      <c r="R1118" s="145"/>
      <c r="S1118" s="145"/>
      <c r="T1118" s="145"/>
      <c r="U1118" s="145"/>
      <c r="V1118" s="145"/>
      <c r="W1118" s="145"/>
      <c r="X1118" s="145"/>
      <c r="Y1118" s="145"/>
      <c r="Z1118" s="145"/>
      <c r="AA1118" s="145"/>
      <c r="AB1118" s="145"/>
      <c r="AC1118" s="145"/>
      <c r="AD1118" s="145"/>
      <c r="AE1118" s="145"/>
      <c r="AF1118" s="145"/>
      <c r="AG1118" s="145"/>
      <c r="AH1118" s="145"/>
      <c r="AI1118" s="145"/>
      <c r="AJ1118" s="145"/>
      <c r="AK1118" s="145"/>
      <c r="AL1118" s="145"/>
      <c r="AM1118" s="321"/>
      <c r="AN1118" s="321"/>
      <c r="AO1118" s="321"/>
      <c r="AP1118" s="321"/>
      <c r="AQ1118" s="321"/>
      <c r="AR1118" s="321"/>
      <c r="AS1118" s="321"/>
      <c r="AT1118" s="321"/>
    </row>
    <row r="1119" spans="10:46">
      <c r="J1119" s="145"/>
      <c r="K1119" s="145"/>
      <c r="L1119" s="145"/>
      <c r="M1119" s="145"/>
      <c r="N1119" s="145"/>
      <c r="O1119" s="145"/>
      <c r="P1119" s="145"/>
      <c r="Q1119" s="145"/>
      <c r="R1119" s="145"/>
      <c r="S1119" s="145"/>
      <c r="T1119" s="145"/>
      <c r="U1119" s="145"/>
      <c r="V1119" s="145"/>
      <c r="W1119" s="145"/>
      <c r="X1119" s="145"/>
      <c r="Y1119" s="145"/>
      <c r="Z1119" s="145"/>
      <c r="AA1119" s="145"/>
      <c r="AB1119" s="145"/>
      <c r="AC1119" s="145"/>
      <c r="AD1119" s="145"/>
      <c r="AE1119" s="145"/>
      <c r="AF1119" s="145"/>
      <c r="AG1119" s="145"/>
      <c r="AH1119" s="145"/>
      <c r="AI1119" s="145"/>
      <c r="AJ1119" s="145"/>
      <c r="AK1119" s="145"/>
      <c r="AL1119" s="145"/>
      <c r="AM1119" s="321"/>
      <c r="AN1119" s="321"/>
      <c r="AO1119" s="321"/>
      <c r="AP1119" s="321"/>
      <c r="AQ1119" s="321"/>
      <c r="AR1119" s="321"/>
      <c r="AS1119" s="321"/>
      <c r="AT1119" s="321"/>
    </row>
    <row r="1120" spans="10:46">
      <c r="J1120" s="145"/>
      <c r="K1120" s="145"/>
      <c r="L1120" s="145"/>
      <c r="M1120" s="145"/>
      <c r="N1120" s="145"/>
      <c r="O1120" s="145"/>
      <c r="P1120" s="145"/>
      <c r="Q1120" s="145"/>
      <c r="R1120" s="145"/>
      <c r="S1120" s="145"/>
      <c r="T1120" s="145"/>
      <c r="U1120" s="145"/>
      <c r="V1120" s="145"/>
      <c r="W1120" s="145"/>
      <c r="X1120" s="145"/>
      <c r="Y1120" s="145"/>
      <c r="Z1120" s="145"/>
      <c r="AA1120" s="145"/>
      <c r="AB1120" s="145"/>
      <c r="AC1120" s="145"/>
      <c r="AD1120" s="145"/>
      <c r="AE1120" s="145"/>
      <c r="AF1120" s="145"/>
      <c r="AG1120" s="145"/>
      <c r="AH1120" s="145"/>
      <c r="AI1120" s="145"/>
      <c r="AJ1120" s="145"/>
      <c r="AK1120" s="145"/>
      <c r="AL1120" s="145"/>
      <c r="AM1120" s="321"/>
      <c r="AN1120" s="321"/>
      <c r="AO1120" s="321"/>
      <c r="AP1120" s="321"/>
      <c r="AQ1120" s="321"/>
      <c r="AR1120" s="321"/>
      <c r="AS1120" s="321"/>
      <c r="AT1120" s="321"/>
    </row>
    <row r="1121" spans="10:46">
      <c r="J1121" s="145"/>
      <c r="K1121" s="145"/>
      <c r="L1121" s="145"/>
      <c r="M1121" s="145"/>
      <c r="N1121" s="145"/>
      <c r="O1121" s="145"/>
      <c r="P1121" s="145"/>
      <c r="Q1121" s="145"/>
      <c r="R1121" s="145"/>
      <c r="S1121" s="145"/>
      <c r="T1121" s="145"/>
      <c r="U1121" s="145"/>
      <c r="V1121" s="145"/>
      <c r="W1121" s="145"/>
      <c r="X1121" s="145"/>
      <c r="Y1121" s="145"/>
      <c r="Z1121" s="145"/>
      <c r="AA1121" s="145"/>
      <c r="AB1121" s="145"/>
      <c r="AC1121" s="145"/>
      <c r="AD1121" s="145"/>
      <c r="AE1121" s="145"/>
      <c r="AF1121" s="145"/>
      <c r="AG1121" s="145"/>
      <c r="AH1121" s="145"/>
      <c r="AI1121" s="145"/>
      <c r="AJ1121" s="145"/>
      <c r="AK1121" s="145"/>
      <c r="AL1121" s="145"/>
      <c r="AM1121" s="321"/>
      <c r="AN1121" s="321"/>
      <c r="AO1121" s="321"/>
      <c r="AP1121" s="321"/>
      <c r="AQ1121" s="321"/>
      <c r="AR1121" s="321"/>
      <c r="AS1121" s="321"/>
      <c r="AT1121" s="321"/>
    </row>
    <row r="1122" spans="10:46">
      <c r="J1122" s="145"/>
      <c r="K1122" s="145"/>
      <c r="L1122" s="145"/>
      <c r="M1122" s="145"/>
      <c r="N1122" s="145"/>
      <c r="O1122" s="145"/>
      <c r="P1122" s="145"/>
      <c r="Q1122" s="145"/>
      <c r="R1122" s="145"/>
      <c r="S1122" s="145"/>
      <c r="T1122" s="145"/>
      <c r="U1122" s="145"/>
      <c r="V1122" s="145"/>
      <c r="W1122" s="145"/>
      <c r="X1122" s="145"/>
      <c r="Y1122" s="145"/>
      <c r="Z1122" s="145"/>
      <c r="AA1122" s="145"/>
      <c r="AB1122" s="145"/>
      <c r="AC1122" s="145"/>
      <c r="AD1122" s="145"/>
      <c r="AE1122" s="145"/>
      <c r="AF1122" s="145"/>
      <c r="AG1122" s="145"/>
      <c r="AH1122" s="145"/>
      <c r="AI1122" s="145"/>
      <c r="AJ1122" s="145"/>
      <c r="AK1122" s="145"/>
      <c r="AL1122" s="145"/>
      <c r="AM1122" s="321"/>
      <c r="AN1122" s="321"/>
      <c r="AO1122" s="321"/>
      <c r="AP1122" s="321"/>
      <c r="AQ1122" s="321"/>
      <c r="AR1122" s="321"/>
      <c r="AS1122" s="321"/>
      <c r="AT1122" s="321"/>
    </row>
    <row r="1123" spans="10:46">
      <c r="J1123" s="145"/>
      <c r="K1123" s="145"/>
      <c r="L1123" s="145"/>
      <c r="M1123" s="145"/>
      <c r="N1123" s="145"/>
      <c r="O1123" s="145"/>
      <c r="P1123" s="145"/>
      <c r="Q1123" s="145"/>
      <c r="R1123" s="145"/>
      <c r="S1123" s="145"/>
      <c r="T1123" s="145"/>
      <c r="U1123" s="145"/>
      <c r="V1123" s="145"/>
      <c r="W1123" s="145"/>
      <c r="X1123" s="145"/>
      <c r="Y1123" s="145"/>
      <c r="Z1123" s="145"/>
      <c r="AA1123" s="145"/>
      <c r="AB1123" s="145"/>
      <c r="AC1123" s="145"/>
      <c r="AD1123" s="145"/>
      <c r="AE1123" s="145"/>
      <c r="AF1123" s="145"/>
      <c r="AG1123" s="145"/>
      <c r="AH1123" s="145"/>
      <c r="AI1123" s="145"/>
      <c r="AJ1123" s="145"/>
      <c r="AK1123" s="145"/>
      <c r="AL1123" s="145"/>
      <c r="AM1123" s="321"/>
      <c r="AN1123" s="321"/>
      <c r="AO1123" s="321"/>
      <c r="AP1123" s="321"/>
      <c r="AQ1123" s="321"/>
      <c r="AR1123" s="321"/>
      <c r="AS1123" s="321"/>
      <c r="AT1123" s="321"/>
    </row>
    <row r="1124" spans="10:46">
      <c r="J1124" s="145"/>
      <c r="K1124" s="145"/>
      <c r="L1124" s="145"/>
      <c r="M1124" s="145"/>
      <c r="N1124" s="145"/>
      <c r="O1124" s="145"/>
      <c r="P1124" s="145"/>
      <c r="Q1124" s="145"/>
      <c r="R1124" s="145"/>
      <c r="S1124" s="145"/>
      <c r="T1124" s="145"/>
      <c r="U1124" s="145"/>
      <c r="V1124" s="145"/>
      <c r="W1124" s="145"/>
      <c r="X1124" s="145"/>
      <c r="Y1124" s="145"/>
      <c r="Z1124" s="145"/>
      <c r="AA1124" s="145"/>
      <c r="AB1124" s="145"/>
      <c r="AC1124" s="145"/>
      <c r="AD1124" s="145"/>
      <c r="AE1124" s="145"/>
      <c r="AF1124" s="145"/>
      <c r="AG1124" s="145"/>
      <c r="AH1124" s="145"/>
      <c r="AI1124" s="145"/>
      <c r="AJ1124" s="145"/>
      <c r="AK1124" s="145"/>
      <c r="AL1124" s="145"/>
      <c r="AM1124" s="321"/>
      <c r="AN1124" s="321"/>
      <c r="AO1124" s="321"/>
      <c r="AP1124" s="321"/>
      <c r="AQ1124" s="321"/>
      <c r="AR1124" s="321"/>
      <c r="AS1124" s="321"/>
      <c r="AT1124" s="321"/>
    </row>
    <row r="1125" spans="10:46">
      <c r="J1125" s="145"/>
      <c r="K1125" s="145"/>
      <c r="L1125" s="145"/>
      <c r="M1125" s="145"/>
      <c r="N1125" s="145"/>
      <c r="O1125" s="145"/>
      <c r="P1125" s="145"/>
      <c r="Q1125" s="145"/>
      <c r="R1125" s="145"/>
      <c r="S1125" s="145"/>
      <c r="T1125" s="145"/>
      <c r="U1125" s="145"/>
      <c r="V1125" s="145"/>
      <c r="W1125" s="145"/>
      <c r="X1125" s="145"/>
      <c r="Y1125" s="145"/>
      <c r="Z1125" s="145"/>
      <c r="AA1125" s="145"/>
      <c r="AB1125" s="145"/>
      <c r="AC1125" s="145"/>
      <c r="AD1125" s="145"/>
      <c r="AE1125" s="145"/>
      <c r="AF1125" s="145"/>
      <c r="AG1125" s="145"/>
      <c r="AH1125" s="145"/>
      <c r="AI1125" s="145"/>
      <c r="AJ1125" s="145"/>
      <c r="AK1125" s="145"/>
      <c r="AL1125" s="145"/>
      <c r="AM1125" s="321"/>
      <c r="AN1125" s="321"/>
      <c r="AO1125" s="321"/>
      <c r="AP1125" s="321"/>
      <c r="AQ1125" s="321"/>
      <c r="AR1125" s="321"/>
      <c r="AS1125" s="321"/>
      <c r="AT1125" s="321"/>
    </row>
    <row r="1126" spans="10:46">
      <c r="J1126" s="145"/>
      <c r="K1126" s="145"/>
      <c r="L1126" s="145"/>
      <c r="M1126" s="145"/>
      <c r="N1126" s="145"/>
      <c r="O1126" s="145"/>
      <c r="P1126" s="145"/>
      <c r="Q1126" s="145"/>
      <c r="R1126" s="145"/>
      <c r="S1126" s="145"/>
      <c r="T1126" s="145"/>
      <c r="U1126" s="145"/>
      <c r="V1126" s="145"/>
      <c r="W1126" s="145"/>
      <c r="X1126" s="145"/>
      <c r="Y1126" s="145"/>
      <c r="Z1126" s="145"/>
      <c r="AA1126" s="145"/>
      <c r="AB1126" s="145"/>
      <c r="AC1126" s="145"/>
      <c r="AD1126" s="145"/>
      <c r="AE1126" s="145"/>
      <c r="AF1126" s="145"/>
      <c r="AG1126" s="145"/>
      <c r="AH1126" s="145"/>
      <c r="AI1126" s="145"/>
      <c r="AJ1126" s="145"/>
      <c r="AK1126" s="145"/>
      <c r="AL1126" s="145"/>
      <c r="AM1126" s="321"/>
      <c r="AN1126" s="321"/>
      <c r="AO1126" s="321"/>
      <c r="AP1126" s="321"/>
      <c r="AQ1126" s="321"/>
      <c r="AR1126" s="321"/>
      <c r="AS1126" s="321"/>
      <c r="AT1126" s="321"/>
    </row>
    <row r="1127" spans="10:46">
      <c r="J1127" s="145"/>
      <c r="K1127" s="145"/>
      <c r="L1127" s="145"/>
      <c r="M1127" s="145"/>
      <c r="N1127" s="145"/>
      <c r="O1127" s="145"/>
      <c r="P1127" s="145"/>
      <c r="Q1127" s="145"/>
      <c r="R1127" s="145"/>
      <c r="S1127" s="145"/>
      <c r="T1127" s="145"/>
      <c r="U1127" s="145"/>
      <c r="V1127" s="145"/>
      <c r="W1127" s="145"/>
      <c r="X1127" s="145"/>
      <c r="Y1127" s="145"/>
      <c r="Z1127" s="145"/>
      <c r="AA1127" s="145"/>
      <c r="AB1127" s="145"/>
      <c r="AC1127" s="145"/>
      <c r="AD1127" s="145"/>
      <c r="AE1127" s="145"/>
      <c r="AF1127" s="145"/>
      <c r="AG1127" s="145"/>
      <c r="AH1127" s="145"/>
      <c r="AI1127" s="145"/>
      <c r="AJ1127" s="145"/>
      <c r="AK1127" s="145"/>
      <c r="AL1127" s="145"/>
      <c r="AM1127" s="321"/>
      <c r="AN1127" s="321"/>
      <c r="AO1127" s="321"/>
      <c r="AP1127" s="321"/>
      <c r="AQ1127" s="321"/>
      <c r="AR1127" s="321"/>
      <c r="AS1127" s="321"/>
      <c r="AT1127" s="321"/>
    </row>
    <row r="1128" spans="10:46">
      <c r="J1128" s="145"/>
      <c r="K1128" s="145"/>
      <c r="L1128" s="145"/>
      <c r="M1128" s="145"/>
      <c r="N1128" s="145"/>
      <c r="O1128" s="145"/>
      <c r="P1128" s="145"/>
      <c r="Q1128" s="145"/>
      <c r="R1128" s="145"/>
      <c r="S1128" s="145"/>
      <c r="T1128" s="145"/>
      <c r="U1128" s="145"/>
      <c r="V1128" s="145"/>
      <c r="W1128" s="145"/>
      <c r="X1128" s="145"/>
      <c r="Y1128" s="145"/>
      <c r="Z1128" s="145"/>
      <c r="AA1128" s="145"/>
      <c r="AB1128" s="145"/>
      <c r="AC1128" s="145"/>
      <c r="AD1128" s="145"/>
      <c r="AE1128" s="145"/>
      <c r="AF1128" s="145"/>
      <c r="AG1128" s="145"/>
      <c r="AH1128" s="145"/>
      <c r="AI1128" s="145"/>
      <c r="AJ1128" s="145"/>
      <c r="AK1128" s="145"/>
      <c r="AL1128" s="145"/>
      <c r="AM1128" s="321"/>
      <c r="AN1128" s="321"/>
      <c r="AO1128" s="321"/>
      <c r="AP1128" s="321"/>
      <c r="AQ1128" s="321"/>
      <c r="AR1128" s="321"/>
      <c r="AS1128" s="321"/>
      <c r="AT1128" s="321"/>
    </row>
    <row r="1129" spans="10:46">
      <c r="J1129" s="145"/>
      <c r="K1129" s="145"/>
      <c r="L1129" s="145"/>
      <c r="M1129" s="145"/>
      <c r="N1129" s="145"/>
      <c r="O1129" s="145"/>
      <c r="P1129" s="145"/>
      <c r="Q1129" s="145"/>
      <c r="R1129" s="145"/>
      <c r="S1129" s="145"/>
      <c r="T1129" s="145"/>
      <c r="U1129" s="145"/>
      <c r="V1129" s="145"/>
      <c r="W1129" s="145"/>
      <c r="X1129" s="145"/>
      <c r="Y1129" s="145"/>
      <c r="Z1129" s="145"/>
      <c r="AA1129" s="145"/>
      <c r="AB1129" s="145"/>
      <c r="AC1129" s="145"/>
      <c r="AD1129" s="145"/>
      <c r="AE1129" s="145"/>
      <c r="AF1129" s="145"/>
      <c r="AG1129" s="145"/>
      <c r="AH1129" s="145"/>
      <c r="AI1129" s="145"/>
      <c r="AJ1129" s="145"/>
      <c r="AK1129" s="145"/>
      <c r="AL1129" s="145"/>
      <c r="AM1129" s="321"/>
      <c r="AN1129" s="321"/>
      <c r="AO1129" s="321"/>
      <c r="AP1129" s="321"/>
      <c r="AQ1129" s="321"/>
      <c r="AR1129" s="321"/>
      <c r="AS1129" s="321"/>
      <c r="AT1129" s="321"/>
    </row>
    <row r="1130" spans="10:46">
      <c r="J1130" s="145"/>
      <c r="K1130" s="145"/>
      <c r="L1130" s="145"/>
      <c r="M1130" s="145"/>
      <c r="N1130" s="145"/>
      <c r="O1130" s="145"/>
      <c r="P1130" s="145"/>
      <c r="Q1130" s="145"/>
      <c r="R1130" s="145"/>
      <c r="S1130" s="145"/>
      <c r="T1130" s="145"/>
      <c r="U1130" s="145"/>
      <c r="V1130" s="145"/>
      <c r="W1130" s="145"/>
      <c r="X1130" s="145"/>
      <c r="Y1130" s="145"/>
      <c r="Z1130" s="145"/>
      <c r="AA1130" s="145"/>
      <c r="AB1130" s="145"/>
      <c r="AC1130" s="145"/>
      <c r="AD1130" s="145"/>
      <c r="AE1130" s="145"/>
      <c r="AF1130" s="145"/>
      <c r="AG1130" s="145"/>
      <c r="AH1130" s="145"/>
      <c r="AI1130" s="145"/>
      <c r="AJ1130" s="145"/>
      <c r="AK1130" s="145"/>
      <c r="AL1130" s="145"/>
      <c r="AM1130" s="321"/>
      <c r="AN1130" s="321"/>
      <c r="AO1130" s="321"/>
      <c r="AP1130" s="321"/>
      <c r="AQ1130" s="321"/>
      <c r="AR1130" s="321"/>
      <c r="AS1130" s="321"/>
      <c r="AT1130" s="321"/>
    </row>
    <row r="1131" spans="10:46">
      <c r="J1131" s="145"/>
      <c r="K1131" s="145"/>
      <c r="L1131" s="145"/>
      <c r="M1131" s="145"/>
      <c r="N1131" s="145"/>
      <c r="O1131" s="145"/>
      <c r="P1131" s="145"/>
      <c r="Q1131" s="145"/>
      <c r="R1131" s="145"/>
      <c r="S1131" s="145"/>
      <c r="T1131" s="145"/>
      <c r="U1131" s="145"/>
      <c r="V1131" s="145"/>
      <c r="W1131" s="145"/>
      <c r="X1131" s="145"/>
      <c r="Y1131" s="145"/>
      <c r="Z1131" s="145"/>
      <c r="AA1131" s="145"/>
      <c r="AB1131" s="145"/>
      <c r="AC1131" s="145"/>
      <c r="AD1131" s="145"/>
      <c r="AE1131" s="145"/>
      <c r="AF1131" s="145"/>
      <c r="AG1131" s="145"/>
      <c r="AH1131" s="145"/>
      <c r="AI1131" s="145"/>
      <c r="AJ1131" s="145"/>
      <c r="AK1131" s="145"/>
      <c r="AL1131" s="145"/>
      <c r="AM1131" s="321"/>
      <c r="AN1131" s="321"/>
      <c r="AO1131" s="321"/>
      <c r="AP1131" s="321"/>
      <c r="AQ1131" s="321"/>
      <c r="AR1131" s="321"/>
      <c r="AS1131" s="321"/>
      <c r="AT1131" s="321"/>
    </row>
    <row r="1132" spans="10:46">
      <c r="J1132" s="145"/>
      <c r="K1132" s="145"/>
      <c r="L1132" s="145"/>
      <c r="M1132" s="145"/>
      <c r="N1132" s="145"/>
      <c r="O1132" s="145"/>
      <c r="P1132" s="145"/>
      <c r="Q1132" s="145"/>
      <c r="R1132" s="145"/>
      <c r="S1132" s="145"/>
      <c r="T1132" s="145"/>
      <c r="U1132" s="145"/>
      <c r="V1132" s="145"/>
      <c r="W1132" s="145"/>
      <c r="X1132" s="145"/>
      <c r="Y1132" s="145"/>
      <c r="Z1132" s="145"/>
      <c r="AA1132" s="145"/>
      <c r="AB1132" s="145"/>
      <c r="AC1132" s="145"/>
      <c r="AD1132" s="145"/>
      <c r="AE1132" s="145"/>
      <c r="AF1132" s="145"/>
      <c r="AG1132" s="145"/>
      <c r="AH1132" s="145"/>
      <c r="AI1132" s="145"/>
      <c r="AJ1132" s="145"/>
      <c r="AK1132" s="145"/>
      <c r="AL1132" s="145"/>
      <c r="AM1132" s="321"/>
      <c r="AN1132" s="321"/>
      <c r="AO1132" s="321"/>
      <c r="AP1132" s="321"/>
      <c r="AQ1132" s="321"/>
      <c r="AR1132" s="321"/>
      <c r="AS1132" s="321"/>
      <c r="AT1132" s="321"/>
    </row>
    <row r="1133" spans="10:46">
      <c r="J1133" s="145"/>
      <c r="K1133" s="145"/>
      <c r="L1133" s="145"/>
      <c r="M1133" s="145"/>
      <c r="N1133" s="145"/>
      <c r="O1133" s="145"/>
      <c r="P1133" s="145"/>
      <c r="Q1133" s="145"/>
      <c r="R1133" s="145"/>
      <c r="S1133" s="145"/>
      <c r="T1133" s="145"/>
      <c r="U1133" s="145"/>
      <c r="V1133" s="145"/>
      <c r="W1133" s="145"/>
      <c r="X1133" s="145"/>
      <c r="Y1133" s="145"/>
      <c r="Z1133" s="145"/>
      <c r="AA1133" s="145"/>
      <c r="AB1133" s="145"/>
      <c r="AC1133" s="145"/>
      <c r="AD1133" s="145"/>
      <c r="AE1133" s="145"/>
      <c r="AF1133" s="145"/>
      <c r="AG1133" s="145"/>
      <c r="AH1133" s="145"/>
      <c r="AI1133" s="145"/>
      <c r="AJ1133" s="145"/>
      <c r="AK1133" s="145"/>
      <c r="AL1133" s="145"/>
      <c r="AM1133" s="321"/>
      <c r="AN1133" s="321"/>
      <c r="AO1133" s="321"/>
      <c r="AP1133" s="321"/>
      <c r="AQ1133" s="321"/>
      <c r="AR1133" s="321"/>
      <c r="AS1133" s="321"/>
      <c r="AT1133" s="321"/>
    </row>
    <row r="1134" spans="10:46">
      <c r="J1134" s="145"/>
      <c r="K1134" s="145"/>
      <c r="L1134" s="145"/>
      <c r="M1134" s="145"/>
      <c r="N1134" s="145"/>
      <c r="O1134" s="145"/>
      <c r="P1134" s="145"/>
      <c r="Q1134" s="145"/>
      <c r="R1134" s="145"/>
      <c r="S1134" s="145"/>
      <c r="T1134" s="145"/>
      <c r="U1134" s="145"/>
      <c r="V1134" s="145"/>
      <c r="W1134" s="145"/>
      <c r="X1134" s="145"/>
      <c r="Y1134" s="145"/>
      <c r="Z1134" s="145"/>
      <c r="AA1134" s="145"/>
      <c r="AB1134" s="145"/>
      <c r="AC1134" s="145"/>
      <c r="AD1134" s="145"/>
      <c r="AE1134" s="145"/>
      <c r="AF1134" s="145"/>
      <c r="AG1134" s="145"/>
      <c r="AH1134" s="145"/>
      <c r="AI1134" s="145"/>
      <c r="AJ1134" s="145"/>
      <c r="AK1134" s="145"/>
      <c r="AL1134" s="145"/>
      <c r="AM1134" s="321"/>
      <c r="AN1134" s="321"/>
      <c r="AO1134" s="321"/>
      <c r="AP1134" s="321"/>
      <c r="AQ1134" s="321"/>
      <c r="AR1134" s="321"/>
      <c r="AS1134" s="321"/>
      <c r="AT1134" s="321"/>
    </row>
    <row r="1135" spans="10:46">
      <c r="J1135" s="145"/>
      <c r="K1135" s="145"/>
      <c r="L1135" s="145"/>
      <c r="M1135" s="145"/>
      <c r="N1135" s="145"/>
      <c r="O1135" s="145"/>
      <c r="P1135" s="145"/>
      <c r="Q1135" s="145"/>
      <c r="R1135" s="145"/>
      <c r="S1135" s="145"/>
      <c r="T1135" s="145"/>
      <c r="U1135" s="145"/>
      <c r="V1135" s="145"/>
      <c r="W1135" s="145"/>
      <c r="X1135" s="145"/>
      <c r="Y1135" s="145"/>
      <c r="Z1135" s="145"/>
      <c r="AA1135" s="145"/>
      <c r="AB1135" s="145"/>
      <c r="AC1135" s="145"/>
      <c r="AD1135" s="145"/>
      <c r="AE1135" s="145"/>
      <c r="AF1135" s="145"/>
      <c r="AG1135" s="145"/>
      <c r="AH1135" s="145"/>
      <c r="AI1135" s="145"/>
      <c r="AJ1135" s="145"/>
      <c r="AK1135" s="145"/>
      <c r="AL1135" s="145"/>
      <c r="AM1135" s="321"/>
      <c r="AN1135" s="321"/>
      <c r="AO1135" s="321"/>
      <c r="AP1135" s="321"/>
      <c r="AQ1135" s="321"/>
      <c r="AR1135" s="321"/>
      <c r="AS1135" s="321"/>
      <c r="AT1135" s="321"/>
    </row>
    <row r="1136" spans="10:46">
      <c r="J1136" s="145"/>
      <c r="K1136" s="145"/>
      <c r="L1136" s="145"/>
      <c r="M1136" s="145"/>
      <c r="N1136" s="145"/>
      <c r="O1136" s="145"/>
      <c r="P1136" s="145"/>
      <c r="Q1136" s="145"/>
      <c r="R1136" s="145"/>
      <c r="S1136" s="145"/>
      <c r="T1136" s="145"/>
      <c r="U1136" s="145"/>
      <c r="V1136" s="145"/>
      <c r="W1136" s="145"/>
      <c r="X1136" s="145"/>
      <c r="Y1136" s="145"/>
      <c r="Z1136" s="145"/>
      <c r="AA1136" s="145"/>
      <c r="AB1136" s="145"/>
      <c r="AC1136" s="145"/>
      <c r="AD1136" s="145"/>
      <c r="AE1136" s="145"/>
      <c r="AF1136" s="145"/>
      <c r="AG1136" s="145"/>
      <c r="AH1136" s="145"/>
      <c r="AI1136" s="145"/>
      <c r="AJ1136" s="145"/>
      <c r="AK1136" s="145"/>
      <c r="AL1136" s="145"/>
      <c r="AM1136" s="321"/>
      <c r="AN1136" s="321"/>
      <c r="AO1136" s="321"/>
      <c r="AP1136" s="321"/>
      <c r="AQ1136" s="321"/>
      <c r="AR1136" s="321"/>
      <c r="AS1136" s="321"/>
      <c r="AT1136" s="321"/>
    </row>
    <row r="1137" spans="10:46">
      <c r="J1137" s="145"/>
      <c r="K1137" s="145"/>
      <c r="L1137" s="145"/>
      <c r="M1137" s="145"/>
      <c r="N1137" s="145"/>
      <c r="O1137" s="145"/>
      <c r="P1137" s="145"/>
      <c r="Q1137" s="145"/>
      <c r="R1137" s="145"/>
      <c r="S1137" s="145"/>
      <c r="T1137" s="145"/>
      <c r="U1137" s="145"/>
      <c r="V1137" s="145"/>
      <c r="W1137" s="145"/>
      <c r="X1137" s="145"/>
      <c r="Y1137" s="145"/>
      <c r="Z1137" s="145"/>
      <c r="AA1137" s="145"/>
      <c r="AB1137" s="145"/>
      <c r="AC1137" s="145"/>
      <c r="AD1137" s="145"/>
      <c r="AE1137" s="145"/>
      <c r="AF1137" s="145"/>
      <c r="AG1137" s="145"/>
      <c r="AH1137" s="145"/>
      <c r="AI1137" s="145"/>
      <c r="AJ1137" s="145"/>
      <c r="AK1137" s="145"/>
      <c r="AL1137" s="145"/>
      <c r="AM1137" s="321"/>
      <c r="AN1137" s="321"/>
      <c r="AO1137" s="321"/>
      <c r="AP1137" s="321"/>
      <c r="AQ1137" s="321"/>
      <c r="AR1137" s="321"/>
      <c r="AS1137" s="321"/>
      <c r="AT1137" s="321"/>
    </row>
    <row r="1138" spans="10:46">
      <c r="J1138" s="145"/>
      <c r="K1138" s="145"/>
      <c r="L1138" s="145"/>
      <c r="M1138" s="145"/>
      <c r="N1138" s="145"/>
      <c r="O1138" s="145"/>
      <c r="P1138" s="145"/>
      <c r="Q1138" s="145"/>
      <c r="R1138" s="145"/>
      <c r="S1138" s="145"/>
      <c r="T1138" s="145"/>
      <c r="U1138" s="145"/>
      <c r="V1138" s="145"/>
      <c r="W1138" s="145"/>
      <c r="X1138" s="145"/>
      <c r="Y1138" s="145"/>
      <c r="Z1138" s="145"/>
      <c r="AA1138" s="145"/>
      <c r="AB1138" s="145"/>
      <c r="AC1138" s="145"/>
      <c r="AD1138" s="145"/>
      <c r="AE1138" s="145"/>
      <c r="AF1138" s="145"/>
      <c r="AG1138" s="145"/>
      <c r="AH1138" s="145"/>
      <c r="AI1138" s="145"/>
      <c r="AJ1138" s="145"/>
      <c r="AK1138" s="145"/>
      <c r="AL1138" s="145"/>
      <c r="AM1138" s="321"/>
      <c r="AN1138" s="321"/>
      <c r="AO1138" s="321"/>
      <c r="AP1138" s="321"/>
      <c r="AQ1138" s="321"/>
      <c r="AR1138" s="321"/>
      <c r="AS1138" s="321"/>
      <c r="AT1138" s="321"/>
    </row>
    <row r="1139" spans="10:46">
      <c r="J1139" s="145"/>
      <c r="K1139" s="145"/>
      <c r="L1139" s="145"/>
      <c r="M1139" s="145"/>
      <c r="N1139" s="145"/>
      <c r="O1139" s="145"/>
      <c r="P1139" s="145"/>
      <c r="Q1139" s="145"/>
      <c r="R1139" s="145"/>
      <c r="S1139" s="145"/>
      <c r="T1139" s="145"/>
      <c r="U1139" s="145"/>
      <c r="V1139" s="145"/>
      <c r="W1139" s="145"/>
      <c r="X1139" s="145"/>
      <c r="Y1139" s="145"/>
      <c r="Z1139" s="145"/>
      <c r="AA1139" s="145"/>
      <c r="AB1139" s="145"/>
      <c r="AC1139" s="145"/>
      <c r="AD1139" s="145"/>
      <c r="AE1139" s="145"/>
      <c r="AF1139" s="145"/>
      <c r="AG1139" s="145"/>
      <c r="AH1139" s="145"/>
      <c r="AI1139" s="145"/>
      <c r="AJ1139" s="145"/>
      <c r="AK1139" s="145"/>
      <c r="AL1139" s="145"/>
      <c r="AM1139" s="321"/>
      <c r="AN1139" s="321"/>
      <c r="AO1139" s="321"/>
      <c r="AP1139" s="321"/>
      <c r="AQ1139" s="321"/>
      <c r="AR1139" s="321"/>
      <c r="AS1139" s="321"/>
      <c r="AT1139" s="321"/>
    </row>
    <row r="1140" spans="10:46">
      <c r="J1140" s="145"/>
      <c r="K1140" s="145"/>
      <c r="L1140" s="145"/>
      <c r="M1140" s="145"/>
      <c r="N1140" s="145"/>
      <c r="O1140" s="145"/>
      <c r="P1140" s="145"/>
      <c r="Q1140" s="145"/>
      <c r="R1140" s="145"/>
      <c r="S1140" s="145"/>
      <c r="T1140" s="145"/>
      <c r="U1140" s="145"/>
      <c r="V1140" s="145"/>
      <c r="W1140" s="145"/>
      <c r="X1140" s="145"/>
      <c r="Y1140" s="145"/>
      <c r="Z1140" s="145"/>
      <c r="AA1140" s="145"/>
      <c r="AB1140" s="145"/>
      <c r="AC1140" s="145"/>
      <c r="AD1140" s="145"/>
      <c r="AE1140" s="145"/>
      <c r="AF1140" s="145"/>
      <c r="AG1140" s="145"/>
      <c r="AH1140" s="145"/>
      <c r="AI1140" s="145"/>
      <c r="AJ1140" s="145"/>
      <c r="AK1140" s="145"/>
      <c r="AL1140" s="145"/>
      <c r="AM1140" s="321"/>
      <c r="AN1140" s="321"/>
      <c r="AO1140" s="321"/>
      <c r="AP1140" s="321"/>
      <c r="AQ1140" s="321"/>
      <c r="AR1140" s="321"/>
      <c r="AS1140" s="321"/>
      <c r="AT1140" s="321"/>
    </row>
    <row r="1141" spans="10:46">
      <c r="J1141" s="145"/>
      <c r="K1141" s="145"/>
      <c r="L1141" s="145"/>
      <c r="M1141" s="145"/>
      <c r="N1141" s="145"/>
      <c r="O1141" s="145"/>
      <c r="P1141" s="145"/>
      <c r="Q1141" s="145"/>
      <c r="R1141" s="145"/>
      <c r="S1141" s="145"/>
      <c r="T1141" s="145"/>
      <c r="U1141" s="145"/>
      <c r="V1141" s="145"/>
      <c r="W1141" s="145"/>
      <c r="X1141" s="145"/>
      <c r="Y1141" s="145"/>
      <c r="Z1141" s="145"/>
      <c r="AA1141" s="145"/>
      <c r="AB1141" s="145"/>
      <c r="AC1141" s="145"/>
      <c r="AD1141" s="145"/>
      <c r="AE1141" s="145"/>
      <c r="AF1141" s="145"/>
      <c r="AG1141" s="145"/>
      <c r="AH1141" s="145"/>
      <c r="AI1141" s="145"/>
      <c r="AJ1141" s="145"/>
      <c r="AK1141" s="145"/>
      <c r="AL1141" s="145"/>
      <c r="AM1141" s="321"/>
      <c r="AN1141" s="321"/>
      <c r="AO1141" s="321"/>
      <c r="AP1141" s="321"/>
      <c r="AQ1141" s="321"/>
      <c r="AR1141" s="321"/>
      <c r="AS1141" s="321"/>
      <c r="AT1141" s="321"/>
    </row>
    <row r="1142" spans="10:46">
      <c r="J1142" s="145"/>
      <c r="K1142" s="145"/>
      <c r="L1142" s="145"/>
      <c r="M1142" s="145"/>
      <c r="N1142" s="145"/>
      <c r="O1142" s="145"/>
      <c r="P1142" s="145"/>
      <c r="Q1142" s="145"/>
      <c r="R1142" s="145"/>
      <c r="S1142" s="145"/>
      <c r="T1142" s="145"/>
      <c r="U1142" s="145"/>
      <c r="V1142" s="145"/>
      <c r="W1142" s="145"/>
      <c r="X1142" s="145"/>
      <c r="Y1142" s="145"/>
      <c r="Z1142" s="145"/>
      <c r="AA1142" s="145"/>
      <c r="AB1142" s="145"/>
      <c r="AC1142" s="145"/>
      <c r="AD1142" s="145"/>
      <c r="AE1142" s="145"/>
      <c r="AF1142" s="145"/>
      <c r="AG1142" s="145"/>
      <c r="AH1142" s="145"/>
      <c r="AI1142" s="145"/>
      <c r="AJ1142" s="145"/>
      <c r="AK1142" s="145"/>
      <c r="AL1142" s="145"/>
      <c r="AM1142" s="321"/>
      <c r="AN1142" s="321"/>
      <c r="AO1142" s="321"/>
      <c r="AP1142" s="321"/>
      <c r="AQ1142" s="321"/>
      <c r="AR1142" s="321"/>
      <c r="AS1142" s="321"/>
      <c r="AT1142" s="321"/>
    </row>
    <row r="1143" spans="10:46">
      <c r="J1143" s="145"/>
      <c r="K1143" s="145"/>
      <c r="L1143" s="145"/>
      <c r="M1143" s="145"/>
      <c r="N1143" s="145"/>
      <c r="O1143" s="145"/>
      <c r="P1143" s="145"/>
      <c r="Q1143" s="145"/>
      <c r="R1143" s="145"/>
      <c r="S1143" s="145"/>
      <c r="T1143" s="145"/>
      <c r="U1143" s="145"/>
      <c r="V1143" s="145"/>
      <c r="W1143" s="145"/>
      <c r="X1143" s="145"/>
      <c r="Y1143" s="145"/>
      <c r="Z1143" s="145"/>
      <c r="AA1143" s="145"/>
      <c r="AB1143" s="145"/>
      <c r="AC1143" s="145"/>
      <c r="AD1143" s="145"/>
      <c r="AE1143" s="145"/>
      <c r="AF1143" s="145"/>
      <c r="AG1143" s="145"/>
      <c r="AH1143" s="145"/>
      <c r="AI1143" s="145"/>
      <c r="AJ1143" s="145"/>
      <c r="AK1143" s="145"/>
      <c r="AL1143" s="145"/>
      <c r="AM1143" s="321"/>
      <c r="AN1143" s="321"/>
      <c r="AO1143" s="321"/>
      <c r="AP1143" s="321"/>
      <c r="AQ1143" s="321"/>
      <c r="AR1143" s="321"/>
      <c r="AS1143" s="321"/>
      <c r="AT1143" s="321"/>
    </row>
    <row r="1144" spans="10:46">
      <c r="J1144" s="145"/>
      <c r="K1144" s="145"/>
      <c r="L1144" s="145"/>
      <c r="M1144" s="145"/>
      <c r="N1144" s="145"/>
      <c r="O1144" s="145"/>
      <c r="P1144" s="145"/>
      <c r="Q1144" s="145"/>
      <c r="R1144" s="145"/>
      <c r="S1144" s="145"/>
      <c r="T1144" s="145"/>
      <c r="U1144" s="145"/>
      <c r="V1144" s="145"/>
      <c r="W1144" s="145"/>
      <c r="X1144" s="145"/>
      <c r="Y1144" s="145"/>
      <c r="Z1144" s="145"/>
      <c r="AA1144" s="145"/>
      <c r="AB1144" s="145"/>
      <c r="AC1144" s="145"/>
      <c r="AD1144" s="145"/>
      <c r="AE1144" s="145"/>
      <c r="AF1144" s="145"/>
      <c r="AG1144" s="145"/>
      <c r="AH1144" s="145"/>
      <c r="AI1144" s="145"/>
      <c r="AJ1144" s="145"/>
      <c r="AK1144" s="145"/>
      <c r="AL1144" s="145"/>
      <c r="AM1144" s="321"/>
      <c r="AN1144" s="321"/>
      <c r="AO1144" s="321"/>
      <c r="AP1144" s="321"/>
      <c r="AQ1144" s="321"/>
      <c r="AR1144" s="321"/>
      <c r="AS1144" s="321"/>
      <c r="AT1144" s="321"/>
    </row>
    <row r="1145" spans="10:46">
      <c r="J1145" s="145"/>
      <c r="K1145" s="145"/>
      <c r="L1145" s="145"/>
      <c r="M1145" s="145"/>
      <c r="N1145" s="145"/>
      <c r="O1145" s="145"/>
      <c r="P1145" s="145"/>
      <c r="Q1145" s="145"/>
      <c r="R1145" s="145"/>
      <c r="S1145" s="145"/>
      <c r="T1145" s="145"/>
      <c r="U1145" s="145"/>
      <c r="V1145" s="145"/>
      <c r="W1145" s="145"/>
      <c r="X1145" s="145"/>
      <c r="Y1145" s="145"/>
      <c r="Z1145" s="145"/>
      <c r="AA1145" s="145"/>
      <c r="AB1145" s="145"/>
      <c r="AC1145" s="145"/>
      <c r="AD1145" s="145"/>
      <c r="AE1145" s="145"/>
      <c r="AF1145" s="145"/>
      <c r="AG1145" s="145"/>
      <c r="AH1145" s="145"/>
      <c r="AI1145" s="145"/>
      <c r="AJ1145" s="145"/>
      <c r="AK1145" s="145"/>
      <c r="AL1145" s="145"/>
      <c r="AM1145" s="321"/>
      <c r="AN1145" s="321"/>
      <c r="AO1145" s="321"/>
      <c r="AP1145" s="321"/>
      <c r="AQ1145" s="321"/>
      <c r="AR1145" s="321"/>
      <c r="AS1145" s="321"/>
      <c r="AT1145" s="321"/>
    </row>
    <row r="1146" spans="10:46">
      <c r="J1146" s="145"/>
      <c r="K1146" s="145"/>
      <c r="L1146" s="145"/>
      <c r="M1146" s="145"/>
      <c r="N1146" s="145"/>
      <c r="O1146" s="145"/>
      <c r="P1146" s="145"/>
      <c r="Q1146" s="145"/>
      <c r="R1146" s="145"/>
      <c r="S1146" s="145"/>
      <c r="T1146" s="145"/>
      <c r="U1146" s="145"/>
      <c r="V1146" s="145"/>
      <c r="W1146" s="145"/>
      <c r="X1146" s="145"/>
      <c r="Y1146" s="145"/>
      <c r="Z1146" s="145"/>
      <c r="AA1146" s="145"/>
      <c r="AB1146" s="145"/>
      <c r="AC1146" s="145"/>
      <c r="AD1146" s="145"/>
      <c r="AE1146" s="145"/>
      <c r="AF1146" s="145"/>
      <c r="AG1146" s="145"/>
      <c r="AH1146" s="145"/>
      <c r="AI1146" s="145"/>
      <c r="AJ1146" s="145"/>
      <c r="AK1146" s="145"/>
      <c r="AL1146" s="145"/>
      <c r="AM1146" s="321"/>
      <c r="AN1146" s="321"/>
      <c r="AO1146" s="321"/>
      <c r="AP1146" s="321"/>
      <c r="AQ1146" s="321"/>
      <c r="AR1146" s="321"/>
      <c r="AS1146" s="321"/>
      <c r="AT1146" s="321"/>
    </row>
    <row r="1147" spans="10:46">
      <c r="J1147" s="145"/>
      <c r="K1147" s="145"/>
      <c r="L1147" s="145"/>
      <c r="M1147" s="145"/>
      <c r="N1147" s="145"/>
      <c r="O1147" s="145"/>
      <c r="P1147" s="145"/>
      <c r="Q1147" s="145"/>
      <c r="R1147" s="145"/>
      <c r="S1147" s="145"/>
      <c r="T1147" s="145"/>
      <c r="U1147" s="145"/>
      <c r="V1147" s="145"/>
      <c r="W1147" s="145"/>
      <c r="X1147" s="145"/>
      <c r="Y1147" s="145"/>
      <c r="Z1147" s="145"/>
      <c r="AA1147" s="145"/>
      <c r="AB1147" s="145"/>
      <c r="AC1147" s="145"/>
      <c r="AD1147" s="145"/>
      <c r="AE1147" s="145"/>
      <c r="AF1147" s="145"/>
      <c r="AG1147" s="145"/>
      <c r="AH1147" s="145"/>
      <c r="AI1147" s="145"/>
      <c r="AJ1147" s="145"/>
      <c r="AK1147" s="145"/>
      <c r="AL1147" s="145"/>
      <c r="AM1147" s="321"/>
      <c r="AN1147" s="321"/>
      <c r="AO1147" s="321"/>
      <c r="AP1147" s="321"/>
      <c r="AQ1147" s="321"/>
      <c r="AR1147" s="321"/>
      <c r="AS1147" s="321"/>
      <c r="AT1147" s="321"/>
    </row>
    <row r="1148" spans="10:46">
      <c r="J1148" s="145"/>
      <c r="K1148" s="145"/>
      <c r="L1148" s="145"/>
      <c r="M1148" s="145"/>
      <c r="N1148" s="145"/>
      <c r="O1148" s="145"/>
      <c r="P1148" s="145"/>
      <c r="Q1148" s="145"/>
      <c r="R1148" s="145"/>
      <c r="S1148" s="145"/>
      <c r="T1148" s="145"/>
      <c r="U1148" s="145"/>
      <c r="V1148" s="145"/>
      <c r="W1148" s="145"/>
      <c r="X1148" s="145"/>
      <c r="Y1148" s="145"/>
      <c r="Z1148" s="145"/>
      <c r="AA1148" s="145"/>
      <c r="AB1148" s="145"/>
      <c r="AC1148" s="145"/>
      <c r="AD1148" s="145"/>
      <c r="AE1148" s="145"/>
      <c r="AF1148" s="145"/>
      <c r="AG1148" s="145"/>
      <c r="AH1148" s="145"/>
      <c r="AI1148" s="145"/>
      <c r="AJ1148" s="145"/>
      <c r="AK1148" s="145"/>
      <c r="AL1148" s="145"/>
      <c r="AM1148" s="321"/>
      <c r="AN1148" s="321"/>
      <c r="AO1148" s="321"/>
      <c r="AP1148" s="321"/>
      <c r="AQ1148" s="321"/>
      <c r="AR1148" s="321"/>
      <c r="AS1148" s="321"/>
      <c r="AT1148" s="321"/>
    </row>
    <row r="1149" spans="10:46">
      <c r="J1149" s="145"/>
      <c r="K1149" s="145"/>
      <c r="L1149" s="145"/>
      <c r="M1149" s="145"/>
      <c r="N1149" s="145"/>
      <c r="O1149" s="145"/>
      <c r="P1149" s="145"/>
      <c r="Q1149" s="145"/>
      <c r="R1149" s="145"/>
      <c r="S1149" s="145"/>
      <c r="T1149" s="145"/>
      <c r="U1149" s="145"/>
      <c r="V1149" s="145"/>
      <c r="W1149" s="145"/>
      <c r="X1149" s="145"/>
      <c r="Y1149" s="145"/>
      <c r="Z1149" s="145"/>
      <c r="AA1149" s="145"/>
      <c r="AB1149" s="145"/>
      <c r="AC1149" s="145"/>
      <c r="AD1149" s="145"/>
      <c r="AE1149" s="145"/>
      <c r="AF1149" s="145"/>
      <c r="AG1149" s="145"/>
      <c r="AH1149" s="145"/>
      <c r="AI1149" s="145"/>
      <c r="AJ1149" s="145"/>
      <c r="AK1149" s="145"/>
      <c r="AL1149" s="145"/>
      <c r="AM1149" s="321"/>
      <c r="AN1149" s="321"/>
      <c r="AO1149" s="321"/>
      <c r="AP1149" s="321"/>
      <c r="AQ1149" s="321"/>
      <c r="AR1149" s="321"/>
      <c r="AS1149" s="321"/>
      <c r="AT1149" s="321"/>
    </row>
    <row r="1150" spans="10:46">
      <c r="J1150" s="145"/>
      <c r="K1150" s="145"/>
      <c r="L1150" s="145"/>
      <c r="M1150" s="145"/>
      <c r="N1150" s="145"/>
      <c r="O1150" s="145"/>
      <c r="P1150" s="145"/>
      <c r="Q1150" s="145"/>
      <c r="R1150" s="145"/>
      <c r="S1150" s="145"/>
      <c r="T1150" s="145"/>
      <c r="U1150" s="145"/>
      <c r="V1150" s="145"/>
      <c r="W1150" s="145"/>
      <c r="X1150" s="145"/>
      <c r="Y1150" s="145"/>
      <c r="Z1150" s="145"/>
      <c r="AA1150" s="145"/>
      <c r="AB1150" s="145"/>
      <c r="AC1150" s="145"/>
      <c r="AD1150" s="145"/>
      <c r="AE1150" s="145"/>
      <c r="AF1150" s="145"/>
      <c r="AG1150" s="145"/>
      <c r="AH1150" s="145"/>
      <c r="AI1150" s="145"/>
      <c r="AJ1150" s="145"/>
      <c r="AK1150" s="145"/>
      <c r="AL1150" s="145"/>
      <c r="AM1150" s="321"/>
      <c r="AN1150" s="321"/>
      <c r="AO1150" s="321"/>
      <c r="AP1150" s="321"/>
      <c r="AQ1150" s="321"/>
      <c r="AR1150" s="321"/>
      <c r="AS1150" s="321"/>
      <c r="AT1150" s="321"/>
    </row>
    <row r="1151" spans="10:46">
      <c r="J1151" s="145"/>
      <c r="K1151" s="145"/>
      <c r="L1151" s="145"/>
      <c r="M1151" s="145"/>
      <c r="N1151" s="145"/>
      <c r="O1151" s="145"/>
      <c r="P1151" s="145"/>
      <c r="Q1151" s="145"/>
      <c r="R1151" s="145"/>
      <c r="S1151" s="145"/>
      <c r="T1151" s="145"/>
      <c r="U1151" s="145"/>
      <c r="V1151" s="145"/>
      <c r="W1151" s="145"/>
      <c r="X1151" s="145"/>
      <c r="Y1151" s="145"/>
      <c r="Z1151" s="145"/>
      <c r="AA1151" s="145"/>
      <c r="AB1151" s="145"/>
      <c r="AC1151" s="145"/>
      <c r="AD1151" s="145"/>
      <c r="AE1151" s="145"/>
      <c r="AF1151" s="145"/>
      <c r="AG1151" s="145"/>
      <c r="AH1151" s="145"/>
      <c r="AI1151" s="145"/>
      <c r="AJ1151" s="145"/>
      <c r="AK1151" s="145"/>
      <c r="AL1151" s="145"/>
      <c r="AM1151" s="321"/>
      <c r="AN1151" s="321"/>
      <c r="AO1151" s="321"/>
      <c r="AP1151" s="321"/>
      <c r="AQ1151" s="321"/>
      <c r="AR1151" s="321"/>
      <c r="AS1151" s="321"/>
      <c r="AT1151" s="321"/>
    </row>
    <row r="1152" spans="10:46">
      <c r="J1152" s="145"/>
      <c r="K1152" s="145"/>
      <c r="L1152" s="145"/>
      <c r="M1152" s="145"/>
      <c r="N1152" s="145"/>
      <c r="O1152" s="145"/>
      <c r="P1152" s="145"/>
      <c r="Q1152" s="145"/>
      <c r="R1152" s="145"/>
      <c r="S1152" s="145"/>
      <c r="T1152" s="145"/>
      <c r="U1152" s="145"/>
      <c r="V1152" s="145"/>
      <c r="W1152" s="145"/>
      <c r="X1152" s="145"/>
      <c r="Y1152" s="145"/>
      <c r="Z1152" s="145"/>
      <c r="AA1152" s="145"/>
      <c r="AB1152" s="145"/>
      <c r="AC1152" s="145"/>
      <c r="AD1152" s="145"/>
      <c r="AE1152" s="145"/>
      <c r="AF1152" s="145"/>
      <c r="AG1152" s="145"/>
      <c r="AH1152" s="145"/>
      <c r="AI1152" s="145"/>
      <c r="AJ1152" s="145"/>
      <c r="AK1152" s="145"/>
      <c r="AL1152" s="145"/>
      <c r="AM1152" s="321"/>
      <c r="AN1152" s="321"/>
      <c r="AO1152" s="321"/>
      <c r="AP1152" s="321"/>
      <c r="AQ1152" s="321"/>
      <c r="AR1152" s="321"/>
      <c r="AS1152" s="321"/>
      <c r="AT1152" s="321"/>
    </row>
    <row r="1153" spans="10:46">
      <c r="J1153" s="145"/>
      <c r="K1153" s="145"/>
      <c r="L1153" s="145"/>
      <c r="M1153" s="145"/>
      <c r="N1153" s="145"/>
      <c r="O1153" s="145"/>
      <c r="P1153" s="145"/>
      <c r="Q1153" s="145"/>
      <c r="R1153" s="145"/>
      <c r="S1153" s="145"/>
      <c r="T1153" s="145"/>
      <c r="U1153" s="145"/>
      <c r="V1153" s="145"/>
      <c r="W1153" s="145"/>
      <c r="X1153" s="145"/>
      <c r="Y1153" s="145"/>
      <c r="Z1153" s="145"/>
      <c r="AA1153" s="145"/>
      <c r="AB1153" s="145"/>
      <c r="AC1153" s="145"/>
      <c r="AD1153" s="145"/>
      <c r="AE1153" s="145"/>
      <c r="AF1153" s="145"/>
      <c r="AG1153" s="145"/>
      <c r="AH1153" s="145"/>
      <c r="AI1153" s="145"/>
      <c r="AJ1153" s="145"/>
      <c r="AK1153" s="145"/>
      <c r="AL1153" s="145"/>
      <c r="AM1153" s="321"/>
      <c r="AN1153" s="321"/>
      <c r="AO1153" s="321"/>
      <c r="AP1153" s="321"/>
      <c r="AQ1153" s="321"/>
      <c r="AR1153" s="321"/>
      <c r="AS1153" s="321"/>
      <c r="AT1153" s="321"/>
    </row>
    <row r="1154" spans="10:46">
      <c r="J1154" s="145"/>
      <c r="K1154" s="145"/>
      <c r="L1154" s="145"/>
      <c r="M1154" s="145"/>
      <c r="N1154" s="145"/>
      <c r="O1154" s="145"/>
      <c r="P1154" s="145"/>
      <c r="Q1154" s="145"/>
      <c r="R1154" s="145"/>
      <c r="S1154" s="145"/>
      <c r="T1154" s="145"/>
      <c r="U1154" s="145"/>
      <c r="V1154" s="145"/>
      <c r="W1154" s="145"/>
      <c r="X1154" s="145"/>
      <c r="Y1154" s="145"/>
      <c r="Z1154" s="145"/>
      <c r="AA1154" s="145"/>
      <c r="AB1154" s="145"/>
      <c r="AC1154" s="145"/>
      <c r="AD1154" s="145"/>
      <c r="AE1154" s="145"/>
      <c r="AF1154" s="145"/>
      <c r="AG1154" s="145"/>
      <c r="AH1154" s="145"/>
      <c r="AI1154" s="145"/>
      <c r="AJ1154" s="145"/>
      <c r="AK1154" s="145"/>
      <c r="AL1154" s="145"/>
      <c r="AM1154" s="321"/>
      <c r="AN1154" s="321"/>
      <c r="AO1154" s="321"/>
      <c r="AP1154" s="321"/>
      <c r="AQ1154" s="321"/>
      <c r="AR1154" s="321"/>
      <c r="AS1154" s="321"/>
      <c r="AT1154" s="321"/>
    </row>
    <row r="1155" spans="10:46">
      <c r="J1155" s="145"/>
      <c r="K1155" s="145"/>
      <c r="L1155" s="145"/>
      <c r="M1155" s="145"/>
      <c r="N1155" s="145"/>
      <c r="O1155" s="145"/>
      <c r="P1155" s="145"/>
      <c r="Q1155" s="145"/>
      <c r="R1155" s="145"/>
      <c r="S1155" s="145"/>
      <c r="T1155" s="145"/>
      <c r="U1155" s="145"/>
      <c r="V1155" s="145"/>
      <c r="W1155" s="145"/>
      <c r="X1155" s="145"/>
      <c r="Y1155" s="145"/>
      <c r="Z1155" s="145"/>
      <c r="AA1155" s="145"/>
      <c r="AB1155" s="145"/>
      <c r="AC1155" s="145"/>
      <c r="AD1155" s="145"/>
      <c r="AE1155" s="145"/>
      <c r="AF1155" s="145"/>
      <c r="AG1155" s="145"/>
      <c r="AH1155" s="145"/>
      <c r="AI1155" s="145"/>
      <c r="AJ1155" s="145"/>
      <c r="AK1155" s="145"/>
      <c r="AL1155" s="145"/>
      <c r="AM1155" s="321"/>
      <c r="AN1155" s="321"/>
      <c r="AO1155" s="321"/>
      <c r="AP1155" s="321"/>
      <c r="AQ1155" s="321"/>
      <c r="AR1155" s="321"/>
      <c r="AS1155" s="321"/>
      <c r="AT1155" s="321"/>
    </row>
    <row r="1156" spans="10:46">
      <c r="J1156" s="145"/>
      <c r="K1156" s="145"/>
      <c r="L1156" s="145"/>
      <c r="M1156" s="145"/>
      <c r="N1156" s="145"/>
      <c r="O1156" s="145"/>
      <c r="P1156" s="145"/>
      <c r="Q1156" s="145"/>
      <c r="R1156" s="145"/>
      <c r="S1156" s="145"/>
      <c r="T1156" s="145"/>
      <c r="U1156" s="145"/>
      <c r="V1156" s="145"/>
      <c r="W1156" s="145"/>
      <c r="X1156" s="145"/>
      <c r="Y1156" s="145"/>
      <c r="Z1156" s="145"/>
      <c r="AA1156" s="145"/>
      <c r="AB1156" s="145"/>
      <c r="AC1156" s="145"/>
      <c r="AD1156" s="145"/>
      <c r="AE1156" s="145"/>
      <c r="AF1156" s="145"/>
      <c r="AG1156" s="145"/>
      <c r="AH1156" s="145"/>
      <c r="AI1156" s="145"/>
      <c r="AJ1156" s="145"/>
      <c r="AK1156" s="145"/>
      <c r="AL1156" s="145"/>
      <c r="AM1156" s="321"/>
      <c r="AN1156" s="321"/>
      <c r="AO1156" s="321"/>
      <c r="AP1156" s="321"/>
      <c r="AQ1156" s="321"/>
      <c r="AR1156" s="321"/>
      <c r="AS1156" s="321"/>
      <c r="AT1156" s="321"/>
    </row>
    <row r="1157" spans="10:46">
      <c r="J1157" s="145"/>
      <c r="K1157" s="145"/>
      <c r="L1157" s="145"/>
      <c r="M1157" s="145"/>
      <c r="N1157" s="145"/>
      <c r="O1157" s="145"/>
      <c r="P1157" s="145"/>
      <c r="Q1157" s="145"/>
      <c r="R1157" s="145"/>
      <c r="S1157" s="145"/>
      <c r="T1157" s="145"/>
      <c r="U1157" s="145"/>
      <c r="V1157" s="145"/>
      <c r="W1157" s="145"/>
      <c r="X1157" s="145"/>
      <c r="Y1157" s="145"/>
      <c r="Z1157" s="145"/>
      <c r="AA1157" s="145"/>
      <c r="AB1157" s="145"/>
      <c r="AC1157" s="145"/>
      <c r="AD1157" s="145"/>
      <c r="AE1157" s="145"/>
      <c r="AF1157" s="145"/>
      <c r="AG1157" s="145"/>
      <c r="AH1157" s="145"/>
      <c r="AI1157" s="145"/>
      <c r="AJ1157" s="145"/>
      <c r="AK1157" s="145"/>
      <c r="AL1157" s="145"/>
      <c r="AM1157" s="321"/>
      <c r="AN1157" s="321"/>
      <c r="AO1157" s="321"/>
      <c r="AP1157" s="321"/>
      <c r="AQ1157" s="321"/>
      <c r="AR1157" s="321"/>
      <c r="AS1157" s="321"/>
      <c r="AT1157" s="321"/>
    </row>
    <row r="1158" spans="10:46">
      <c r="J1158" s="145"/>
      <c r="K1158" s="145"/>
      <c r="L1158" s="145"/>
      <c r="M1158" s="145"/>
      <c r="N1158" s="145"/>
      <c r="O1158" s="145"/>
      <c r="P1158" s="145"/>
      <c r="Q1158" s="145"/>
      <c r="R1158" s="145"/>
      <c r="S1158" s="145"/>
      <c r="T1158" s="145"/>
      <c r="U1158" s="145"/>
      <c r="V1158" s="145"/>
      <c r="W1158" s="145"/>
      <c r="X1158" s="145"/>
      <c r="Y1158" s="145"/>
      <c r="Z1158" s="145"/>
      <c r="AA1158" s="145"/>
      <c r="AB1158" s="145"/>
      <c r="AC1158" s="145"/>
      <c r="AD1158" s="145"/>
      <c r="AE1158" s="145"/>
      <c r="AF1158" s="145"/>
      <c r="AG1158" s="145"/>
      <c r="AH1158" s="145"/>
      <c r="AI1158" s="145"/>
      <c r="AJ1158" s="145"/>
      <c r="AK1158" s="145"/>
      <c r="AL1158" s="145"/>
      <c r="AM1158" s="321"/>
      <c r="AN1158" s="321"/>
      <c r="AO1158" s="321"/>
      <c r="AP1158" s="321"/>
      <c r="AQ1158" s="321"/>
      <c r="AR1158" s="321"/>
      <c r="AS1158" s="321"/>
      <c r="AT1158" s="321"/>
    </row>
    <row r="1159" spans="10:46">
      <c r="J1159" s="145"/>
      <c r="K1159" s="145"/>
      <c r="L1159" s="145"/>
      <c r="M1159" s="145"/>
      <c r="N1159" s="145"/>
      <c r="O1159" s="145"/>
      <c r="P1159" s="145"/>
      <c r="Q1159" s="145"/>
      <c r="R1159" s="145"/>
      <c r="S1159" s="145"/>
      <c r="T1159" s="145"/>
      <c r="U1159" s="145"/>
      <c r="V1159" s="145"/>
      <c r="W1159" s="145"/>
      <c r="X1159" s="145"/>
      <c r="Y1159" s="145"/>
      <c r="Z1159" s="145"/>
      <c r="AA1159" s="145"/>
      <c r="AB1159" s="145"/>
      <c r="AC1159" s="145"/>
      <c r="AD1159" s="145"/>
      <c r="AE1159" s="145"/>
      <c r="AF1159" s="145"/>
      <c r="AG1159" s="145"/>
      <c r="AH1159" s="145"/>
      <c r="AI1159" s="145"/>
      <c r="AJ1159" s="145"/>
      <c r="AK1159" s="145"/>
      <c r="AL1159" s="145"/>
      <c r="AM1159" s="321"/>
      <c r="AN1159" s="321"/>
      <c r="AO1159" s="321"/>
      <c r="AP1159" s="321"/>
      <c r="AQ1159" s="321"/>
      <c r="AR1159" s="321"/>
      <c r="AS1159" s="321"/>
      <c r="AT1159" s="321"/>
    </row>
    <row r="1160" spans="10:46">
      <c r="J1160" s="145"/>
      <c r="K1160" s="145"/>
      <c r="L1160" s="145"/>
      <c r="M1160" s="145"/>
      <c r="N1160" s="145"/>
      <c r="O1160" s="145"/>
      <c r="P1160" s="145"/>
      <c r="Q1160" s="145"/>
      <c r="R1160" s="145"/>
      <c r="S1160" s="145"/>
      <c r="T1160" s="145"/>
      <c r="U1160" s="145"/>
      <c r="V1160" s="145"/>
      <c r="W1160" s="145"/>
      <c r="X1160" s="145"/>
      <c r="Y1160" s="145"/>
      <c r="Z1160" s="145"/>
      <c r="AA1160" s="145"/>
      <c r="AB1160" s="145"/>
      <c r="AC1160" s="145"/>
      <c r="AD1160" s="145"/>
      <c r="AE1160" s="145"/>
      <c r="AF1160" s="145"/>
      <c r="AG1160" s="145"/>
      <c r="AH1160" s="145"/>
      <c r="AI1160" s="145"/>
      <c r="AJ1160" s="145"/>
      <c r="AK1160" s="145"/>
      <c r="AL1160" s="145"/>
      <c r="AM1160" s="321"/>
      <c r="AN1160" s="321"/>
      <c r="AO1160" s="321"/>
      <c r="AP1160" s="321"/>
      <c r="AQ1160" s="321"/>
      <c r="AR1160" s="321"/>
      <c r="AS1160" s="321"/>
      <c r="AT1160" s="321"/>
    </row>
    <row r="1161" spans="10:46">
      <c r="J1161" s="145"/>
      <c r="K1161" s="145"/>
      <c r="L1161" s="145"/>
      <c r="M1161" s="145"/>
      <c r="N1161" s="145"/>
      <c r="O1161" s="145"/>
      <c r="P1161" s="145"/>
      <c r="Q1161" s="145"/>
      <c r="R1161" s="145"/>
      <c r="S1161" s="145"/>
      <c r="T1161" s="145"/>
      <c r="U1161" s="145"/>
      <c r="V1161" s="145"/>
      <c r="W1161" s="145"/>
      <c r="X1161" s="145"/>
      <c r="Y1161" s="145"/>
      <c r="Z1161" s="145"/>
      <c r="AA1161" s="145"/>
      <c r="AB1161" s="145"/>
      <c r="AC1161" s="145"/>
      <c r="AD1161" s="145"/>
      <c r="AE1161" s="145"/>
      <c r="AF1161" s="145"/>
      <c r="AG1161" s="145"/>
      <c r="AH1161" s="145"/>
      <c r="AI1161" s="145"/>
      <c r="AJ1161" s="145"/>
      <c r="AK1161" s="145"/>
      <c r="AL1161" s="145"/>
      <c r="AM1161" s="321"/>
      <c r="AN1161" s="321"/>
      <c r="AO1161" s="321"/>
      <c r="AP1161" s="321"/>
      <c r="AQ1161" s="321"/>
      <c r="AR1161" s="321"/>
      <c r="AS1161" s="321"/>
      <c r="AT1161" s="321"/>
    </row>
    <row r="1162" spans="10:46">
      <c r="J1162" s="145"/>
      <c r="K1162" s="145"/>
      <c r="L1162" s="145"/>
      <c r="M1162" s="145"/>
      <c r="N1162" s="145"/>
      <c r="O1162" s="145"/>
      <c r="P1162" s="145"/>
      <c r="Q1162" s="145"/>
      <c r="R1162" s="145"/>
      <c r="S1162" s="145"/>
      <c r="T1162" s="145"/>
      <c r="U1162" s="145"/>
      <c r="V1162" s="145"/>
      <c r="W1162" s="145"/>
      <c r="X1162" s="145"/>
      <c r="Y1162" s="145"/>
      <c r="Z1162" s="145"/>
      <c r="AA1162" s="145"/>
      <c r="AB1162" s="145"/>
      <c r="AC1162" s="145"/>
      <c r="AD1162" s="145"/>
      <c r="AE1162" s="145"/>
      <c r="AF1162" s="145"/>
      <c r="AG1162" s="145"/>
      <c r="AH1162" s="145"/>
      <c r="AI1162" s="145"/>
      <c r="AJ1162" s="145"/>
      <c r="AK1162" s="145"/>
      <c r="AL1162" s="145"/>
      <c r="AM1162" s="321"/>
      <c r="AN1162" s="321"/>
      <c r="AO1162" s="321"/>
      <c r="AP1162" s="321"/>
      <c r="AQ1162" s="321"/>
      <c r="AR1162" s="321"/>
      <c r="AS1162" s="321"/>
      <c r="AT1162" s="321"/>
    </row>
    <row r="1163" spans="10:46">
      <c r="J1163" s="145"/>
      <c r="K1163" s="145"/>
      <c r="L1163" s="145"/>
      <c r="M1163" s="145"/>
      <c r="N1163" s="145"/>
      <c r="O1163" s="145"/>
      <c r="P1163" s="145"/>
      <c r="Q1163" s="145"/>
      <c r="R1163" s="145"/>
      <c r="S1163" s="145"/>
      <c r="T1163" s="145"/>
      <c r="U1163" s="145"/>
      <c r="V1163" s="145"/>
      <c r="W1163" s="145"/>
      <c r="X1163" s="145"/>
      <c r="Y1163" s="145"/>
      <c r="Z1163" s="145"/>
      <c r="AA1163" s="145"/>
      <c r="AB1163" s="145"/>
      <c r="AC1163" s="145"/>
      <c r="AD1163" s="145"/>
      <c r="AE1163" s="145"/>
      <c r="AF1163" s="145"/>
      <c r="AG1163" s="145"/>
      <c r="AH1163" s="145"/>
      <c r="AI1163" s="145"/>
      <c r="AJ1163" s="145"/>
      <c r="AK1163" s="145"/>
      <c r="AL1163" s="145"/>
      <c r="AM1163" s="321"/>
      <c r="AN1163" s="321"/>
      <c r="AO1163" s="321"/>
      <c r="AP1163" s="321"/>
      <c r="AQ1163" s="321"/>
      <c r="AR1163" s="321"/>
      <c r="AS1163" s="321"/>
      <c r="AT1163" s="321"/>
    </row>
    <row r="1164" spans="10:46">
      <c r="J1164" s="145"/>
      <c r="K1164" s="145"/>
      <c r="L1164" s="145"/>
      <c r="M1164" s="145"/>
      <c r="N1164" s="145"/>
      <c r="O1164" s="145"/>
      <c r="P1164" s="145"/>
      <c r="Q1164" s="145"/>
      <c r="R1164" s="145"/>
      <c r="S1164" s="145"/>
      <c r="T1164" s="145"/>
      <c r="U1164" s="145"/>
      <c r="V1164" s="145"/>
      <c r="W1164" s="145"/>
      <c r="X1164" s="145"/>
      <c r="Y1164" s="145"/>
      <c r="Z1164" s="145"/>
      <c r="AA1164" s="145"/>
      <c r="AB1164" s="145"/>
      <c r="AC1164" s="145"/>
      <c r="AD1164" s="145"/>
      <c r="AE1164" s="145"/>
      <c r="AF1164" s="145"/>
      <c r="AG1164" s="145"/>
      <c r="AH1164" s="145"/>
      <c r="AI1164" s="145"/>
      <c r="AJ1164" s="145"/>
      <c r="AK1164" s="145"/>
      <c r="AL1164" s="145"/>
      <c r="AM1164" s="321"/>
      <c r="AN1164" s="321"/>
      <c r="AO1164" s="321"/>
      <c r="AP1164" s="321"/>
      <c r="AQ1164" s="321"/>
      <c r="AR1164" s="321"/>
      <c r="AS1164" s="321"/>
      <c r="AT1164" s="321"/>
    </row>
    <row r="1165" spans="10:46">
      <c r="J1165" s="145"/>
      <c r="K1165" s="145"/>
      <c r="L1165" s="145"/>
      <c r="M1165" s="145"/>
      <c r="N1165" s="145"/>
      <c r="O1165" s="145"/>
      <c r="P1165" s="145"/>
      <c r="Q1165" s="145"/>
      <c r="R1165" s="145"/>
      <c r="S1165" s="145"/>
      <c r="T1165" s="145"/>
      <c r="U1165" s="145"/>
      <c r="V1165" s="145"/>
      <c r="W1165" s="145"/>
      <c r="X1165" s="145"/>
      <c r="Y1165" s="145"/>
      <c r="Z1165" s="145"/>
      <c r="AA1165" s="145"/>
      <c r="AB1165" s="145"/>
      <c r="AC1165" s="145"/>
      <c r="AD1165" s="145"/>
      <c r="AE1165" s="145"/>
      <c r="AF1165" s="145"/>
      <c r="AG1165" s="145"/>
      <c r="AH1165" s="145"/>
      <c r="AI1165" s="145"/>
      <c r="AJ1165" s="145"/>
      <c r="AK1165" s="145"/>
      <c r="AL1165" s="145"/>
      <c r="AM1165" s="321"/>
      <c r="AN1165" s="321"/>
      <c r="AO1165" s="321"/>
      <c r="AP1165" s="321"/>
      <c r="AQ1165" s="321"/>
      <c r="AR1165" s="321"/>
      <c r="AS1165" s="321"/>
      <c r="AT1165" s="321"/>
    </row>
    <row r="1166" spans="10:46">
      <c r="J1166" s="145"/>
      <c r="K1166" s="145"/>
      <c r="L1166" s="145"/>
      <c r="M1166" s="145"/>
      <c r="N1166" s="145"/>
      <c r="O1166" s="145"/>
      <c r="P1166" s="145"/>
      <c r="Q1166" s="145"/>
      <c r="R1166" s="145"/>
      <c r="S1166" s="145"/>
      <c r="T1166" s="145"/>
      <c r="U1166" s="145"/>
      <c r="V1166" s="145"/>
      <c r="W1166" s="145"/>
      <c r="X1166" s="145"/>
      <c r="Y1166" s="145"/>
      <c r="Z1166" s="145"/>
      <c r="AA1166" s="145"/>
      <c r="AB1166" s="145"/>
      <c r="AC1166" s="145"/>
      <c r="AD1166" s="145"/>
      <c r="AE1166" s="145"/>
      <c r="AF1166" s="145"/>
      <c r="AG1166" s="145"/>
      <c r="AH1166" s="145"/>
      <c r="AI1166" s="145"/>
      <c r="AJ1166" s="145"/>
      <c r="AK1166" s="145"/>
      <c r="AL1166" s="145"/>
      <c r="AM1166" s="321"/>
      <c r="AN1166" s="321"/>
      <c r="AO1166" s="321"/>
      <c r="AP1166" s="321"/>
      <c r="AQ1166" s="321"/>
      <c r="AR1166" s="321"/>
      <c r="AS1166" s="321"/>
      <c r="AT1166" s="321"/>
    </row>
    <row r="1167" spans="10:46">
      <c r="J1167" s="145"/>
      <c r="K1167" s="145"/>
      <c r="L1167" s="145"/>
      <c r="M1167" s="145"/>
      <c r="N1167" s="145"/>
      <c r="O1167" s="145"/>
      <c r="P1167" s="145"/>
      <c r="Q1167" s="145"/>
      <c r="R1167" s="145"/>
      <c r="S1167" s="145"/>
      <c r="T1167" s="145"/>
      <c r="U1167" s="145"/>
      <c r="V1167" s="145"/>
      <c r="W1167" s="145"/>
      <c r="X1167" s="145"/>
      <c r="Y1167" s="145"/>
      <c r="Z1167" s="145"/>
      <c r="AA1167" s="145"/>
      <c r="AB1167" s="145"/>
      <c r="AC1167" s="145"/>
      <c r="AD1167" s="145"/>
      <c r="AE1167" s="145"/>
      <c r="AF1167" s="145"/>
      <c r="AG1167" s="145"/>
      <c r="AH1167" s="145"/>
      <c r="AI1167" s="145"/>
      <c r="AJ1167" s="145"/>
      <c r="AK1167" s="145"/>
      <c r="AL1167" s="145"/>
      <c r="AM1167" s="321"/>
      <c r="AN1167" s="321"/>
      <c r="AO1167" s="321"/>
      <c r="AP1167" s="321"/>
      <c r="AQ1167" s="321"/>
      <c r="AR1167" s="321"/>
      <c r="AS1167" s="321"/>
      <c r="AT1167" s="321"/>
    </row>
    <row r="1168" spans="10:46">
      <c r="J1168" s="145"/>
      <c r="K1168" s="145"/>
      <c r="L1168" s="145"/>
      <c r="M1168" s="145"/>
      <c r="N1168" s="145"/>
      <c r="O1168" s="145"/>
      <c r="P1168" s="145"/>
      <c r="Q1168" s="145"/>
      <c r="R1168" s="145"/>
      <c r="S1168" s="145"/>
      <c r="T1168" s="145"/>
      <c r="U1168" s="145"/>
      <c r="V1168" s="145"/>
      <c r="W1168" s="145"/>
      <c r="X1168" s="145"/>
      <c r="Y1168" s="145"/>
      <c r="Z1168" s="145"/>
      <c r="AA1168" s="145"/>
      <c r="AB1168" s="145"/>
      <c r="AC1168" s="145"/>
      <c r="AD1168" s="145"/>
      <c r="AE1168" s="145"/>
      <c r="AF1168" s="145"/>
      <c r="AG1168" s="145"/>
      <c r="AH1168" s="145"/>
      <c r="AI1168" s="145"/>
      <c r="AJ1168" s="145"/>
      <c r="AK1168" s="145"/>
      <c r="AL1168" s="145"/>
      <c r="AM1168" s="321"/>
      <c r="AN1168" s="321"/>
      <c r="AO1168" s="321"/>
      <c r="AP1168" s="321"/>
      <c r="AQ1168" s="321"/>
      <c r="AR1168" s="321"/>
      <c r="AS1168" s="321"/>
      <c r="AT1168" s="321"/>
    </row>
    <row r="1169" spans="10:46">
      <c r="J1169" s="145"/>
      <c r="K1169" s="145"/>
      <c r="L1169" s="145"/>
      <c r="M1169" s="145"/>
      <c r="N1169" s="145"/>
      <c r="O1169" s="145"/>
      <c r="P1169" s="145"/>
      <c r="Q1169" s="145"/>
      <c r="R1169" s="145"/>
      <c r="S1169" s="145"/>
      <c r="T1169" s="145"/>
      <c r="U1169" s="145"/>
      <c r="V1169" s="145"/>
      <c r="W1169" s="145"/>
      <c r="X1169" s="145"/>
      <c r="Y1169" s="145"/>
      <c r="Z1169" s="145"/>
      <c r="AA1169" s="145"/>
      <c r="AB1169" s="145"/>
      <c r="AC1169" s="145"/>
      <c r="AD1169" s="145"/>
      <c r="AE1169" s="145"/>
      <c r="AF1169" s="145"/>
      <c r="AG1169" s="145"/>
      <c r="AH1169" s="145"/>
      <c r="AI1169" s="145"/>
      <c r="AJ1169" s="145"/>
      <c r="AK1169" s="145"/>
      <c r="AL1169" s="145"/>
      <c r="AM1169" s="321"/>
      <c r="AN1169" s="321"/>
      <c r="AO1169" s="321"/>
      <c r="AP1169" s="321"/>
      <c r="AQ1169" s="321"/>
      <c r="AR1169" s="321"/>
      <c r="AS1169" s="321"/>
      <c r="AT1169" s="321"/>
    </row>
    <row r="1170" spans="10:46">
      <c r="J1170" s="145"/>
      <c r="K1170" s="145"/>
      <c r="L1170" s="145"/>
      <c r="M1170" s="145"/>
      <c r="N1170" s="145"/>
      <c r="O1170" s="145"/>
      <c r="P1170" s="145"/>
      <c r="Q1170" s="145"/>
      <c r="R1170" s="145"/>
      <c r="S1170" s="145"/>
      <c r="T1170" s="145"/>
      <c r="U1170" s="145"/>
      <c r="V1170" s="145"/>
      <c r="W1170" s="145"/>
      <c r="X1170" s="145"/>
      <c r="Y1170" s="145"/>
      <c r="Z1170" s="145"/>
      <c r="AA1170" s="145"/>
      <c r="AB1170" s="145"/>
      <c r="AC1170" s="145"/>
      <c r="AD1170" s="145"/>
      <c r="AE1170" s="145"/>
      <c r="AF1170" s="145"/>
      <c r="AG1170" s="145"/>
      <c r="AH1170" s="145"/>
      <c r="AI1170" s="145"/>
      <c r="AJ1170" s="145"/>
      <c r="AK1170" s="145"/>
      <c r="AL1170" s="145"/>
      <c r="AM1170" s="321"/>
      <c r="AN1170" s="321"/>
      <c r="AO1170" s="321"/>
      <c r="AP1170" s="321"/>
      <c r="AQ1170" s="321"/>
      <c r="AR1170" s="321"/>
      <c r="AS1170" s="321"/>
      <c r="AT1170" s="321"/>
    </row>
    <row r="1171" spans="10:46">
      <c r="J1171" s="145"/>
      <c r="K1171" s="145"/>
      <c r="L1171" s="145"/>
      <c r="M1171" s="145"/>
      <c r="N1171" s="145"/>
      <c r="O1171" s="145"/>
      <c r="P1171" s="145"/>
      <c r="Q1171" s="145"/>
      <c r="R1171" s="145"/>
      <c r="S1171" s="145"/>
      <c r="T1171" s="145"/>
      <c r="U1171" s="145"/>
      <c r="V1171" s="145"/>
      <c r="W1171" s="145"/>
      <c r="X1171" s="145"/>
      <c r="Y1171" s="145"/>
      <c r="Z1171" s="145"/>
      <c r="AA1171" s="145"/>
      <c r="AB1171" s="145"/>
      <c r="AC1171" s="145"/>
      <c r="AD1171" s="145"/>
      <c r="AE1171" s="145"/>
      <c r="AF1171" s="145"/>
      <c r="AG1171" s="145"/>
      <c r="AH1171" s="145"/>
      <c r="AI1171" s="145"/>
      <c r="AJ1171" s="145"/>
      <c r="AK1171" s="145"/>
      <c r="AL1171" s="145"/>
      <c r="AM1171" s="321"/>
      <c r="AN1171" s="321"/>
      <c r="AO1171" s="321"/>
      <c r="AP1171" s="321"/>
      <c r="AQ1171" s="321"/>
      <c r="AR1171" s="321"/>
      <c r="AS1171" s="321"/>
      <c r="AT1171" s="321"/>
    </row>
    <row r="1172" spans="10:46">
      <c r="J1172" s="145"/>
      <c r="K1172" s="145"/>
      <c r="L1172" s="145"/>
      <c r="M1172" s="145"/>
      <c r="N1172" s="145"/>
      <c r="O1172" s="145"/>
      <c r="P1172" s="145"/>
      <c r="Q1172" s="145"/>
      <c r="R1172" s="145"/>
      <c r="S1172" s="145"/>
      <c r="T1172" s="145"/>
      <c r="U1172" s="145"/>
      <c r="V1172" s="145"/>
      <c r="W1172" s="145"/>
      <c r="X1172" s="145"/>
      <c r="Y1172" s="145"/>
      <c r="Z1172" s="145"/>
      <c r="AA1172" s="145"/>
      <c r="AB1172" s="145"/>
      <c r="AC1172" s="145"/>
      <c r="AD1172" s="145"/>
      <c r="AE1172" s="145"/>
      <c r="AF1172" s="145"/>
      <c r="AG1172" s="145"/>
      <c r="AH1172" s="145"/>
      <c r="AI1172" s="145"/>
      <c r="AJ1172" s="145"/>
      <c r="AK1172" s="145"/>
      <c r="AL1172" s="145"/>
      <c r="AM1172" s="321"/>
      <c r="AN1172" s="321"/>
      <c r="AO1172" s="321"/>
      <c r="AP1172" s="321"/>
      <c r="AQ1172" s="321"/>
      <c r="AR1172" s="321"/>
      <c r="AS1172" s="321"/>
      <c r="AT1172" s="321"/>
    </row>
    <row r="1173" spans="10:46">
      <c r="J1173" s="145"/>
      <c r="K1173" s="145"/>
      <c r="L1173" s="145"/>
      <c r="M1173" s="145"/>
      <c r="N1173" s="145"/>
      <c r="O1173" s="145"/>
      <c r="P1173" s="145"/>
      <c r="Q1173" s="145"/>
      <c r="R1173" s="145"/>
      <c r="S1173" s="145"/>
      <c r="T1173" s="145"/>
      <c r="U1173" s="145"/>
      <c r="V1173" s="145"/>
      <c r="W1173" s="145"/>
      <c r="X1173" s="145"/>
      <c r="Y1173" s="145"/>
      <c r="Z1173" s="145"/>
      <c r="AA1173" s="145"/>
      <c r="AB1173" s="145"/>
      <c r="AC1173" s="145"/>
      <c r="AD1173" s="145"/>
      <c r="AE1173" s="145"/>
      <c r="AF1173" s="145"/>
      <c r="AG1173" s="145"/>
      <c r="AH1173" s="145"/>
      <c r="AI1173" s="145"/>
      <c r="AJ1173" s="145"/>
      <c r="AK1173" s="145"/>
      <c r="AL1173" s="145"/>
      <c r="AM1173" s="321"/>
      <c r="AN1173" s="321"/>
      <c r="AO1173" s="321"/>
      <c r="AP1173" s="321"/>
      <c r="AQ1173" s="321"/>
      <c r="AR1173" s="321"/>
      <c r="AS1173" s="321"/>
      <c r="AT1173" s="321"/>
    </row>
    <row r="1174" spans="10:46">
      <c r="J1174" s="145"/>
      <c r="K1174" s="145"/>
      <c r="L1174" s="145"/>
      <c r="M1174" s="145"/>
      <c r="N1174" s="145"/>
      <c r="O1174" s="145"/>
      <c r="P1174" s="145"/>
      <c r="Q1174" s="145"/>
      <c r="R1174" s="145"/>
      <c r="S1174" s="145"/>
      <c r="T1174" s="145"/>
      <c r="U1174" s="145"/>
      <c r="V1174" s="145"/>
      <c r="W1174" s="145"/>
      <c r="X1174" s="145"/>
      <c r="Y1174" s="145"/>
      <c r="Z1174" s="145"/>
      <c r="AA1174" s="145"/>
      <c r="AB1174" s="145"/>
      <c r="AC1174" s="145"/>
      <c r="AD1174" s="145"/>
      <c r="AE1174" s="145"/>
      <c r="AF1174" s="145"/>
      <c r="AG1174" s="145"/>
      <c r="AH1174" s="145"/>
      <c r="AI1174" s="145"/>
      <c r="AJ1174" s="145"/>
      <c r="AK1174" s="145"/>
      <c r="AL1174" s="145"/>
      <c r="AM1174" s="321"/>
      <c r="AN1174" s="321"/>
      <c r="AO1174" s="321"/>
      <c r="AP1174" s="321"/>
      <c r="AQ1174" s="321"/>
      <c r="AR1174" s="321"/>
      <c r="AS1174" s="321"/>
      <c r="AT1174" s="321"/>
    </row>
    <row r="1175" spans="10:46">
      <c r="J1175" s="145"/>
      <c r="K1175" s="145"/>
      <c r="L1175" s="145"/>
      <c r="M1175" s="145"/>
      <c r="N1175" s="145"/>
      <c r="O1175" s="145"/>
      <c r="P1175" s="145"/>
      <c r="Q1175" s="145"/>
      <c r="R1175" s="145"/>
      <c r="S1175" s="145"/>
      <c r="T1175" s="145"/>
      <c r="U1175" s="145"/>
      <c r="V1175" s="145"/>
      <c r="W1175" s="145"/>
      <c r="X1175" s="145"/>
      <c r="Y1175" s="145"/>
      <c r="Z1175" s="145"/>
      <c r="AA1175" s="145"/>
      <c r="AB1175" s="145"/>
      <c r="AC1175" s="145"/>
      <c r="AD1175" s="145"/>
      <c r="AE1175" s="145"/>
      <c r="AF1175" s="145"/>
      <c r="AG1175" s="145"/>
      <c r="AH1175" s="145"/>
      <c r="AI1175" s="145"/>
      <c r="AJ1175" s="145"/>
      <c r="AK1175" s="145"/>
      <c r="AL1175" s="145"/>
      <c r="AM1175" s="321"/>
      <c r="AN1175" s="321"/>
      <c r="AO1175" s="321"/>
      <c r="AP1175" s="321"/>
      <c r="AQ1175" s="321"/>
      <c r="AR1175" s="321"/>
      <c r="AS1175" s="321"/>
      <c r="AT1175" s="321"/>
    </row>
    <row r="1176" spans="10:46">
      <c r="J1176" s="145"/>
      <c r="K1176" s="145"/>
      <c r="L1176" s="145"/>
      <c r="M1176" s="145"/>
      <c r="N1176" s="145"/>
      <c r="O1176" s="145"/>
      <c r="P1176" s="145"/>
      <c r="Q1176" s="145"/>
      <c r="R1176" s="145"/>
      <c r="S1176" s="145"/>
      <c r="T1176" s="145"/>
      <c r="U1176" s="145"/>
      <c r="V1176" s="145"/>
      <c r="W1176" s="145"/>
      <c r="X1176" s="145"/>
      <c r="Y1176" s="145"/>
      <c r="Z1176" s="145"/>
      <c r="AA1176" s="145"/>
      <c r="AB1176" s="145"/>
      <c r="AC1176" s="145"/>
      <c r="AD1176" s="145"/>
      <c r="AE1176" s="145"/>
      <c r="AF1176" s="145"/>
      <c r="AG1176" s="145"/>
      <c r="AH1176" s="145"/>
      <c r="AI1176" s="145"/>
      <c r="AJ1176" s="145"/>
      <c r="AK1176" s="145"/>
      <c r="AL1176" s="145"/>
      <c r="AM1176" s="321"/>
      <c r="AN1176" s="321"/>
      <c r="AO1176" s="321"/>
      <c r="AP1176" s="321"/>
      <c r="AQ1176" s="321"/>
      <c r="AR1176" s="321"/>
      <c r="AS1176" s="321"/>
      <c r="AT1176" s="321"/>
    </row>
    <row r="1177" spans="10:46">
      <c r="J1177" s="145"/>
      <c r="K1177" s="145"/>
      <c r="L1177" s="145"/>
      <c r="M1177" s="145"/>
      <c r="N1177" s="145"/>
      <c r="O1177" s="145"/>
      <c r="P1177" s="145"/>
      <c r="Q1177" s="145"/>
      <c r="R1177" s="145"/>
      <c r="S1177" s="145"/>
      <c r="T1177" s="145"/>
      <c r="U1177" s="145"/>
      <c r="V1177" s="145"/>
      <c r="W1177" s="145"/>
      <c r="X1177" s="145"/>
      <c r="Y1177" s="145"/>
      <c r="Z1177" s="145"/>
      <c r="AA1177" s="145"/>
      <c r="AB1177" s="145"/>
      <c r="AC1177" s="145"/>
      <c r="AD1177" s="145"/>
      <c r="AE1177" s="145"/>
      <c r="AF1177" s="145"/>
      <c r="AG1177" s="145"/>
      <c r="AH1177" s="145"/>
      <c r="AI1177" s="145"/>
      <c r="AJ1177" s="145"/>
      <c r="AK1177" s="145"/>
      <c r="AL1177" s="145"/>
      <c r="AM1177" s="321"/>
      <c r="AN1177" s="321"/>
      <c r="AO1177" s="321"/>
      <c r="AP1177" s="321"/>
      <c r="AQ1177" s="321"/>
      <c r="AR1177" s="321"/>
      <c r="AS1177" s="321"/>
      <c r="AT1177" s="321"/>
    </row>
    <row r="1178" spans="10:46">
      <c r="J1178" s="145"/>
      <c r="K1178" s="145"/>
      <c r="L1178" s="145"/>
      <c r="M1178" s="145"/>
      <c r="N1178" s="145"/>
      <c r="O1178" s="145"/>
      <c r="P1178" s="145"/>
      <c r="Q1178" s="145"/>
      <c r="R1178" s="145"/>
      <c r="S1178" s="145"/>
      <c r="T1178" s="145"/>
      <c r="U1178" s="145"/>
      <c r="V1178" s="145"/>
      <c r="W1178" s="145"/>
      <c r="X1178" s="145"/>
      <c r="Y1178" s="145"/>
      <c r="Z1178" s="145"/>
      <c r="AA1178" s="145"/>
      <c r="AB1178" s="145"/>
      <c r="AC1178" s="145"/>
      <c r="AD1178" s="145"/>
      <c r="AE1178" s="145"/>
      <c r="AF1178" s="145"/>
      <c r="AG1178" s="145"/>
      <c r="AH1178" s="145"/>
      <c r="AI1178" s="145"/>
      <c r="AJ1178" s="145"/>
      <c r="AK1178" s="145"/>
      <c r="AL1178" s="145"/>
      <c r="AM1178" s="321"/>
      <c r="AN1178" s="321"/>
      <c r="AO1178" s="321"/>
      <c r="AP1178" s="321"/>
      <c r="AQ1178" s="321"/>
      <c r="AR1178" s="321"/>
      <c r="AS1178" s="321"/>
      <c r="AT1178" s="321"/>
    </row>
    <row r="1179" spans="10:46">
      <c r="J1179" s="145"/>
      <c r="K1179" s="145"/>
      <c r="L1179" s="145"/>
      <c r="M1179" s="145"/>
      <c r="N1179" s="145"/>
      <c r="O1179" s="145"/>
      <c r="P1179" s="145"/>
      <c r="Q1179" s="145"/>
      <c r="R1179" s="145"/>
      <c r="S1179" s="145"/>
      <c r="T1179" s="145"/>
      <c r="U1179" s="145"/>
      <c r="V1179" s="145"/>
      <c r="W1179" s="145"/>
      <c r="X1179" s="145"/>
      <c r="Y1179" s="145"/>
      <c r="Z1179" s="145"/>
      <c r="AA1179" s="145"/>
      <c r="AB1179" s="145"/>
      <c r="AC1179" s="145"/>
      <c r="AD1179" s="145"/>
      <c r="AE1179" s="145"/>
      <c r="AF1179" s="145"/>
      <c r="AG1179" s="145"/>
      <c r="AH1179" s="145"/>
      <c r="AI1179" s="145"/>
      <c r="AJ1179" s="145"/>
      <c r="AK1179" s="145"/>
      <c r="AL1179" s="145"/>
      <c r="AM1179" s="321"/>
      <c r="AN1179" s="321"/>
      <c r="AO1179" s="321"/>
      <c r="AP1179" s="321"/>
      <c r="AQ1179" s="321"/>
      <c r="AR1179" s="321"/>
      <c r="AS1179" s="321"/>
      <c r="AT1179" s="321"/>
    </row>
    <row r="1180" spans="10:46">
      <c r="J1180" s="145"/>
      <c r="K1180" s="145"/>
      <c r="L1180" s="145"/>
      <c r="M1180" s="145"/>
      <c r="N1180" s="145"/>
      <c r="O1180" s="145"/>
      <c r="P1180" s="145"/>
      <c r="Q1180" s="145"/>
      <c r="R1180" s="145"/>
      <c r="S1180" s="145"/>
      <c r="T1180" s="145"/>
      <c r="U1180" s="145"/>
      <c r="V1180" s="145"/>
      <c r="W1180" s="145"/>
      <c r="X1180" s="145"/>
      <c r="Y1180" s="145"/>
      <c r="Z1180" s="145"/>
      <c r="AA1180" s="145"/>
      <c r="AB1180" s="145"/>
      <c r="AC1180" s="145"/>
      <c r="AD1180" s="145"/>
      <c r="AE1180" s="145"/>
      <c r="AF1180" s="145"/>
      <c r="AG1180" s="145"/>
      <c r="AH1180" s="145"/>
      <c r="AI1180" s="145"/>
      <c r="AJ1180" s="145"/>
      <c r="AK1180" s="145"/>
      <c r="AL1180" s="145"/>
      <c r="AM1180" s="321"/>
      <c r="AN1180" s="321"/>
      <c r="AO1180" s="321"/>
      <c r="AP1180" s="321"/>
      <c r="AQ1180" s="321"/>
      <c r="AR1180" s="321"/>
      <c r="AS1180" s="321"/>
      <c r="AT1180" s="321"/>
    </row>
    <row r="1181" spans="10:46">
      <c r="J1181" s="145"/>
      <c r="K1181" s="145"/>
      <c r="L1181" s="145"/>
      <c r="M1181" s="145"/>
      <c r="N1181" s="145"/>
      <c r="O1181" s="145"/>
      <c r="P1181" s="145"/>
      <c r="Q1181" s="145"/>
      <c r="R1181" s="145"/>
      <c r="S1181" s="145"/>
      <c r="T1181" s="145"/>
      <c r="U1181" s="145"/>
      <c r="V1181" s="145"/>
      <c r="W1181" s="145"/>
      <c r="X1181" s="145"/>
      <c r="Y1181" s="145"/>
      <c r="Z1181" s="145"/>
      <c r="AA1181" s="145"/>
      <c r="AB1181" s="145"/>
      <c r="AC1181" s="145"/>
      <c r="AD1181" s="145"/>
      <c r="AE1181" s="145"/>
      <c r="AF1181" s="145"/>
      <c r="AG1181" s="145"/>
      <c r="AH1181" s="145"/>
      <c r="AI1181" s="145"/>
      <c r="AJ1181" s="145"/>
      <c r="AK1181" s="145"/>
      <c r="AL1181" s="145"/>
      <c r="AM1181" s="321"/>
      <c r="AN1181" s="321"/>
      <c r="AO1181" s="321"/>
      <c r="AP1181" s="321"/>
      <c r="AQ1181" s="321"/>
      <c r="AR1181" s="321"/>
      <c r="AS1181" s="321"/>
      <c r="AT1181" s="321"/>
    </row>
    <row r="1182" spans="10:46">
      <c r="J1182" s="145"/>
      <c r="K1182" s="145"/>
      <c r="L1182" s="145"/>
      <c r="M1182" s="145"/>
      <c r="N1182" s="145"/>
      <c r="O1182" s="145"/>
      <c r="P1182" s="145"/>
      <c r="Q1182" s="145"/>
      <c r="R1182" s="145"/>
      <c r="S1182" s="145"/>
      <c r="T1182" s="145"/>
      <c r="U1182" s="145"/>
      <c r="V1182" s="145"/>
      <c r="W1182" s="145"/>
      <c r="X1182" s="145"/>
      <c r="Y1182" s="145"/>
      <c r="Z1182" s="145"/>
      <c r="AA1182" s="145"/>
      <c r="AB1182" s="145"/>
      <c r="AC1182" s="145"/>
      <c r="AD1182" s="145"/>
      <c r="AE1182" s="145"/>
      <c r="AF1182" s="145"/>
      <c r="AG1182" s="145"/>
      <c r="AH1182" s="145"/>
      <c r="AI1182" s="145"/>
      <c r="AJ1182" s="145"/>
      <c r="AK1182" s="145"/>
      <c r="AL1182" s="145"/>
      <c r="AM1182" s="321"/>
      <c r="AN1182" s="321"/>
      <c r="AO1182" s="321"/>
      <c r="AP1182" s="321"/>
      <c r="AQ1182" s="321"/>
      <c r="AR1182" s="321"/>
      <c r="AS1182" s="321"/>
      <c r="AT1182" s="321"/>
    </row>
    <row r="1183" spans="10:46">
      <c r="J1183" s="145"/>
      <c r="K1183" s="145"/>
      <c r="L1183" s="145"/>
      <c r="M1183" s="145"/>
      <c r="N1183" s="145"/>
      <c r="O1183" s="145"/>
      <c r="P1183" s="145"/>
      <c r="Q1183" s="145"/>
      <c r="R1183" s="145"/>
      <c r="S1183" s="145"/>
      <c r="T1183" s="145"/>
      <c r="U1183" s="145"/>
      <c r="V1183" s="145"/>
      <c r="W1183" s="145"/>
      <c r="X1183" s="145"/>
      <c r="Y1183" s="145"/>
      <c r="Z1183" s="145"/>
      <c r="AA1183" s="145"/>
      <c r="AB1183" s="145"/>
      <c r="AC1183" s="145"/>
      <c r="AD1183" s="145"/>
      <c r="AE1183" s="145"/>
      <c r="AF1183" s="145"/>
      <c r="AG1183" s="145"/>
      <c r="AH1183" s="145"/>
      <c r="AI1183" s="145"/>
      <c r="AJ1183" s="145"/>
      <c r="AK1183" s="145"/>
      <c r="AL1183" s="145"/>
      <c r="AM1183" s="321"/>
      <c r="AN1183" s="321"/>
      <c r="AO1183" s="321"/>
      <c r="AP1183" s="321"/>
      <c r="AQ1183" s="321"/>
      <c r="AR1183" s="321"/>
      <c r="AS1183" s="321"/>
      <c r="AT1183" s="321"/>
    </row>
    <row r="1184" spans="10:46">
      <c r="J1184" s="145"/>
      <c r="K1184" s="145"/>
      <c r="L1184" s="145"/>
      <c r="M1184" s="145"/>
      <c r="N1184" s="145"/>
      <c r="O1184" s="145"/>
      <c r="P1184" s="145"/>
      <c r="Q1184" s="145"/>
      <c r="R1184" s="145"/>
      <c r="S1184" s="145"/>
      <c r="T1184" s="145"/>
      <c r="U1184" s="145"/>
      <c r="V1184" s="145"/>
      <c r="W1184" s="145"/>
      <c r="X1184" s="145"/>
      <c r="Y1184" s="145"/>
      <c r="Z1184" s="145"/>
      <c r="AA1184" s="145"/>
      <c r="AB1184" s="145"/>
      <c r="AC1184" s="145"/>
      <c r="AD1184" s="145"/>
      <c r="AE1184" s="145"/>
      <c r="AF1184" s="145"/>
      <c r="AG1184" s="145"/>
      <c r="AH1184" s="145"/>
      <c r="AI1184" s="145"/>
      <c r="AJ1184" s="145"/>
      <c r="AK1184" s="145"/>
      <c r="AL1184" s="145"/>
      <c r="AM1184" s="321"/>
      <c r="AN1184" s="321"/>
      <c r="AO1184" s="321"/>
      <c r="AP1184" s="321"/>
      <c r="AQ1184" s="321"/>
      <c r="AR1184" s="321"/>
      <c r="AS1184" s="321"/>
      <c r="AT1184" s="321"/>
    </row>
    <row r="1185" spans="10:46">
      <c r="J1185" s="145"/>
      <c r="K1185" s="145"/>
      <c r="L1185" s="145"/>
      <c r="M1185" s="145"/>
      <c r="N1185" s="145"/>
      <c r="O1185" s="145"/>
      <c r="P1185" s="145"/>
      <c r="Q1185" s="145"/>
      <c r="R1185" s="145"/>
      <c r="S1185" s="145"/>
      <c r="T1185" s="145"/>
      <c r="U1185" s="145"/>
      <c r="V1185" s="145"/>
      <c r="W1185" s="145"/>
      <c r="X1185" s="145"/>
      <c r="Y1185" s="145"/>
      <c r="Z1185" s="145"/>
      <c r="AA1185" s="145"/>
      <c r="AB1185" s="145"/>
      <c r="AC1185" s="145"/>
      <c r="AD1185" s="145"/>
      <c r="AE1185" s="145"/>
      <c r="AF1185" s="145"/>
      <c r="AG1185" s="145"/>
      <c r="AH1185" s="145"/>
      <c r="AI1185" s="145"/>
      <c r="AJ1185" s="145"/>
      <c r="AK1185" s="145"/>
      <c r="AL1185" s="145"/>
      <c r="AM1185" s="321"/>
      <c r="AN1185" s="321"/>
      <c r="AO1185" s="321"/>
      <c r="AP1185" s="321"/>
      <c r="AQ1185" s="321"/>
      <c r="AR1185" s="321"/>
      <c r="AS1185" s="321"/>
      <c r="AT1185" s="321"/>
    </row>
    <row r="1186" spans="10:46">
      <c r="J1186" s="145"/>
      <c r="K1186" s="145"/>
      <c r="L1186" s="145"/>
      <c r="M1186" s="145"/>
      <c r="N1186" s="145"/>
      <c r="O1186" s="145"/>
      <c r="P1186" s="145"/>
      <c r="Q1186" s="145"/>
      <c r="R1186" s="145"/>
      <c r="S1186" s="145"/>
      <c r="T1186" s="145"/>
      <c r="U1186" s="145"/>
      <c r="V1186" s="145"/>
      <c r="W1186" s="145"/>
      <c r="X1186" s="145"/>
      <c r="Y1186" s="145"/>
      <c r="Z1186" s="145"/>
      <c r="AA1186" s="145"/>
      <c r="AB1186" s="145"/>
      <c r="AC1186" s="145"/>
      <c r="AD1186" s="145"/>
      <c r="AE1186" s="145"/>
      <c r="AF1186" s="145"/>
      <c r="AG1186" s="145"/>
      <c r="AH1186" s="145"/>
      <c r="AI1186" s="145"/>
      <c r="AJ1186" s="145"/>
      <c r="AK1186" s="145"/>
      <c r="AL1186" s="145"/>
      <c r="AM1186" s="321"/>
      <c r="AN1186" s="321"/>
      <c r="AO1186" s="321"/>
      <c r="AP1186" s="321"/>
      <c r="AQ1186" s="321"/>
      <c r="AR1186" s="321"/>
      <c r="AS1186" s="321"/>
      <c r="AT1186" s="321"/>
    </row>
    <row r="1187" spans="10:46">
      <c r="J1187" s="145"/>
      <c r="K1187" s="145"/>
      <c r="L1187" s="145"/>
      <c r="M1187" s="145"/>
      <c r="N1187" s="145"/>
      <c r="O1187" s="145"/>
      <c r="P1187" s="145"/>
      <c r="Q1187" s="145"/>
      <c r="R1187" s="145"/>
      <c r="S1187" s="145"/>
      <c r="T1187" s="145"/>
      <c r="U1187" s="145"/>
      <c r="V1187" s="145"/>
      <c r="W1187" s="145"/>
      <c r="X1187" s="145"/>
      <c r="Y1187" s="145"/>
      <c r="Z1187" s="145"/>
      <c r="AA1187" s="145"/>
      <c r="AB1187" s="145"/>
      <c r="AC1187" s="145"/>
      <c r="AD1187" s="145"/>
      <c r="AE1187" s="145"/>
      <c r="AF1187" s="145"/>
      <c r="AG1187" s="145"/>
      <c r="AH1187" s="145"/>
      <c r="AI1187" s="145"/>
      <c r="AJ1187" s="145"/>
      <c r="AK1187" s="145"/>
      <c r="AL1187" s="145"/>
      <c r="AM1187" s="321"/>
      <c r="AN1187" s="321"/>
      <c r="AO1187" s="321"/>
      <c r="AP1187" s="321"/>
      <c r="AQ1187" s="321"/>
      <c r="AR1187" s="321"/>
      <c r="AS1187" s="321"/>
      <c r="AT1187" s="321"/>
    </row>
    <row r="1188" spans="10:46">
      <c r="J1188" s="145"/>
      <c r="K1188" s="145"/>
      <c r="L1188" s="145"/>
      <c r="M1188" s="145"/>
      <c r="N1188" s="145"/>
      <c r="O1188" s="145"/>
      <c r="P1188" s="145"/>
      <c r="Q1188" s="145"/>
      <c r="R1188" s="145"/>
      <c r="S1188" s="145"/>
      <c r="T1188" s="145"/>
      <c r="U1188" s="145"/>
      <c r="V1188" s="145"/>
      <c r="W1188" s="145"/>
      <c r="X1188" s="145"/>
      <c r="Y1188" s="145"/>
      <c r="Z1188" s="145"/>
      <c r="AA1188" s="145"/>
      <c r="AB1188" s="145"/>
      <c r="AC1188" s="145"/>
      <c r="AD1188" s="145"/>
      <c r="AE1188" s="145"/>
      <c r="AF1188" s="145"/>
      <c r="AG1188" s="145"/>
      <c r="AH1188" s="145"/>
      <c r="AI1188" s="145"/>
      <c r="AJ1188" s="145"/>
      <c r="AK1188" s="145"/>
      <c r="AL1188" s="145"/>
      <c r="AM1188" s="321"/>
      <c r="AN1188" s="321"/>
      <c r="AO1188" s="321"/>
      <c r="AP1188" s="321"/>
      <c r="AQ1188" s="321"/>
      <c r="AR1188" s="321"/>
      <c r="AS1188" s="321"/>
      <c r="AT1188" s="321"/>
    </row>
    <row r="1189" spans="10:46">
      <c r="J1189" s="145"/>
      <c r="K1189" s="145"/>
      <c r="L1189" s="145"/>
      <c r="M1189" s="145"/>
      <c r="N1189" s="145"/>
      <c r="O1189" s="145"/>
      <c r="P1189" s="145"/>
      <c r="Q1189" s="145"/>
      <c r="R1189" s="145"/>
      <c r="S1189" s="145"/>
      <c r="T1189" s="145"/>
      <c r="U1189" s="145"/>
      <c r="V1189" s="145"/>
      <c r="W1189" s="145"/>
      <c r="X1189" s="145"/>
      <c r="Y1189" s="145"/>
      <c r="Z1189" s="145"/>
      <c r="AA1189" s="145"/>
      <c r="AB1189" s="145"/>
      <c r="AC1189" s="145"/>
      <c r="AD1189" s="145"/>
      <c r="AE1189" s="145"/>
      <c r="AF1189" s="145"/>
      <c r="AG1189" s="145"/>
      <c r="AH1189" s="145"/>
      <c r="AI1189" s="145"/>
      <c r="AJ1189" s="145"/>
      <c r="AK1189" s="145"/>
      <c r="AL1189" s="145"/>
      <c r="AM1189" s="321"/>
      <c r="AN1189" s="321"/>
      <c r="AO1189" s="321"/>
      <c r="AP1189" s="321"/>
      <c r="AQ1189" s="321"/>
      <c r="AR1189" s="321"/>
      <c r="AS1189" s="321"/>
      <c r="AT1189" s="321"/>
    </row>
    <row r="1190" spans="10:46">
      <c r="J1190" s="145"/>
      <c r="K1190" s="145"/>
      <c r="L1190" s="145"/>
      <c r="M1190" s="145"/>
      <c r="N1190" s="145"/>
      <c r="O1190" s="145"/>
      <c r="P1190" s="145"/>
      <c r="Q1190" s="145"/>
      <c r="R1190" s="145"/>
      <c r="S1190" s="145"/>
      <c r="T1190" s="145"/>
      <c r="U1190" s="145"/>
      <c r="V1190" s="145"/>
      <c r="W1190" s="145"/>
      <c r="X1190" s="145"/>
      <c r="Y1190" s="145"/>
      <c r="Z1190" s="145"/>
      <c r="AA1190" s="145"/>
      <c r="AB1190" s="145"/>
      <c r="AC1190" s="145"/>
      <c r="AD1190" s="145"/>
      <c r="AE1190" s="145"/>
      <c r="AF1190" s="145"/>
      <c r="AG1190" s="145"/>
      <c r="AH1190" s="145"/>
      <c r="AI1190" s="145"/>
      <c r="AJ1190" s="145"/>
      <c r="AK1190" s="145"/>
      <c r="AL1190" s="145"/>
      <c r="AM1190" s="321"/>
      <c r="AN1190" s="321"/>
      <c r="AO1190" s="321"/>
      <c r="AP1190" s="321"/>
      <c r="AQ1190" s="321"/>
      <c r="AR1190" s="321"/>
      <c r="AS1190" s="321"/>
      <c r="AT1190" s="321"/>
    </row>
    <row r="1191" spans="10:46">
      <c r="J1191" s="145"/>
      <c r="K1191" s="145"/>
      <c r="L1191" s="145"/>
      <c r="M1191" s="145"/>
      <c r="N1191" s="145"/>
      <c r="O1191" s="145"/>
      <c r="P1191" s="145"/>
      <c r="Q1191" s="145"/>
      <c r="R1191" s="145"/>
      <c r="S1191" s="145"/>
      <c r="T1191" s="145"/>
      <c r="U1191" s="145"/>
      <c r="V1191" s="145"/>
      <c r="W1191" s="145"/>
      <c r="X1191" s="145"/>
      <c r="Y1191" s="145"/>
      <c r="Z1191" s="145"/>
      <c r="AA1191" s="145"/>
      <c r="AB1191" s="145"/>
      <c r="AC1191" s="145"/>
      <c r="AD1191" s="145"/>
      <c r="AE1191" s="145"/>
      <c r="AF1191" s="145"/>
      <c r="AG1191" s="145"/>
      <c r="AH1191" s="145"/>
      <c r="AI1191" s="145"/>
      <c r="AJ1191" s="145"/>
      <c r="AK1191" s="145"/>
      <c r="AL1191" s="145"/>
      <c r="AM1191" s="321"/>
      <c r="AN1191" s="321"/>
      <c r="AO1191" s="321"/>
      <c r="AP1191" s="321"/>
      <c r="AQ1191" s="321"/>
      <c r="AR1191" s="321"/>
      <c r="AS1191" s="321"/>
      <c r="AT1191" s="321"/>
    </row>
    <row r="1192" spans="10:46">
      <c r="J1192" s="145"/>
      <c r="K1192" s="145"/>
      <c r="L1192" s="145"/>
      <c r="M1192" s="145"/>
      <c r="N1192" s="145"/>
      <c r="O1192" s="145"/>
      <c r="P1192" s="145"/>
      <c r="Q1192" s="145"/>
      <c r="R1192" s="145"/>
      <c r="S1192" s="145"/>
      <c r="T1192" s="145"/>
      <c r="U1192" s="145"/>
      <c r="V1192" s="145"/>
      <c r="W1192" s="145"/>
      <c r="X1192" s="145"/>
      <c r="Y1192" s="145"/>
      <c r="Z1192" s="145"/>
      <c r="AA1192" s="145"/>
      <c r="AB1192" s="145"/>
      <c r="AC1192" s="145"/>
      <c r="AD1192" s="145"/>
      <c r="AE1192" s="145"/>
      <c r="AF1192" s="145"/>
      <c r="AG1192" s="145"/>
      <c r="AH1192" s="145"/>
      <c r="AI1192" s="145"/>
      <c r="AJ1192" s="145"/>
      <c r="AK1192" s="145"/>
      <c r="AL1192" s="145"/>
      <c r="AM1192" s="321"/>
      <c r="AN1192" s="321"/>
      <c r="AO1192" s="321"/>
      <c r="AP1192" s="321"/>
      <c r="AQ1192" s="321"/>
      <c r="AR1192" s="321"/>
      <c r="AS1192" s="321"/>
      <c r="AT1192" s="321"/>
    </row>
    <row r="1193" spans="10:46">
      <c r="J1193" s="145"/>
      <c r="K1193" s="145"/>
      <c r="L1193" s="145"/>
      <c r="M1193" s="145"/>
      <c r="N1193" s="145"/>
      <c r="O1193" s="145"/>
      <c r="P1193" s="145"/>
      <c r="Q1193" s="145"/>
      <c r="R1193" s="145"/>
      <c r="S1193" s="145"/>
      <c r="T1193" s="145"/>
      <c r="U1193" s="145"/>
      <c r="V1193" s="145"/>
      <c r="W1193" s="145"/>
      <c r="X1193" s="145"/>
      <c r="Y1193" s="145"/>
      <c r="Z1193" s="145"/>
      <c r="AA1193" s="145"/>
      <c r="AB1193" s="145"/>
      <c r="AC1193" s="145"/>
      <c r="AD1193" s="145"/>
      <c r="AE1193" s="145"/>
      <c r="AF1193" s="145"/>
      <c r="AG1193" s="145"/>
      <c r="AH1193" s="145"/>
      <c r="AI1193" s="145"/>
      <c r="AJ1193" s="145"/>
      <c r="AK1193" s="145"/>
      <c r="AL1193" s="145"/>
      <c r="AM1193" s="321"/>
      <c r="AN1193" s="321"/>
      <c r="AO1193" s="321"/>
      <c r="AP1193" s="321"/>
      <c r="AQ1193" s="321"/>
      <c r="AR1193" s="321"/>
      <c r="AS1193" s="321"/>
      <c r="AT1193" s="321"/>
    </row>
    <row r="1194" spans="10:46">
      <c r="J1194" s="145"/>
      <c r="K1194" s="145"/>
      <c r="L1194" s="145"/>
      <c r="M1194" s="145"/>
      <c r="N1194" s="145"/>
      <c r="O1194" s="145"/>
      <c r="P1194" s="145"/>
      <c r="Q1194" s="145"/>
      <c r="R1194" s="145"/>
      <c r="S1194" s="145"/>
      <c r="T1194" s="145"/>
      <c r="U1194" s="145"/>
      <c r="V1194" s="145"/>
      <c r="W1194" s="145"/>
      <c r="X1194" s="145"/>
      <c r="Y1194" s="145"/>
      <c r="Z1194" s="145"/>
      <c r="AA1194" s="145"/>
      <c r="AB1194" s="145"/>
      <c r="AC1194" s="145"/>
      <c r="AD1194" s="145"/>
      <c r="AE1194" s="145"/>
      <c r="AF1194" s="145"/>
      <c r="AG1194" s="145"/>
      <c r="AH1194" s="145"/>
      <c r="AI1194" s="145"/>
      <c r="AJ1194" s="145"/>
      <c r="AK1194" s="145"/>
      <c r="AL1194" s="145"/>
      <c r="AM1194" s="321"/>
      <c r="AN1194" s="321"/>
      <c r="AO1194" s="321"/>
      <c r="AP1194" s="321"/>
      <c r="AQ1194" s="321"/>
      <c r="AR1194" s="321"/>
      <c r="AS1194" s="321"/>
      <c r="AT1194" s="321"/>
    </row>
    <row r="1195" spans="10:46">
      <c r="J1195" s="145"/>
      <c r="K1195" s="145"/>
      <c r="L1195" s="145"/>
      <c r="M1195" s="145"/>
      <c r="N1195" s="145"/>
      <c r="O1195" s="145"/>
      <c r="P1195" s="145"/>
      <c r="Q1195" s="145"/>
      <c r="R1195" s="145"/>
      <c r="S1195" s="145"/>
      <c r="T1195" s="145"/>
      <c r="U1195" s="145"/>
      <c r="V1195" s="145"/>
      <c r="W1195" s="145"/>
      <c r="X1195" s="145"/>
      <c r="Y1195" s="145"/>
      <c r="Z1195" s="145"/>
      <c r="AA1195" s="145"/>
      <c r="AB1195" s="145"/>
      <c r="AC1195" s="145"/>
      <c r="AD1195" s="145"/>
      <c r="AE1195" s="145"/>
      <c r="AF1195" s="145"/>
      <c r="AG1195" s="145"/>
      <c r="AH1195" s="145"/>
      <c r="AI1195" s="145"/>
      <c r="AJ1195" s="145"/>
      <c r="AK1195" s="145"/>
      <c r="AL1195" s="145"/>
      <c r="AM1195" s="321"/>
      <c r="AN1195" s="321"/>
      <c r="AO1195" s="321"/>
      <c r="AP1195" s="321"/>
      <c r="AQ1195" s="321"/>
      <c r="AR1195" s="321"/>
      <c r="AS1195" s="321"/>
      <c r="AT1195" s="321"/>
    </row>
    <row r="1196" spans="10:46">
      <c r="J1196" s="145"/>
      <c r="K1196" s="145"/>
      <c r="L1196" s="145"/>
      <c r="M1196" s="145"/>
      <c r="N1196" s="145"/>
      <c r="O1196" s="145"/>
      <c r="P1196" s="145"/>
      <c r="Q1196" s="145"/>
      <c r="R1196" s="145"/>
      <c r="S1196" s="145"/>
      <c r="T1196" s="145"/>
      <c r="U1196" s="145"/>
      <c r="V1196" s="145"/>
      <c r="W1196" s="145"/>
      <c r="X1196" s="145"/>
      <c r="Y1196" s="145"/>
      <c r="Z1196" s="145"/>
      <c r="AA1196" s="145"/>
      <c r="AB1196" s="145"/>
      <c r="AC1196" s="145"/>
      <c r="AD1196" s="145"/>
      <c r="AE1196" s="145"/>
      <c r="AF1196" s="145"/>
      <c r="AG1196" s="145"/>
      <c r="AH1196" s="145"/>
      <c r="AI1196" s="145"/>
      <c r="AJ1196" s="145"/>
      <c r="AK1196" s="145"/>
      <c r="AL1196" s="145"/>
      <c r="AM1196" s="321"/>
      <c r="AN1196" s="321"/>
      <c r="AO1196" s="321"/>
      <c r="AP1196" s="321"/>
      <c r="AQ1196" s="321"/>
      <c r="AR1196" s="321"/>
      <c r="AS1196" s="321"/>
      <c r="AT1196" s="321"/>
    </row>
    <row r="1197" spans="10:46">
      <c r="J1197" s="145"/>
      <c r="K1197" s="145"/>
      <c r="L1197" s="145"/>
      <c r="M1197" s="145"/>
      <c r="N1197" s="145"/>
      <c r="O1197" s="145"/>
      <c r="P1197" s="145"/>
      <c r="Q1197" s="145"/>
      <c r="R1197" s="145"/>
      <c r="S1197" s="145"/>
      <c r="T1197" s="145"/>
      <c r="U1197" s="145"/>
      <c r="V1197" s="145"/>
      <c r="W1197" s="145"/>
      <c r="X1197" s="145"/>
      <c r="Y1197" s="145"/>
      <c r="Z1197" s="145"/>
      <c r="AA1197" s="145"/>
      <c r="AB1197" s="145"/>
      <c r="AC1197" s="145"/>
      <c r="AD1197" s="145"/>
      <c r="AE1197" s="145"/>
      <c r="AF1197" s="145"/>
      <c r="AG1197" s="145"/>
      <c r="AH1197" s="145"/>
      <c r="AI1197" s="145"/>
      <c r="AJ1197" s="145"/>
      <c r="AK1197" s="145"/>
      <c r="AL1197" s="145"/>
      <c r="AM1197" s="321"/>
      <c r="AN1197" s="321"/>
      <c r="AO1197" s="321"/>
      <c r="AP1197" s="321"/>
      <c r="AQ1197" s="321"/>
      <c r="AR1197" s="321"/>
      <c r="AS1197" s="321"/>
      <c r="AT1197" s="321"/>
    </row>
    <row r="1198" spans="10:46">
      <c r="J1198" s="145"/>
      <c r="K1198" s="145"/>
      <c r="L1198" s="145"/>
      <c r="M1198" s="145"/>
      <c r="N1198" s="145"/>
      <c r="O1198" s="145"/>
      <c r="P1198" s="145"/>
      <c r="Q1198" s="145"/>
      <c r="R1198" s="145"/>
      <c r="S1198" s="145"/>
      <c r="T1198" s="145"/>
      <c r="U1198" s="145"/>
      <c r="V1198" s="145"/>
      <c r="W1198" s="145"/>
      <c r="X1198" s="145"/>
      <c r="Y1198" s="145"/>
      <c r="Z1198" s="145"/>
      <c r="AA1198" s="145"/>
      <c r="AB1198" s="145"/>
      <c r="AC1198" s="145"/>
      <c r="AD1198" s="145"/>
      <c r="AE1198" s="145"/>
      <c r="AF1198" s="145"/>
      <c r="AG1198" s="145"/>
      <c r="AH1198" s="145"/>
      <c r="AI1198" s="145"/>
      <c r="AJ1198" s="145"/>
      <c r="AK1198" s="145"/>
      <c r="AL1198" s="145"/>
      <c r="AM1198" s="321"/>
      <c r="AN1198" s="321"/>
      <c r="AO1198" s="321"/>
      <c r="AP1198" s="321"/>
      <c r="AQ1198" s="321"/>
      <c r="AR1198" s="321"/>
      <c r="AS1198" s="321"/>
      <c r="AT1198" s="321"/>
    </row>
    <row r="1199" spans="10:46">
      <c r="J1199" s="145"/>
      <c r="K1199" s="145"/>
      <c r="L1199" s="145"/>
      <c r="M1199" s="145"/>
      <c r="N1199" s="145"/>
      <c r="O1199" s="145"/>
      <c r="P1199" s="145"/>
      <c r="Q1199" s="145"/>
      <c r="R1199" s="145"/>
      <c r="S1199" s="145"/>
      <c r="T1199" s="145"/>
      <c r="U1199" s="145"/>
      <c r="V1199" s="145"/>
      <c r="W1199" s="145"/>
      <c r="X1199" s="145"/>
      <c r="Y1199" s="145"/>
      <c r="Z1199" s="145"/>
      <c r="AA1199" s="145"/>
      <c r="AB1199" s="145"/>
      <c r="AC1199" s="145"/>
      <c r="AD1199" s="145"/>
      <c r="AE1199" s="145"/>
      <c r="AF1199" s="145"/>
      <c r="AG1199" s="145"/>
      <c r="AH1199" s="145"/>
      <c r="AI1199" s="145"/>
      <c r="AJ1199" s="145"/>
      <c r="AK1199" s="145"/>
      <c r="AL1199" s="145"/>
      <c r="AM1199" s="321"/>
      <c r="AN1199" s="321"/>
      <c r="AO1199" s="321"/>
      <c r="AP1199" s="321"/>
      <c r="AQ1199" s="321"/>
      <c r="AR1199" s="321"/>
      <c r="AS1199" s="321"/>
      <c r="AT1199" s="321"/>
    </row>
    <row r="1200" spans="10:46">
      <c r="J1200" s="145"/>
      <c r="K1200" s="145"/>
      <c r="L1200" s="145"/>
      <c r="M1200" s="145"/>
      <c r="N1200" s="145"/>
      <c r="O1200" s="145"/>
      <c r="P1200" s="145"/>
      <c r="Q1200" s="145"/>
      <c r="R1200" s="145"/>
      <c r="S1200" s="145"/>
      <c r="T1200" s="145"/>
      <c r="U1200" s="145"/>
      <c r="V1200" s="145"/>
      <c r="W1200" s="145"/>
      <c r="X1200" s="145"/>
      <c r="Y1200" s="145"/>
      <c r="Z1200" s="145"/>
      <c r="AA1200" s="145"/>
      <c r="AB1200" s="145"/>
      <c r="AC1200" s="145"/>
      <c r="AD1200" s="145"/>
      <c r="AE1200" s="145"/>
      <c r="AF1200" s="145"/>
      <c r="AG1200" s="145"/>
      <c r="AH1200" s="145"/>
      <c r="AI1200" s="145"/>
      <c r="AJ1200" s="145"/>
      <c r="AK1200" s="145"/>
      <c r="AL1200" s="145"/>
      <c r="AM1200" s="321"/>
      <c r="AN1200" s="321"/>
      <c r="AO1200" s="321"/>
      <c r="AP1200" s="321"/>
      <c r="AQ1200" s="321"/>
      <c r="AR1200" s="321"/>
      <c r="AS1200" s="321"/>
      <c r="AT1200" s="321"/>
    </row>
    <row r="1201" spans="10:46">
      <c r="J1201" s="145"/>
      <c r="K1201" s="145"/>
      <c r="L1201" s="145"/>
      <c r="M1201" s="145"/>
      <c r="N1201" s="145"/>
      <c r="O1201" s="145"/>
      <c r="P1201" s="145"/>
      <c r="Q1201" s="145"/>
      <c r="R1201" s="145"/>
      <c r="S1201" s="145"/>
      <c r="T1201" s="145"/>
      <c r="U1201" s="145"/>
      <c r="V1201" s="145"/>
      <c r="W1201" s="145"/>
      <c r="X1201" s="145"/>
      <c r="Y1201" s="145"/>
      <c r="Z1201" s="145"/>
      <c r="AA1201" s="145"/>
      <c r="AB1201" s="145"/>
      <c r="AC1201" s="145"/>
      <c r="AD1201" s="145"/>
      <c r="AE1201" s="145"/>
      <c r="AF1201" s="145"/>
      <c r="AG1201" s="145"/>
      <c r="AH1201" s="145"/>
      <c r="AI1201" s="145"/>
      <c r="AJ1201" s="145"/>
      <c r="AK1201" s="145"/>
      <c r="AL1201" s="145"/>
      <c r="AM1201" s="321"/>
      <c r="AN1201" s="321"/>
      <c r="AO1201" s="321"/>
      <c r="AP1201" s="321"/>
      <c r="AQ1201" s="321"/>
      <c r="AR1201" s="321"/>
      <c r="AS1201" s="321"/>
      <c r="AT1201" s="321"/>
    </row>
    <row r="1202" spans="10:46">
      <c r="J1202" s="145"/>
      <c r="K1202" s="145"/>
      <c r="L1202" s="145"/>
      <c r="M1202" s="145"/>
      <c r="N1202" s="145"/>
      <c r="O1202" s="145"/>
      <c r="P1202" s="145"/>
      <c r="Q1202" s="145"/>
      <c r="R1202" s="145"/>
      <c r="S1202" s="145"/>
      <c r="T1202" s="145"/>
      <c r="U1202" s="145"/>
      <c r="V1202" s="145"/>
      <c r="W1202" s="145"/>
      <c r="X1202" s="145"/>
      <c r="Y1202" s="145"/>
      <c r="Z1202" s="145"/>
      <c r="AA1202" s="145"/>
      <c r="AB1202" s="145"/>
      <c r="AC1202" s="145"/>
      <c r="AD1202" s="145"/>
      <c r="AE1202" s="145"/>
      <c r="AF1202" s="145"/>
      <c r="AG1202" s="145"/>
      <c r="AH1202" s="145"/>
      <c r="AI1202" s="145"/>
      <c r="AJ1202" s="145"/>
      <c r="AK1202" s="145"/>
      <c r="AL1202" s="145"/>
      <c r="AM1202" s="321"/>
      <c r="AN1202" s="321"/>
      <c r="AO1202" s="321"/>
      <c r="AP1202" s="321"/>
      <c r="AQ1202" s="321"/>
      <c r="AR1202" s="321"/>
      <c r="AS1202" s="321"/>
      <c r="AT1202" s="321"/>
    </row>
    <row r="1203" spans="10:46">
      <c r="J1203" s="145"/>
      <c r="K1203" s="145"/>
      <c r="L1203" s="145"/>
      <c r="M1203" s="145"/>
      <c r="N1203" s="145"/>
      <c r="O1203" s="145"/>
      <c r="P1203" s="145"/>
      <c r="Q1203" s="145"/>
      <c r="R1203" s="145"/>
      <c r="S1203" s="145"/>
      <c r="T1203" s="145"/>
      <c r="U1203" s="145"/>
      <c r="V1203" s="145"/>
      <c r="W1203" s="145"/>
      <c r="X1203" s="145"/>
      <c r="Y1203" s="145"/>
      <c r="Z1203" s="145"/>
      <c r="AA1203" s="145"/>
      <c r="AB1203" s="145"/>
      <c r="AC1203" s="145"/>
      <c r="AD1203" s="145"/>
      <c r="AE1203" s="145"/>
      <c r="AF1203" s="145"/>
      <c r="AG1203" s="145"/>
      <c r="AH1203" s="145"/>
      <c r="AI1203" s="145"/>
      <c r="AJ1203" s="145"/>
      <c r="AK1203" s="145"/>
      <c r="AL1203" s="145"/>
      <c r="AM1203" s="321"/>
      <c r="AN1203" s="321"/>
      <c r="AO1203" s="321"/>
      <c r="AP1203" s="321"/>
      <c r="AQ1203" s="321"/>
      <c r="AR1203" s="321"/>
      <c r="AS1203" s="321"/>
      <c r="AT1203" s="321"/>
    </row>
    <row r="1204" spans="10:46">
      <c r="J1204" s="145"/>
      <c r="K1204" s="145"/>
      <c r="L1204" s="145"/>
      <c r="M1204" s="145"/>
      <c r="N1204" s="145"/>
      <c r="O1204" s="145"/>
      <c r="P1204" s="145"/>
      <c r="Q1204" s="145"/>
      <c r="R1204" s="145"/>
      <c r="S1204" s="145"/>
      <c r="T1204" s="145"/>
      <c r="U1204" s="145"/>
      <c r="V1204" s="145"/>
      <c r="W1204" s="145"/>
      <c r="X1204" s="145"/>
      <c r="Y1204" s="145"/>
      <c r="Z1204" s="145"/>
      <c r="AA1204" s="145"/>
      <c r="AB1204" s="145"/>
      <c r="AC1204" s="145"/>
      <c r="AD1204" s="145"/>
      <c r="AE1204" s="145"/>
      <c r="AF1204" s="145"/>
      <c r="AG1204" s="145"/>
      <c r="AH1204" s="145"/>
      <c r="AI1204" s="145"/>
      <c r="AJ1204" s="145"/>
      <c r="AK1204" s="145"/>
      <c r="AL1204" s="145"/>
      <c r="AM1204" s="321"/>
      <c r="AN1204" s="321"/>
      <c r="AO1204" s="321"/>
      <c r="AP1204" s="321"/>
      <c r="AQ1204" s="321"/>
      <c r="AR1204" s="321"/>
      <c r="AS1204" s="321"/>
      <c r="AT1204" s="321"/>
    </row>
    <row r="1205" spans="10:46">
      <c r="J1205" s="145"/>
      <c r="K1205" s="145"/>
      <c r="L1205" s="145"/>
      <c r="M1205" s="145"/>
      <c r="N1205" s="145"/>
      <c r="O1205" s="145"/>
      <c r="P1205" s="145"/>
      <c r="Q1205" s="145"/>
      <c r="R1205" s="145"/>
      <c r="S1205" s="145"/>
      <c r="T1205" s="145"/>
      <c r="U1205" s="145"/>
      <c r="V1205" s="145"/>
      <c r="W1205" s="145"/>
      <c r="X1205" s="145"/>
      <c r="Y1205" s="145"/>
      <c r="Z1205" s="145"/>
      <c r="AA1205" s="145"/>
      <c r="AB1205" s="145"/>
      <c r="AC1205" s="145"/>
      <c r="AD1205" s="145"/>
      <c r="AE1205" s="145"/>
      <c r="AF1205" s="145"/>
      <c r="AG1205" s="145"/>
      <c r="AH1205" s="145"/>
      <c r="AI1205" s="145"/>
      <c r="AJ1205" s="145"/>
      <c r="AK1205" s="145"/>
      <c r="AL1205" s="145"/>
      <c r="AM1205" s="321"/>
      <c r="AN1205" s="321"/>
      <c r="AO1205" s="321"/>
      <c r="AP1205" s="321"/>
      <c r="AQ1205" s="321"/>
      <c r="AR1205" s="321"/>
      <c r="AS1205" s="321"/>
      <c r="AT1205" s="321"/>
    </row>
    <row r="1206" spans="10:46">
      <c r="J1206" s="145"/>
      <c r="K1206" s="145"/>
      <c r="L1206" s="145"/>
      <c r="M1206" s="145"/>
      <c r="N1206" s="145"/>
      <c r="O1206" s="145"/>
      <c r="P1206" s="145"/>
      <c r="Q1206" s="145"/>
      <c r="R1206" s="145"/>
      <c r="S1206" s="145"/>
      <c r="T1206" s="145"/>
      <c r="U1206" s="145"/>
      <c r="V1206" s="145"/>
      <c r="W1206" s="145"/>
      <c r="X1206" s="145"/>
      <c r="Y1206" s="145"/>
      <c r="Z1206" s="145"/>
      <c r="AA1206" s="145"/>
      <c r="AB1206" s="145"/>
      <c r="AC1206" s="145"/>
      <c r="AD1206" s="145"/>
      <c r="AE1206" s="145"/>
      <c r="AF1206" s="145"/>
      <c r="AG1206" s="145"/>
      <c r="AH1206" s="145"/>
      <c r="AI1206" s="145"/>
      <c r="AJ1206" s="145"/>
      <c r="AK1206" s="145"/>
      <c r="AL1206" s="145"/>
      <c r="AM1206" s="321"/>
      <c r="AN1206" s="321"/>
      <c r="AO1206" s="321"/>
      <c r="AP1206" s="321"/>
      <c r="AQ1206" s="321"/>
      <c r="AR1206" s="321"/>
      <c r="AS1206" s="321"/>
      <c r="AT1206" s="321"/>
    </row>
    <row r="1207" spans="10:46">
      <c r="J1207" s="145"/>
      <c r="K1207" s="145"/>
      <c r="L1207" s="145"/>
      <c r="M1207" s="145"/>
      <c r="N1207" s="145"/>
      <c r="O1207" s="145"/>
      <c r="P1207" s="145"/>
      <c r="Q1207" s="145"/>
      <c r="R1207" s="145"/>
      <c r="S1207" s="145"/>
      <c r="T1207" s="145"/>
      <c r="U1207" s="145"/>
      <c r="V1207" s="145"/>
      <c r="W1207" s="145"/>
      <c r="X1207" s="145"/>
      <c r="Y1207" s="145"/>
      <c r="Z1207" s="145"/>
      <c r="AA1207" s="145"/>
      <c r="AB1207" s="145"/>
      <c r="AC1207" s="145"/>
      <c r="AD1207" s="145"/>
      <c r="AE1207" s="145"/>
      <c r="AF1207" s="145"/>
      <c r="AG1207" s="145"/>
      <c r="AH1207" s="145"/>
      <c r="AI1207" s="145"/>
      <c r="AJ1207" s="145"/>
      <c r="AK1207" s="145"/>
      <c r="AL1207" s="145"/>
      <c r="AM1207" s="321"/>
      <c r="AN1207" s="321"/>
      <c r="AO1207" s="321"/>
      <c r="AP1207" s="321"/>
      <c r="AQ1207" s="321"/>
      <c r="AR1207" s="321"/>
      <c r="AS1207" s="321"/>
      <c r="AT1207" s="321"/>
    </row>
    <row r="1208" spans="10:46">
      <c r="J1208" s="145"/>
      <c r="K1208" s="145"/>
      <c r="L1208" s="145"/>
      <c r="M1208" s="145"/>
      <c r="N1208" s="145"/>
      <c r="O1208" s="145"/>
      <c r="P1208" s="145"/>
      <c r="Q1208" s="145"/>
      <c r="R1208" s="145"/>
      <c r="S1208" s="145"/>
      <c r="T1208" s="145"/>
      <c r="U1208" s="145"/>
      <c r="V1208" s="145"/>
      <c r="W1208" s="145"/>
      <c r="X1208" s="145"/>
      <c r="Y1208" s="145"/>
      <c r="Z1208" s="145"/>
      <c r="AA1208" s="145"/>
      <c r="AB1208" s="145"/>
      <c r="AC1208" s="145"/>
      <c r="AD1208" s="145"/>
      <c r="AE1208" s="145"/>
      <c r="AF1208" s="145"/>
      <c r="AG1208" s="145"/>
      <c r="AH1208" s="145"/>
      <c r="AI1208" s="145"/>
      <c r="AJ1208" s="145"/>
      <c r="AK1208" s="145"/>
      <c r="AL1208" s="145"/>
      <c r="AM1208" s="321"/>
      <c r="AN1208" s="321"/>
      <c r="AO1208" s="321"/>
      <c r="AP1208" s="321"/>
      <c r="AQ1208" s="321"/>
      <c r="AR1208" s="321"/>
      <c r="AS1208" s="321"/>
      <c r="AT1208" s="321"/>
    </row>
    <row r="1209" spans="10:46">
      <c r="J1209" s="145"/>
      <c r="K1209" s="145"/>
      <c r="L1209" s="145"/>
      <c r="M1209" s="145"/>
      <c r="N1209" s="145"/>
      <c r="O1209" s="145"/>
      <c r="P1209" s="145"/>
      <c r="Q1209" s="145"/>
      <c r="R1209" s="145"/>
      <c r="S1209" s="145"/>
      <c r="T1209" s="145"/>
      <c r="U1209" s="145"/>
      <c r="V1209" s="145"/>
      <c r="W1209" s="145"/>
      <c r="X1209" s="145"/>
      <c r="Y1209" s="145"/>
      <c r="Z1209" s="145"/>
      <c r="AA1209" s="145"/>
      <c r="AB1209" s="145"/>
      <c r="AC1209" s="145"/>
      <c r="AD1209" s="145"/>
      <c r="AE1209" s="145"/>
      <c r="AF1209" s="145"/>
      <c r="AG1209" s="145"/>
      <c r="AH1209" s="145"/>
      <c r="AI1209" s="145"/>
      <c r="AJ1209" s="145"/>
      <c r="AK1209" s="145"/>
      <c r="AL1209" s="145"/>
      <c r="AM1209" s="321"/>
      <c r="AN1209" s="321"/>
      <c r="AO1209" s="321"/>
      <c r="AP1209" s="321"/>
      <c r="AQ1209" s="321"/>
      <c r="AR1209" s="321"/>
      <c r="AS1209" s="321"/>
      <c r="AT1209" s="321"/>
    </row>
    <row r="1210" spans="10:46">
      <c r="J1210" s="145"/>
      <c r="K1210" s="145"/>
      <c r="L1210" s="145"/>
      <c r="M1210" s="145"/>
      <c r="N1210" s="145"/>
      <c r="O1210" s="145"/>
      <c r="P1210" s="145"/>
      <c r="Q1210" s="145"/>
      <c r="R1210" s="145"/>
      <c r="S1210" s="145"/>
      <c r="T1210" s="145"/>
      <c r="U1210" s="145"/>
      <c r="V1210" s="145"/>
      <c r="W1210" s="145"/>
      <c r="X1210" s="145"/>
      <c r="Y1210" s="145"/>
      <c r="Z1210" s="145"/>
      <c r="AA1210" s="145"/>
      <c r="AB1210" s="145"/>
      <c r="AC1210" s="145"/>
      <c r="AD1210" s="145"/>
      <c r="AE1210" s="145"/>
      <c r="AF1210" s="145"/>
      <c r="AG1210" s="145"/>
      <c r="AH1210" s="145"/>
      <c r="AI1210" s="145"/>
      <c r="AJ1210" s="145"/>
      <c r="AK1210" s="145"/>
      <c r="AL1210" s="145"/>
      <c r="AM1210" s="321"/>
      <c r="AN1210" s="321"/>
      <c r="AO1210" s="321"/>
      <c r="AP1210" s="321"/>
      <c r="AQ1210" s="321"/>
      <c r="AR1210" s="321"/>
      <c r="AS1210" s="321"/>
      <c r="AT1210" s="321"/>
    </row>
    <row r="1211" spans="10:46">
      <c r="J1211" s="145"/>
      <c r="K1211" s="145"/>
      <c r="L1211" s="145"/>
      <c r="M1211" s="145"/>
      <c r="N1211" s="145"/>
      <c r="O1211" s="145"/>
      <c r="P1211" s="145"/>
      <c r="Q1211" s="145"/>
      <c r="R1211" s="145"/>
      <c r="S1211" s="145"/>
      <c r="T1211" s="145"/>
      <c r="U1211" s="145"/>
      <c r="V1211" s="145"/>
      <c r="W1211" s="145"/>
      <c r="X1211" s="145"/>
      <c r="Y1211" s="145"/>
      <c r="Z1211" s="145"/>
      <c r="AA1211" s="145"/>
      <c r="AB1211" s="145"/>
      <c r="AC1211" s="145"/>
      <c r="AD1211" s="145"/>
      <c r="AE1211" s="145"/>
      <c r="AF1211" s="145"/>
      <c r="AG1211" s="145"/>
      <c r="AH1211" s="145"/>
      <c r="AI1211" s="145"/>
      <c r="AJ1211" s="145"/>
      <c r="AK1211" s="145"/>
      <c r="AL1211" s="145"/>
      <c r="AM1211" s="321"/>
      <c r="AN1211" s="321"/>
      <c r="AO1211" s="321"/>
      <c r="AP1211" s="321"/>
      <c r="AQ1211" s="321"/>
      <c r="AR1211" s="321"/>
      <c r="AS1211" s="321"/>
      <c r="AT1211" s="321"/>
    </row>
    <row r="1212" spans="10:46">
      <c r="J1212" s="145"/>
      <c r="K1212" s="145"/>
      <c r="L1212" s="145"/>
      <c r="M1212" s="145"/>
      <c r="N1212" s="145"/>
      <c r="O1212" s="145"/>
      <c r="P1212" s="145"/>
      <c r="Q1212" s="145"/>
      <c r="R1212" s="145"/>
      <c r="S1212" s="145"/>
      <c r="T1212" s="145"/>
      <c r="U1212" s="145"/>
      <c r="V1212" s="145"/>
      <c r="W1212" s="145"/>
      <c r="X1212" s="145"/>
      <c r="Y1212" s="145"/>
      <c r="Z1212" s="145"/>
      <c r="AA1212" s="145"/>
      <c r="AB1212" s="145"/>
      <c r="AC1212" s="145"/>
      <c r="AD1212" s="145"/>
      <c r="AE1212" s="145"/>
      <c r="AF1212" s="145"/>
      <c r="AG1212" s="145"/>
      <c r="AH1212" s="145"/>
      <c r="AI1212" s="145"/>
      <c r="AJ1212" s="145"/>
      <c r="AK1212" s="145"/>
      <c r="AL1212" s="145"/>
      <c r="AM1212" s="321"/>
      <c r="AN1212" s="321"/>
      <c r="AO1212" s="321"/>
      <c r="AP1212" s="321"/>
      <c r="AQ1212" s="321"/>
      <c r="AR1212" s="321"/>
      <c r="AS1212" s="321"/>
      <c r="AT1212" s="321"/>
    </row>
    <row r="1213" spans="10:46">
      <c r="J1213" s="145"/>
      <c r="K1213" s="145"/>
      <c r="L1213" s="145"/>
      <c r="M1213" s="145"/>
      <c r="N1213" s="145"/>
      <c r="O1213" s="145"/>
      <c r="P1213" s="145"/>
      <c r="Q1213" s="145"/>
      <c r="R1213" s="145"/>
      <c r="S1213" s="145"/>
      <c r="T1213" s="145"/>
      <c r="U1213" s="145"/>
      <c r="V1213" s="145"/>
      <c r="W1213" s="145"/>
      <c r="X1213" s="145"/>
      <c r="Y1213" s="145"/>
      <c r="Z1213" s="145"/>
      <c r="AA1213" s="145"/>
      <c r="AB1213" s="145"/>
      <c r="AC1213" s="145"/>
      <c r="AD1213" s="145"/>
      <c r="AE1213" s="145"/>
      <c r="AF1213" s="145"/>
      <c r="AG1213" s="145"/>
      <c r="AH1213" s="145"/>
      <c r="AI1213" s="145"/>
      <c r="AJ1213" s="145"/>
      <c r="AK1213" s="145"/>
      <c r="AL1213" s="145"/>
      <c r="AM1213" s="321"/>
      <c r="AN1213" s="321"/>
      <c r="AO1213" s="321"/>
      <c r="AP1213" s="321"/>
      <c r="AQ1213" s="321"/>
      <c r="AR1213" s="321"/>
      <c r="AS1213" s="321"/>
      <c r="AT1213" s="321"/>
    </row>
    <row r="1214" spans="10:46">
      <c r="J1214" s="145"/>
      <c r="K1214" s="145"/>
      <c r="L1214" s="145"/>
      <c r="M1214" s="145"/>
      <c r="N1214" s="145"/>
      <c r="O1214" s="145"/>
      <c r="P1214" s="145"/>
      <c r="Q1214" s="145"/>
      <c r="R1214" s="145"/>
      <c r="S1214" s="145"/>
      <c r="T1214" s="145"/>
      <c r="U1214" s="145"/>
      <c r="V1214" s="145"/>
      <c r="W1214" s="145"/>
      <c r="X1214" s="145"/>
      <c r="Y1214" s="145"/>
      <c r="Z1214" s="145"/>
      <c r="AA1214" s="145"/>
      <c r="AB1214" s="145"/>
      <c r="AC1214" s="145"/>
      <c r="AD1214" s="145"/>
      <c r="AE1214" s="145"/>
      <c r="AF1214" s="145"/>
      <c r="AG1214" s="145"/>
      <c r="AH1214" s="145"/>
      <c r="AI1214" s="145"/>
      <c r="AJ1214" s="145"/>
      <c r="AK1214" s="145"/>
      <c r="AL1214" s="145"/>
      <c r="AM1214" s="321"/>
      <c r="AN1214" s="321"/>
      <c r="AO1214" s="321"/>
      <c r="AP1214" s="321"/>
      <c r="AQ1214" s="321"/>
      <c r="AR1214" s="321"/>
      <c r="AS1214" s="321"/>
      <c r="AT1214" s="321"/>
    </row>
    <row r="1215" spans="10:46">
      <c r="J1215" s="145"/>
      <c r="K1215" s="145"/>
      <c r="L1215" s="145"/>
      <c r="M1215" s="145"/>
      <c r="N1215" s="145"/>
      <c r="O1215" s="145"/>
      <c r="P1215" s="145"/>
      <c r="Q1215" s="145"/>
      <c r="R1215" s="145"/>
      <c r="S1215" s="145"/>
      <c r="T1215" s="145"/>
      <c r="U1215" s="145"/>
      <c r="V1215" s="145"/>
      <c r="W1215" s="145"/>
      <c r="X1215" s="145"/>
      <c r="Y1215" s="145"/>
      <c r="Z1215" s="145"/>
      <c r="AA1215" s="145"/>
      <c r="AB1215" s="145"/>
      <c r="AC1215" s="145"/>
      <c r="AD1215" s="145"/>
      <c r="AE1215" s="145"/>
      <c r="AF1215" s="145"/>
      <c r="AG1215" s="145"/>
      <c r="AH1215" s="145"/>
      <c r="AI1215" s="145"/>
      <c r="AJ1215" s="145"/>
      <c r="AK1215" s="145"/>
      <c r="AL1215" s="145"/>
      <c r="AM1215" s="321"/>
      <c r="AN1215" s="321"/>
      <c r="AO1215" s="321"/>
      <c r="AP1215" s="321"/>
      <c r="AQ1215" s="321"/>
      <c r="AR1215" s="321"/>
      <c r="AS1215" s="321"/>
      <c r="AT1215" s="321"/>
    </row>
    <row r="1216" spans="10:46">
      <c r="J1216" s="145"/>
      <c r="K1216" s="145"/>
      <c r="L1216" s="145"/>
      <c r="M1216" s="145"/>
      <c r="N1216" s="145"/>
      <c r="O1216" s="145"/>
      <c r="P1216" s="145"/>
      <c r="Q1216" s="145"/>
      <c r="R1216" s="145"/>
      <c r="S1216" s="145"/>
      <c r="T1216" s="145"/>
      <c r="U1216" s="145"/>
      <c r="V1216" s="145"/>
      <c r="W1216" s="145"/>
      <c r="X1216" s="145"/>
      <c r="Y1216" s="145"/>
      <c r="Z1216" s="145"/>
      <c r="AA1216" s="145"/>
      <c r="AB1216" s="145"/>
      <c r="AC1216" s="145"/>
      <c r="AD1216" s="145"/>
      <c r="AE1216" s="145"/>
      <c r="AF1216" s="145"/>
      <c r="AG1216" s="145"/>
      <c r="AH1216" s="145"/>
      <c r="AI1216" s="145"/>
      <c r="AJ1216" s="145"/>
      <c r="AK1216" s="145"/>
      <c r="AL1216" s="145"/>
      <c r="AM1216" s="321"/>
      <c r="AN1216" s="321"/>
      <c r="AO1216" s="321"/>
      <c r="AP1216" s="321"/>
      <c r="AQ1216" s="321"/>
      <c r="AR1216" s="321"/>
      <c r="AS1216" s="321"/>
      <c r="AT1216" s="321"/>
    </row>
    <row r="1217" spans="10:46">
      <c r="J1217" s="145"/>
      <c r="K1217" s="145"/>
      <c r="L1217" s="145"/>
      <c r="M1217" s="145"/>
      <c r="N1217" s="145"/>
      <c r="O1217" s="145"/>
      <c r="P1217" s="145"/>
      <c r="Q1217" s="145"/>
      <c r="R1217" s="145"/>
      <c r="S1217" s="145"/>
      <c r="T1217" s="145"/>
      <c r="U1217" s="145"/>
      <c r="V1217" s="145"/>
      <c r="W1217" s="145"/>
      <c r="X1217" s="145"/>
      <c r="Y1217" s="145"/>
      <c r="Z1217" s="145"/>
      <c r="AA1217" s="145"/>
      <c r="AB1217" s="145"/>
      <c r="AC1217" s="145"/>
      <c r="AD1217" s="145"/>
      <c r="AE1217" s="145"/>
      <c r="AF1217" s="145"/>
      <c r="AG1217" s="145"/>
      <c r="AH1217" s="145"/>
      <c r="AI1217" s="145"/>
      <c r="AJ1217" s="145"/>
      <c r="AK1217" s="145"/>
      <c r="AL1217" s="145"/>
      <c r="AM1217" s="321"/>
      <c r="AN1217" s="321"/>
      <c r="AO1217" s="321"/>
      <c r="AP1217" s="321"/>
      <c r="AQ1217" s="321"/>
      <c r="AR1217" s="321"/>
      <c r="AS1217" s="321"/>
      <c r="AT1217" s="321"/>
    </row>
    <row r="1218" spans="10:46">
      <c r="J1218" s="145"/>
      <c r="K1218" s="145"/>
      <c r="L1218" s="145"/>
      <c r="M1218" s="145"/>
      <c r="N1218" s="145"/>
      <c r="O1218" s="145"/>
      <c r="P1218" s="145"/>
      <c r="Q1218" s="145"/>
      <c r="R1218" s="145"/>
      <c r="S1218" s="145"/>
      <c r="T1218" s="145"/>
      <c r="U1218" s="145"/>
      <c r="V1218" s="145"/>
      <c r="W1218" s="145"/>
      <c r="X1218" s="145"/>
      <c r="Y1218" s="145"/>
      <c r="Z1218" s="145"/>
      <c r="AA1218" s="145"/>
      <c r="AB1218" s="145"/>
      <c r="AC1218" s="145"/>
      <c r="AD1218" s="145"/>
      <c r="AE1218" s="145"/>
      <c r="AF1218" s="145"/>
      <c r="AG1218" s="145"/>
      <c r="AH1218" s="145"/>
      <c r="AI1218" s="145"/>
      <c r="AJ1218" s="145"/>
      <c r="AK1218" s="145"/>
      <c r="AL1218" s="145"/>
      <c r="AM1218" s="321"/>
      <c r="AN1218" s="321"/>
      <c r="AO1218" s="321"/>
      <c r="AP1218" s="321"/>
      <c r="AQ1218" s="321"/>
      <c r="AR1218" s="321"/>
      <c r="AS1218" s="321"/>
      <c r="AT1218" s="321"/>
    </row>
    <row r="1219" spans="10:46">
      <c r="J1219" s="145"/>
      <c r="K1219" s="145"/>
      <c r="L1219" s="145"/>
      <c r="M1219" s="145"/>
      <c r="N1219" s="145"/>
      <c r="O1219" s="145"/>
      <c r="P1219" s="145"/>
      <c r="Q1219" s="145"/>
      <c r="R1219" s="145"/>
      <c r="S1219" s="145"/>
      <c r="T1219" s="145"/>
      <c r="U1219" s="145"/>
      <c r="V1219" s="145"/>
      <c r="W1219" s="145"/>
      <c r="X1219" s="145"/>
      <c r="Y1219" s="145"/>
      <c r="Z1219" s="145"/>
      <c r="AA1219" s="145"/>
      <c r="AB1219" s="145"/>
      <c r="AC1219" s="145"/>
      <c r="AD1219" s="145"/>
      <c r="AE1219" s="145"/>
      <c r="AF1219" s="145"/>
      <c r="AG1219" s="145"/>
      <c r="AH1219" s="145"/>
      <c r="AI1219" s="145"/>
      <c r="AJ1219" s="145"/>
      <c r="AK1219" s="145"/>
      <c r="AL1219" s="145"/>
      <c r="AM1219" s="321"/>
      <c r="AN1219" s="321"/>
      <c r="AO1219" s="321"/>
      <c r="AP1219" s="321"/>
      <c r="AQ1219" s="321"/>
      <c r="AR1219" s="321"/>
      <c r="AS1219" s="321"/>
      <c r="AT1219" s="321"/>
    </row>
    <row r="1220" spans="10:46">
      <c r="J1220" s="145"/>
      <c r="K1220" s="145"/>
      <c r="L1220" s="145"/>
      <c r="M1220" s="145"/>
      <c r="N1220" s="145"/>
      <c r="O1220" s="145"/>
      <c r="P1220" s="145"/>
      <c r="Q1220" s="145"/>
      <c r="R1220" s="145"/>
      <c r="S1220" s="145"/>
      <c r="T1220" s="145"/>
      <c r="U1220" s="145"/>
      <c r="V1220" s="145"/>
      <c r="W1220" s="145"/>
      <c r="X1220" s="145"/>
      <c r="Y1220" s="145"/>
      <c r="Z1220" s="145"/>
      <c r="AA1220" s="145"/>
      <c r="AB1220" s="145"/>
      <c r="AC1220" s="145"/>
      <c r="AD1220" s="145"/>
      <c r="AE1220" s="145"/>
      <c r="AF1220" s="145"/>
      <c r="AG1220" s="145"/>
      <c r="AH1220" s="145"/>
      <c r="AI1220" s="145"/>
      <c r="AJ1220" s="145"/>
      <c r="AK1220" s="145"/>
      <c r="AL1220" s="145"/>
      <c r="AM1220" s="321"/>
      <c r="AN1220" s="321"/>
      <c r="AO1220" s="321"/>
      <c r="AP1220" s="321"/>
      <c r="AQ1220" s="321"/>
      <c r="AR1220" s="321"/>
      <c r="AS1220" s="321"/>
      <c r="AT1220" s="321"/>
    </row>
    <row r="1221" spans="10:46">
      <c r="J1221" s="145"/>
      <c r="K1221" s="145"/>
      <c r="L1221" s="145"/>
      <c r="M1221" s="145"/>
      <c r="N1221" s="145"/>
      <c r="O1221" s="145"/>
      <c r="P1221" s="145"/>
      <c r="Q1221" s="145"/>
      <c r="R1221" s="145"/>
      <c r="S1221" s="145"/>
      <c r="T1221" s="145"/>
      <c r="U1221" s="145"/>
      <c r="V1221" s="145"/>
      <c r="W1221" s="145"/>
      <c r="X1221" s="145"/>
      <c r="Y1221" s="145"/>
      <c r="Z1221" s="145"/>
      <c r="AA1221" s="145"/>
      <c r="AB1221" s="145"/>
      <c r="AC1221" s="145"/>
      <c r="AD1221" s="145"/>
      <c r="AE1221" s="145"/>
      <c r="AF1221" s="145"/>
      <c r="AG1221" s="145"/>
      <c r="AH1221" s="145"/>
      <c r="AI1221" s="145"/>
      <c r="AJ1221" s="145"/>
      <c r="AK1221" s="145"/>
      <c r="AL1221" s="145"/>
      <c r="AM1221" s="321"/>
      <c r="AN1221" s="321"/>
      <c r="AO1221" s="321"/>
      <c r="AP1221" s="321"/>
      <c r="AQ1221" s="321"/>
      <c r="AR1221" s="321"/>
      <c r="AS1221" s="321"/>
      <c r="AT1221" s="321"/>
    </row>
    <row r="1222" spans="10:46">
      <c r="J1222" s="145"/>
      <c r="K1222" s="145"/>
      <c r="L1222" s="145"/>
      <c r="M1222" s="145"/>
      <c r="N1222" s="145"/>
      <c r="O1222" s="145"/>
      <c r="P1222" s="145"/>
      <c r="Q1222" s="145"/>
      <c r="R1222" s="145"/>
      <c r="S1222" s="145"/>
      <c r="T1222" s="145"/>
      <c r="U1222" s="145"/>
      <c r="V1222" s="145"/>
      <c r="W1222" s="145"/>
      <c r="X1222" s="145"/>
      <c r="Y1222" s="145"/>
      <c r="Z1222" s="145"/>
      <c r="AA1222" s="145"/>
      <c r="AB1222" s="145"/>
      <c r="AC1222" s="145"/>
      <c r="AD1222" s="145"/>
      <c r="AE1222" s="145"/>
      <c r="AF1222" s="145"/>
      <c r="AG1222" s="145"/>
      <c r="AH1222" s="145"/>
      <c r="AI1222" s="145"/>
      <c r="AJ1222" s="145"/>
      <c r="AK1222" s="145"/>
      <c r="AL1222" s="145"/>
      <c r="AM1222" s="321"/>
      <c r="AN1222" s="321"/>
      <c r="AO1222" s="321"/>
      <c r="AP1222" s="321"/>
      <c r="AQ1222" s="321"/>
      <c r="AR1222" s="321"/>
      <c r="AS1222" s="321"/>
      <c r="AT1222" s="321"/>
    </row>
    <row r="1223" spans="10:46">
      <c r="J1223" s="145"/>
      <c r="K1223" s="145"/>
      <c r="L1223" s="145"/>
      <c r="M1223" s="145"/>
      <c r="N1223" s="145"/>
      <c r="O1223" s="145"/>
      <c r="P1223" s="145"/>
      <c r="Q1223" s="145"/>
      <c r="R1223" s="145"/>
      <c r="S1223" s="145"/>
      <c r="T1223" s="145"/>
      <c r="U1223" s="145"/>
      <c r="V1223" s="145"/>
      <c r="W1223" s="145"/>
      <c r="X1223" s="145"/>
      <c r="Y1223" s="145"/>
      <c r="Z1223" s="145"/>
      <c r="AA1223" s="145"/>
      <c r="AB1223" s="145"/>
      <c r="AC1223" s="145"/>
      <c r="AD1223" s="145"/>
      <c r="AE1223" s="145"/>
      <c r="AF1223" s="145"/>
      <c r="AG1223" s="145"/>
      <c r="AH1223" s="145"/>
      <c r="AI1223" s="145"/>
      <c r="AJ1223" s="145"/>
      <c r="AK1223" s="145"/>
      <c r="AL1223" s="145"/>
      <c r="AM1223" s="321"/>
      <c r="AN1223" s="321"/>
      <c r="AO1223" s="321"/>
      <c r="AP1223" s="321"/>
      <c r="AQ1223" s="321"/>
      <c r="AR1223" s="321"/>
      <c r="AS1223" s="321"/>
      <c r="AT1223" s="321"/>
    </row>
    <row r="1224" spans="10:46">
      <c r="J1224" s="145"/>
      <c r="K1224" s="145"/>
      <c r="L1224" s="145"/>
      <c r="M1224" s="145"/>
      <c r="N1224" s="145"/>
      <c r="O1224" s="145"/>
      <c r="P1224" s="145"/>
      <c r="Q1224" s="145"/>
      <c r="R1224" s="145"/>
      <c r="S1224" s="145"/>
      <c r="T1224" s="145"/>
      <c r="U1224" s="145"/>
      <c r="V1224" s="145"/>
      <c r="W1224" s="145"/>
      <c r="X1224" s="145"/>
      <c r="Y1224" s="145"/>
      <c r="Z1224" s="145"/>
      <c r="AA1224" s="145"/>
      <c r="AB1224" s="145"/>
      <c r="AC1224" s="145"/>
      <c r="AD1224" s="145"/>
      <c r="AE1224" s="145"/>
      <c r="AF1224" s="145"/>
      <c r="AG1224" s="145"/>
      <c r="AH1224" s="145"/>
      <c r="AI1224" s="145"/>
      <c r="AJ1224" s="145"/>
      <c r="AK1224" s="145"/>
      <c r="AL1224" s="145"/>
      <c r="AM1224" s="321"/>
      <c r="AN1224" s="321"/>
      <c r="AO1224" s="321"/>
      <c r="AP1224" s="321"/>
      <c r="AQ1224" s="321"/>
      <c r="AR1224" s="321"/>
      <c r="AS1224" s="321"/>
      <c r="AT1224" s="321"/>
    </row>
    <row r="1225" spans="10:46">
      <c r="J1225" s="145"/>
      <c r="K1225" s="145"/>
      <c r="L1225" s="145"/>
      <c r="M1225" s="145"/>
      <c r="N1225" s="145"/>
      <c r="O1225" s="145"/>
      <c r="P1225" s="145"/>
      <c r="Q1225" s="145"/>
      <c r="R1225" s="145"/>
      <c r="S1225" s="145"/>
      <c r="T1225" s="145"/>
      <c r="U1225" s="145"/>
      <c r="V1225" s="145"/>
      <c r="W1225" s="145"/>
      <c r="X1225" s="145"/>
      <c r="Y1225" s="145"/>
      <c r="Z1225" s="145"/>
      <c r="AA1225" s="145"/>
      <c r="AB1225" s="145"/>
      <c r="AC1225" s="145"/>
      <c r="AD1225" s="145"/>
      <c r="AE1225" s="145"/>
      <c r="AF1225" s="145"/>
      <c r="AG1225" s="145"/>
      <c r="AH1225" s="145"/>
      <c r="AI1225" s="145"/>
      <c r="AJ1225" s="145"/>
      <c r="AK1225" s="145"/>
      <c r="AL1225" s="145"/>
      <c r="AM1225" s="321"/>
      <c r="AN1225" s="321"/>
      <c r="AO1225" s="321"/>
      <c r="AP1225" s="321"/>
      <c r="AQ1225" s="321"/>
      <c r="AR1225" s="321"/>
      <c r="AS1225" s="321"/>
      <c r="AT1225" s="321"/>
    </row>
    <row r="1226" spans="10:46">
      <c r="J1226" s="145"/>
      <c r="K1226" s="145"/>
      <c r="L1226" s="145"/>
      <c r="M1226" s="145"/>
      <c r="N1226" s="145"/>
      <c r="O1226" s="145"/>
      <c r="P1226" s="145"/>
      <c r="Q1226" s="145"/>
      <c r="R1226" s="145"/>
      <c r="S1226" s="145"/>
      <c r="T1226" s="145"/>
      <c r="U1226" s="145"/>
      <c r="V1226" s="145"/>
      <c r="W1226" s="145"/>
      <c r="X1226" s="145"/>
      <c r="Y1226" s="145"/>
      <c r="Z1226" s="145"/>
      <c r="AA1226" s="145"/>
      <c r="AB1226" s="145"/>
      <c r="AC1226" s="145"/>
      <c r="AD1226" s="145"/>
      <c r="AE1226" s="145"/>
      <c r="AF1226" s="145"/>
      <c r="AG1226" s="145"/>
      <c r="AH1226" s="145"/>
      <c r="AI1226" s="145"/>
      <c r="AJ1226" s="145"/>
      <c r="AK1226" s="145"/>
      <c r="AL1226" s="145"/>
      <c r="AM1226" s="321"/>
      <c r="AN1226" s="321"/>
      <c r="AO1226" s="321"/>
      <c r="AP1226" s="321"/>
      <c r="AQ1226" s="321"/>
      <c r="AR1226" s="321"/>
      <c r="AS1226" s="321"/>
      <c r="AT1226" s="321"/>
    </row>
    <row r="1227" spans="10:46">
      <c r="J1227" s="145"/>
      <c r="K1227" s="145"/>
      <c r="L1227" s="145"/>
      <c r="M1227" s="145"/>
      <c r="N1227" s="145"/>
      <c r="O1227" s="145"/>
      <c r="P1227" s="145"/>
      <c r="Q1227" s="145"/>
      <c r="R1227" s="145"/>
      <c r="S1227" s="145"/>
      <c r="T1227" s="145"/>
      <c r="U1227" s="145"/>
      <c r="V1227" s="145"/>
      <c r="W1227" s="145"/>
      <c r="X1227" s="145"/>
      <c r="Y1227" s="145"/>
      <c r="Z1227" s="145"/>
      <c r="AA1227" s="145"/>
      <c r="AB1227" s="145"/>
      <c r="AC1227" s="145"/>
      <c r="AD1227" s="145"/>
      <c r="AE1227" s="145"/>
      <c r="AF1227" s="145"/>
      <c r="AG1227" s="145"/>
      <c r="AH1227" s="145"/>
      <c r="AI1227" s="145"/>
      <c r="AJ1227" s="145"/>
      <c r="AK1227" s="145"/>
      <c r="AL1227" s="145"/>
      <c r="AM1227" s="321"/>
      <c r="AN1227" s="321"/>
      <c r="AO1227" s="321"/>
      <c r="AP1227" s="321"/>
      <c r="AQ1227" s="321"/>
      <c r="AR1227" s="321"/>
      <c r="AS1227" s="321"/>
      <c r="AT1227" s="321"/>
    </row>
    <row r="1228" spans="10:46">
      <c r="J1228" s="145"/>
      <c r="K1228" s="145"/>
      <c r="L1228" s="145"/>
      <c r="M1228" s="145"/>
      <c r="N1228" s="145"/>
      <c r="O1228" s="145"/>
      <c r="P1228" s="145"/>
      <c r="Q1228" s="145"/>
      <c r="R1228" s="145"/>
      <c r="S1228" s="145"/>
      <c r="T1228" s="145"/>
      <c r="U1228" s="145"/>
      <c r="V1228" s="145"/>
      <c r="W1228" s="145"/>
      <c r="X1228" s="145"/>
      <c r="Y1228" s="145"/>
      <c r="Z1228" s="145"/>
      <c r="AA1228" s="145"/>
      <c r="AB1228" s="145"/>
      <c r="AC1228" s="145"/>
      <c r="AD1228" s="145"/>
      <c r="AE1228" s="145"/>
      <c r="AF1228" s="145"/>
      <c r="AG1228" s="145"/>
      <c r="AH1228" s="145"/>
      <c r="AI1228" s="145"/>
      <c r="AJ1228" s="145"/>
      <c r="AK1228" s="145"/>
      <c r="AL1228" s="145"/>
      <c r="AM1228" s="321"/>
      <c r="AN1228" s="321"/>
      <c r="AO1228" s="321"/>
      <c r="AP1228" s="321"/>
      <c r="AQ1228" s="321"/>
      <c r="AR1228" s="321"/>
      <c r="AS1228" s="321"/>
      <c r="AT1228" s="321"/>
    </row>
    <row r="1229" spans="10:46">
      <c r="J1229" s="145"/>
      <c r="K1229" s="145"/>
      <c r="L1229" s="145"/>
      <c r="M1229" s="145"/>
      <c r="N1229" s="145"/>
      <c r="O1229" s="145"/>
      <c r="P1229" s="145"/>
      <c r="Q1229" s="145"/>
      <c r="R1229" s="145"/>
      <c r="S1229" s="145"/>
      <c r="T1229" s="145"/>
      <c r="U1229" s="145"/>
      <c r="V1229" s="145"/>
      <c r="W1229" s="145"/>
      <c r="X1229" s="145"/>
      <c r="Y1229" s="145"/>
      <c r="Z1229" s="145"/>
      <c r="AA1229" s="145"/>
      <c r="AB1229" s="145"/>
      <c r="AC1229" s="145"/>
      <c r="AD1229" s="145"/>
      <c r="AE1229" s="145"/>
      <c r="AF1229" s="145"/>
      <c r="AG1229" s="145"/>
      <c r="AH1229" s="145"/>
      <c r="AI1229" s="145"/>
      <c r="AJ1229" s="145"/>
      <c r="AK1229" s="145"/>
      <c r="AL1229" s="145"/>
      <c r="AM1229" s="321"/>
      <c r="AN1229" s="321"/>
      <c r="AO1229" s="321"/>
      <c r="AP1229" s="321"/>
      <c r="AQ1229" s="321"/>
      <c r="AR1229" s="321"/>
      <c r="AS1229" s="321"/>
      <c r="AT1229" s="321"/>
    </row>
    <row r="1230" spans="10:46">
      <c r="J1230" s="145"/>
      <c r="K1230" s="145"/>
      <c r="L1230" s="145"/>
      <c r="M1230" s="145"/>
      <c r="N1230" s="145"/>
      <c r="O1230" s="145"/>
      <c r="P1230" s="145"/>
      <c r="Q1230" s="145"/>
      <c r="R1230" s="145"/>
      <c r="S1230" s="145"/>
      <c r="T1230" s="145"/>
      <c r="U1230" s="145"/>
      <c r="V1230" s="145"/>
      <c r="W1230" s="145"/>
      <c r="X1230" s="145"/>
      <c r="Y1230" s="145"/>
      <c r="Z1230" s="145"/>
      <c r="AA1230" s="145"/>
      <c r="AB1230" s="145"/>
      <c r="AC1230" s="145"/>
      <c r="AD1230" s="145"/>
      <c r="AE1230" s="145"/>
      <c r="AF1230" s="145"/>
      <c r="AG1230" s="145"/>
      <c r="AH1230" s="145"/>
      <c r="AI1230" s="145"/>
      <c r="AJ1230" s="145"/>
      <c r="AK1230" s="145"/>
      <c r="AL1230" s="145"/>
      <c r="AM1230" s="321"/>
      <c r="AN1230" s="321"/>
      <c r="AO1230" s="321"/>
      <c r="AP1230" s="321"/>
      <c r="AQ1230" s="321"/>
      <c r="AR1230" s="321"/>
      <c r="AS1230" s="321"/>
      <c r="AT1230" s="321"/>
    </row>
    <row r="1231" spans="10:46">
      <c r="J1231" s="145"/>
      <c r="K1231" s="145"/>
      <c r="L1231" s="145"/>
      <c r="M1231" s="145"/>
      <c r="N1231" s="145"/>
      <c r="O1231" s="145"/>
      <c r="P1231" s="145"/>
      <c r="Q1231" s="145"/>
      <c r="R1231" s="145"/>
      <c r="S1231" s="145"/>
      <c r="T1231" s="145"/>
      <c r="U1231" s="145"/>
      <c r="V1231" s="145"/>
      <c r="W1231" s="145"/>
      <c r="X1231" s="145"/>
      <c r="Y1231" s="145"/>
      <c r="Z1231" s="145"/>
      <c r="AA1231" s="145"/>
      <c r="AB1231" s="145"/>
      <c r="AC1231" s="145"/>
      <c r="AD1231" s="145"/>
      <c r="AE1231" s="145"/>
      <c r="AF1231" s="145"/>
      <c r="AG1231" s="145"/>
      <c r="AH1231" s="145"/>
      <c r="AI1231" s="145"/>
      <c r="AJ1231" s="145"/>
      <c r="AK1231" s="145"/>
      <c r="AL1231" s="145"/>
      <c r="AM1231" s="321"/>
      <c r="AN1231" s="321"/>
      <c r="AO1231" s="321"/>
      <c r="AP1231" s="321"/>
      <c r="AQ1231" s="321"/>
      <c r="AR1231" s="321"/>
      <c r="AS1231" s="321"/>
      <c r="AT1231" s="321"/>
    </row>
    <row r="1232" spans="10:46">
      <c r="J1232" s="145"/>
      <c r="K1232" s="145"/>
      <c r="L1232" s="145"/>
      <c r="M1232" s="145"/>
      <c r="N1232" s="145"/>
      <c r="O1232" s="145"/>
      <c r="P1232" s="145"/>
      <c r="Q1232" s="145"/>
      <c r="R1232" s="145"/>
      <c r="S1232" s="145"/>
      <c r="T1232" s="145"/>
      <c r="U1232" s="145"/>
      <c r="V1232" s="145"/>
      <c r="W1232" s="145"/>
      <c r="X1232" s="145"/>
      <c r="Y1232" s="145"/>
      <c r="Z1232" s="145"/>
      <c r="AA1232" s="145"/>
      <c r="AB1232" s="145"/>
      <c r="AC1232" s="145"/>
      <c r="AD1232" s="145"/>
      <c r="AE1232" s="145"/>
      <c r="AF1232" s="145"/>
      <c r="AG1232" s="145"/>
      <c r="AH1232" s="145"/>
      <c r="AI1232" s="145"/>
      <c r="AJ1232" s="145"/>
      <c r="AK1232" s="145"/>
      <c r="AL1232" s="145"/>
      <c r="AM1232" s="321"/>
      <c r="AN1232" s="321"/>
      <c r="AO1232" s="321"/>
      <c r="AP1232" s="321"/>
      <c r="AQ1232" s="321"/>
      <c r="AR1232" s="321"/>
      <c r="AS1232" s="321"/>
      <c r="AT1232" s="321"/>
    </row>
    <row r="1233" spans="10:46">
      <c r="J1233" s="145"/>
      <c r="K1233" s="145"/>
      <c r="L1233" s="145"/>
      <c r="M1233" s="145"/>
      <c r="N1233" s="145"/>
      <c r="O1233" s="145"/>
      <c r="P1233" s="145"/>
      <c r="Q1233" s="145"/>
      <c r="R1233" s="145"/>
      <c r="S1233" s="145"/>
      <c r="T1233" s="145"/>
      <c r="U1233" s="145"/>
      <c r="V1233" s="145"/>
      <c r="W1233" s="145"/>
      <c r="X1233" s="145"/>
      <c r="Y1233" s="145"/>
      <c r="Z1233" s="145"/>
      <c r="AA1233" s="145"/>
      <c r="AB1233" s="145"/>
      <c r="AC1233" s="145"/>
      <c r="AD1233" s="145"/>
      <c r="AE1233" s="145"/>
      <c r="AF1233" s="145"/>
      <c r="AG1233" s="145"/>
      <c r="AH1233" s="145"/>
      <c r="AI1233" s="145"/>
      <c r="AJ1233" s="145"/>
      <c r="AK1233" s="145"/>
      <c r="AL1233" s="145"/>
      <c r="AM1233" s="321"/>
      <c r="AN1233" s="321"/>
      <c r="AO1233" s="321"/>
      <c r="AP1233" s="321"/>
      <c r="AQ1233" s="321"/>
      <c r="AR1233" s="321"/>
      <c r="AS1233" s="321"/>
      <c r="AT1233" s="321"/>
    </row>
    <row r="1234" spans="10:46">
      <c r="J1234" s="145"/>
      <c r="K1234" s="145"/>
      <c r="L1234" s="145"/>
      <c r="M1234" s="145"/>
      <c r="N1234" s="145"/>
      <c r="O1234" s="145"/>
      <c r="P1234" s="145"/>
      <c r="Q1234" s="145"/>
      <c r="R1234" s="145"/>
      <c r="S1234" s="145"/>
      <c r="T1234" s="145"/>
      <c r="U1234" s="145"/>
      <c r="V1234" s="145"/>
      <c r="W1234" s="145"/>
      <c r="X1234" s="145"/>
      <c r="Y1234" s="145"/>
      <c r="Z1234" s="145"/>
      <c r="AA1234" s="145"/>
      <c r="AB1234" s="145"/>
      <c r="AC1234" s="145"/>
      <c r="AD1234" s="145"/>
      <c r="AE1234" s="145"/>
      <c r="AF1234" s="145"/>
      <c r="AG1234" s="145"/>
      <c r="AH1234" s="145"/>
      <c r="AI1234" s="145"/>
      <c r="AJ1234" s="145"/>
      <c r="AK1234" s="145"/>
      <c r="AL1234" s="145"/>
      <c r="AM1234" s="321"/>
      <c r="AN1234" s="321"/>
      <c r="AO1234" s="321"/>
      <c r="AP1234" s="321"/>
      <c r="AQ1234" s="321"/>
      <c r="AR1234" s="321"/>
      <c r="AS1234" s="321"/>
      <c r="AT1234" s="321"/>
    </row>
    <row r="1235" spans="10:46">
      <c r="J1235" s="145"/>
      <c r="K1235" s="145"/>
      <c r="L1235" s="145"/>
      <c r="M1235" s="145"/>
      <c r="N1235" s="145"/>
      <c r="O1235" s="145"/>
      <c r="P1235" s="145"/>
      <c r="Q1235" s="145"/>
      <c r="R1235" s="145"/>
      <c r="S1235" s="145"/>
      <c r="T1235" s="145"/>
      <c r="U1235" s="145"/>
      <c r="V1235" s="145"/>
      <c r="W1235" s="145"/>
      <c r="X1235" s="145"/>
      <c r="Y1235" s="145"/>
      <c r="Z1235" s="145"/>
      <c r="AA1235" s="145"/>
      <c r="AB1235" s="145"/>
      <c r="AC1235" s="145"/>
      <c r="AD1235" s="145"/>
      <c r="AE1235" s="145"/>
      <c r="AF1235" s="145"/>
      <c r="AG1235" s="145"/>
      <c r="AH1235" s="145"/>
      <c r="AI1235" s="145"/>
      <c r="AJ1235" s="145"/>
      <c r="AK1235" s="145"/>
      <c r="AL1235" s="145"/>
      <c r="AM1235" s="321"/>
      <c r="AN1235" s="321"/>
      <c r="AO1235" s="321"/>
      <c r="AP1235" s="321"/>
      <c r="AQ1235" s="321"/>
      <c r="AR1235" s="321"/>
      <c r="AS1235" s="321"/>
      <c r="AT1235" s="321"/>
    </row>
    <row r="1236" spans="10:46">
      <c r="J1236" s="145"/>
      <c r="K1236" s="145"/>
      <c r="L1236" s="145"/>
      <c r="M1236" s="145"/>
      <c r="N1236" s="145"/>
      <c r="O1236" s="145"/>
      <c r="P1236" s="145"/>
      <c r="Q1236" s="145"/>
      <c r="R1236" s="145"/>
      <c r="S1236" s="145"/>
      <c r="T1236" s="145"/>
      <c r="U1236" s="145"/>
      <c r="V1236" s="145"/>
      <c r="W1236" s="145"/>
      <c r="X1236" s="145"/>
      <c r="Y1236" s="145"/>
      <c r="Z1236" s="145"/>
      <c r="AA1236" s="145"/>
      <c r="AB1236" s="145"/>
      <c r="AC1236" s="145"/>
      <c r="AD1236" s="145"/>
      <c r="AE1236" s="145"/>
      <c r="AF1236" s="145"/>
      <c r="AG1236" s="145"/>
      <c r="AH1236" s="145"/>
      <c r="AI1236" s="145"/>
      <c r="AJ1236" s="145"/>
      <c r="AK1236" s="145"/>
      <c r="AL1236" s="145"/>
      <c r="AM1236" s="321"/>
      <c r="AN1236" s="321"/>
      <c r="AO1236" s="321"/>
      <c r="AP1236" s="321"/>
      <c r="AQ1236" s="321"/>
      <c r="AR1236" s="321"/>
      <c r="AS1236" s="321"/>
      <c r="AT1236" s="321"/>
    </row>
    <row r="1237" spans="10:46">
      <c r="J1237" s="145"/>
      <c r="K1237" s="145"/>
      <c r="L1237" s="145"/>
      <c r="M1237" s="145"/>
      <c r="N1237" s="145"/>
      <c r="O1237" s="145"/>
      <c r="P1237" s="145"/>
      <c r="Q1237" s="145"/>
      <c r="R1237" s="145"/>
      <c r="S1237" s="145"/>
      <c r="T1237" s="145"/>
      <c r="U1237" s="145"/>
      <c r="V1237" s="145"/>
      <c r="W1237" s="145"/>
      <c r="X1237" s="145"/>
      <c r="Y1237" s="145"/>
      <c r="Z1237" s="145"/>
      <c r="AA1237" s="145"/>
      <c r="AB1237" s="145"/>
      <c r="AC1237" s="145"/>
      <c r="AD1237" s="145"/>
      <c r="AE1237" s="145"/>
      <c r="AF1237" s="145"/>
      <c r="AG1237" s="145"/>
      <c r="AH1237" s="145"/>
      <c r="AI1237" s="145"/>
      <c r="AJ1237" s="145"/>
      <c r="AK1237" s="145"/>
      <c r="AL1237" s="145"/>
      <c r="AM1237" s="321"/>
      <c r="AN1237" s="321"/>
      <c r="AO1237" s="321"/>
      <c r="AP1237" s="321"/>
      <c r="AQ1237" s="321"/>
      <c r="AR1237" s="321"/>
      <c r="AS1237" s="321"/>
      <c r="AT1237" s="321"/>
    </row>
    <row r="1238" spans="10:46">
      <c r="J1238" s="145"/>
      <c r="K1238" s="145"/>
      <c r="L1238" s="145"/>
      <c r="M1238" s="145"/>
      <c r="N1238" s="145"/>
      <c r="O1238" s="145"/>
      <c r="P1238" s="145"/>
      <c r="Q1238" s="145"/>
      <c r="R1238" s="145"/>
      <c r="S1238" s="145"/>
      <c r="T1238" s="145"/>
      <c r="U1238" s="145"/>
      <c r="V1238" s="145"/>
      <c r="W1238" s="145"/>
      <c r="X1238" s="145"/>
      <c r="Y1238" s="145"/>
      <c r="Z1238" s="145"/>
      <c r="AA1238" s="145"/>
      <c r="AB1238" s="145"/>
      <c r="AC1238" s="145"/>
      <c r="AD1238" s="145"/>
      <c r="AE1238" s="145"/>
      <c r="AF1238" s="145"/>
      <c r="AG1238" s="145"/>
      <c r="AH1238" s="145"/>
      <c r="AI1238" s="145"/>
      <c r="AJ1238" s="145"/>
      <c r="AK1238" s="145"/>
      <c r="AL1238" s="145"/>
      <c r="AM1238" s="321"/>
      <c r="AN1238" s="321"/>
      <c r="AO1238" s="321"/>
      <c r="AP1238" s="321"/>
      <c r="AQ1238" s="321"/>
      <c r="AR1238" s="321"/>
      <c r="AS1238" s="321"/>
      <c r="AT1238" s="321"/>
    </row>
    <row r="1239" spans="10:46">
      <c r="J1239" s="145"/>
      <c r="K1239" s="145"/>
      <c r="L1239" s="145"/>
      <c r="M1239" s="145"/>
      <c r="N1239" s="145"/>
      <c r="O1239" s="145"/>
      <c r="P1239" s="145"/>
      <c r="Q1239" s="145"/>
      <c r="R1239" s="145"/>
      <c r="S1239" s="145"/>
      <c r="T1239" s="145"/>
      <c r="U1239" s="145"/>
      <c r="V1239" s="145"/>
      <c r="W1239" s="145"/>
      <c r="X1239" s="145"/>
      <c r="Y1239" s="145"/>
      <c r="Z1239" s="145"/>
      <c r="AA1239" s="145"/>
      <c r="AB1239" s="145"/>
      <c r="AC1239" s="145"/>
      <c r="AD1239" s="145"/>
      <c r="AE1239" s="145"/>
      <c r="AF1239" s="145"/>
      <c r="AG1239" s="145"/>
      <c r="AH1239" s="145"/>
      <c r="AI1239" s="145"/>
      <c r="AJ1239" s="145"/>
      <c r="AK1239" s="145"/>
      <c r="AL1239" s="145"/>
      <c r="AM1239" s="321"/>
      <c r="AN1239" s="321"/>
      <c r="AO1239" s="321"/>
      <c r="AP1239" s="321"/>
      <c r="AQ1239" s="321"/>
      <c r="AR1239" s="321"/>
      <c r="AS1239" s="321"/>
      <c r="AT1239" s="321"/>
    </row>
    <row r="1240" spans="10:46">
      <c r="J1240" s="145"/>
      <c r="K1240" s="145"/>
      <c r="L1240" s="145"/>
      <c r="M1240" s="145"/>
      <c r="N1240" s="145"/>
      <c r="O1240" s="145"/>
      <c r="P1240" s="145"/>
      <c r="Q1240" s="145"/>
      <c r="R1240" s="145"/>
      <c r="S1240" s="145"/>
      <c r="T1240" s="145"/>
      <c r="U1240" s="145"/>
      <c r="V1240" s="145"/>
      <c r="W1240" s="145"/>
      <c r="X1240" s="145"/>
      <c r="Y1240" s="145"/>
      <c r="Z1240" s="145"/>
      <c r="AA1240" s="145"/>
      <c r="AB1240" s="145"/>
      <c r="AC1240" s="145"/>
      <c r="AD1240" s="145"/>
      <c r="AE1240" s="145"/>
      <c r="AF1240" s="145"/>
      <c r="AG1240" s="145"/>
      <c r="AH1240" s="145"/>
      <c r="AI1240" s="145"/>
      <c r="AJ1240" s="145"/>
      <c r="AK1240" s="145"/>
      <c r="AL1240" s="145"/>
      <c r="AM1240" s="321"/>
      <c r="AN1240" s="321"/>
      <c r="AO1240" s="321"/>
      <c r="AP1240" s="321"/>
      <c r="AQ1240" s="321"/>
      <c r="AR1240" s="321"/>
      <c r="AS1240" s="321"/>
      <c r="AT1240" s="321"/>
    </row>
    <row r="1241" spans="10:46">
      <c r="J1241" s="145"/>
      <c r="K1241" s="145"/>
      <c r="L1241" s="145"/>
      <c r="M1241" s="145"/>
      <c r="N1241" s="145"/>
      <c r="O1241" s="145"/>
      <c r="P1241" s="145"/>
      <c r="Q1241" s="145"/>
      <c r="R1241" s="145"/>
      <c r="S1241" s="145"/>
      <c r="T1241" s="145"/>
      <c r="U1241" s="145"/>
      <c r="V1241" s="145"/>
      <c r="W1241" s="145"/>
      <c r="X1241" s="145"/>
      <c r="Y1241" s="145"/>
      <c r="Z1241" s="145"/>
      <c r="AA1241" s="145"/>
      <c r="AB1241" s="145"/>
      <c r="AC1241" s="145"/>
      <c r="AD1241" s="145"/>
      <c r="AE1241" s="145"/>
      <c r="AF1241" s="145"/>
      <c r="AG1241" s="145"/>
      <c r="AH1241" s="145"/>
      <c r="AI1241" s="145"/>
      <c r="AJ1241" s="145"/>
      <c r="AK1241" s="145"/>
      <c r="AL1241" s="145"/>
      <c r="AM1241" s="321"/>
      <c r="AN1241" s="321"/>
      <c r="AO1241" s="321"/>
      <c r="AP1241" s="321"/>
      <c r="AQ1241" s="321"/>
      <c r="AR1241" s="321"/>
      <c r="AS1241" s="321"/>
      <c r="AT1241" s="321"/>
    </row>
    <row r="1242" spans="10:46">
      <c r="J1242" s="145"/>
      <c r="K1242" s="145"/>
      <c r="L1242" s="145"/>
      <c r="M1242" s="145"/>
      <c r="N1242" s="145"/>
      <c r="O1242" s="145"/>
      <c r="P1242" s="145"/>
      <c r="Q1242" s="145"/>
      <c r="R1242" s="145"/>
      <c r="S1242" s="145"/>
      <c r="T1242" s="145"/>
      <c r="U1242" s="145"/>
      <c r="V1242" s="145"/>
      <c r="W1242" s="145"/>
      <c r="X1242" s="145"/>
      <c r="Y1242" s="145"/>
      <c r="Z1242" s="145"/>
      <c r="AA1242" s="145"/>
      <c r="AB1242" s="145"/>
      <c r="AC1242" s="145"/>
      <c r="AD1242" s="145"/>
      <c r="AE1242" s="145"/>
      <c r="AF1242" s="145"/>
      <c r="AG1242" s="145"/>
      <c r="AH1242" s="145"/>
      <c r="AI1242" s="145"/>
      <c r="AJ1242" s="145"/>
      <c r="AK1242" s="145"/>
      <c r="AL1242" s="145"/>
      <c r="AM1242" s="321"/>
      <c r="AN1242" s="321"/>
      <c r="AO1242" s="321"/>
      <c r="AP1242" s="321"/>
      <c r="AQ1242" s="321"/>
      <c r="AR1242" s="321"/>
      <c r="AS1242" s="321"/>
      <c r="AT1242" s="321"/>
    </row>
    <row r="1243" spans="10:46">
      <c r="J1243" s="145"/>
      <c r="K1243" s="145"/>
      <c r="L1243" s="145"/>
      <c r="M1243" s="145"/>
      <c r="N1243" s="145"/>
      <c r="O1243" s="145"/>
      <c r="P1243" s="145"/>
      <c r="Q1243" s="145"/>
      <c r="R1243" s="145"/>
      <c r="S1243" s="145"/>
      <c r="T1243" s="145"/>
      <c r="U1243" s="145"/>
      <c r="V1243" s="145"/>
      <c r="W1243" s="145"/>
      <c r="X1243" s="145"/>
      <c r="Y1243" s="145"/>
      <c r="Z1243" s="145"/>
      <c r="AA1243" s="145"/>
      <c r="AB1243" s="145"/>
      <c r="AC1243" s="145"/>
      <c r="AD1243" s="145"/>
      <c r="AE1243" s="145"/>
      <c r="AF1243" s="145"/>
      <c r="AG1243" s="145"/>
      <c r="AH1243" s="145"/>
      <c r="AI1243" s="145"/>
      <c r="AJ1243" s="145"/>
      <c r="AK1243" s="145"/>
      <c r="AL1243" s="145"/>
      <c r="AM1243" s="321"/>
      <c r="AN1243" s="321"/>
      <c r="AO1243" s="321"/>
      <c r="AP1243" s="321"/>
      <c r="AQ1243" s="321"/>
      <c r="AR1243" s="321"/>
      <c r="AS1243" s="321"/>
      <c r="AT1243" s="321"/>
    </row>
    <row r="1244" spans="10:46">
      <c r="J1244" s="145"/>
      <c r="K1244" s="145"/>
      <c r="L1244" s="145"/>
      <c r="M1244" s="145"/>
      <c r="N1244" s="145"/>
      <c r="O1244" s="145"/>
      <c r="P1244" s="145"/>
      <c r="Q1244" s="145"/>
      <c r="R1244" s="145"/>
      <c r="S1244" s="145"/>
      <c r="T1244" s="145"/>
      <c r="U1244" s="145"/>
      <c r="V1244" s="145"/>
      <c r="W1244" s="145"/>
      <c r="X1244" s="145"/>
      <c r="Y1244" s="145"/>
      <c r="Z1244" s="145"/>
      <c r="AA1244" s="145"/>
      <c r="AB1244" s="145"/>
      <c r="AC1244" s="145"/>
      <c r="AD1244" s="145"/>
      <c r="AE1244" s="145"/>
      <c r="AF1244" s="145"/>
      <c r="AG1244" s="145"/>
      <c r="AH1244" s="145"/>
      <c r="AI1244" s="145"/>
      <c r="AJ1244" s="145"/>
      <c r="AK1244" s="145"/>
      <c r="AL1244" s="145"/>
      <c r="AM1244" s="321"/>
      <c r="AN1244" s="321"/>
      <c r="AO1244" s="321"/>
      <c r="AP1244" s="321"/>
      <c r="AQ1244" s="321"/>
      <c r="AR1244" s="321"/>
      <c r="AS1244" s="321"/>
      <c r="AT1244" s="321"/>
    </row>
    <row r="1245" spans="10:46">
      <c r="J1245" s="145"/>
      <c r="K1245" s="145"/>
      <c r="L1245" s="145"/>
      <c r="M1245" s="145"/>
      <c r="N1245" s="145"/>
      <c r="O1245" s="145"/>
      <c r="P1245" s="145"/>
      <c r="Q1245" s="145"/>
      <c r="R1245" s="145"/>
      <c r="S1245" s="145"/>
      <c r="T1245" s="145"/>
      <c r="U1245" s="145"/>
      <c r="V1245" s="145"/>
      <c r="W1245" s="145"/>
      <c r="X1245" s="145"/>
      <c r="Y1245" s="145"/>
      <c r="Z1245" s="145"/>
      <c r="AA1245" s="145"/>
      <c r="AB1245" s="145"/>
      <c r="AC1245" s="145"/>
      <c r="AD1245" s="145"/>
      <c r="AE1245" s="145"/>
      <c r="AF1245" s="145"/>
      <c r="AG1245" s="145"/>
      <c r="AH1245" s="145"/>
      <c r="AI1245" s="145"/>
      <c r="AJ1245" s="145"/>
      <c r="AK1245" s="145"/>
      <c r="AL1245" s="145"/>
      <c r="AM1245" s="321"/>
      <c r="AN1245" s="321"/>
      <c r="AO1245" s="321"/>
      <c r="AP1245" s="321"/>
      <c r="AQ1245" s="321"/>
      <c r="AR1245" s="321"/>
      <c r="AS1245" s="321"/>
      <c r="AT1245" s="321"/>
    </row>
    <row r="1246" spans="10:46">
      <c r="J1246" s="145"/>
      <c r="K1246" s="145"/>
      <c r="L1246" s="145"/>
      <c r="M1246" s="145"/>
      <c r="N1246" s="145"/>
      <c r="O1246" s="145"/>
      <c r="P1246" s="145"/>
      <c r="Q1246" s="145"/>
      <c r="R1246" s="145"/>
      <c r="S1246" s="145"/>
      <c r="T1246" s="145"/>
      <c r="U1246" s="145"/>
      <c r="V1246" s="145"/>
      <c r="W1246" s="145"/>
      <c r="X1246" s="145"/>
      <c r="Y1246" s="145"/>
      <c r="Z1246" s="145"/>
      <c r="AA1246" s="145"/>
      <c r="AB1246" s="145"/>
      <c r="AC1246" s="145"/>
      <c r="AD1246" s="145"/>
      <c r="AE1246" s="145"/>
      <c r="AF1246" s="145"/>
      <c r="AG1246" s="145"/>
      <c r="AH1246" s="145"/>
      <c r="AI1246" s="145"/>
      <c r="AJ1246" s="145"/>
      <c r="AK1246" s="145"/>
      <c r="AL1246" s="145"/>
      <c r="AM1246" s="321"/>
      <c r="AN1246" s="321"/>
      <c r="AO1246" s="321"/>
      <c r="AP1246" s="321"/>
      <c r="AQ1246" s="321"/>
      <c r="AR1246" s="321"/>
      <c r="AS1246" s="321"/>
      <c r="AT1246" s="321"/>
    </row>
    <row r="1247" spans="10:46">
      <c r="J1247" s="145"/>
      <c r="K1247" s="145"/>
      <c r="L1247" s="145"/>
      <c r="M1247" s="145"/>
      <c r="N1247" s="145"/>
      <c r="O1247" s="145"/>
      <c r="P1247" s="145"/>
      <c r="Q1247" s="145"/>
      <c r="R1247" s="145"/>
      <c r="S1247" s="145"/>
      <c r="T1247" s="145"/>
      <c r="U1247" s="145"/>
      <c r="V1247" s="145"/>
      <c r="W1247" s="145"/>
      <c r="X1247" s="145"/>
      <c r="Y1247" s="145"/>
      <c r="Z1247" s="145"/>
      <c r="AA1247" s="145"/>
      <c r="AB1247" s="145"/>
      <c r="AC1247" s="145"/>
      <c r="AD1247" s="145"/>
      <c r="AE1247" s="145"/>
      <c r="AF1247" s="145"/>
      <c r="AG1247" s="145"/>
      <c r="AH1247" s="145"/>
      <c r="AI1247" s="145"/>
      <c r="AJ1247" s="145"/>
      <c r="AK1247" s="145"/>
      <c r="AL1247" s="145"/>
      <c r="AM1247" s="321"/>
      <c r="AN1247" s="321"/>
      <c r="AO1247" s="321"/>
      <c r="AP1247" s="321"/>
      <c r="AQ1247" s="321"/>
      <c r="AR1247" s="321"/>
      <c r="AS1247" s="321"/>
      <c r="AT1247" s="321"/>
    </row>
    <row r="1248" spans="10:46">
      <c r="J1248" s="145"/>
      <c r="K1248" s="145"/>
      <c r="L1248" s="145"/>
      <c r="M1248" s="145"/>
      <c r="N1248" s="145"/>
      <c r="O1248" s="145"/>
      <c r="P1248" s="145"/>
      <c r="Q1248" s="145"/>
      <c r="R1248" s="145"/>
      <c r="S1248" s="145"/>
      <c r="T1248" s="145"/>
      <c r="U1248" s="145"/>
      <c r="V1248" s="145"/>
      <c r="W1248" s="145"/>
      <c r="X1248" s="145"/>
      <c r="Y1248" s="145"/>
      <c r="Z1248" s="145"/>
      <c r="AA1248" s="145"/>
      <c r="AB1248" s="145"/>
      <c r="AC1248" s="145"/>
      <c r="AD1248" s="145"/>
      <c r="AE1248" s="145"/>
      <c r="AF1248" s="145"/>
      <c r="AG1248" s="145"/>
      <c r="AH1248" s="145"/>
      <c r="AI1248" s="145"/>
      <c r="AJ1248" s="145"/>
      <c r="AK1248" s="145"/>
      <c r="AL1248" s="145"/>
      <c r="AM1248" s="321"/>
      <c r="AN1248" s="321"/>
      <c r="AO1248" s="321"/>
      <c r="AP1248" s="321"/>
      <c r="AQ1248" s="321"/>
      <c r="AR1248" s="321"/>
      <c r="AS1248" s="321"/>
      <c r="AT1248" s="321"/>
    </row>
    <row r="1249" spans="10:46">
      <c r="J1249" s="145"/>
      <c r="K1249" s="145"/>
      <c r="L1249" s="145"/>
      <c r="M1249" s="145"/>
      <c r="N1249" s="145"/>
      <c r="O1249" s="145"/>
      <c r="P1249" s="145"/>
      <c r="Q1249" s="145"/>
      <c r="R1249" s="145"/>
      <c r="S1249" s="145"/>
      <c r="T1249" s="145"/>
      <c r="U1249" s="145"/>
      <c r="V1249" s="145"/>
      <c r="W1249" s="145"/>
      <c r="X1249" s="145"/>
      <c r="Y1249" s="145"/>
      <c r="Z1249" s="145"/>
      <c r="AA1249" s="145"/>
      <c r="AB1249" s="145"/>
      <c r="AC1249" s="145"/>
      <c r="AD1249" s="145"/>
      <c r="AE1249" s="145"/>
      <c r="AF1249" s="145"/>
      <c r="AG1249" s="145"/>
      <c r="AH1249" s="145"/>
      <c r="AI1249" s="145"/>
      <c r="AJ1249" s="145"/>
      <c r="AK1249" s="145"/>
      <c r="AL1249" s="145"/>
      <c r="AM1249" s="321"/>
      <c r="AN1249" s="321"/>
      <c r="AO1249" s="321"/>
      <c r="AP1249" s="321"/>
      <c r="AQ1249" s="321"/>
      <c r="AR1249" s="321"/>
      <c r="AS1249" s="321"/>
      <c r="AT1249" s="321"/>
    </row>
    <row r="1250" spans="10:46">
      <c r="J1250" s="145"/>
      <c r="K1250" s="145"/>
      <c r="L1250" s="145"/>
      <c r="M1250" s="145"/>
      <c r="N1250" s="145"/>
      <c r="O1250" s="145"/>
      <c r="P1250" s="145"/>
      <c r="Q1250" s="145"/>
      <c r="R1250" s="145"/>
      <c r="S1250" s="145"/>
      <c r="T1250" s="145"/>
      <c r="U1250" s="145"/>
      <c r="V1250" s="145"/>
      <c r="W1250" s="145"/>
      <c r="X1250" s="145"/>
      <c r="Y1250" s="145"/>
      <c r="Z1250" s="145"/>
      <c r="AA1250" s="145"/>
      <c r="AB1250" s="145"/>
      <c r="AC1250" s="145"/>
      <c r="AD1250" s="145"/>
      <c r="AE1250" s="145"/>
      <c r="AF1250" s="145"/>
      <c r="AG1250" s="145"/>
      <c r="AH1250" s="145"/>
      <c r="AI1250" s="145"/>
      <c r="AJ1250" s="145"/>
      <c r="AK1250" s="145"/>
      <c r="AL1250" s="145"/>
      <c r="AM1250" s="321"/>
      <c r="AN1250" s="321"/>
      <c r="AO1250" s="321"/>
      <c r="AP1250" s="321"/>
      <c r="AQ1250" s="321"/>
      <c r="AR1250" s="321"/>
      <c r="AS1250" s="321"/>
      <c r="AT1250" s="321"/>
    </row>
    <row r="1251" spans="10:46">
      <c r="J1251" s="145"/>
      <c r="K1251" s="145"/>
      <c r="L1251" s="145"/>
      <c r="M1251" s="145"/>
      <c r="N1251" s="145"/>
      <c r="O1251" s="145"/>
      <c r="P1251" s="145"/>
      <c r="Q1251" s="145"/>
      <c r="R1251" s="145"/>
      <c r="S1251" s="145"/>
      <c r="T1251" s="145"/>
      <c r="U1251" s="145"/>
      <c r="V1251" s="145"/>
      <c r="W1251" s="145"/>
      <c r="X1251" s="145"/>
      <c r="Y1251" s="145"/>
      <c r="Z1251" s="145"/>
      <c r="AA1251" s="145"/>
      <c r="AB1251" s="145"/>
      <c r="AC1251" s="145"/>
      <c r="AD1251" s="145"/>
      <c r="AE1251" s="145"/>
      <c r="AF1251" s="145"/>
      <c r="AG1251" s="145"/>
      <c r="AH1251" s="145"/>
      <c r="AI1251" s="145"/>
      <c r="AJ1251" s="145"/>
      <c r="AK1251" s="145"/>
      <c r="AL1251" s="145"/>
      <c r="AM1251" s="321"/>
      <c r="AN1251" s="321"/>
      <c r="AO1251" s="321"/>
      <c r="AP1251" s="321"/>
      <c r="AQ1251" s="321"/>
      <c r="AR1251" s="321"/>
      <c r="AS1251" s="321"/>
      <c r="AT1251" s="321"/>
    </row>
    <row r="1252" spans="10:46">
      <c r="J1252" s="145"/>
      <c r="K1252" s="145"/>
      <c r="L1252" s="145"/>
      <c r="M1252" s="145"/>
      <c r="N1252" s="145"/>
      <c r="O1252" s="145"/>
      <c r="P1252" s="145"/>
      <c r="Q1252" s="145"/>
      <c r="R1252" s="145"/>
      <c r="S1252" s="145"/>
      <c r="T1252" s="145"/>
      <c r="U1252" s="145"/>
      <c r="V1252" s="145"/>
      <c r="W1252" s="145"/>
      <c r="X1252" s="145"/>
      <c r="Y1252" s="145"/>
      <c r="Z1252" s="145"/>
      <c r="AA1252" s="145"/>
      <c r="AB1252" s="145"/>
      <c r="AC1252" s="145"/>
      <c r="AD1252" s="145"/>
      <c r="AE1252" s="145"/>
      <c r="AF1252" s="145"/>
      <c r="AG1252" s="145"/>
      <c r="AH1252" s="145"/>
      <c r="AI1252" s="145"/>
      <c r="AJ1252" s="145"/>
      <c r="AK1252" s="145"/>
      <c r="AL1252" s="145"/>
      <c r="AM1252" s="321"/>
      <c r="AN1252" s="321"/>
      <c r="AO1252" s="321"/>
      <c r="AP1252" s="321"/>
      <c r="AQ1252" s="321"/>
      <c r="AR1252" s="321"/>
      <c r="AS1252" s="321"/>
      <c r="AT1252" s="321"/>
    </row>
    <row r="1253" spans="10:46">
      <c r="J1253" s="145"/>
      <c r="K1253" s="145"/>
      <c r="L1253" s="145"/>
      <c r="M1253" s="145"/>
      <c r="N1253" s="145"/>
      <c r="O1253" s="145"/>
      <c r="P1253" s="145"/>
      <c r="Q1253" s="145"/>
      <c r="R1253" s="145"/>
      <c r="S1253" s="145"/>
      <c r="T1253" s="145"/>
      <c r="U1253" s="145"/>
      <c r="V1253" s="145"/>
      <c r="W1253" s="145"/>
      <c r="X1253" s="145"/>
      <c r="Y1253" s="145"/>
      <c r="Z1253" s="145"/>
      <c r="AA1253" s="145"/>
      <c r="AB1253" s="145"/>
      <c r="AC1253" s="145"/>
      <c r="AD1253" s="145"/>
      <c r="AE1253" s="145"/>
      <c r="AF1253" s="145"/>
      <c r="AG1253" s="145"/>
      <c r="AH1253" s="145"/>
      <c r="AI1253" s="145"/>
      <c r="AJ1253" s="145"/>
      <c r="AK1253" s="145"/>
      <c r="AL1253" s="145"/>
      <c r="AM1253" s="321"/>
      <c r="AN1253" s="321"/>
      <c r="AO1253" s="321"/>
      <c r="AP1253" s="321"/>
      <c r="AQ1253" s="321"/>
      <c r="AR1253" s="321"/>
      <c r="AS1253" s="321"/>
      <c r="AT1253" s="321"/>
    </row>
    <row r="1254" spans="10:46">
      <c r="J1254" s="145"/>
      <c r="K1254" s="145"/>
      <c r="L1254" s="145"/>
      <c r="M1254" s="145"/>
      <c r="N1254" s="145"/>
      <c r="O1254" s="145"/>
      <c r="P1254" s="145"/>
      <c r="Q1254" s="145"/>
      <c r="R1254" s="145"/>
      <c r="S1254" s="145"/>
      <c r="T1254" s="145"/>
      <c r="U1254" s="145"/>
      <c r="V1254" s="145"/>
      <c r="W1254" s="145"/>
      <c r="X1254" s="145"/>
      <c r="Y1254" s="145"/>
      <c r="Z1254" s="145"/>
      <c r="AA1254" s="145"/>
      <c r="AB1254" s="145"/>
      <c r="AC1254" s="145"/>
      <c r="AD1254" s="145"/>
      <c r="AE1254" s="145"/>
      <c r="AF1254" s="145"/>
      <c r="AG1254" s="145"/>
      <c r="AH1254" s="145"/>
      <c r="AI1254" s="145"/>
      <c r="AJ1254" s="145"/>
      <c r="AK1254" s="145"/>
      <c r="AL1254" s="145"/>
      <c r="AM1254" s="321"/>
      <c r="AN1254" s="321"/>
      <c r="AO1254" s="321"/>
      <c r="AP1254" s="321"/>
      <c r="AQ1254" s="321"/>
      <c r="AR1254" s="321"/>
      <c r="AS1254" s="321"/>
      <c r="AT1254" s="321"/>
    </row>
    <row r="1255" spans="10:46">
      <c r="J1255" s="145"/>
      <c r="K1255" s="145"/>
      <c r="L1255" s="145"/>
      <c r="M1255" s="145"/>
      <c r="N1255" s="145"/>
      <c r="O1255" s="145"/>
      <c r="P1255" s="145"/>
      <c r="Q1255" s="145"/>
      <c r="R1255" s="145"/>
      <c r="S1255" s="145"/>
      <c r="T1255" s="145"/>
      <c r="U1255" s="145"/>
      <c r="V1255" s="145"/>
      <c r="W1255" s="145"/>
      <c r="X1255" s="145"/>
      <c r="Y1255" s="145"/>
      <c r="Z1255" s="145"/>
      <c r="AA1255" s="145"/>
      <c r="AB1255" s="145"/>
      <c r="AC1255" s="145"/>
      <c r="AD1255" s="145"/>
      <c r="AE1255" s="145"/>
      <c r="AF1255" s="145"/>
      <c r="AG1255" s="145"/>
      <c r="AH1255" s="145"/>
      <c r="AI1255" s="145"/>
      <c r="AJ1255" s="145"/>
      <c r="AK1255" s="145"/>
      <c r="AL1255" s="145"/>
      <c r="AM1255" s="321"/>
      <c r="AN1255" s="321"/>
      <c r="AO1255" s="321"/>
      <c r="AP1255" s="321"/>
      <c r="AQ1255" s="321"/>
      <c r="AR1255" s="321"/>
      <c r="AS1255" s="321"/>
      <c r="AT1255" s="321"/>
    </row>
    <row r="1256" spans="10:46">
      <c r="J1256" s="145"/>
      <c r="K1256" s="145"/>
      <c r="L1256" s="145"/>
      <c r="M1256" s="145"/>
      <c r="N1256" s="145"/>
      <c r="O1256" s="145"/>
      <c r="P1256" s="145"/>
      <c r="Q1256" s="145"/>
      <c r="R1256" s="145"/>
      <c r="S1256" s="145"/>
      <c r="T1256" s="145"/>
      <c r="U1256" s="145"/>
      <c r="V1256" s="145"/>
      <c r="W1256" s="145"/>
      <c r="X1256" s="145"/>
      <c r="Y1256" s="145"/>
      <c r="Z1256" s="145"/>
      <c r="AA1256" s="145"/>
      <c r="AB1256" s="145"/>
      <c r="AC1256" s="145"/>
      <c r="AD1256" s="145"/>
      <c r="AE1256" s="145"/>
      <c r="AF1256" s="145"/>
      <c r="AG1256" s="145"/>
      <c r="AH1256" s="145"/>
      <c r="AI1256" s="145"/>
      <c r="AJ1256" s="145"/>
      <c r="AK1256" s="145"/>
      <c r="AL1256" s="145"/>
      <c r="AM1256" s="321"/>
      <c r="AN1256" s="321"/>
      <c r="AO1256" s="321"/>
      <c r="AP1256" s="321"/>
      <c r="AQ1256" s="321"/>
      <c r="AR1256" s="321"/>
      <c r="AS1256" s="321"/>
      <c r="AT1256" s="321"/>
    </row>
    <row r="1257" spans="10:46">
      <c r="J1257" s="145"/>
      <c r="K1257" s="145"/>
      <c r="L1257" s="145"/>
      <c r="M1257" s="145"/>
      <c r="N1257" s="145"/>
      <c r="O1257" s="145"/>
      <c r="P1257" s="145"/>
      <c r="Q1257" s="145"/>
      <c r="R1257" s="145"/>
      <c r="S1257" s="145"/>
      <c r="T1257" s="145"/>
      <c r="U1257" s="145"/>
      <c r="V1257" s="145"/>
      <c r="W1257" s="145"/>
      <c r="X1257" s="145"/>
      <c r="Y1257" s="145"/>
      <c r="Z1257" s="145"/>
      <c r="AA1257" s="145"/>
      <c r="AB1257" s="145"/>
      <c r="AC1257" s="145"/>
      <c r="AD1257" s="145"/>
      <c r="AE1257" s="145"/>
      <c r="AF1257" s="145"/>
      <c r="AG1257" s="145"/>
      <c r="AH1257" s="145"/>
      <c r="AI1257" s="145"/>
      <c r="AJ1257" s="145"/>
      <c r="AK1257" s="145"/>
      <c r="AL1257" s="145"/>
      <c r="AM1257" s="321"/>
      <c r="AN1257" s="321"/>
      <c r="AO1257" s="321"/>
      <c r="AP1257" s="321"/>
      <c r="AQ1257" s="321"/>
      <c r="AR1257" s="321"/>
      <c r="AS1257" s="321"/>
      <c r="AT1257" s="321"/>
    </row>
    <row r="1258" spans="10:46">
      <c r="J1258" s="145"/>
      <c r="K1258" s="145"/>
      <c r="L1258" s="145"/>
      <c r="M1258" s="145"/>
      <c r="N1258" s="145"/>
      <c r="O1258" s="145"/>
      <c r="P1258" s="145"/>
      <c r="Q1258" s="145"/>
      <c r="R1258" s="145"/>
      <c r="S1258" s="145"/>
      <c r="T1258" s="145"/>
      <c r="U1258" s="145"/>
      <c r="V1258" s="145"/>
      <c r="W1258" s="145"/>
      <c r="X1258" s="145"/>
      <c r="Y1258" s="145"/>
      <c r="Z1258" s="145"/>
      <c r="AA1258" s="145"/>
      <c r="AB1258" s="145"/>
      <c r="AC1258" s="145"/>
      <c r="AD1258" s="145"/>
      <c r="AE1258" s="145"/>
      <c r="AF1258" s="145"/>
      <c r="AG1258" s="145"/>
      <c r="AH1258" s="145"/>
      <c r="AI1258" s="145"/>
      <c r="AJ1258" s="145"/>
      <c r="AK1258" s="145"/>
      <c r="AL1258" s="145"/>
      <c r="AM1258" s="321"/>
      <c r="AN1258" s="321"/>
      <c r="AO1258" s="321"/>
      <c r="AP1258" s="321"/>
      <c r="AQ1258" s="321"/>
      <c r="AR1258" s="321"/>
      <c r="AS1258" s="321"/>
      <c r="AT1258" s="321"/>
    </row>
    <row r="1259" spans="10:46">
      <c r="J1259" s="145"/>
      <c r="K1259" s="145"/>
      <c r="L1259" s="145"/>
      <c r="M1259" s="145"/>
      <c r="N1259" s="145"/>
      <c r="O1259" s="145"/>
      <c r="P1259" s="145"/>
      <c r="Q1259" s="145"/>
      <c r="R1259" s="145"/>
      <c r="S1259" s="145"/>
      <c r="T1259" s="145"/>
      <c r="U1259" s="145"/>
      <c r="V1259" s="145"/>
      <c r="W1259" s="145"/>
      <c r="X1259" s="145"/>
      <c r="Y1259" s="145"/>
      <c r="Z1259" s="145"/>
      <c r="AA1259" s="145"/>
      <c r="AB1259" s="145"/>
      <c r="AC1259" s="145"/>
      <c r="AD1259" s="145"/>
      <c r="AE1259" s="145"/>
      <c r="AF1259" s="145"/>
      <c r="AG1259" s="145"/>
      <c r="AH1259" s="145"/>
      <c r="AI1259" s="145"/>
      <c r="AJ1259" s="145"/>
      <c r="AK1259" s="145"/>
      <c r="AL1259" s="145"/>
      <c r="AM1259" s="321"/>
      <c r="AN1259" s="321"/>
      <c r="AO1259" s="321"/>
      <c r="AP1259" s="321"/>
      <c r="AQ1259" s="321"/>
      <c r="AR1259" s="321"/>
      <c r="AS1259" s="321"/>
      <c r="AT1259" s="321"/>
    </row>
    <row r="1260" spans="10:46">
      <c r="J1260" s="145"/>
      <c r="K1260" s="145"/>
      <c r="L1260" s="145"/>
      <c r="M1260" s="145"/>
      <c r="N1260" s="145"/>
      <c r="O1260" s="145"/>
      <c r="P1260" s="145"/>
      <c r="Q1260" s="145"/>
      <c r="R1260" s="145"/>
      <c r="S1260" s="145"/>
      <c r="T1260" s="145"/>
      <c r="U1260" s="145"/>
      <c r="V1260" s="145"/>
      <c r="W1260" s="145"/>
      <c r="X1260" s="145"/>
      <c r="Y1260" s="145"/>
      <c r="Z1260" s="145"/>
      <c r="AA1260" s="145"/>
      <c r="AB1260" s="145"/>
      <c r="AC1260" s="145"/>
      <c r="AD1260" s="145"/>
      <c r="AE1260" s="145"/>
      <c r="AF1260" s="145"/>
      <c r="AG1260" s="145"/>
      <c r="AH1260" s="145"/>
      <c r="AI1260" s="145"/>
      <c r="AJ1260" s="145"/>
      <c r="AK1260" s="145"/>
      <c r="AL1260" s="145"/>
      <c r="AM1260" s="321"/>
      <c r="AN1260" s="321"/>
      <c r="AO1260" s="321"/>
      <c r="AP1260" s="321"/>
      <c r="AQ1260" s="321"/>
      <c r="AR1260" s="321"/>
      <c r="AS1260" s="321"/>
      <c r="AT1260" s="321"/>
    </row>
    <row r="1261" spans="10:46">
      <c r="J1261" s="145"/>
      <c r="K1261" s="145"/>
      <c r="L1261" s="145"/>
      <c r="M1261" s="145"/>
      <c r="N1261" s="145"/>
      <c r="O1261" s="145"/>
      <c r="P1261" s="145"/>
      <c r="Q1261" s="145"/>
      <c r="R1261" s="145"/>
      <c r="S1261" s="145"/>
      <c r="T1261" s="145"/>
      <c r="U1261" s="145"/>
      <c r="V1261" s="145"/>
      <c r="W1261" s="145"/>
      <c r="X1261" s="145"/>
      <c r="Y1261" s="145"/>
      <c r="Z1261" s="145"/>
      <c r="AA1261" s="145"/>
      <c r="AB1261" s="145"/>
      <c r="AC1261" s="145"/>
      <c r="AD1261" s="145"/>
      <c r="AE1261" s="145"/>
      <c r="AF1261" s="145"/>
      <c r="AG1261" s="145"/>
      <c r="AH1261" s="145"/>
      <c r="AI1261" s="145"/>
      <c r="AJ1261" s="145"/>
      <c r="AK1261" s="145"/>
      <c r="AL1261" s="145"/>
      <c r="AM1261" s="321"/>
      <c r="AN1261" s="321"/>
      <c r="AO1261" s="321"/>
      <c r="AP1261" s="321"/>
      <c r="AQ1261" s="321"/>
      <c r="AR1261" s="321"/>
      <c r="AS1261" s="321"/>
      <c r="AT1261" s="321"/>
    </row>
    <row r="1262" spans="10:46">
      <c r="J1262" s="145"/>
      <c r="K1262" s="145"/>
      <c r="L1262" s="145"/>
      <c r="M1262" s="145"/>
      <c r="N1262" s="145"/>
      <c r="O1262" s="145"/>
      <c r="P1262" s="145"/>
      <c r="Q1262" s="145"/>
      <c r="R1262" s="145"/>
      <c r="S1262" s="145"/>
      <c r="T1262" s="145"/>
      <c r="U1262" s="145"/>
      <c r="V1262" s="145"/>
      <c r="W1262" s="145"/>
      <c r="X1262" s="145"/>
      <c r="Y1262" s="145"/>
      <c r="Z1262" s="145"/>
      <c r="AA1262" s="145"/>
      <c r="AB1262" s="145"/>
      <c r="AC1262" s="145"/>
      <c r="AD1262" s="145"/>
      <c r="AE1262" s="145"/>
      <c r="AF1262" s="145"/>
      <c r="AG1262" s="145"/>
      <c r="AH1262" s="145"/>
      <c r="AI1262" s="145"/>
      <c r="AJ1262" s="145"/>
      <c r="AK1262" s="145"/>
      <c r="AL1262" s="145"/>
      <c r="AM1262" s="321"/>
      <c r="AN1262" s="321"/>
      <c r="AO1262" s="321"/>
      <c r="AP1262" s="321"/>
      <c r="AQ1262" s="321"/>
      <c r="AR1262" s="321"/>
      <c r="AS1262" s="321"/>
      <c r="AT1262" s="321"/>
    </row>
    <row r="1263" spans="10:46">
      <c r="J1263" s="145"/>
      <c r="K1263" s="145"/>
      <c r="L1263" s="145"/>
      <c r="M1263" s="145"/>
      <c r="N1263" s="145"/>
      <c r="O1263" s="145"/>
      <c r="P1263" s="145"/>
      <c r="Q1263" s="145"/>
      <c r="R1263" s="145"/>
      <c r="S1263" s="145"/>
      <c r="T1263" s="145"/>
      <c r="U1263" s="145"/>
      <c r="V1263" s="145"/>
      <c r="W1263" s="145"/>
      <c r="X1263" s="145"/>
      <c r="Y1263" s="145"/>
      <c r="Z1263" s="145"/>
      <c r="AA1263" s="145"/>
      <c r="AB1263" s="145"/>
      <c r="AC1263" s="145"/>
      <c r="AD1263" s="145"/>
      <c r="AE1263" s="145"/>
      <c r="AF1263" s="145"/>
      <c r="AG1263" s="145"/>
      <c r="AH1263" s="145"/>
      <c r="AI1263" s="145"/>
      <c r="AJ1263" s="145"/>
      <c r="AK1263" s="145"/>
      <c r="AL1263" s="145"/>
      <c r="AM1263" s="321"/>
      <c r="AN1263" s="321"/>
      <c r="AO1263" s="321"/>
      <c r="AP1263" s="321"/>
      <c r="AQ1263" s="321"/>
      <c r="AR1263" s="321"/>
      <c r="AS1263" s="321"/>
      <c r="AT1263" s="321"/>
    </row>
    <row r="1264" spans="10:46">
      <c r="J1264" s="145"/>
      <c r="K1264" s="145"/>
      <c r="L1264" s="145"/>
      <c r="M1264" s="145"/>
      <c r="N1264" s="145"/>
      <c r="O1264" s="145"/>
      <c r="P1264" s="145"/>
      <c r="Q1264" s="145"/>
      <c r="R1264" s="145"/>
      <c r="S1264" s="145"/>
      <c r="T1264" s="145"/>
      <c r="U1264" s="145"/>
      <c r="V1264" s="145"/>
      <c r="W1264" s="145"/>
      <c r="X1264" s="145"/>
      <c r="Y1264" s="145"/>
      <c r="Z1264" s="145"/>
      <c r="AA1264" s="145"/>
      <c r="AB1264" s="145"/>
      <c r="AC1264" s="145"/>
      <c r="AD1264" s="145"/>
      <c r="AE1264" s="145"/>
      <c r="AF1264" s="145"/>
      <c r="AG1264" s="145"/>
      <c r="AH1264" s="145"/>
      <c r="AI1264" s="145"/>
      <c r="AJ1264" s="145"/>
      <c r="AK1264" s="145"/>
      <c r="AL1264" s="145"/>
      <c r="AM1264" s="321"/>
      <c r="AN1264" s="321"/>
      <c r="AO1264" s="321"/>
      <c r="AP1264" s="321"/>
      <c r="AQ1264" s="321"/>
      <c r="AR1264" s="321"/>
      <c r="AS1264" s="321"/>
      <c r="AT1264" s="321"/>
    </row>
    <row r="1265" spans="10:46">
      <c r="J1265" s="145"/>
      <c r="K1265" s="145"/>
      <c r="L1265" s="145"/>
      <c r="M1265" s="145"/>
      <c r="N1265" s="145"/>
      <c r="O1265" s="145"/>
      <c r="P1265" s="145"/>
      <c r="Q1265" s="145"/>
      <c r="R1265" s="145"/>
      <c r="S1265" s="145"/>
      <c r="T1265" s="145"/>
      <c r="U1265" s="145"/>
      <c r="V1265" s="145"/>
      <c r="W1265" s="145"/>
      <c r="X1265" s="145"/>
      <c r="Y1265" s="145"/>
      <c r="Z1265" s="145"/>
      <c r="AA1265" s="145"/>
      <c r="AB1265" s="145"/>
      <c r="AC1265" s="145"/>
      <c r="AD1265" s="145"/>
      <c r="AE1265" s="145"/>
      <c r="AF1265" s="145"/>
      <c r="AG1265" s="145"/>
      <c r="AH1265" s="145"/>
      <c r="AI1265" s="145"/>
      <c r="AJ1265" s="145"/>
      <c r="AK1265" s="145"/>
      <c r="AL1265" s="145"/>
      <c r="AM1265" s="321"/>
      <c r="AN1265" s="321"/>
      <c r="AO1265" s="321"/>
      <c r="AP1265" s="321"/>
      <c r="AQ1265" s="321"/>
      <c r="AR1265" s="321"/>
      <c r="AS1265" s="321"/>
      <c r="AT1265" s="321"/>
    </row>
    <row r="1266" spans="10:46">
      <c r="J1266" s="145"/>
      <c r="K1266" s="145"/>
      <c r="L1266" s="145"/>
      <c r="M1266" s="145"/>
      <c r="N1266" s="145"/>
      <c r="O1266" s="145"/>
      <c r="P1266" s="145"/>
      <c r="Q1266" s="145"/>
      <c r="R1266" s="145"/>
      <c r="S1266" s="145"/>
      <c r="T1266" s="145"/>
      <c r="U1266" s="145"/>
      <c r="V1266" s="145"/>
      <c r="W1266" s="145"/>
      <c r="X1266" s="145"/>
      <c r="Y1266" s="145"/>
      <c r="Z1266" s="145"/>
      <c r="AA1266" s="145"/>
      <c r="AB1266" s="145"/>
      <c r="AC1266" s="145"/>
      <c r="AD1266" s="145"/>
      <c r="AE1266" s="145"/>
      <c r="AF1266" s="145"/>
      <c r="AG1266" s="145"/>
      <c r="AH1266" s="145"/>
      <c r="AI1266" s="145"/>
      <c r="AJ1266" s="145"/>
      <c r="AK1266" s="145"/>
      <c r="AL1266" s="145"/>
      <c r="AM1266" s="321"/>
      <c r="AN1266" s="321"/>
      <c r="AO1266" s="321"/>
      <c r="AP1266" s="321"/>
      <c r="AQ1266" s="321"/>
      <c r="AR1266" s="321"/>
      <c r="AS1266" s="321"/>
      <c r="AT1266" s="321"/>
    </row>
    <row r="1267" spans="10:46">
      <c r="J1267" s="145"/>
      <c r="K1267" s="145"/>
      <c r="L1267" s="145"/>
      <c r="M1267" s="145"/>
      <c r="N1267" s="145"/>
      <c r="O1267" s="145"/>
      <c r="P1267" s="145"/>
      <c r="Q1267" s="145"/>
      <c r="R1267" s="145"/>
      <c r="S1267" s="145"/>
      <c r="T1267" s="145"/>
      <c r="U1267" s="145"/>
      <c r="V1267" s="145"/>
      <c r="W1267" s="145"/>
      <c r="X1267" s="145"/>
      <c r="Y1267" s="145"/>
      <c r="Z1267" s="145"/>
      <c r="AA1267" s="145"/>
      <c r="AB1267" s="145"/>
      <c r="AC1267" s="145"/>
      <c r="AD1267" s="145"/>
      <c r="AE1267" s="145"/>
      <c r="AF1267" s="145"/>
      <c r="AG1267" s="145"/>
      <c r="AH1267" s="145"/>
      <c r="AI1267" s="145"/>
      <c r="AJ1267" s="145"/>
      <c r="AK1267" s="145"/>
      <c r="AL1267" s="145"/>
      <c r="AM1267" s="321"/>
      <c r="AN1267" s="321"/>
      <c r="AO1267" s="321"/>
      <c r="AP1267" s="321"/>
      <c r="AQ1267" s="321"/>
      <c r="AR1267" s="321"/>
      <c r="AS1267" s="321"/>
      <c r="AT1267" s="321"/>
    </row>
    <row r="1268" spans="10:46">
      <c r="J1268" s="145"/>
      <c r="K1268" s="145"/>
      <c r="L1268" s="145"/>
      <c r="M1268" s="145"/>
      <c r="N1268" s="145"/>
      <c r="O1268" s="145"/>
      <c r="P1268" s="145"/>
      <c r="Q1268" s="145"/>
      <c r="R1268" s="145"/>
      <c r="S1268" s="145"/>
      <c r="T1268" s="145"/>
      <c r="U1268" s="145"/>
      <c r="V1268" s="145"/>
      <c r="W1268" s="145"/>
      <c r="X1268" s="145"/>
      <c r="Y1268" s="145"/>
      <c r="Z1268" s="145"/>
      <c r="AA1268" s="145"/>
      <c r="AB1268" s="145"/>
      <c r="AC1268" s="145"/>
      <c r="AD1268" s="145"/>
      <c r="AE1268" s="145"/>
      <c r="AF1268" s="145"/>
      <c r="AG1268" s="145"/>
      <c r="AH1268" s="145"/>
      <c r="AI1268" s="145"/>
      <c r="AJ1268" s="145"/>
      <c r="AK1268" s="145"/>
      <c r="AL1268" s="145"/>
      <c r="AM1268" s="321"/>
      <c r="AN1268" s="321"/>
      <c r="AO1268" s="321"/>
      <c r="AP1268" s="321"/>
      <c r="AQ1268" s="321"/>
      <c r="AR1268" s="321"/>
      <c r="AS1268" s="321"/>
      <c r="AT1268" s="321"/>
    </row>
    <row r="1269" spans="10:46">
      <c r="J1269" s="145"/>
      <c r="K1269" s="145"/>
      <c r="L1269" s="145"/>
      <c r="M1269" s="145"/>
      <c r="N1269" s="145"/>
      <c r="O1269" s="145"/>
      <c r="P1269" s="145"/>
      <c r="Q1269" s="145"/>
      <c r="R1269" s="145"/>
      <c r="S1269" s="145"/>
      <c r="T1269" s="145"/>
      <c r="U1269" s="145"/>
      <c r="V1269" s="145"/>
      <c r="W1269" s="145"/>
      <c r="X1269" s="145"/>
      <c r="Y1269" s="145"/>
      <c r="Z1269" s="145"/>
      <c r="AA1269" s="145"/>
      <c r="AB1269" s="145"/>
      <c r="AC1269" s="145"/>
      <c r="AD1269" s="145"/>
      <c r="AE1269" s="145"/>
      <c r="AF1269" s="145"/>
      <c r="AG1269" s="145"/>
      <c r="AH1269" s="145"/>
      <c r="AI1269" s="145"/>
      <c r="AJ1269" s="145"/>
      <c r="AK1269" s="145"/>
      <c r="AL1269" s="145"/>
      <c r="AM1269" s="321"/>
      <c r="AN1269" s="321"/>
      <c r="AO1269" s="321"/>
      <c r="AP1269" s="321"/>
      <c r="AQ1269" s="321"/>
      <c r="AR1269" s="321"/>
      <c r="AS1269" s="321"/>
      <c r="AT1269" s="321"/>
    </row>
    <row r="1270" spans="10:46">
      <c r="J1270" s="145"/>
      <c r="K1270" s="145"/>
      <c r="L1270" s="145"/>
      <c r="M1270" s="145"/>
      <c r="N1270" s="145"/>
      <c r="O1270" s="145"/>
      <c r="P1270" s="145"/>
      <c r="Q1270" s="145"/>
      <c r="R1270" s="145"/>
      <c r="S1270" s="145"/>
      <c r="T1270" s="145"/>
      <c r="U1270" s="145"/>
      <c r="V1270" s="145"/>
      <c r="W1270" s="145"/>
      <c r="X1270" s="145"/>
      <c r="Y1270" s="145"/>
      <c r="Z1270" s="145"/>
      <c r="AA1270" s="145"/>
      <c r="AB1270" s="145"/>
      <c r="AC1270" s="145"/>
      <c r="AD1270" s="145"/>
      <c r="AE1270" s="145"/>
      <c r="AF1270" s="145"/>
      <c r="AG1270" s="145"/>
      <c r="AH1270" s="145"/>
      <c r="AI1270" s="145"/>
      <c r="AJ1270" s="145"/>
      <c r="AK1270" s="145"/>
      <c r="AL1270" s="145"/>
      <c r="AM1270" s="321"/>
      <c r="AN1270" s="321"/>
      <c r="AO1270" s="321"/>
      <c r="AP1270" s="321"/>
      <c r="AQ1270" s="321"/>
      <c r="AR1270" s="321"/>
      <c r="AS1270" s="321"/>
      <c r="AT1270" s="321"/>
    </row>
    <row r="1271" spans="10:46">
      <c r="J1271" s="145"/>
      <c r="K1271" s="145"/>
      <c r="L1271" s="145"/>
      <c r="M1271" s="145"/>
      <c r="N1271" s="145"/>
      <c r="O1271" s="145"/>
      <c r="P1271" s="145"/>
      <c r="Q1271" s="145"/>
      <c r="R1271" s="145"/>
      <c r="S1271" s="145"/>
      <c r="T1271" s="145"/>
      <c r="U1271" s="145"/>
      <c r="V1271" s="145"/>
      <c r="W1271" s="145"/>
      <c r="X1271" s="145"/>
      <c r="Y1271" s="145"/>
      <c r="Z1271" s="145"/>
      <c r="AA1271" s="145"/>
      <c r="AB1271" s="145"/>
      <c r="AC1271" s="145"/>
      <c r="AD1271" s="145"/>
      <c r="AE1271" s="145"/>
      <c r="AF1271" s="145"/>
      <c r="AG1271" s="145"/>
      <c r="AH1271" s="145"/>
      <c r="AI1271" s="145"/>
      <c r="AJ1271" s="145"/>
      <c r="AK1271" s="145"/>
      <c r="AL1271" s="145"/>
      <c r="AM1271" s="321"/>
      <c r="AN1271" s="321"/>
      <c r="AO1271" s="321"/>
      <c r="AP1271" s="321"/>
      <c r="AQ1271" s="321"/>
      <c r="AR1271" s="321"/>
      <c r="AS1271" s="321"/>
      <c r="AT1271" s="321"/>
    </row>
    <row r="1272" spans="10:46">
      <c r="J1272" s="145"/>
      <c r="K1272" s="145"/>
      <c r="L1272" s="145"/>
      <c r="M1272" s="145"/>
      <c r="N1272" s="145"/>
      <c r="O1272" s="145"/>
      <c r="P1272" s="145"/>
      <c r="Q1272" s="145"/>
      <c r="R1272" s="145"/>
      <c r="S1272" s="145"/>
      <c r="T1272" s="145"/>
      <c r="U1272" s="145"/>
      <c r="V1272" s="145"/>
      <c r="W1272" s="145"/>
      <c r="X1272" s="145"/>
      <c r="Y1272" s="145"/>
      <c r="Z1272" s="145"/>
      <c r="AA1272" s="145"/>
      <c r="AB1272" s="145"/>
      <c r="AC1272" s="145"/>
      <c r="AD1272" s="145"/>
      <c r="AE1272" s="145"/>
      <c r="AF1272" s="145"/>
      <c r="AG1272" s="145"/>
      <c r="AH1272" s="145"/>
      <c r="AI1272" s="145"/>
      <c r="AJ1272" s="145"/>
      <c r="AK1272" s="145"/>
      <c r="AL1272" s="145"/>
      <c r="AM1272" s="321"/>
      <c r="AN1272" s="321"/>
      <c r="AO1272" s="321"/>
      <c r="AP1272" s="321"/>
      <c r="AQ1272" s="321"/>
      <c r="AR1272" s="321"/>
      <c r="AS1272" s="321"/>
      <c r="AT1272" s="321"/>
    </row>
    <row r="1273" spans="10:46">
      <c r="J1273" s="145"/>
      <c r="K1273" s="145"/>
      <c r="L1273" s="145"/>
      <c r="M1273" s="145"/>
      <c r="N1273" s="145"/>
      <c r="O1273" s="145"/>
      <c r="P1273" s="145"/>
      <c r="Q1273" s="145"/>
      <c r="R1273" s="145"/>
      <c r="S1273" s="145"/>
      <c r="T1273" s="145"/>
      <c r="U1273" s="145"/>
      <c r="V1273" s="145"/>
      <c r="W1273" s="145"/>
      <c r="X1273" s="145"/>
      <c r="Y1273" s="145"/>
      <c r="Z1273" s="145"/>
      <c r="AA1273" s="145"/>
      <c r="AB1273" s="145"/>
      <c r="AC1273" s="145"/>
      <c r="AD1273" s="145"/>
      <c r="AE1273" s="145"/>
      <c r="AF1273" s="145"/>
      <c r="AG1273" s="145"/>
      <c r="AH1273" s="145"/>
      <c r="AI1273" s="145"/>
      <c r="AJ1273" s="145"/>
      <c r="AK1273" s="145"/>
      <c r="AL1273" s="145"/>
      <c r="AM1273" s="321"/>
      <c r="AN1273" s="321"/>
      <c r="AO1273" s="321"/>
      <c r="AP1273" s="321"/>
      <c r="AQ1273" s="321"/>
      <c r="AR1273" s="321"/>
      <c r="AS1273" s="321"/>
      <c r="AT1273" s="321"/>
    </row>
    <row r="1274" spans="10:46">
      <c r="J1274" s="145"/>
      <c r="K1274" s="145"/>
      <c r="L1274" s="145"/>
      <c r="M1274" s="145"/>
      <c r="N1274" s="145"/>
      <c r="O1274" s="145"/>
      <c r="P1274" s="145"/>
      <c r="Q1274" s="145"/>
      <c r="R1274" s="145"/>
      <c r="S1274" s="145"/>
      <c r="T1274" s="145"/>
      <c r="U1274" s="145"/>
      <c r="V1274" s="145"/>
      <c r="W1274" s="145"/>
      <c r="X1274" s="145"/>
      <c r="Y1274" s="145"/>
      <c r="Z1274" s="145"/>
      <c r="AA1274" s="145"/>
      <c r="AB1274" s="145"/>
      <c r="AC1274" s="145"/>
      <c r="AD1274" s="145"/>
      <c r="AE1274" s="145"/>
      <c r="AF1274" s="145"/>
      <c r="AG1274" s="145"/>
      <c r="AH1274" s="145"/>
      <c r="AI1274" s="145"/>
      <c r="AJ1274" s="145"/>
      <c r="AK1274" s="145"/>
      <c r="AL1274" s="145"/>
      <c r="AM1274" s="321"/>
      <c r="AN1274" s="321"/>
      <c r="AO1274" s="321"/>
      <c r="AP1274" s="321"/>
      <c r="AQ1274" s="321"/>
      <c r="AR1274" s="321"/>
      <c r="AS1274" s="321"/>
      <c r="AT1274" s="321"/>
    </row>
    <row r="1275" spans="10:46">
      <c r="J1275" s="145"/>
      <c r="K1275" s="145"/>
      <c r="L1275" s="145"/>
      <c r="M1275" s="145"/>
      <c r="N1275" s="145"/>
      <c r="O1275" s="145"/>
      <c r="P1275" s="145"/>
      <c r="Q1275" s="145"/>
      <c r="R1275" s="145"/>
      <c r="S1275" s="145"/>
      <c r="T1275" s="145"/>
      <c r="U1275" s="145"/>
      <c r="V1275" s="145"/>
      <c r="W1275" s="145"/>
      <c r="X1275" s="145"/>
      <c r="Y1275" s="145"/>
      <c r="Z1275" s="145"/>
      <c r="AA1275" s="145"/>
      <c r="AB1275" s="145"/>
      <c r="AC1275" s="145"/>
      <c r="AD1275" s="145"/>
      <c r="AE1275" s="145"/>
      <c r="AF1275" s="145"/>
      <c r="AG1275" s="145"/>
      <c r="AH1275" s="145"/>
      <c r="AI1275" s="145"/>
      <c r="AJ1275" s="145"/>
      <c r="AK1275" s="145"/>
      <c r="AL1275" s="145"/>
      <c r="AM1275" s="321"/>
      <c r="AN1275" s="321"/>
      <c r="AO1275" s="321"/>
      <c r="AP1275" s="321"/>
      <c r="AQ1275" s="321"/>
      <c r="AR1275" s="321"/>
      <c r="AS1275" s="321"/>
      <c r="AT1275" s="321"/>
    </row>
    <row r="1276" spans="10:46">
      <c r="J1276" s="145"/>
      <c r="K1276" s="145"/>
      <c r="L1276" s="145"/>
      <c r="M1276" s="145"/>
      <c r="N1276" s="145"/>
      <c r="O1276" s="145"/>
      <c r="P1276" s="145"/>
      <c r="Q1276" s="145"/>
      <c r="R1276" s="145"/>
      <c r="S1276" s="145"/>
      <c r="T1276" s="145"/>
      <c r="U1276" s="145"/>
      <c r="V1276" s="145"/>
      <c r="W1276" s="145"/>
      <c r="X1276" s="145"/>
      <c r="Y1276" s="145"/>
      <c r="Z1276" s="145"/>
      <c r="AA1276" s="145"/>
      <c r="AB1276" s="145"/>
      <c r="AC1276" s="145"/>
      <c r="AD1276" s="145"/>
      <c r="AE1276" s="145"/>
      <c r="AF1276" s="145"/>
      <c r="AG1276" s="145"/>
      <c r="AH1276" s="145"/>
      <c r="AI1276" s="145"/>
      <c r="AJ1276" s="145"/>
      <c r="AK1276" s="145"/>
      <c r="AL1276" s="145"/>
      <c r="AM1276" s="321"/>
      <c r="AN1276" s="321"/>
      <c r="AO1276" s="321"/>
      <c r="AP1276" s="321"/>
      <c r="AQ1276" s="321"/>
      <c r="AR1276" s="321"/>
      <c r="AS1276" s="321"/>
      <c r="AT1276" s="321"/>
    </row>
    <row r="1277" spans="10:46">
      <c r="J1277" s="145"/>
      <c r="K1277" s="145"/>
      <c r="L1277" s="145"/>
      <c r="M1277" s="145"/>
      <c r="N1277" s="145"/>
      <c r="O1277" s="145"/>
      <c r="P1277" s="145"/>
      <c r="Q1277" s="145"/>
      <c r="R1277" s="145"/>
      <c r="S1277" s="145"/>
      <c r="T1277" s="145"/>
      <c r="U1277" s="145"/>
      <c r="V1277" s="145"/>
      <c r="W1277" s="145"/>
      <c r="X1277" s="145"/>
      <c r="Y1277" s="145"/>
      <c r="Z1277" s="145"/>
      <c r="AA1277" s="145"/>
      <c r="AB1277" s="145"/>
      <c r="AC1277" s="145"/>
      <c r="AD1277" s="145"/>
      <c r="AE1277" s="145"/>
      <c r="AF1277" s="145"/>
      <c r="AG1277" s="145"/>
      <c r="AH1277" s="145"/>
      <c r="AI1277" s="145"/>
      <c r="AJ1277" s="145"/>
      <c r="AK1277" s="145"/>
      <c r="AL1277" s="145"/>
      <c r="AM1277" s="321"/>
      <c r="AN1277" s="321"/>
      <c r="AO1277" s="321"/>
      <c r="AP1277" s="321"/>
      <c r="AQ1277" s="321"/>
      <c r="AR1277" s="321"/>
      <c r="AS1277" s="321"/>
      <c r="AT1277" s="321"/>
    </row>
    <row r="1278" spans="10:46">
      <c r="J1278" s="145"/>
      <c r="K1278" s="145"/>
      <c r="L1278" s="145"/>
      <c r="M1278" s="145"/>
      <c r="N1278" s="145"/>
      <c r="O1278" s="145"/>
      <c r="P1278" s="145"/>
      <c r="Q1278" s="145"/>
      <c r="R1278" s="145"/>
      <c r="S1278" s="145"/>
      <c r="T1278" s="145"/>
      <c r="U1278" s="145"/>
      <c r="V1278" s="145"/>
      <c r="W1278" s="145"/>
      <c r="X1278" s="145"/>
      <c r="Y1278" s="145"/>
      <c r="Z1278" s="145"/>
      <c r="AA1278" s="145"/>
      <c r="AB1278" s="145"/>
      <c r="AC1278" s="145"/>
      <c r="AD1278" s="145"/>
      <c r="AE1278" s="145"/>
      <c r="AF1278" s="145"/>
      <c r="AG1278" s="145"/>
      <c r="AH1278" s="145"/>
      <c r="AI1278" s="145"/>
      <c r="AJ1278" s="145"/>
      <c r="AK1278" s="145"/>
      <c r="AL1278" s="145"/>
      <c r="AM1278" s="321"/>
      <c r="AN1278" s="321"/>
      <c r="AO1278" s="321"/>
      <c r="AP1278" s="321"/>
      <c r="AQ1278" s="321"/>
      <c r="AR1278" s="321"/>
      <c r="AS1278" s="321"/>
      <c r="AT1278" s="321"/>
    </row>
    <row r="1279" spans="10:46">
      <c r="J1279" s="145"/>
      <c r="K1279" s="145"/>
      <c r="L1279" s="145"/>
      <c r="M1279" s="145"/>
      <c r="N1279" s="145"/>
      <c r="O1279" s="145"/>
      <c r="P1279" s="145"/>
      <c r="Q1279" s="145"/>
      <c r="R1279" s="145"/>
      <c r="S1279" s="145"/>
      <c r="T1279" s="145"/>
      <c r="U1279" s="145"/>
      <c r="V1279" s="145"/>
      <c r="W1279" s="145"/>
      <c r="X1279" s="145"/>
      <c r="Y1279" s="145"/>
      <c r="Z1279" s="145"/>
      <c r="AA1279" s="145"/>
      <c r="AB1279" s="145"/>
      <c r="AC1279" s="145"/>
      <c r="AD1279" s="145"/>
      <c r="AE1279" s="145"/>
      <c r="AF1279" s="145"/>
      <c r="AG1279" s="145"/>
      <c r="AH1279" s="145"/>
      <c r="AI1279" s="145"/>
      <c r="AJ1279" s="145"/>
      <c r="AK1279" s="145"/>
      <c r="AL1279" s="145"/>
      <c r="AM1279" s="321"/>
      <c r="AN1279" s="321"/>
      <c r="AO1279" s="321"/>
      <c r="AP1279" s="321"/>
      <c r="AQ1279" s="321"/>
      <c r="AR1279" s="321"/>
      <c r="AS1279" s="321"/>
      <c r="AT1279" s="321"/>
    </row>
    <row r="1280" spans="10:46">
      <c r="J1280" s="145"/>
      <c r="K1280" s="145"/>
      <c r="L1280" s="145"/>
      <c r="M1280" s="145"/>
      <c r="N1280" s="145"/>
      <c r="O1280" s="145"/>
      <c r="P1280" s="145"/>
      <c r="Q1280" s="145"/>
      <c r="R1280" s="145"/>
      <c r="S1280" s="145"/>
      <c r="T1280" s="145"/>
      <c r="U1280" s="145"/>
      <c r="V1280" s="145"/>
      <c r="W1280" s="145"/>
      <c r="X1280" s="145"/>
      <c r="Y1280" s="145"/>
      <c r="Z1280" s="145"/>
      <c r="AA1280" s="145"/>
      <c r="AB1280" s="145"/>
      <c r="AC1280" s="145"/>
      <c r="AD1280" s="145"/>
      <c r="AE1280" s="145"/>
      <c r="AF1280" s="145"/>
      <c r="AG1280" s="145"/>
      <c r="AH1280" s="145"/>
      <c r="AI1280" s="145"/>
      <c r="AJ1280" s="145"/>
      <c r="AK1280" s="145"/>
      <c r="AL1280" s="145"/>
      <c r="AM1280" s="321"/>
      <c r="AN1280" s="321"/>
      <c r="AO1280" s="321"/>
      <c r="AP1280" s="321"/>
      <c r="AQ1280" s="321"/>
      <c r="AR1280" s="321"/>
      <c r="AS1280" s="321"/>
      <c r="AT1280" s="321"/>
    </row>
    <row r="1281" spans="10:46">
      <c r="J1281" s="145"/>
      <c r="K1281" s="145"/>
      <c r="L1281" s="145"/>
      <c r="M1281" s="145"/>
      <c r="N1281" s="145"/>
      <c r="O1281" s="145"/>
      <c r="P1281" s="145"/>
      <c r="Q1281" s="145"/>
      <c r="R1281" s="145"/>
      <c r="S1281" s="145"/>
      <c r="T1281" s="145"/>
      <c r="U1281" s="145"/>
      <c r="V1281" s="145"/>
      <c r="W1281" s="145"/>
      <c r="X1281" s="145"/>
      <c r="Y1281" s="145"/>
      <c r="Z1281" s="145"/>
      <c r="AA1281" s="145"/>
      <c r="AB1281" s="145"/>
      <c r="AC1281" s="145"/>
      <c r="AD1281" s="145"/>
      <c r="AE1281" s="145"/>
      <c r="AF1281" s="145"/>
      <c r="AG1281" s="145"/>
      <c r="AH1281" s="145"/>
      <c r="AI1281" s="145"/>
      <c r="AJ1281" s="145"/>
      <c r="AK1281" s="145"/>
      <c r="AL1281" s="145"/>
      <c r="AM1281" s="321"/>
      <c r="AN1281" s="321"/>
      <c r="AO1281" s="321"/>
      <c r="AP1281" s="321"/>
      <c r="AQ1281" s="321"/>
      <c r="AR1281" s="321"/>
      <c r="AS1281" s="321"/>
      <c r="AT1281" s="321"/>
    </row>
    <row r="1282" spans="10:46">
      <c r="J1282" s="145"/>
      <c r="K1282" s="145"/>
      <c r="L1282" s="145"/>
      <c r="M1282" s="145"/>
      <c r="N1282" s="145"/>
      <c r="O1282" s="145"/>
      <c r="P1282" s="145"/>
      <c r="Q1282" s="145"/>
      <c r="R1282" s="145"/>
      <c r="S1282" s="145"/>
      <c r="T1282" s="145"/>
      <c r="U1282" s="145"/>
      <c r="V1282" s="145"/>
      <c r="W1282" s="145"/>
      <c r="X1282" s="145"/>
      <c r="Y1282" s="145"/>
      <c r="Z1282" s="145"/>
      <c r="AA1282" s="145"/>
      <c r="AB1282" s="145"/>
      <c r="AC1282" s="145"/>
      <c r="AD1282" s="145"/>
      <c r="AE1282" s="145"/>
      <c r="AF1282" s="145"/>
      <c r="AG1282" s="145"/>
      <c r="AH1282" s="145"/>
      <c r="AI1282" s="145"/>
      <c r="AJ1282" s="145"/>
      <c r="AK1282" s="145"/>
      <c r="AL1282" s="145"/>
      <c r="AM1282" s="321"/>
      <c r="AN1282" s="321"/>
      <c r="AO1282" s="321"/>
      <c r="AP1282" s="321"/>
      <c r="AQ1282" s="321"/>
      <c r="AR1282" s="321"/>
      <c r="AS1282" s="321"/>
      <c r="AT1282" s="321"/>
    </row>
    <row r="1283" spans="10:46">
      <c r="J1283" s="145"/>
      <c r="K1283" s="145"/>
      <c r="L1283" s="145"/>
      <c r="M1283" s="145"/>
      <c r="N1283" s="145"/>
      <c r="O1283" s="145"/>
      <c r="P1283" s="145"/>
      <c r="Q1283" s="145"/>
      <c r="R1283" s="145"/>
      <c r="S1283" s="145"/>
      <c r="T1283" s="145"/>
      <c r="U1283" s="145"/>
      <c r="V1283" s="145"/>
      <c r="W1283" s="145"/>
      <c r="X1283" s="145"/>
      <c r="Y1283" s="145"/>
      <c r="Z1283" s="145"/>
      <c r="AA1283" s="145"/>
      <c r="AB1283" s="145"/>
      <c r="AC1283" s="145"/>
      <c r="AD1283" s="145"/>
      <c r="AE1283" s="145"/>
      <c r="AF1283" s="145"/>
      <c r="AG1283" s="145"/>
      <c r="AH1283" s="145"/>
      <c r="AI1283" s="145"/>
      <c r="AJ1283" s="145"/>
      <c r="AK1283" s="145"/>
      <c r="AL1283" s="145"/>
      <c r="AM1283" s="321"/>
      <c r="AN1283" s="321"/>
      <c r="AO1283" s="321"/>
      <c r="AP1283" s="321"/>
      <c r="AQ1283" s="321"/>
      <c r="AR1283" s="321"/>
      <c r="AS1283" s="321"/>
      <c r="AT1283" s="321"/>
    </row>
    <row r="1284" spans="10:46">
      <c r="J1284" s="145"/>
      <c r="K1284" s="145"/>
      <c r="L1284" s="145"/>
      <c r="M1284" s="145"/>
      <c r="N1284" s="145"/>
      <c r="O1284" s="145"/>
      <c r="P1284" s="145"/>
      <c r="Q1284" s="145"/>
      <c r="R1284" s="145"/>
      <c r="S1284" s="145"/>
      <c r="T1284" s="145"/>
      <c r="U1284" s="145"/>
      <c r="V1284" s="145"/>
      <c r="W1284" s="145"/>
      <c r="X1284" s="145"/>
      <c r="Y1284" s="145"/>
      <c r="Z1284" s="145"/>
      <c r="AA1284" s="145"/>
      <c r="AB1284" s="145"/>
      <c r="AC1284" s="145"/>
      <c r="AD1284" s="145"/>
      <c r="AE1284" s="145"/>
      <c r="AF1284" s="145"/>
      <c r="AG1284" s="145"/>
      <c r="AH1284" s="145"/>
      <c r="AI1284" s="145"/>
      <c r="AJ1284" s="145"/>
      <c r="AK1284" s="145"/>
      <c r="AL1284" s="145"/>
      <c r="AM1284" s="321"/>
      <c r="AN1284" s="321"/>
      <c r="AO1284" s="321"/>
      <c r="AP1284" s="321"/>
      <c r="AQ1284" s="321"/>
      <c r="AR1284" s="321"/>
      <c r="AS1284" s="321"/>
      <c r="AT1284" s="321"/>
    </row>
    <row r="1285" spans="10:46">
      <c r="J1285" s="145"/>
      <c r="K1285" s="145"/>
      <c r="L1285" s="145"/>
      <c r="M1285" s="145"/>
      <c r="N1285" s="145"/>
      <c r="O1285" s="145"/>
      <c r="P1285" s="145"/>
      <c r="Q1285" s="145"/>
      <c r="R1285" s="145"/>
      <c r="S1285" s="145"/>
      <c r="T1285" s="145"/>
      <c r="U1285" s="145"/>
      <c r="V1285" s="145"/>
      <c r="W1285" s="145"/>
      <c r="X1285" s="145"/>
      <c r="Y1285" s="145"/>
      <c r="Z1285" s="145"/>
      <c r="AA1285" s="145"/>
      <c r="AB1285" s="145"/>
      <c r="AC1285" s="145"/>
      <c r="AD1285" s="145"/>
      <c r="AE1285" s="145"/>
      <c r="AF1285" s="145"/>
      <c r="AG1285" s="145"/>
      <c r="AH1285" s="145"/>
      <c r="AI1285" s="145"/>
      <c r="AJ1285" s="145"/>
      <c r="AK1285" s="145"/>
      <c r="AL1285" s="145"/>
      <c r="AM1285" s="321"/>
      <c r="AN1285" s="321"/>
      <c r="AO1285" s="321"/>
      <c r="AP1285" s="321"/>
      <c r="AQ1285" s="321"/>
      <c r="AR1285" s="321"/>
      <c r="AS1285" s="321"/>
      <c r="AT1285" s="321"/>
    </row>
    <row r="1286" spans="10:46">
      <c r="J1286" s="145"/>
      <c r="K1286" s="145"/>
      <c r="L1286" s="145"/>
      <c r="M1286" s="145"/>
      <c r="N1286" s="145"/>
      <c r="O1286" s="145"/>
      <c r="P1286" s="145"/>
      <c r="Q1286" s="145"/>
      <c r="R1286" s="145"/>
      <c r="S1286" s="145"/>
      <c r="T1286" s="145"/>
      <c r="U1286" s="145"/>
      <c r="V1286" s="145"/>
      <c r="W1286" s="145"/>
      <c r="X1286" s="145"/>
      <c r="Y1286" s="145"/>
      <c r="Z1286" s="145"/>
      <c r="AA1286" s="145"/>
      <c r="AB1286" s="145"/>
      <c r="AC1286" s="145"/>
      <c r="AD1286" s="145"/>
      <c r="AE1286" s="145"/>
      <c r="AF1286" s="145"/>
      <c r="AG1286" s="145"/>
      <c r="AH1286" s="145"/>
      <c r="AI1286" s="145"/>
      <c r="AJ1286" s="145"/>
      <c r="AK1286" s="145"/>
      <c r="AL1286" s="145"/>
      <c r="AM1286" s="321"/>
      <c r="AN1286" s="321"/>
      <c r="AO1286" s="321"/>
      <c r="AP1286" s="321"/>
      <c r="AQ1286" s="321"/>
      <c r="AR1286" s="321"/>
      <c r="AS1286" s="321"/>
      <c r="AT1286" s="321"/>
    </row>
    <row r="1287" spans="10:46">
      <c r="J1287" s="145"/>
      <c r="K1287" s="145"/>
      <c r="L1287" s="145"/>
      <c r="M1287" s="145"/>
      <c r="N1287" s="145"/>
      <c r="O1287" s="145"/>
      <c r="P1287" s="145"/>
      <c r="Q1287" s="145"/>
      <c r="R1287" s="145"/>
      <c r="S1287" s="145"/>
      <c r="T1287" s="145"/>
      <c r="U1287" s="145"/>
      <c r="V1287" s="145"/>
      <c r="W1287" s="145"/>
      <c r="X1287" s="145"/>
      <c r="Y1287" s="145"/>
      <c r="Z1287" s="145"/>
      <c r="AA1287" s="145"/>
      <c r="AB1287" s="145"/>
      <c r="AC1287" s="145"/>
      <c r="AD1287" s="145"/>
      <c r="AE1287" s="145"/>
      <c r="AF1287" s="145"/>
      <c r="AG1287" s="145"/>
      <c r="AH1287" s="145"/>
      <c r="AI1287" s="145"/>
      <c r="AJ1287" s="145"/>
      <c r="AK1287" s="145"/>
      <c r="AL1287" s="145"/>
      <c r="AM1287" s="321"/>
      <c r="AN1287" s="321"/>
      <c r="AO1287" s="321"/>
      <c r="AP1287" s="321"/>
      <c r="AQ1287" s="321"/>
      <c r="AR1287" s="321"/>
      <c r="AS1287" s="321"/>
      <c r="AT1287" s="321"/>
    </row>
    <row r="1288" spans="10:46">
      <c r="J1288" s="145"/>
      <c r="K1288" s="145"/>
      <c r="L1288" s="145"/>
      <c r="M1288" s="145"/>
      <c r="N1288" s="145"/>
      <c r="O1288" s="145"/>
      <c r="P1288" s="145"/>
      <c r="Q1288" s="145"/>
      <c r="R1288" s="145"/>
      <c r="S1288" s="145"/>
      <c r="T1288" s="145"/>
      <c r="U1288" s="145"/>
      <c r="V1288" s="145"/>
      <c r="W1288" s="145"/>
      <c r="X1288" s="145"/>
      <c r="Y1288" s="145"/>
      <c r="Z1288" s="145"/>
      <c r="AA1288" s="145"/>
      <c r="AB1288" s="145"/>
      <c r="AC1288" s="145"/>
      <c r="AD1288" s="145"/>
      <c r="AE1288" s="145"/>
      <c r="AF1288" s="145"/>
      <c r="AG1288" s="145"/>
      <c r="AH1288" s="145"/>
      <c r="AI1288" s="145"/>
      <c r="AJ1288" s="145"/>
      <c r="AK1288" s="145"/>
      <c r="AL1288" s="145"/>
      <c r="AM1288" s="321"/>
      <c r="AN1288" s="321"/>
      <c r="AO1288" s="321"/>
      <c r="AP1288" s="321"/>
      <c r="AQ1288" s="321"/>
      <c r="AR1288" s="321"/>
      <c r="AS1288" s="321"/>
      <c r="AT1288" s="321"/>
    </row>
    <row r="1289" spans="10:46">
      <c r="J1289" s="145"/>
      <c r="K1289" s="145"/>
      <c r="L1289" s="145"/>
      <c r="M1289" s="145"/>
      <c r="N1289" s="145"/>
      <c r="O1289" s="145"/>
      <c r="P1289" s="145"/>
      <c r="Q1289" s="145"/>
      <c r="R1289" s="145"/>
      <c r="S1289" s="145"/>
      <c r="T1289" s="145"/>
      <c r="U1289" s="145"/>
      <c r="V1289" s="145"/>
      <c r="W1289" s="145"/>
      <c r="X1289" s="145"/>
      <c r="Y1289" s="145"/>
      <c r="Z1289" s="145"/>
      <c r="AA1289" s="145"/>
      <c r="AB1289" s="145"/>
      <c r="AC1289" s="145"/>
      <c r="AD1289" s="145"/>
      <c r="AE1289" s="145"/>
      <c r="AF1289" s="145"/>
      <c r="AG1289" s="145"/>
      <c r="AH1289" s="145"/>
      <c r="AI1289" s="145"/>
      <c r="AJ1289" s="145"/>
      <c r="AK1289" s="145"/>
      <c r="AL1289" s="145"/>
      <c r="AM1289" s="321"/>
      <c r="AN1289" s="321"/>
      <c r="AO1289" s="321"/>
      <c r="AP1289" s="321"/>
      <c r="AQ1289" s="321"/>
      <c r="AR1289" s="321"/>
      <c r="AS1289" s="321"/>
      <c r="AT1289" s="321"/>
    </row>
    <row r="1290" spans="10:46">
      <c r="J1290" s="145"/>
      <c r="K1290" s="145"/>
      <c r="L1290" s="145"/>
      <c r="M1290" s="145"/>
      <c r="N1290" s="145"/>
      <c r="O1290" s="145"/>
      <c r="P1290" s="145"/>
      <c r="Q1290" s="145"/>
      <c r="R1290" s="145"/>
      <c r="S1290" s="145"/>
      <c r="T1290" s="145"/>
      <c r="U1290" s="145"/>
      <c r="V1290" s="145"/>
      <c r="W1290" s="145"/>
      <c r="X1290" s="145"/>
      <c r="Y1290" s="145"/>
      <c r="Z1290" s="145"/>
      <c r="AA1290" s="145"/>
      <c r="AB1290" s="145"/>
      <c r="AC1290" s="145"/>
      <c r="AD1290" s="145"/>
      <c r="AE1290" s="145"/>
      <c r="AF1290" s="145"/>
      <c r="AG1290" s="145"/>
      <c r="AH1290" s="145"/>
      <c r="AI1290" s="145"/>
      <c r="AJ1290" s="145"/>
      <c r="AK1290" s="145"/>
      <c r="AL1290" s="145"/>
      <c r="AM1290" s="321"/>
      <c r="AN1290" s="321"/>
      <c r="AO1290" s="321"/>
      <c r="AP1290" s="321"/>
      <c r="AQ1290" s="321"/>
      <c r="AR1290" s="321"/>
      <c r="AS1290" s="321"/>
      <c r="AT1290" s="321"/>
    </row>
    <row r="1291" spans="10:46">
      <c r="J1291" s="145"/>
      <c r="K1291" s="145"/>
      <c r="L1291" s="145"/>
      <c r="M1291" s="145"/>
      <c r="N1291" s="145"/>
      <c r="O1291" s="145"/>
      <c r="P1291" s="145"/>
      <c r="Q1291" s="145"/>
      <c r="R1291" s="145"/>
      <c r="S1291" s="145"/>
      <c r="T1291" s="145"/>
      <c r="U1291" s="145"/>
      <c r="V1291" s="145"/>
      <c r="W1291" s="145"/>
      <c r="X1291" s="145"/>
      <c r="Y1291" s="145"/>
      <c r="Z1291" s="145"/>
      <c r="AA1291" s="145"/>
      <c r="AB1291" s="145"/>
      <c r="AC1291" s="145"/>
      <c r="AD1291" s="145"/>
      <c r="AE1291" s="145"/>
      <c r="AF1291" s="145"/>
      <c r="AG1291" s="145"/>
      <c r="AH1291" s="145"/>
      <c r="AI1291" s="145"/>
      <c r="AJ1291" s="145"/>
      <c r="AK1291" s="145"/>
      <c r="AL1291" s="145"/>
      <c r="AM1291" s="321"/>
      <c r="AN1291" s="321"/>
      <c r="AO1291" s="321"/>
      <c r="AP1291" s="321"/>
      <c r="AQ1291" s="321"/>
      <c r="AR1291" s="321"/>
      <c r="AS1291" s="321"/>
      <c r="AT1291" s="321"/>
    </row>
    <row r="1292" spans="10:46">
      <c r="J1292" s="145"/>
      <c r="K1292" s="145"/>
      <c r="L1292" s="145"/>
      <c r="M1292" s="145"/>
      <c r="N1292" s="145"/>
      <c r="O1292" s="145"/>
      <c r="P1292" s="145"/>
      <c r="Q1292" s="145"/>
      <c r="R1292" s="145"/>
      <c r="S1292" s="145"/>
      <c r="T1292" s="145"/>
      <c r="U1292" s="145"/>
      <c r="V1292" s="145"/>
      <c r="W1292" s="145"/>
      <c r="X1292" s="145"/>
      <c r="Y1292" s="145"/>
      <c r="Z1292" s="145"/>
      <c r="AA1292" s="145"/>
      <c r="AB1292" s="145"/>
      <c r="AC1292" s="145"/>
      <c r="AD1292" s="145"/>
      <c r="AE1292" s="145"/>
      <c r="AF1292" s="145"/>
      <c r="AG1292" s="145"/>
      <c r="AH1292" s="145"/>
      <c r="AI1292" s="145"/>
      <c r="AJ1292" s="145"/>
      <c r="AK1292" s="145"/>
      <c r="AL1292" s="145"/>
      <c r="AM1292" s="321"/>
      <c r="AN1292" s="321"/>
      <c r="AO1292" s="321"/>
      <c r="AP1292" s="321"/>
      <c r="AQ1292" s="321"/>
      <c r="AR1292" s="321"/>
      <c r="AS1292" s="321"/>
      <c r="AT1292" s="321"/>
    </row>
    <row r="1293" spans="10:46">
      <c r="J1293" s="145"/>
      <c r="K1293" s="145"/>
      <c r="L1293" s="145"/>
      <c r="M1293" s="145"/>
      <c r="N1293" s="145"/>
      <c r="O1293" s="145"/>
      <c r="P1293" s="145"/>
      <c r="Q1293" s="145"/>
      <c r="R1293" s="145"/>
      <c r="S1293" s="145"/>
      <c r="T1293" s="145"/>
      <c r="U1293" s="145"/>
      <c r="V1293" s="145"/>
      <c r="W1293" s="145"/>
      <c r="X1293" s="145"/>
      <c r="Y1293" s="145"/>
      <c r="Z1293" s="145"/>
      <c r="AA1293" s="145"/>
      <c r="AB1293" s="145"/>
      <c r="AC1293" s="145"/>
      <c r="AD1293" s="145"/>
      <c r="AE1293" s="145"/>
      <c r="AF1293" s="145"/>
      <c r="AG1293" s="145"/>
      <c r="AH1293" s="145"/>
      <c r="AI1293" s="145"/>
      <c r="AJ1293" s="145"/>
      <c r="AK1293" s="145"/>
      <c r="AL1293" s="145"/>
      <c r="AM1293" s="321"/>
      <c r="AN1293" s="321"/>
      <c r="AO1293" s="321"/>
      <c r="AP1293" s="321"/>
      <c r="AQ1293" s="321"/>
      <c r="AR1293" s="321"/>
      <c r="AS1293" s="321"/>
      <c r="AT1293" s="321"/>
    </row>
    <row r="1294" spans="10:46">
      <c r="J1294" s="145"/>
      <c r="K1294" s="145"/>
      <c r="L1294" s="145"/>
      <c r="M1294" s="145"/>
      <c r="N1294" s="145"/>
      <c r="O1294" s="145"/>
      <c r="P1294" s="145"/>
      <c r="Q1294" s="145"/>
      <c r="R1294" s="145"/>
      <c r="S1294" s="145"/>
      <c r="T1294" s="145"/>
      <c r="U1294" s="145"/>
      <c r="V1294" s="145"/>
      <c r="W1294" s="145"/>
      <c r="X1294" s="145"/>
      <c r="Y1294" s="145"/>
      <c r="Z1294" s="145"/>
      <c r="AA1294" s="145"/>
      <c r="AB1294" s="145"/>
      <c r="AC1294" s="145"/>
      <c r="AD1294" s="145"/>
      <c r="AE1294" s="145"/>
      <c r="AF1294" s="145"/>
      <c r="AG1294" s="145"/>
      <c r="AH1294" s="145"/>
      <c r="AI1294" s="145"/>
      <c r="AJ1294" s="145"/>
      <c r="AK1294" s="145"/>
      <c r="AL1294" s="145"/>
      <c r="AM1294" s="321"/>
      <c r="AN1294" s="321"/>
      <c r="AO1294" s="321"/>
      <c r="AP1294" s="321"/>
      <c r="AQ1294" s="321"/>
      <c r="AR1294" s="321"/>
      <c r="AS1294" s="321"/>
      <c r="AT1294" s="321"/>
    </row>
    <row r="1295" spans="10:46">
      <c r="J1295" s="145"/>
      <c r="K1295" s="145"/>
      <c r="L1295" s="145"/>
      <c r="M1295" s="145"/>
      <c r="N1295" s="145"/>
      <c r="O1295" s="145"/>
      <c r="P1295" s="145"/>
      <c r="Q1295" s="145"/>
      <c r="R1295" s="145"/>
      <c r="S1295" s="145"/>
      <c r="T1295" s="145"/>
      <c r="U1295" s="145"/>
      <c r="V1295" s="145"/>
      <c r="W1295" s="145"/>
      <c r="X1295" s="145"/>
      <c r="Y1295" s="145"/>
      <c r="Z1295" s="145"/>
      <c r="AA1295" s="145"/>
      <c r="AB1295" s="145"/>
      <c r="AC1295" s="145"/>
      <c r="AD1295" s="145"/>
      <c r="AE1295" s="145"/>
      <c r="AF1295" s="145"/>
      <c r="AG1295" s="145"/>
      <c r="AH1295" s="145"/>
      <c r="AI1295" s="145"/>
      <c r="AJ1295" s="145"/>
      <c r="AK1295" s="145"/>
      <c r="AL1295" s="145"/>
      <c r="AM1295" s="321"/>
      <c r="AN1295" s="321"/>
      <c r="AO1295" s="321"/>
      <c r="AP1295" s="321"/>
      <c r="AQ1295" s="321"/>
      <c r="AR1295" s="321"/>
      <c r="AS1295" s="321"/>
      <c r="AT1295" s="321"/>
    </row>
    <row r="1296" spans="10:46">
      <c r="J1296" s="145"/>
      <c r="K1296" s="145"/>
      <c r="L1296" s="145"/>
      <c r="M1296" s="145"/>
      <c r="N1296" s="145"/>
      <c r="O1296" s="145"/>
      <c r="P1296" s="145"/>
      <c r="Q1296" s="145"/>
      <c r="R1296" s="145"/>
      <c r="S1296" s="145"/>
      <c r="T1296" s="145"/>
      <c r="U1296" s="145"/>
      <c r="V1296" s="145"/>
      <c r="W1296" s="145"/>
      <c r="X1296" s="145"/>
      <c r="Y1296" s="145"/>
      <c r="Z1296" s="145"/>
      <c r="AA1296" s="145"/>
      <c r="AB1296" s="145"/>
      <c r="AC1296" s="145"/>
      <c r="AD1296" s="145"/>
      <c r="AE1296" s="145"/>
      <c r="AF1296" s="145"/>
      <c r="AG1296" s="145"/>
      <c r="AH1296" s="145"/>
      <c r="AI1296" s="145"/>
      <c r="AJ1296" s="145"/>
      <c r="AK1296" s="145"/>
      <c r="AL1296" s="145"/>
      <c r="AM1296" s="321"/>
      <c r="AN1296" s="321"/>
      <c r="AO1296" s="321"/>
      <c r="AP1296" s="321"/>
      <c r="AQ1296" s="321"/>
      <c r="AR1296" s="321"/>
      <c r="AS1296" s="321"/>
      <c r="AT1296" s="321"/>
    </row>
    <row r="1297" spans="10:46">
      <c r="J1297" s="145"/>
      <c r="K1297" s="145"/>
      <c r="L1297" s="145"/>
      <c r="M1297" s="145"/>
      <c r="N1297" s="145"/>
      <c r="O1297" s="145"/>
      <c r="P1297" s="145"/>
      <c r="Q1297" s="145"/>
      <c r="R1297" s="145"/>
      <c r="S1297" s="145"/>
      <c r="T1297" s="145"/>
      <c r="U1297" s="145"/>
      <c r="V1297" s="145"/>
      <c r="W1297" s="145"/>
      <c r="X1297" s="145"/>
      <c r="Y1297" s="145"/>
      <c r="Z1297" s="145"/>
      <c r="AA1297" s="145"/>
      <c r="AB1297" s="145"/>
      <c r="AC1297" s="145"/>
      <c r="AD1297" s="145"/>
      <c r="AE1297" s="145"/>
      <c r="AF1297" s="145"/>
      <c r="AG1297" s="145"/>
      <c r="AH1297" s="145"/>
      <c r="AI1297" s="145"/>
      <c r="AJ1297" s="145"/>
      <c r="AK1297" s="145"/>
      <c r="AL1297" s="145"/>
      <c r="AM1297" s="321"/>
      <c r="AN1297" s="321"/>
      <c r="AO1297" s="321"/>
      <c r="AP1297" s="321"/>
      <c r="AQ1297" s="321"/>
      <c r="AR1297" s="321"/>
      <c r="AS1297" s="321"/>
      <c r="AT1297" s="321"/>
    </row>
    <row r="1298" spans="10:46">
      <c r="J1298" s="145"/>
      <c r="K1298" s="145"/>
      <c r="L1298" s="145"/>
      <c r="M1298" s="145"/>
      <c r="N1298" s="145"/>
      <c r="O1298" s="145"/>
      <c r="P1298" s="145"/>
      <c r="Q1298" s="145"/>
      <c r="R1298" s="145"/>
      <c r="S1298" s="145"/>
      <c r="T1298" s="145"/>
      <c r="U1298" s="145"/>
      <c r="V1298" s="145"/>
      <c r="W1298" s="145"/>
      <c r="X1298" s="145"/>
      <c r="Y1298" s="145"/>
      <c r="Z1298" s="145"/>
      <c r="AA1298" s="145"/>
      <c r="AB1298" s="145"/>
      <c r="AC1298" s="145"/>
      <c r="AD1298" s="145"/>
      <c r="AE1298" s="145"/>
      <c r="AF1298" s="145"/>
      <c r="AG1298" s="145"/>
      <c r="AH1298" s="145"/>
      <c r="AI1298" s="145"/>
      <c r="AJ1298" s="145"/>
      <c r="AK1298" s="145"/>
      <c r="AL1298" s="145"/>
      <c r="AM1298" s="321"/>
      <c r="AN1298" s="321"/>
      <c r="AO1298" s="321"/>
      <c r="AP1298" s="321"/>
      <c r="AQ1298" s="321"/>
      <c r="AR1298" s="321"/>
      <c r="AS1298" s="321"/>
      <c r="AT1298" s="321"/>
    </row>
    <row r="1299" spans="10:46">
      <c r="J1299" s="145"/>
      <c r="K1299" s="145"/>
      <c r="L1299" s="145"/>
      <c r="M1299" s="145"/>
      <c r="N1299" s="145"/>
      <c r="O1299" s="145"/>
      <c r="P1299" s="145"/>
      <c r="Q1299" s="145"/>
      <c r="R1299" s="145"/>
      <c r="S1299" s="145"/>
      <c r="T1299" s="145"/>
      <c r="U1299" s="145"/>
      <c r="V1299" s="145"/>
      <c r="W1299" s="145"/>
      <c r="X1299" s="145"/>
      <c r="Y1299" s="145"/>
      <c r="Z1299" s="145"/>
      <c r="AA1299" s="145"/>
      <c r="AB1299" s="145"/>
      <c r="AC1299" s="145"/>
      <c r="AD1299" s="145"/>
      <c r="AE1299" s="145"/>
      <c r="AF1299" s="145"/>
      <c r="AG1299" s="145"/>
      <c r="AH1299" s="145"/>
      <c r="AI1299" s="145"/>
      <c r="AJ1299" s="145"/>
      <c r="AK1299" s="145"/>
      <c r="AL1299" s="145"/>
      <c r="AM1299" s="321"/>
      <c r="AN1299" s="321"/>
      <c r="AO1299" s="321"/>
      <c r="AP1299" s="321"/>
      <c r="AQ1299" s="321"/>
      <c r="AR1299" s="321"/>
      <c r="AS1299" s="321"/>
      <c r="AT1299" s="321"/>
    </row>
    <row r="1300" spans="10:46">
      <c r="J1300" s="145"/>
      <c r="K1300" s="145"/>
      <c r="L1300" s="145"/>
      <c r="M1300" s="145"/>
      <c r="N1300" s="145"/>
      <c r="O1300" s="145"/>
      <c r="P1300" s="145"/>
      <c r="Q1300" s="145"/>
      <c r="R1300" s="145"/>
      <c r="S1300" s="145"/>
      <c r="T1300" s="145"/>
      <c r="U1300" s="145"/>
      <c r="V1300" s="145"/>
      <c r="W1300" s="145"/>
      <c r="X1300" s="145"/>
      <c r="Y1300" s="145"/>
      <c r="Z1300" s="145"/>
      <c r="AA1300" s="145"/>
      <c r="AB1300" s="145"/>
      <c r="AC1300" s="145"/>
      <c r="AD1300" s="145"/>
      <c r="AE1300" s="145"/>
      <c r="AF1300" s="145"/>
      <c r="AG1300" s="145"/>
      <c r="AH1300" s="145"/>
      <c r="AI1300" s="145"/>
      <c r="AJ1300" s="145"/>
      <c r="AK1300" s="145"/>
      <c r="AL1300" s="145"/>
      <c r="AM1300" s="321"/>
      <c r="AN1300" s="321"/>
      <c r="AO1300" s="321"/>
      <c r="AP1300" s="321"/>
      <c r="AQ1300" s="321"/>
      <c r="AR1300" s="321"/>
      <c r="AS1300" s="321"/>
      <c r="AT1300" s="321"/>
    </row>
    <row r="1301" spans="10:46">
      <c r="J1301" s="145"/>
      <c r="K1301" s="145"/>
      <c r="L1301" s="145"/>
      <c r="M1301" s="145"/>
      <c r="N1301" s="145"/>
      <c r="O1301" s="145"/>
      <c r="P1301" s="145"/>
      <c r="Q1301" s="145"/>
      <c r="R1301" s="145"/>
      <c r="S1301" s="145"/>
      <c r="T1301" s="145"/>
      <c r="U1301" s="145"/>
      <c r="V1301" s="145"/>
      <c r="W1301" s="145"/>
      <c r="X1301" s="145"/>
      <c r="Y1301" s="145"/>
      <c r="Z1301" s="145"/>
      <c r="AA1301" s="145"/>
      <c r="AB1301" s="145"/>
      <c r="AC1301" s="145"/>
      <c r="AD1301" s="145"/>
      <c r="AE1301" s="145"/>
      <c r="AF1301" s="145"/>
      <c r="AG1301" s="145"/>
      <c r="AH1301" s="145"/>
      <c r="AI1301" s="145"/>
      <c r="AJ1301" s="145"/>
      <c r="AK1301" s="145"/>
      <c r="AL1301" s="145"/>
      <c r="AM1301" s="321"/>
      <c r="AN1301" s="321"/>
      <c r="AO1301" s="321"/>
      <c r="AP1301" s="321"/>
      <c r="AQ1301" s="321"/>
      <c r="AR1301" s="321"/>
      <c r="AS1301" s="321"/>
      <c r="AT1301" s="321"/>
    </row>
    <row r="1302" spans="10:46">
      <c r="J1302" s="145"/>
      <c r="K1302" s="145"/>
      <c r="L1302" s="145"/>
      <c r="M1302" s="145"/>
      <c r="N1302" s="145"/>
      <c r="O1302" s="145"/>
      <c r="P1302" s="145"/>
      <c r="Q1302" s="145"/>
      <c r="R1302" s="145"/>
      <c r="S1302" s="145"/>
      <c r="T1302" s="145"/>
      <c r="U1302" s="145"/>
      <c r="V1302" s="145"/>
      <c r="W1302" s="145"/>
      <c r="X1302" s="145"/>
      <c r="Y1302" s="145"/>
      <c r="Z1302" s="145"/>
      <c r="AA1302" s="145"/>
      <c r="AB1302" s="145"/>
      <c r="AC1302" s="145"/>
      <c r="AD1302" s="145"/>
      <c r="AE1302" s="145"/>
      <c r="AF1302" s="145"/>
      <c r="AG1302" s="145"/>
      <c r="AH1302" s="145"/>
      <c r="AI1302" s="145"/>
      <c r="AJ1302" s="145"/>
      <c r="AK1302" s="145"/>
      <c r="AL1302" s="145"/>
      <c r="AM1302" s="321"/>
      <c r="AN1302" s="321"/>
      <c r="AO1302" s="321"/>
      <c r="AP1302" s="321"/>
      <c r="AQ1302" s="321"/>
      <c r="AR1302" s="321"/>
      <c r="AS1302" s="321"/>
      <c r="AT1302" s="321"/>
    </row>
    <row r="1303" spans="10:46">
      <c r="J1303" s="145"/>
      <c r="K1303" s="145"/>
      <c r="L1303" s="145"/>
      <c r="M1303" s="145"/>
      <c r="N1303" s="145"/>
      <c r="O1303" s="145"/>
      <c r="P1303" s="145"/>
      <c r="Q1303" s="145"/>
      <c r="R1303" s="145"/>
      <c r="S1303" s="145"/>
      <c r="T1303" s="145"/>
      <c r="U1303" s="145"/>
      <c r="V1303" s="145"/>
      <c r="W1303" s="145"/>
      <c r="X1303" s="145"/>
      <c r="Y1303" s="145"/>
      <c r="Z1303" s="145"/>
      <c r="AA1303" s="145"/>
      <c r="AB1303" s="145"/>
      <c r="AC1303" s="145"/>
      <c r="AD1303" s="145"/>
      <c r="AE1303" s="145"/>
      <c r="AF1303" s="145"/>
      <c r="AG1303" s="145"/>
      <c r="AH1303" s="145"/>
      <c r="AI1303" s="145"/>
      <c r="AJ1303" s="145"/>
      <c r="AK1303" s="145"/>
      <c r="AL1303" s="145"/>
      <c r="AM1303" s="321"/>
      <c r="AN1303" s="321"/>
      <c r="AO1303" s="321"/>
      <c r="AP1303" s="321"/>
      <c r="AQ1303" s="321"/>
      <c r="AR1303" s="321"/>
      <c r="AS1303" s="321"/>
      <c r="AT1303" s="321"/>
    </row>
    <row r="1304" spans="10:46">
      <c r="J1304" s="145"/>
      <c r="K1304" s="145"/>
      <c r="L1304" s="145"/>
      <c r="M1304" s="145"/>
      <c r="N1304" s="145"/>
      <c r="O1304" s="145"/>
      <c r="P1304" s="145"/>
      <c r="Q1304" s="145"/>
      <c r="R1304" s="145"/>
      <c r="S1304" s="145"/>
      <c r="T1304" s="145"/>
      <c r="U1304" s="145"/>
      <c r="V1304" s="145"/>
      <c r="W1304" s="145"/>
      <c r="X1304" s="145"/>
      <c r="Y1304" s="145"/>
      <c r="Z1304" s="145"/>
      <c r="AA1304" s="145"/>
      <c r="AB1304" s="145"/>
      <c r="AC1304" s="145"/>
      <c r="AD1304" s="145"/>
      <c r="AE1304" s="145"/>
      <c r="AF1304" s="145"/>
      <c r="AG1304" s="145"/>
      <c r="AH1304" s="145"/>
      <c r="AI1304" s="145"/>
      <c r="AJ1304" s="145"/>
      <c r="AK1304" s="145"/>
      <c r="AL1304" s="145"/>
      <c r="AM1304" s="321"/>
      <c r="AN1304" s="321"/>
      <c r="AO1304" s="321"/>
      <c r="AP1304" s="321"/>
      <c r="AQ1304" s="321"/>
      <c r="AR1304" s="321"/>
      <c r="AS1304" s="321"/>
      <c r="AT1304" s="321"/>
    </row>
    <row r="1305" spans="10:46">
      <c r="J1305" s="145"/>
      <c r="K1305" s="145"/>
      <c r="L1305" s="145"/>
      <c r="M1305" s="145"/>
      <c r="N1305" s="145"/>
      <c r="O1305" s="145"/>
      <c r="P1305" s="145"/>
      <c r="Q1305" s="145"/>
      <c r="R1305" s="145"/>
      <c r="S1305" s="145"/>
      <c r="T1305" s="145"/>
      <c r="U1305" s="145"/>
      <c r="V1305" s="145"/>
      <c r="W1305" s="145"/>
      <c r="X1305" s="145"/>
      <c r="Y1305" s="145"/>
      <c r="Z1305" s="145"/>
      <c r="AA1305" s="145"/>
      <c r="AB1305" s="145"/>
      <c r="AC1305" s="145"/>
      <c r="AD1305" s="145"/>
      <c r="AE1305" s="145"/>
      <c r="AF1305" s="145"/>
      <c r="AG1305" s="145"/>
      <c r="AH1305" s="145"/>
      <c r="AI1305" s="145"/>
      <c r="AJ1305" s="145"/>
      <c r="AK1305" s="145"/>
      <c r="AL1305" s="145"/>
      <c r="AM1305" s="321"/>
      <c r="AN1305" s="321"/>
      <c r="AO1305" s="321"/>
      <c r="AP1305" s="321"/>
      <c r="AQ1305" s="321"/>
      <c r="AR1305" s="321"/>
      <c r="AS1305" s="321"/>
      <c r="AT1305" s="321"/>
    </row>
    <row r="1306" spans="10:46">
      <c r="J1306" s="145"/>
      <c r="K1306" s="145"/>
      <c r="L1306" s="145"/>
      <c r="M1306" s="145"/>
      <c r="N1306" s="145"/>
      <c r="O1306" s="145"/>
      <c r="P1306" s="145"/>
      <c r="Q1306" s="145"/>
      <c r="R1306" s="145"/>
      <c r="S1306" s="145"/>
      <c r="T1306" s="145"/>
      <c r="U1306" s="145"/>
      <c r="V1306" s="145"/>
      <c r="W1306" s="145"/>
      <c r="X1306" s="145"/>
      <c r="Y1306" s="145"/>
      <c r="Z1306" s="145"/>
      <c r="AA1306" s="145"/>
      <c r="AB1306" s="145"/>
      <c r="AC1306" s="145"/>
      <c r="AD1306" s="145"/>
      <c r="AE1306" s="145"/>
      <c r="AF1306" s="145"/>
      <c r="AG1306" s="145"/>
      <c r="AH1306" s="145"/>
      <c r="AI1306" s="145"/>
      <c r="AJ1306" s="145"/>
      <c r="AK1306" s="145"/>
      <c r="AL1306" s="145"/>
      <c r="AM1306" s="321"/>
      <c r="AN1306" s="321"/>
      <c r="AO1306" s="321"/>
      <c r="AP1306" s="321"/>
      <c r="AQ1306" s="321"/>
      <c r="AR1306" s="321"/>
      <c r="AS1306" s="321"/>
      <c r="AT1306" s="321"/>
    </row>
    <row r="1307" spans="10:46">
      <c r="J1307" s="145"/>
      <c r="K1307" s="145"/>
      <c r="L1307" s="145"/>
      <c r="M1307" s="145"/>
      <c r="N1307" s="145"/>
      <c r="O1307" s="145"/>
      <c r="P1307" s="145"/>
      <c r="Q1307" s="145"/>
      <c r="R1307" s="145"/>
      <c r="S1307" s="145"/>
      <c r="T1307" s="145"/>
      <c r="U1307" s="145"/>
      <c r="V1307" s="145"/>
      <c r="W1307" s="145"/>
      <c r="X1307" s="145"/>
      <c r="Y1307" s="145"/>
      <c r="Z1307" s="145"/>
      <c r="AA1307" s="145"/>
      <c r="AB1307" s="145"/>
      <c r="AC1307" s="145"/>
      <c r="AD1307" s="145"/>
      <c r="AE1307" s="145"/>
      <c r="AF1307" s="145"/>
      <c r="AG1307" s="145"/>
      <c r="AH1307" s="145"/>
      <c r="AI1307" s="145"/>
      <c r="AJ1307" s="145"/>
      <c r="AK1307" s="145"/>
      <c r="AL1307" s="145"/>
      <c r="AM1307" s="321"/>
      <c r="AN1307" s="321"/>
      <c r="AO1307" s="321"/>
      <c r="AP1307" s="321"/>
      <c r="AQ1307" s="321"/>
      <c r="AR1307" s="321"/>
      <c r="AS1307" s="321"/>
      <c r="AT1307" s="321"/>
    </row>
    <row r="1308" spans="10:46">
      <c r="J1308" s="145"/>
      <c r="K1308" s="145"/>
      <c r="L1308" s="145"/>
      <c r="M1308" s="145"/>
      <c r="N1308" s="145"/>
      <c r="O1308" s="145"/>
      <c r="P1308" s="145"/>
      <c r="Q1308" s="145"/>
      <c r="R1308" s="145"/>
      <c r="S1308" s="145"/>
      <c r="T1308" s="145"/>
      <c r="U1308" s="145"/>
      <c r="V1308" s="145"/>
      <c r="W1308" s="145"/>
      <c r="X1308" s="145"/>
      <c r="Y1308" s="145"/>
      <c r="Z1308" s="145"/>
      <c r="AA1308" s="145"/>
      <c r="AB1308" s="145"/>
      <c r="AC1308" s="145"/>
      <c r="AD1308" s="145"/>
      <c r="AE1308" s="145"/>
      <c r="AF1308" s="145"/>
      <c r="AG1308" s="145"/>
      <c r="AH1308" s="145"/>
      <c r="AI1308" s="145"/>
      <c r="AJ1308" s="145"/>
      <c r="AK1308" s="145"/>
      <c r="AL1308" s="145"/>
      <c r="AM1308" s="321"/>
      <c r="AN1308" s="321"/>
      <c r="AO1308" s="321"/>
      <c r="AP1308" s="321"/>
      <c r="AQ1308" s="321"/>
      <c r="AR1308" s="321"/>
      <c r="AS1308" s="321"/>
      <c r="AT1308" s="321"/>
    </row>
    <row r="1309" spans="10:46">
      <c r="J1309" s="145"/>
      <c r="K1309" s="145"/>
      <c r="L1309" s="145"/>
      <c r="M1309" s="145"/>
      <c r="N1309" s="145"/>
      <c r="O1309" s="145"/>
      <c r="P1309" s="145"/>
      <c r="Q1309" s="145"/>
      <c r="R1309" s="145"/>
      <c r="S1309" s="145"/>
      <c r="T1309" s="145"/>
      <c r="U1309" s="145"/>
      <c r="V1309" s="145"/>
      <c r="W1309" s="145"/>
      <c r="X1309" s="145"/>
      <c r="Y1309" s="145"/>
      <c r="Z1309" s="145"/>
      <c r="AA1309" s="145"/>
      <c r="AB1309" s="145"/>
      <c r="AC1309" s="145"/>
      <c r="AD1309" s="145"/>
      <c r="AE1309" s="145"/>
      <c r="AF1309" s="145"/>
      <c r="AG1309" s="145"/>
      <c r="AH1309" s="145"/>
      <c r="AI1309" s="145"/>
      <c r="AJ1309" s="145"/>
      <c r="AK1309" s="145"/>
      <c r="AL1309" s="145"/>
      <c r="AM1309" s="321"/>
      <c r="AN1309" s="321"/>
      <c r="AO1309" s="321"/>
      <c r="AP1309" s="321"/>
      <c r="AQ1309" s="321"/>
      <c r="AR1309" s="321"/>
      <c r="AS1309" s="321"/>
      <c r="AT1309" s="321"/>
    </row>
    <row r="1310" spans="10:46">
      <c r="J1310" s="145"/>
      <c r="K1310" s="145"/>
      <c r="L1310" s="145"/>
      <c r="M1310" s="145"/>
      <c r="N1310" s="145"/>
      <c r="O1310" s="145"/>
      <c r="P1310" s="145"/>
      <c r="Q1310" s="145"/>
      <c r="R1310" s="145"/>
      <c r="S1310" s="145"/>
      <c r="T1310" s="145"/>
      <c r="U1310" s="145"/>
      <c r="V1310" s="145"/>
      <c r="W1310" s="145"/>
      <c r="X1310" s="145"/>
      <c r="Y1310" s="145"/>
      <c r="Z1310" s="145"/>
      <c r="AA1310" s="145"/>
      <c r="AB1310" s="145"/>
      <c r="AC1310" s="145"/>
      <c r="AD1310" s="145"/>
      <c r="AE1310" s="145"/>
      <c r="AF1310" s="145"/>
      <c r="AG1310" s="145"/>
      <c r="AH1310" s="145"/>
      <c r="AI1310" s="145"/>
      <c r="AJ1310" s="145"/>
      <c r="AK1310" s="145"/>
      <c r="AL1310" s="145"/>
      <c r="AM1310" s="321"/>
      <c r="AN1310" s="321"/>
      <c r="AO1310" s="321"/>
      <c r="AP1310" s="321"/>
      <c r="AQ1310" s="321"/>
      <c r="AR1310" s="321"/>
      <c r="AS1310" s="321"/>
      <c r="AT1310" s="321"/>
    </row>
    <row r="1311" spans="10:46">
      <c r="J1311" s="145"/>
      <c r="K1311" s="145"/>
      <c r="L1311" s="145"/>
      <c r="M1311" s="145"/>
      <c r="N1311" s="145"/>
      <c r="O1311" s="145"/>
      <c r="P1311" s="145"/>
      <c r="Q1311" s="145"/>
      <c r="R1311" s="145"/>
      <c r="S1311" s="145"/>
      <c r="T1311" s="145"/>
      <c r="U1311" s="145"/>
      <c r="V1311" s="145"/>
      <c r="W1311" s="145"/>
      <c r="X1311" s="145"/>
      <c r="Y1311" s="145"/>
      <c r="Z1311" s="145"/>
      <c r="AA1311" s="145"/>
      <c r="AB1311" s="145"/>
      <c r="AC1311" s="145"/>
      <c r="AD1311" s="145"/>
      <c r="AE1311" s="145"/>
      <c r="AF1311" s="145"/>
      <c r="AG1311" s="145"/>
      <c r="AH1311" s="145"/>
      <c r="AI1311" s="145"/>
      <c r="AJ1311" s="145"/>
      <c r="AK1311" s="145"/>
      <c r="AL1311" s="145"/>
      <c r="AM1311" s="321"/>
      <c r="AN1311" s="321"/>
      <c r="AO1311" s="321"/>
      <c r="AP1311" s="321"/>
      <c r="AQ1311" s="321"/>
      <c r="AR1311" s="321"/>
      <c r="AS1311" s="321"/>
      <c r="AT1311" s="321"/>
    </row>
    <row r="1312" spans="10:46">
      <c r="J1312" s="145"/>
      <c r="K1312" s="145"/>
      <c r="L1312" s="145"/>
      <c r="M1312" s="145"/>
      <c r="N1312" s="145"/>
      <c r="O1312" s="145"/>
      <c r="P1312" s="145"/>
      <c r="Q1312" s="145"/>
      <c r="R1312" s="145"/>
      <c r="S1312" s="145"/>
      <c r="T1312" s="145"/>
      <c r="U1312" s="145"/>
      <c r="V1312" s="145"/>
      <c r="W1312" s="145"/>
      <c r="X1312" s="145"/>
      <c r="Y1312" s="145"/>
      <c r="Z1312" s="145"/>
      <c r="AA1312" s="145"/>
      <c r="AB1312" s="145"/>
      <c r="AC1312" s="145"/>
      <c r="AD1312" s="145"/>
      <c r="AE1312" s="145"/>
      <c r="AF1312" s="145"/>
      <c r="AG1312" s="145"/>
      <c r="AH1312" s="145"/>
      <c r="AI1312" s="145"/>
      <c r="AJ1312" s="145"/>
      <c r="AK1312" s="145"/>
      <c r="AL1312" s="145"/>
      <c r="AM1312" s="321"/>
      <c r="AN1312" s="321"/>
      <c r="AO1312" s="321"/>
      <c r="AP1312" s="321"/>
      <c r="AQ1312" s="321"/>
      <c r="AR1312" s="321"/>
      <c r="AS1312" s="321"/>
      <c r="AT1312" s="321"/>
    </row>
    <row r="1313" spans="10:46">
      <c r="J1313" s="145"/>
      <c r="K1313" s="145"/>
      <c r="L1313" s="145"/>
      <c r="M1313" s="145"/>
      <c r="N1313" s="145"/>
      <c r="O1313" s="145"/>
      <c r="P1313" s="145"/>
      <c r="Q1313" s="145"/>
      <c r="R1313" s="145"/>
      <c r="S1313" s="145"/>
      <c r="T1313" s="145"/>
      <c r="U1313" s="145"/>
      <c r="V1313" s="145"/>
      <c r="W1313" s="145"/>
      <c r="X1313" s="145"/>
      <c r="Y1313" s="145"/>
      <c r="Z1313" s="145"/>
      <c r="AA1313" s="145"/>
      <c r="AB1313" s="145"/>
      <c r="AC1313" s="145"/>
      <c r="AD1313" s="145"/>
      <c r="AE1313" s="145"/>
      <c r="AF1313" s="145"/>
      <c r="AG1313" s="145"/>
      <c r="AH1313" s="145"/>
      <c r="AI1313" s="145"/>
      <c r="AJ1313" s="145"/>
      <c r="AK1313" s="145"/>
      <c r="AL1313" s="145"/>
      <c r="AM1313" s="321"/>
      <c r="AN1313" s="321"/>
      <c r="AO1313" s="321"/>
      <c r="AP1313" s="321"/>
      <c r="AQ1313" s="321"/>
      <c r="AR1313" s="321"/>
      <c r="AS1313" s="321"/>
      <c r="AT1313" s="321"/>
    </row>
    <row r="1314" spans="10:46">
      <c r="J1314" s="145"/>
      <c r="K1314" s="145"/>
      <c r="L1314" s="145"/>
      <c r="M1314" s="145"/>
      <c r="N1314" s="145"/>
      <c r="O1314" s="145"/>
      <c r="P1314" s="145"/>
      <c r="Q1314" s="145"/>
      <c r="R1314" s="145"/>
      <c r="S1314" s="145"/>
      <c r="T1314" s="145"/>
      <c r="U1314" s="145"/>
      <c r="V1314" s="145"/>
      <c r="W1314" s="145"/>
      <c r="X1314" s="145"/>
      <c r="Y1314" s="145"/>
      <c r="Z1314" s="145"/>
      <c r="AA1314" s="145"/>
      <c r="AB1314" s="145"/>
      <c r="AC1314" s="145"/>
      <c r="AD1314" s="145"/>
      <c r="AE1314" s="145"/>
      <c r="AF1314" s="145"/>
      <c r="AG1314" s="145"/>
      <c r="AH1314" s="145"/>
      <c r="AI1314" s="145"/>
      <c r="AJ1314" s="145"/>
      <c r="AK1314" s="145"/>
      <c r="AL1314" s="145"/>
      <c r="AM1314" s="321"/>
      <c r="AN1314" s="321"/>
      <c r="AO1314" s="321"/>
      <c r="AP1314" s="321"/>
      <c r="AQ1314" s="321"/>
      <c r="AR1314" s="321"/>
      <c r="AS1314" s="321"/>
      <c r="AT1314" s="321"/>
    </row>
    <row r="1315" spans="10:46">
      <c r="J1315" s="145"/>
      <c r="K1315" s="145"/>
      <c r="L1315" s="145"/>
      <c r="M1315" s="145"/>
      <c r="N1315" s="145"/>
      <c r="O1315" s="145"/>
      <c r="P1315" s="145"/>
      <c r="Q1315" s="145"/>
      <c r="R1315" s="145"/>
      <c r="S1315" s="145"/>
      <c r="T1315" s="145"/>
      <c r="U1315" s="145"/>
      <c r="V1315" s="145"/>
      <c r="W1315" s="145"/>
      <c r="X1315" s="145"/>
      <c r="Y1315" s="145"/>
      <c r="Z1315" s="145"/>
      <c r="AA1315" s="145"/>
      <c r="AB1315" s="145"/>
      <c r="AC1315" s="145"/>
      <c r="AD1315" s="145"/>
      <c r="AE1315" s="145"/>
      <c r="AF1315" s="145"/>
      <c r="AG1315" s="145"/>
      <c r="AH1315" s="145"/>
      <c r="AI1315" s="145"/>
      <c r="AJ1315" s="145"/>
      <c r="AK1315" s="145"/>
      <c r="AL1315" s="145"/>
      <c r="AM1315" s="321"/>
      <c r="AN1315" s="321"/>
      <c r="AO1315" s="321"/>
      <c r="AP1315" s="321"/>
      <c r="AQ1315" s="321"/>
      <c r="AR1315" s="321"/>
      <c r="AS1315" s="321"/>
      <c r="AT1315" s="321"/>
    </row>
    <row r="1316" spans="10:46">
      <c r="J1316" s="145"/>
      <c r="K1316" s="145"/>
      <c r="L1316" s="145"/>
      <c r="M1316" s="145"/>
      <c r="N1316" s="145"/>
      <c r="O1316" s="145"/>
      <c r="P1316" s="145"/>
      <c r="Q1316" s="145"/>
      <c r="R1316" s="145"/>
      <c r="S1316" s="145"/>
      <c r="T1316" s="145"/>
      <c r="U1316" s="145"/>
      <c r="V1316" s="145"/>
      <c r="W1316" s="145"/>
      <c r="X1316" s="145"/>
      <c r="Y1316" s="145"/>
      <c r="Z1316" s="145"/>
      <c r="AA1316" s="145"/>
      <c r="AB1316" s="145"/>
      <c r="AC1316" s="145"/>
      <c r="AD1316" s="145"/>
      <c r="AE1316" s="145"/>
      <c r="AF1316" s="145"/>
      <c r="AG1316" s="145"/>
      <c r="AH1316" s="145"/>
      <c r="AI1316" s="145"/>
      <c r="AJ1316" s="145"/>
      <c r="AK1316" s="145"/>
      <c r="AL1316" s="145"/>
      <c r="AM1316" s="321"/>
      <c r="AN1316" s="321"/>
      <c r="AO1316" s="321"/>
      <c r="AP1316" s="321"/>
      <c r="AQ1316" s="321"/>
      <c r="AR1316" s="321"/>
      <c r="AS1316" s="321"/>
      <c r="AT1316" s="321"/>
    </row>
    <row r="1317" spans="10:46">
      <c r="J1317" s="145"/>
      <c r="K1317" s="145"/>
      <c r="L1317" s="145"/>
      <c r="M1317" s="145"/>
      <c r="N1317" s="145"/>
      <c r="O1317" s="145"/>
      <c r="P1317" s="145"/>
      <c r="Q1317" s="145"/>
      <c r="R1317" s="145"/>
      <c r="S1317" s="145"/>
      <c r="T1317" s="145"/>
      <c r="U1317" s="145"/>
      <c r="V1317" s="145"/>
      <c r="W1317" s="145"/>
      <c r="X1317" s="145"/>
      <c r="Y1317" s="145"/>
      <c r="Z1317" s="145"/>
      <c r="AA1317" s="145"/>
      <c r="AB1317" s="145"/>
      <c r="AC1317" s="145"/>
      <c r="AD1317" s="145"/>
      <c r="AE1317" s="145"/>
      <c r="AF1317" s="145"/>
      <c r="AG1317" s="145"/>
      <c r="AH1317" s="145"/>
      <c r="AI1317" s="145"/>
      <c r="AJ1317" s="145"/>
      <c r="AK1317" s="145"/>
      <c r="AL1317" s="145"/>
      <c r="AM1317" s="321"/>
      <c r="AN1317" s="321"/>
      <c r="AO1317" s="321"/>
      <c r="AP1317" s="321"/>
      <c r="AQ1317" s="321"/>
      <c r="AR1317" s="321"/>
      <c r="AS1317" s="321"/>
      <c r="AT1317" s="321"/>
    </row>
    <row r="1318" spans="10:46">
      <c r="J1318" s="145"/>
      <c r="K1318" s="145"/>
      <c r="L1318" s="145"/>
      <c r="M1318" s="145"/>
      <c r="N1318" s="145"/>
      <c r="O1318" s="145"/>
      <c r="P1318" s="145"/>
      <c r="Q1318" s="145"/>
      <c r="R1318" s="145"/>
      <c r="S1318" s="145"/>
      <c r="T1318" s="145"/>
      <c r="U1318" s="145"/>
      <c r="V1318" s="145"/>
      <c r="W1318" s="145"/>
      <c r="X1318" s="145"/>
      <c r="Y1318" s="145"/>
      <c r="Z1318" s="145"/>
      <c r="AA1318" s="145"/>
      <c r="AB1318" s="145"/>
      <c r="AC1318" s="145"/>
      <c r="AD1318" s="145"/>
      <c r="AE1318" s="145"/>
      <c r="AF1318" s="145"/>
      <c r="AG1318" s="145"/>
      <c r="AH1318" s="145"/>
      <c r="AI1318" s="145"/>
      <c r="AJ1318" s="145"/>
      <c r="AK1318" s="145"/>
      <c r="AL1318" s="145"/>
      <c r="AM1318" s="321"/>
      <c r="AN1318" s="321"/>
      <c r="AO1318" s="321"/>
      <c r="AP1318" s="321"/>
      <c r="AQ1318" s="321"/>
      <c r="AR1318" s="321"/>
      <c r="AS1318" s="321"/>
      <c r="AT1318" s="321"/>
    </row>
    <row r="1319" spans="10:46">
      <c r="J1319" s="145"/>
      <c r="K1319" s="145"/>
      <c r="L1319" s="145"/>
      <c r="M1319" s="145"/>
      <c r="N1319" s="145"/>
      <c r="O1319" s="145"/>
      <c r="P1319" s="145"/>
      <c r="Q1319" s="145"/>
      <c r="R1319" s="145"/>
      <c r="S1319" s="145"/>
      <c r="T1319" s="145"/>
      <c r="U1319" s="145"/>
      <c r="V1319" s="145"/>
      <c r="W1319" s="145"/>
      <c r="X1319" s="145"/>
      <c r="Y1319" s="145"/>
      <c r="Z1319" s="145"/>
      <c r="AA1319" s="145"/>
      <c r="AB1319" s="145"/>
      <c r="AC1319" s="145"/>
      <c r="AD1319" s="145"/>
      <c r="AE1319" s="145"/>
      <c r="AF1319" s="145"/>
      <c r="AG1319" s="145"/>
      <c r="AH1319" s="145"/>
      <c r="AI1319" s="145"/>
      <c r="AJ1319" s="145"/>
      <c r="AK1319" s="145"/>
      <c r="AL1319" s="145"/>
      <c r="AM1319" s="321"/>
      <c r="AN1319" s="321"/>
      <c r="AO1319" s="321"/>
      <c r="AP1319" s="321"/>
      <c r="AQ1319" s="321"/>
      <c r="AR1319" s="321"/>
      <c r="AS1319" s="321"/>
      <c r="AT1319" s="321"/>
    </row>
    <row r="1320" spans="10:46">
      <c r="J1320" s="145"/>
      <c r="K1320" s="145"/>
      <c r="L1320" s="145"/>
      <c r="M1320" s="145"/>
      <c r="N1320" s="145"/>
      <c r="O1320" s="145"/>
      <c r="P1320" s="145"/>
      <c r="Q1320" s="145"/>
      <c r="R1320" s="145"/>
      <c r="S1320" s="145"/>
      <c r="T1320" s="145"/>
      <c r="U1320" s="145"/>
      <c r="V1320" s="145"/>
      <c r="W1320" s="145"/>
      <c r="X1320" s="145"/>
      <c r="Y1320" s="145"/>
      <c r="Z1320" s="145"/>
      <c r="AA1320" s="145"/>
      <c r="AB1320" s="145"/>
      <c r="AC1320" s="145"/>
      <c r="AD1320" s="145"/>
      <c r="AE1320" s="145"/>
      <c r="AF1320" s="145"/>
      <c r="AG1320" s="145"/>
      <c r="AH1320" s="145"/>
      <c r="AI1320" s="145"/>
      <c r="AJ1320" s="145"/>
      <c r="AK1320" s="145"/>
      <c r="AL1320" s="145"/>
      <c r="AM1320" s="321"/>
      <c r="AN1320" s="321"/>
      <c r="AO1320" s="321"/>
      <c r="AP1320" s="321"/>
      <c r="AQ1320" s="321"/>
      <c r="AR1320" s="321"/>
      <c r="AS1320" s="321"/>
      <c r="AT1320" s="321"/>
    </row>
    <row r="1321" spans="10:46">
      <c r="J1321" s="145"/>
      <c r="K1321" s="145"/>
      <c r="L1321" s="145"/>
      <c r="M1321" s="145"/>
      <c r="N1321" s="145"/>
      <c r="O1321" s="145"/>
      <c r="P1321" s="145"/>
      <c r="Q1321" s="145"/>
      <c r="R1321" s="145"/>
      <c r="S1321" s="145"/>
      <c r="T1321" s="145"/>
      <c r="U1321" s="145"/>
      <c r="V1321" s="145"/>
      <c r="W1321" s="145"/>
      <c r="X1321" s="145"/>
      <c r="Y1321" s="145"/>
      <c r="Z1321" s="145"/>
      <c r="AA1321" s="145"/>
      <c r="AB1321" s="145"/>
      <c r="AC1321" s="145"/>
      <c r="AD1321" s="145"/>
      <c r="AE1321" s="145"/>
      <c r="AF1321" s="145"/>
      <c r="AG1321" s="145"/>
      <c r="AH1321" s="145"/>
      <c r="AI1321" s="145"/>
      <c r="AJ1321" s="145"/>
      <c r="AK1321" s="145"/>
      <c r="AL1321" s="145"/>
      <c r="AM1321" s="321"/>
      <c r="AN1321" s="321"/>
      <c r="AO1321" s="321"/>
      <c r="AP1321" s="321"/>
      <c r="AQ1321" s="321"/>
      <c r="AR1321" s="321"/>
      <c r="AS1321" s="321"/>
      <c r="AT1321" s="321"/>
    </row>
    <row r="1322" spans="10:46">
      <c r="J1322" s="145"/>
      <c r="K1322" s="145"/>
      <c r="L1322" s="145"/>
      <c r="M1322" s="145"/>
      <c r="N1322" s="145"/>
      <c r="O1322" s="145"/>
      <c r="P1322" s="145"/>
      <c r="Q1322" s="145"/>
      <c r="R1322" s="145"/>
      <c r="S1322" s="145"/>
      <c r="T1322" s="145"/>
      <c r="U1322" s="145"/>
      <c r="V1322" s="145"/>
      <c r="W1322" s="145"/>
      <c r="X1322" s="145"/>
      <c r="Y1322" s="145"/>
      <c r="Z1322" s="145"/>
      <c r="AA1322" s="145"/>
      <c r="AB1322" s="145"/>
      <c r="AC1322" s="145"/>
      <c r="AD1322" s="145"/>
      <c r="AE1322" s="145"/>
      <c r="AF1322" s="145"/>
      <c r="AG1322" s="145"/>
      <c r="AH1322" s="145"/>
      <c r="AI1322" s="145"/>
      <c r="AJ1322" s="145"/>
      <c r="AK1322" s="145"/>
      <c r="AL1322" s="145"/>
      <c r="AM1322" s="321"/>
      <c r="AN1322" s="321"/>
      <c r="AO1322" s="321"/>
      <c r="AP1322" s="321"/>
      <c r="AQ1322" s="321"/>
      <c r="AR1322" s="321"/>
      <c r="AS1322" s="321"/>
      <c r="AT1322" s="321"/>
    </row>
    <row r="1323" spans="10:46">
      <c r="J1323" s="145"/>
      <c r="K1323" s="145"/>
      <c r="L1323" s="145"/>
      <c r="M1323" s="145"/>
      <c r="N1323" s="145"/>
      <c r="O1323" s="145"/>
      <c r="P1323" s="145"/>
      <c r="Q1323" s="145"/>
      <c r="R1323" s="145"/>
      <c r="S1323" s="145"/>
      <c r="T1323" s="145"/>
      <c r="U1323" s="145"/>
      <c r="V1323" s="145"/>
      <c r="W1323" s="145"/>
      <c r="X1323" s="145"/>
      <c r="Y1323" s="145"/>
      <c r="Z1323" s="145"/>
      <c r="AA1323" s="145"/>
      <c r="AB1323" s="145"/>
      <c r="AC1323" s="145"/>
      <c r="AD1323" s="145"/>
      <c r="AE1323" s="145"/>
      <c r="AF1323" s="145"/>
      <c r="AG1323" s="145"/>
      <c r="AH1323" s="145"/>
      <c r="AI1323" s="145"/>
      <c r="AJ1323" s="145"/>
      <c r="AK1323" s="145"/>
      <c r="AL1323" s="145"/>
      <c r="AM1323" s="321"/>
      <c r="AN1323" s="321"/>
      <c r="AO1323" s="321"/>
      <c r="AP1323" s="321"/>
      <c r="AQ1323" s="321"/>
      <c r="AR1323" s="321"/>
      <c r="AS1323" s="321"/>
      <c r="AT1323" s="321"/>
    </row>
    <row r="1324" spans="10:46">
      <c r="J1324" s="145"/>
      <c r="K1324" s="145"/>
      <c r="L1324" s="145"/>
      <c r="M1324" s="145"/>
      <c r="N1324" s="145"/>
      <c r="O1324" s="145"/>
      <c r="P1324" s="145"/>
      <c r="Q1324" s="145"/>
      <c r="R1324" s="145"/>
      <c r="S1324" s="145"/>
      <c r="T1324" s="145"/>
      <c r="U1324" s="145"/>
      <c r="V1324" s="145"/>
      <c r="W1324" s="145"/>
      <c r="X1324" s="145"/>
      <c r="Y1324" s="145"/>
      <c r="Z1324" s="145"/>
      <c r="AA1324" s="145"/>
      <c r="AB1324" s="145"/>
      <c r="AC1324" s="145"/>
      <c r="AD1324" s="145"/>
      <c r="AE1324" s="145"/>
      <c r="AF1324" s="145"/>
      <c r="AG1324" s="145"/>
      <c r="AH1324" s="145"/>
      <c r="AI1324" s="145"/>
      <c r="AJ1324" s="145"/>
      <c r="AK1324" s="145"/>
      <c r="AL1324" s="145"/>
      <c r="AM1324" s="321"/>
      <c r="AN1324" s="321"/>
      <c r="AO1324" s="321"/>
      <c r="AP1324" s="321"/>
      <c r="AQ1324" s="321"/>
      <c r="AR1324" s="321"/>
      <c r="AS1324" s="321"/>
      <c r="AT1324" s="321"/>
    </row>
    <row r="1325" spans="10:46">
      <c r="J1325" s="145"/>
      <c r="K1325" s="145"/>
      <c r="L1325" s="145"/>
      <c r="M1325" s="145"/>
      <c r="N1325" s="145"/>
      <c r="O1325" s="145"/>
      <c r="P1325" s="145"/>
      <c r="Q1325" s="145"/>
      <c r="R1325" s="145"/>
      <c r="S1325" s="145"/>
      <c r="T1325" s="145"/>
      <c r="U1325" s="145"/>
      <c r="V1325" s="145"/>
      <c r="W1325" s="145"/>
      <c r="X1325" s="145"/>
      <c r="Y1325" s="145"/>
      <c r="Z1325" s="145"/>
      <c r="AA1325" s="145"/>
      <c r="AB1325" s="145"/>
      <c r="AC1325" s="145"/>
      <c r="AD1325" s="145"/>
      <c r="AE1325" s="145"/>
      <c r="AF1325" s="145"/>
      <c r="AG1325" s="145"/>
      <c r="AH1325" s="145"/>
      <c r="AI1325" s="145"/>
      <c r="AJ1325" s="145"/>
      <c r="AK1325" s="145"/>
      <c r="AL1325" s="145"/>
      <c r="AM1325" s="321"/>
      <c r="AN1325" s="321"/>
      <c r="AO1325" s="321"/>
      <c r="AP1325" s="321"/>
      <c r="AQ1325" s="321"/>
      <c r="AR1325" s="321"/>
      <c r="AS1325" s="321"/>
      <c r="AT1325" s="321"/>
    </row>
    <row r="1326" spans="10:46">
      <c r="J1326" s="145"/>
      <c r="K1326" s="145"/>
      <c r="L1326" s="145"/>
      <c r="M1326" s="145"/>
      <c r="N1326" s="145"/>
      <c r="O1326" s="145"/>
      <c r="P1326" s="145"/>
      <c r="Q1326" s="145"/>
      <c r="R1326" s="145"/>
      <c r="S1326" s="145"/>
      <c r="T1326" s="145"/>
      <c r="U1326" s="145"/>
      <c r="V1326" s="145"/>
      <c r="W1326" s="145"/>
      <c r="X1326" s="145"/>
      <c r="Y1326" s="145"/>
      <c r="Z1326" s="145"/>
      <c r="AA1326" s="145"/>
      <c r="AB1326" s="145"/>
      <c r="AC1326" s="145"/>
      <c r="AD1326" s="145"/>
      <c r="AE1326" s="145"/>
      <c r="AF1326" s="145"/>
      <c r="AG1326" s="145"/>
      <c r="AH1326" s="145"/>
      <c r="AI1326" s="145"/>
      <c r="AJ1326" s="145"/>
      <c r="AK1326" s="145"/>
      <c r="AL1326" s="145"/>
      <c r="AM1326" s="321"/>
      <c r="AN1326" s="321"/>
      <c r="AO1326" s="321"/>
      <c r="AP1326" s="321"/>
      <c r="AQ1326" s="321"/>
      <c r="AR1326" s="321"/>
      <c r="AS1326" s="321"/>
      <c r="AT1326" s="321"/>
    </row>
    <row r="1327" spans="10:46">
      <c r="J1327" s="145"/>
      <c r="K1327" s="145"/>
      <c r="L1327" s="145"/>
      <c r="M1327" s="145"/>
      <c r="N1327" s="145"/>
      <c r="O1327" s="145"/>
      <c r="P1327" s="145"/>
      <c r="Q1327" s="145"/>
      <c r="R1327" s="145"/>
      <c r="S1327" s="145"/>
      <c r="T1327" s="145"/>
      <c r="U1327" s="145"/>
      <c r="V1327" s="145"/>
      <c r="W1327" s="145"/>
      <c r="X1327" s="145"/>
      <c r="Y1327" s="145"/>
      <c r="Z1327" s="145"/>
      <c r="AA1327" s="145"/>
      <c r="AB1327" s="145"/>
      <c r="AC1327" s="145"/>
      <c r="AD1327" s="145"/>
      <c r="AE1327" s="145"/>
      <c r="AF1327" s="145"/>
      <c r="AG1327" s="145"/>
      <c r="AH1327" s="145"/>
      <c r="AI1327" s="145"/>
      <c r="AJ1327" s="145"/>
      <c r="AK1327" s="145"/>
      <c r="AL1327" s="145"/>
      <c r="AM1327" s="321"/>
      <c r="AN1327" s="321"/>
      <c r="AO1327" s="321"/>
      <c r="AP1327" s="321"/>
      <c r="AQ1327" s="321"/>
      <c r="AR1327" s="321"/>
      <c r="AS1327" s="321"/>
      <c r="AT1327" s="321"/>
    </row>
    <row r="1328" spans="10:46">
      <c r="J1328" s="145"/>
      <c r="K1328" s="145"/>
      <c r="L1328" s="145"/>
      <c r="M1328" s="145"/>
      <c r="N1328" s="145"/>
      <c r="O1328" s="145"/>
      <c r="P1328" s="145"/>
      <c r="Q1328" s="145"/>
      <c r="R1328" s="145"/>
      <c r="S1328" s="145"/>
      <c r="T1328" s="145"/>
      <c r="U1328" s="145"/>
      <c r="V1328" s="145"/>
      <c r="W1328" s="145"/>
      <c r="X1328" s="145"/>
      <c r="Y1328" s="145"/>
      <c r="Z1328" s="145"/>
      <c r="AA1328" s="145"/>
      <c r="AB1328" s="145"/>
      <c r="AC1328" s="145"/>
      <c r="AD1328" s="145"/>
      <c r="AE1328" s="145"/>
      <c r="AF1328" s="145"/>
      <c r="AG1328" s="145"/>
      <c r="AH1328" s="145"/>
      <c r="AI1328" s="145"/>
      <c r="AJ1328" s="145"/>
      <c r="AK1328" s="145"/>
      <c r="AL1328" s="145"/>
      <c r="AM1328" s="321"/>
      <c r="AN1328" s="321"/>
      <c r="AO1328" s="321"/>
      <c r="AP1328" s="321"/>
      <c r="AQ1328" s="321"/>
      <c r="AR1328" s="321"/>
      <c r="AS1328" s="321"/>
      <c r="AT1328" s="321"/>
    </row>
    <row r="1329" spans="10:46">
      <c r="J1329" s="145"/>
      <c r="K1329" s="145"/>
      <c r="L1329" s="145"/>
      <c r="M1329" s="145"/>
      <c r="N1329" s="145"/>
      <c r="O1329" s="145"/>
      <c r="P1329" s="145"/>
      <c r="Q1329" s="145"/>
      <c r="R1329" s="145"/>
      <c r="S1329" s="145"/>
      <c r="T1329" s="145"/>
      <c r="U1329" s="145"/>
      <c r="V1329" s="145"/>
      <c r="W1329" s="145"/>
      <c r="X1329" s="145"/>
      <c r="Y1329" s="145"/>
      <c r="Z1329" s="145"/>
      <c r="AA1329" s="145"/>
      <c r="AB1329" s="145"/>
      <c r="AC1329" s="145"/>
      <c r="AD1329" s="145"/>
      <c r="AE1329" s="145"/>
      <c r="AF1329" s="145"/>
      <c r="AG1329" s="145"/>
      <c r="AH1329" s="145"/>
      <c r="AI1329" s="145"/>
      <c r="AJ1329" s="145"/>
      <c r="AK1329" s="145"/>
      <c r="AL1329" s="145"/>
      <c r="AM1329" s="321"/>
      <c r="AN1329" s="321"/>
      <c r="AO1329" s="321"/>
      <c r="AP1329" s="321"/>
      <c r="AQ1329" s="321"/>
      <c r="AR1329" s="321"/>
      <c r="AS1329" s="321"/>
      <c r="AT1329" s="321"/>
    </row>
    <row r="1330" spans="10:46">
      <c r="J1330" s="145"/>
      <c r="K1330" s="145"/>
      <c r="L1330" s="145"/>
      <c r="M1330" s="145"/>
      <c r="N1330" s="145"/>
      <c r="O1330" s="145"/>
      <c r="P1330" s="145"/>
      <c r="Q1330" s="145"/>
      <c r="R1330" s="145"/>
      <c r="S1330" s="145"/>
      <c r="T1330" s="145"/>
      <c r="U1330" s="145"/>
      <c r="V1330" s="145"/>
      <c r="W1330" s="145"/>
      <c r="X1330" s="145"/>
      <c r="Y1330" s="145"/>
      <c r="Z1330" s="145"/>
      <c r="AA1330" s="145"/>
      <c r="AB1330" s="145"/>
      <c r="AC1330" s="145"/>
      <c r="AD1330" s="145"/>
      <c r="AE1330" s="145"/>
      <c r="AF1330" s="145"/>
      <c r="AG1330" s="145"/>
      <c r="AH1330" s="145"/>
      <c r="AI1330" s="145"/>
      <c r="AJ1330" s="145"/>
      <c r="AK1330" s="145"/>
      <c r="AL1330" s="145"/>
      <c r="AM1330" s="321"/>
      <c r="AN1330" s="321"/>
      <c r="AO1330" s="321"/>
      <c r="AP1330" s="321"/>
      <c r="AQ1330" s="321"/>
      <c r="AR1330" s="321"/>
      <c r="AS1330" s="321"/>
      <c r="AT1330" s="321"/>
    </row>
    <row r="1331" spans="10:46">
      <c r="J1331" s="145"/>
      <c r="K1331" s="145"/>
      <c r="L1331" s="145"/>
      <c r="M1331" s="145"/>
      <c r="N1331" s="145"/>
      <c r="O1331" s="145"/>
      <c r="P1331" s="145"/>
      <c r="Q1331" s="145"/>
      <c r="R1331" s="145"/>
      <c r="S1331" s="145"/>
      <c r="T1331" s="145"/>
      <c r="U1331" s="145"/>
      <c r="V1331" s="145"/>
      <c r="W1331" s="145"/>
      <c r="X1331" s="145"/>
      <c r="Y1331" s="145"/>
      <c r="Z1331" s="145"/>
      <c r="AA1331" s="145"/>
      <c r="AB1331" s="145"/>
      <c r="AC1331" s="145"/>
      <c r="AD1331" s="145"/>
      <c r="AE1331" s="145"/>
      <c r="AF1331" s="145"/>
      <c r="AG1331" s="145"/>
      <c r="AH1331" s="145"/>
      <c r="AI1331" s="145"/>
      <c r="AJ1331" s="145"/>
      <c r="AK1331" s="145"/>
      <c r="AL1331" s="145"/>
      <c r="AM1331" s="321"/>
      <c r="AN1331" s="321"/>
      <c r="AO1331" s="321"/>
      <c r="AP1331" s="321"/>
      <c r="AQ1331" s="321"/>
      <c r="AR1331" s="321"/>
      <c r="AS1331" s="321"/>
      <c r="AT1331" s="321"/>
    </row>
    <row r="1332" spans="10:46">
      <c r="J1332" s="145"/>
      <c r="K1332" s="145"/>
      <c r="L1332" s="145"/>
      <c r="M1332" s="145"/>
      <c r="N1332" s="145"/>
      <c r="O1332" s="145"/>
      <c r="P1332" s="145"/>
      <c r="Q1332" s="145"/>
      <c r="R1332" s="145"/>
      <c r="S1332" s="145"/>
      <c r="T1332" s="145"/>
      <c r="U1332" s="145"/>
      <c r="V1332" s="145"/>
      <c r="W1332" s="145"/>
      <c r="X1332" s="145"/>
      <c r="Y1332" s="145"/>
      <c r="Z1332" s="145"/>
      <c r="AA1332" s="145"/>
      <c r="AB1332" s="145"/>
      <c r="AC1332" s="145"/>
      <c r="AD1332" s="145"/>
      <c r="AE1332" s="145"/>
      <c r="AF1332" s="145"/>
      <c r="AG1332" s="145"/>
      <c r="AH1332" s="145"/>
      <c r="AI1332" s="145"/>
      <c r="AJ1332" s="145"/>
      <c r="AK1332" s="145"/>
      <c r="AL1332" s="145"/>
      <c r="AM1332" s="321"/>
      <c r="AN1332" s="321"/>
      <c r="AO1332" s="321"/>
      <c r="AP1332" s="321"/>
      <c r="AQ1332" s="321"/>
      <c r="AR1332" s="321"/>
      <c r="AS1332" s="321"/>
      <c r="AT1332" s="321"/>
    </row>
    <row r="1333" spans="10:46">
      <c r="J1333" s="145"/>
      <c r="K1333" s="145"/>
      <c r="L1333" s="145"/>
      <c r="M1333" s="145"/>
      <c r="N1333" s="145"/>
      <c r="O1333" s="145"/>
      <c r="P1333" s="145"/>
      <c r="Q1333" s="145"/>
      <c r="R1333" s="145"/>
      <c r="S1333" s="145"/>
      <c r="T1333" s="145"/>
      <c r="U1333" s="145"/>
      <c r="V1333" s="145"/>
      <c r="W1333" s="145"/>
      <c r="X1333" s="145"/>
      <c r="Y1333" s="145"/>
      <c r="Z1333" s="145"/>
      <c r="AA1333" s="145"/>
      <c r="AB1333" s="145"/>
      <c r="AC1333" s="145"/>
      <c r="AD1333" s="145"/>
      <c r="AE1333" s="145"/>
      <c r="AF1333" s="145"/>
      <c r="AG1333" s="145"/>
      <c r="AH1333" s="145"/>
      <c r="AI1333" s="145"/>
      <c r="AJ1333" s="145"/>
      <c r="AK1333" s="145"/>
      <c r="AL1333" s="145"/>
      <c r="AM1333" s="321"/>
      <c r="AN1333" s="321"/>
      <c r="AO1333" s="321"/>
      <c r="AP1333" s="321"/>
      <c r="AQ1333" s="321"/>
      <c r="AR1333" s="321"/>
      <c r="AS1333" s="321"/>
      <c r="AT1333" s="321"/>
    </row>
    <row r="1334" spans="10:46">
      <c r="J1334" s="145"/>
      <c r="K1334" s="145"/>
      <c r="L1334" s="145"/>
      <c r="M1334" s="145"/>
      <c r="N1334" s="145"/>
      <c r="O1334" s="145"/>
      <c r="P1334" s="145"/>
      <c r="Q1334" s="145"/>
      <c r="R1334" s="145"/>
      <c r="S1334" s="145"/>
      <c r="T1334" s="145"/>
      <c r="U1334" s="145"/>
      <c r="V1334" s="145"/>
      <c r="W1334" s="145"/>
      <c r="X1334" s="145"/>
      <c r="Y1334" s="145"/>
      <c r="Z1334" s="145"/>
      <c r="AA1334" s="145"/>
      <c r="AB1334" s="145"/>
      <c r="AC1334" s="145"/>
      <c r="AD1334" s="145"/>
      <c r="AE1334" s="145"/>
      <c r="AF1334" s="145"/>
      <c r="AG1334" s="145"/>
      <c r="AH1334" s="145"/>
      <c r="AI1334" s="145"/>
      <c r="AJ1334" s="145"/>
      <c r="AK1334" s="145"/>
      <c r="AL1334" s="145"/>
      <c r="AM1334" s="321"/>
      <c r="AN1334" s="321"/>
      <c r="AO1334" s="321"/>
      <c r="AP1334" s="321"/>
      <c r="AQ1334" s="321"/>
      <c r="AR1334" s="321"/>
      <c r="AS1334" s="321"/>
      <c r="AT1334" s="321"/>
    </row>
    <row r="1335" spans="10:46">
      <c r="J1335" s="145"/>
      <c r="K1335" s="145"/>
      <c r="L1335" s="145"/>
      <c r="M1335" s="145"/>
      <c r="N1335" s="145"/>
      <c r="O1335" s="145"/>
      <c r="P1335" s="145"/>
      <c r="Q1335" s="145"/>
      <c r="R1335" s="145"/>
      <c r="S1335" s="145"/>
      <c r="T1335" s="145"/>
      <c r="U1335" s="145"/>
      <c r="V1335" s="145"/>
      <c r="W1335" s="145"/>
      <c r="X1335" s="145"/>
      <c r="Y1335" s="145"/>
      <c r="Z1335" s="145"/>
      <c r="AA1335" s="145"/>
      <c r="AB1335" s="145"/>
      <c r="AC1335" s="145"/>
      <c r="AD1335" s="145"/>
      <c r="AE1335" s="145"/>
      <c r="AF1335" s="145"/>
      <c r="AG1335" s="145"/>
      <c r="AH1335" s="145"/>
      <c r="AI1335" s="145"/>
      <c r="AJ1335" s="145"/>
      <c r="AK1335" s="145"/>
      <c r="AL1335" s="145"/>
      <c r="AM1335" s="321"/>
      <c r="AN1335" s="321"/>
      <c r="AO1335" s="321"/>
      <c r="AP1335" s="321"/>
      <c r="AQ1335" s="321"/>
      <c r="AR1335" s="321"/>
      <c r="AS1335" s="321"/>
      <c r="AT1335" s="321"/>
    </row>
    <row r="1336" spans="10:46">
      <c r="J1336" s="145"/>
      <c r="K1336" s="145"/>
      <c r="L1336" s="145"/>
      <c r="M1336" s="145"/>
      <c r="N1336" s="145"/>
      <c r="O1336" s="145"/>
      <c r="P1336" s="145"/>
      <c r="Q1336" s="145"/>
      <c r="R1336" s="145"/>
      <c r="S1336" s="145"/>
      <c r="T1336" s="145"/>
      <c r="U1336" s="145"/>
      <c r="V1336" s="145"/>
      <c r="W1336" s="145"/>
      <c r="X1336" s="145"/>
      <c r="Y1336" s="145"/>
      <c r="Z1336" s="145"/>
      <c r="AA1336" s="145"/>
      <c r="AB1336" s="145"/>
      <c r="AC1336" s="145"/>
      <c r="AD1336" s="145"/>
      <c r="AE1336" s="145"/>
      <c r="AF1336" s="145"/>
      <c r="AG1336" s="145"/>
      <c r="AH1336" s="145"/>
      <c r="AI1336" s="145"/>
      <c r="AJ1336" s="145"/>
      <c r="AK1336" s="145"/>
      <c r="AL1336" s="145"/>
      <c r="AM1336" s="321"/>
      <c r="AN1336" s="321"/>
      <c r="AO1336" s="321"/>
      <c r="AP1336" s="321"/>
      <c r="AQ1336" s="321"/>
      <c r="AR1336" s="321"/>
      <c r="AS1336" s="321"/>
      <c r="AT1336" s="321"/>
    </row>
    <row r="1337" spans="10:46">
      <c r="J1337" s="145"/>
      <c r="K1337" s="145"/>
      <c r="L1337" s="145"/>
      <c r="M1337" s="145"/>
      <c r="N1337" s="145"/>
      <c r="O1337" s="145"/>
      <c r="P1337" s="145"/>
      <c r="Q1337" s="145"/>
      <c r="R1337" s="145"/>
      <c r="S1337" s="145"/>
      <c r="T1337" s="145"/>
      <c r="U1337" s="145"/>
      <c r="V1337" s="145"/>
      <c r="W1337" s="145"/>
      <c r="X1337" s="145"/>
      <c r="Y1337" s="145"/>
      <c r="Z1337" s="145"/>
      <c r="AA1337" s="145"/>
      <c r="AB1337" s="145"/>
      <c r="AC1337" s="145"/>
      <c r="AD1337" s="145"/>
      <c r="AE1337" s="145"/>
      <c r="AF1337" s="145"/>
      <c r="AG1337" s="145"/>
      <c r="AH1337" s="145"/>
      <c r="AI1337" s="145"/>
      <c r="AJ1337" s="145"/>
      <c r="AK1337" s="145"/>
      <c r="AL1337" s="145"/>
      <c r="AM1337" s="321"/>
      <c r="AN1337" s="321"/>
      <c r="AO1337" s="321"/>
      <c r="AP1337" s="321"/>
      <c r="AQ1337" s="321"/>
      <c r="AR1337" s="321"/>
      <c r="AS1337" s="321"/>
      <c r="AT1337" s="321"/>
    </row>
    <row r="1338" spans="10:46">
      <c r="J1338" s="145"/>
      <c r="K1338" s="145"/>
      <c r="L1338" s="145"/>
      <c r="M1338" s="145"/>
      <c r="N1338" s="145"/>
      <c r="O1338" s="145"/>
      <c r="P1338" s="145"/>
      <c r="Q1338" s="145"/>
      <c r="R1338" s="145"/>
      <c r="S1338" s="145"/>
      <c r="T1338" s="145"/>
      <c r="U1338" s="145"/>
      <c r="V1338" s="145"/>
      <c r="W1338" s="145"/>
      <c r="X1338" s="145"/>
      <c r="Y1338" s="145"/>
      <c r="Z1338" s="145"/>
      <c r="AA1338" s="145"/>
      <c r="AB1338" s="145"/>
      <c r="AC1338" s="145"/>
      <c r="AD1338" s="145"/>
      <c r="AE1338" s="145"/>
      <c r="AF1338" s="145"/>
      <c r="AG1338" s="145"/>
      <c r="AH1338" s="145"/>
      <c r="AI1338" s="145"/>
      <c r="AJ1338" s="145"/>
      <c r="AK1338" s="145"/>
      <c r="AL1338" s="145"/>
      <c r="AM1338" s="321"/>
      <c r="AN1338" s="321"/>
      <c r="AO1338" s="321"/>
      <c r="AP1338" s="321"/>
      <c r="AQ1338" s="321"/>
      <c r="AR1338" s="321"/>
      <c r="AS1338" s="321"/>
      <c r="AT1338" s="321"/>
    </row>
    <row r="1339" spans="10:46">
      <c r="J1339" s="145"/>
      <c r="K1339" s="145"/>
      <c r="L1339" s="145"/>
      <c r="M1339" s="145"/>
      <c r="N1339" s="145"/>
      <c r="O1339" s="145"/>
      <c r="P1339" s="145"/>
      <c r="Q1339" s="145"/>
      <c r="R1339" s="145"/>
      <c r="S1339" s="145"/>
      <c r="T1339" s="145"/>
      <c r="U1339" s="145"/>
      <c r="V1339" s="145"/>
      <c r="W1339" s="145"/>
      <c r="X1339" s="145"/>
      <c r="Y1339" s="145"/>
      <c r="Z1339" s="145"/>
      <c r="AA1339" s="145"/>
      <c r="AB1339" s="145"/>
      <c r="AC1339" s="145"/>
      <c r="AD1339" s="145"/>
      <c r="AE1339" s="145"/>
      <c r="AF1339" s="145"/>
      <c r="AG1339" s="145"/>
      <c r="AH1339" s="145"/>
      <c r="AI1339" s="145"/>
      <c r="AJ1339" s="145"/>
      <c r="AK1339" s="145"/>
      <c r="AL1339" s="145"/>
      <c r="AM1339" s="321"/>
      <c r="AN1339" s="321"/>
      <c r="AO1339" s="321"/>
      <c r="AP1339" s="321"/>
      <c r="AQ1339" s="321"/>
      <c r="AR1339" s="321"/>
      <c r="AS1339" s="321"/>
      <c r="AT1339" s="321"/>
    </row>
    <row r="1340" spans="10:46">
      <c r="J1340" s="145"/>
      <c r="K1340" s="145"/>
      <c r="L1340" s="145"/>
      <c r="M1340" s="145"/>
      <c r="N1340" s="145"/>
      <c r="O1340" s="145"/>
      <c r="P1340" s="145"/>
      <c r="Q1340" s="145"/>
      <c r="R1340" s="145"/>
      <c r="S1340" s="145"/>
      <c r="T1340" s="145"/>
      <c r="U1340" s="145"/>
      <c r="V1340" s="145"/>
      <c r="W1340" s="145"/>
      <c r="X1340" s="145"/>
      <c r="Y1340" s="145"/>
      <c r="Z1340" s="145"/>
      <c r="AA1340" s="145"/>
      <c r="AB1340" s="145"/>
      <c r="AC1340" s="145"/>
      <c r="AD1340" s="145"/>
      <c r="AE1340" s="145"/>
      <c r="AF1340" s="145"/>
      <c r="AG1340" s="145"/>
      <c r="AH1340" s="145"/>
      <c r="AI1340" s="145"/>
      <c r="AJ1340" s="145"/>
      <c r="AK1340" s="145"/>
      <c r="AL1340" s="145"/>
      <c r="AM1340" s="321"/>
      <c r="AN1340" s="321"/>
      <c r="AO1340" s="321"/>
      <c r="AP1340" s="321"/>
      <c r="AQ1340" s="321"/>
      <c r="AR1340" s="321"/>
      <c r="AS1340" s="321"/>
      <c r="AT1340" s="321"/>
    </row>
    <row r="1341" spans="10:46">
      <c r="J1341" s="145"/>
      <c r="K1341" s="145"/>
      <c r="L1341" s="145"/>
      <c r="M1341" s="145"/>
      <c r="N1341" s="145"/>
      <c r="O1341" s="145"/>
      <c r="P1341" s="145"/>
      <c r="Q1341" s="145"/>
      <c r="R1341" s="145"/>
      <c r="S1341" s="145"/>
      <c r="T1341" s="145"/>
      <c r="U1341" s="145"/>
      <c r="V1341" s="145"/>
      <c r="W1341" s="145"/>
      <c r="X1341" s="145"/>
      <c r="Y1341" s="145"/>
      <c r="Z1341" s="145"/>
      <c r="AA1341" s="145"/>
      <c r="AB1341" s="145"/>
      <c r="AC1341" s="145"/>
      <c r="AD1341" s="145"/>
      <c r="AE1341" s="145"/>
      <c r="AF1341" s="145"/>
      <c r="AG1341" s="145"/>
      <c r="AH1341" s="145"/>
      <c r="AI1341" s="145"/>
      <c r="AJ1341" s="145"/>
      <c r="AK1341" s="145"/>
      <c r="AL1341" s="145"/>
      <c r="AM1341" s="321"/>
      <c r="AN1341" s="321"/>
      <c r="AO1341" s="321"/>
      <c r="AP1341" s="321"/>
      <c r="AQ1341" s="321"/>
      <c r="AR1341" s="321"/>
      <c r="AS1341" s="321"/>
      <c r="AT1341" s="321"/>
    </row>
    <row r="1342" spans="10:46">
      <c r="J1342" s="145"/>
      <c r="K1342" s="145"/>
      <c r="L1342" s="145"/>
      <c r="M1342" s="145"/>
      <c r="N1342" s="145"/>
      <c r="O1342" s="145"/>
      <c r="P1342" s="145"/>
      <c r="Q1342" s="145"/>
      <c r="R1342" s="145"/>
      <c r="S1342" s="145"/>
      <c r="T1342" s="145"/>
      <c r="U1342" s="145"/>
      <c r="V1342" s="145"/>
      <c r="W1342" s="145"/>
      <c r="X1342" s="145"/>
      <c r="Y1342" s="145"/>
      <c r="Z1342" s="145"/>
      <c r="AA1342" s="145"/>
      <c r="AB1342" s="145"/>
      <c r="AC1342" s="145"/>
      <c r="AD1342" s="145"/>
      <c r="AE1342" s="145"/>
      <c r="AF1342" s="145"/>
      <c r="AG1342" s="145"/>
      <c r="AH1342" s="145"/>
      <c r="AI1342" s="145"/>
      <c r="AJ1342" s="145"/>
      <c r="AK1342" s="145"/>
      <c r="AL1342" s="145"/>
      <c r="AM1342" s="321"/>
      <c r="AN1342" s="321"/>
      <c r="AO1342" s="321"/>
      <c r="AP1342" s="321"/>
      <c r="AQ1342" s="321"/>
      <c r="AR1342" s="321"/>
      <c r="AS1342" s="321"/>
      <c r="AT1342" s="321"/>
    </row>
    <row r="1343" spans="10:46">
      <c r="J1343" s="145"/>
      <c r="K1343" s="145"/>
      <c r="L1343" s="145"/>
      <c r="M1343" s="145"/>
      <c r="N1343" s="145"/>
      <c r="O1343" s="145"/>
      <c r="P1343" s="145"/>
      <c r="Q1343" s="145"/>
      <c r="R1343" s="145"/>
      <c r="S1343" s="145"/>
      <c r="T1343" s="145"/>
      <c r="U1343" s="145"/>
      <c r="V1343" s="145"/>
      <c r="W1343" s="145"/>
      <c r="X1343" s="145"/>
      <c r="Y1343" s="145"/>
      <c r="Z1343" s="145"/>
      <c r="AA1343" s="145"/>
      <c r="AB1343" s="145"/>
      <c r="AC1343" s="145"/>
      <c r="AD1343" s="145"/>
      <c r="AE1343" s="145"/>
      <c r="AF1343" s="145"/>
      <c r="AG1343" s="145"/>
      <c r="AH1343" s="145"/>
      <c r="AI1343" s="145"/>
      <c r="AJ1343" s="145"/>
      <c r="AK1343" s="145"/>
      <c r="AL1343" s="145"/>
      <c r="AM1343" s="321"/>
      <c r="AN1343" s="321"/>
      <c r="AO1343" s="321"/>
      <c r="AP1343" s="321"/>
      <c r="AQ1343" s="321"/>
      <c r="AR1343" s="321"/>
      <c r="AS1343" s="321"/>
      <c r="AT1343" s="321"/>
    </row>
    <row r="1344" spans="10:46">
      <c r="J1344" s="145"/>
      <c r="K1344" s="145"/>
      <c r="L1344" s="145"/>
      <c r="M1344" s="145"/>
      <c r="N1344" s="145"/>
      <c r="O1344" s="145"/>
      <c r="P1344" s="145"/>
      <c r="Q1344" s="145"/>
      <c r="R1344" s="145"/>
      <c r="S1344" s="145"/>
      <c r="T1344" s="145"/>
      <c r="U1344" s="145"/>
      <c r="V1344" s="145"/>
      <c r="W1344" s="145"/>
      <c r="X1344" s="145"/>
      <c r="Y1344" s="145"/>
      <c r="Z1344" s="145"/>
      <c r="AA1344" s="145"/>
      <c r="AB1344" s="145"/>
      <c r="AC1344" s="145"/>
      <c r="AD1344" s="145"/>
      <c r="AE1344" s="145"/>
      <c r="AF1344" s="145"/>
      <c r="AG1344" s="145"/>
      <c r="AH1344" s="145"/>
      <c r="AI1344" s="145"/>
      <c r="AJ1344" s="145"/>
      <c r="AK1344" s="145"/>
      <c r="AL1344" s="145"/>
      <c r="AM1344" s="321"/>
      <c r="AN1344" s="321"/>
      <c r="AO1344" s="321"/>
      <c r="AP1344" s="321"/>
      <c r="AQ1344" s="321"/>
      <c r="AR1344" s="321"/>
      <c r="AS1344" s="321"/>
      <c r="AT1344" s="321"/>
    </row>
    <row r="1345" spans="10:46">
      <c r="J1345" s="145"/>
      <c r="K1345" s="145"/>
      <c r="L1345" s="145"/>
      <c r="M1345" s="145"/>
      <c r="N1345" s="145"/>
      <c r="O1345" s="145"/>
      <c r="P1345" s="145"/>
      <c r="Q1345" s="145"/>
      <c r="R1345" s="145"/>
      <c r="S1345" s="145"/>
      <c r="T1345" s="145"/>
      <c r="U1345" s="145"/>
      <c r="V1345" s="145"/>
      <c r="W1345" s="145"/>
      <c r="X1345" s="145"/>
      <c r="Y1345" s="145"/>
      <c r="Z1345" s="145"/>
      <c r="AA1345" s="145"/>
      <c r="AB1345" s="145"/>
      <c r="AC1345" s="145"/>
      <c r="AD1345" s="145"/>
      <c r="AE1345" s="145"/>
      <c r="AF1345" s="145"/>
      <c r="AG1345" s="145"/>
      <c r="AH1345" s="145"/>
      <c r="AI1345" s="145"/>
      <c r="AJ1345" s="145"/>
      <c r="AK1345" s="145"/>
      <c r="AL1345" s="145"/>
      <c r="AM1345" s="321"/>
      <c r="AN1345" s="321"/>
      <c r="AO1345" s="321"/>
      <c r="AP1345" s="321"/>
      <c r="AQ1345" s="321"/>
      <c r="AR1345" s="321"/>
      <c r="AS1345" s="321"/>
      <c r="AT1345" s="321"/>
    </row>
    <row r="1346" spans="10:46">
      <c r="J1346" s="145"/>
      <c r="K1346" s="145"/>
      <c r="L1346" s="145"/>
      <c r="M1346" s="145"/>
      <c r="N1346" s="145"/>
      <c r="O1346" s="145"/>
      <c r="P1346" s="145"/>
      <c r="Q1346" s="145"/>
      <c r="R1346" s="145"/>
      <c r="S1346" s="145"/>
      <c r="T1346" s="145"/>
      <c r="U1346" s="145"/>
      <c r="V1346" s="145"/>
      <c r="W1346" s="145"/>
      <c r="X1346" s="145"/>
      <c r="Y1346" s="145"/>
      <c r="Z1346" s="145"/>
      <c r="AA1346" s="145"/>
      <c r="AB1346" s="145"/>
      <c r="AC1346" s="145"/>
      <c r="AD1346" s="145"/>
      <c r="AE1346" s="145"/>
      <c r="AF1346" s="145"/>
      <c r="AG1346" s="145"/>
      <c r="AH1346" s="145"/>
      <c r="AI1346" s="145"/>
      <c r="AJ1346" s="145"/>
      <c r="AK1346" s="145"/>
      <c r="AL1346" s="145"/>
      <c r="AM1346" s="321"/>
      <c r="AN1346" s="321"/>
      <c r="AO1346" s="321"/>
      <c r="AP1346" s="321"/>
      <c r="AQ1346" s="321"/>
      <c r="AR1346" s="321"/>
      <c r="AS1346" s="321"/>
      <c r="AT1346" s="321"/>
    </row>
    <row r="1347" spans="10:46">
      <c r="J1347" s="145"/>
      <c r="K1347" s="145"/>
      <c r="L1347" s="145"/>
      <c r="M1347" s="145"/>
      <c r="N1347" s="145"/>
      <c r="O1347" s="145"/>
      <c r="P1347" s="145"/>
      <c r="Q1347" s="145"/>
      <c r="R1347" s="145"/>
      <c r="S1347" s="145"/>
      <c r="T1347" s="145"/>
      <c r="U1347" s="145"/>
      <c r="V1347" s="145"/>
      <c r="W1347" s="145"/>
      <c r="X1347" s="145"/>
      <c r="Y1347" s="145"/>
      <c r="Z1347" s="145"/>
      <c r="AA1347" s="145"/>
      <c r="AB1347" s="145"/>
      <c r="AC1347" s="145"/>
      <c r="AD1347" s="145"/>
      <c r="AE1347" s="145"/>
      <c r="AF1347" s="145"/>
      <c r="AG1347" s="145"/>
      <c r="AH1347" s="145"/>
      <c r="AI1347" s="145"/>
      <c r="AJ1347" s="145"/>
      <c r="AK1347" s="145"/>
      <c r="AL1347" s="145"/>
      <c r="AM1347" s="321"/>
      <c r="AN1347" s="321"/>
      <c r="AO1347" s="321"/>
      <c r="AP1347" s="321"/>
      <c r="AQ1347" s="321"/>
      <c r="AR1347" s="321"/>
      <c r="AS1347" s="321"/>
      <c r="AT1347" s="321"/>
    </row>
    <row r="1348" spans="10:46">
      <c r="J1348" s="145"/>
      <c r="K1348" s="145"/>
      <c r="L1348" s="145"/>
      <c r="M1348" s="145"/>
      <c r="N1348" s="145"/>
      <c r="O1348" s="145"/>
      <c r="P1348" s="145"/>
      <c r="Q1348" s="145"/>
      <c r="R1348" s="145"/>
      <c r="S1348" s="145"/>
      <c r="T1348" s="145"/>
      <c r="U1348" s="145"/>
      <c r="V1348" s="145"/>
      <c r="W1348" s="145"/>
      <c r="X1348" s="145"/>
      <c r="Y1348" s="145"/>
      <c r="Z1348" s="145"/>
      <c r="AA1348" s="145"/>
      <c r="AB1348" s="145"/>
      <c r="AC1348" s="145"/>
      <c r="AD1348" s="145"/>
      <c r="AE1348" s="145"/>
      <c r="AF1348" s="145"/>
      <c r="AG1348" s="145"/>
      <c r="AH1348" s="145"/>
      <c r="AI1348" s="145"/>
      <c r="AJ1348" s="145"/>
      <c r="AK1348" s="145"/>
      <c r="AL1348" s="145"/>
      <c r="AM1348" s="321"/>
      <c r="AN1348" s="321"/>
      <c r="AO1348" s="321"/>
      <c r="AP1348" s="321"/>
      <c r="AQ1348" s="321"/>
      <c r="AR1348" s="321"/>
      <c r="AS1348" s="321"/>
      <c r="AT1348" s="321"/>
    </row>
    <row r="1349" spans="10:46">
      <c r="J1349" s="145"/>
      <c r="K1349" s="145"/>
      <c r="L1349" s="145"/>
      <c r="M1349" s="145"/>
      <c r="N1349" s="145"/>
      <c r="O1349" s="145"/>
      <c r="P1349" s="145"/>
      <c r="Q1349" s="145"/>
      <c r="R1349" s="145"/>
      <c r="S1349" s="145"/>
      <c r="T1349" s="145"/>
      <c r="U1349" s="145"/>
      <c r="V1349" s="145"/>
      <c r="W1349" s="145"/>
      <c r="X1349" s="145"/>
      <c r="Y1349" s="145"/>
      <c r="Z1349" s="145"/>
      <c r="AA1349" s="145"/>
      <c r="AB1349" s="145"/>
      <c r="AC1349" s="145"/>
      <c r="AD1349" s="145"/>
      <c r="AE1349" s="145"/>
      <c r="AF1349" s="145"/>
      <c r="AG1349" s="145"/>
      <c r="AH1349" s="145"/>
      <c r="AI1349" s="145"/>
      <c r="AJ1349" s="145"/>
      <c r="AK1349" s="145"/>
      <c r="AL1349" s="145"/>
      <c r="AM1349" s="321"/>
      <c r="AN1349" s="321"/>
      <c r="AO1349" s="321"/>
      <c r="AP1349" s="321"/>
      <c r="AQ1349" s="321"/>
      <c r="AR1349" s="321"/>
      <c r="AS1349" s="321"/>
      <c r="AT1349" s="321"/>
    </row>
    <row r="1350" spans="10:46">
      <c r="J1350" s="145"/>
      <c r="K1350" s="145"/>
      <c r="L1350" s="145"/>
      <c r="M1350" s="145"/>
      <c r="N1350" s="145"/>
      <c r="O1350" s="145"/>
      <c r="P1350" s="145"/>
      <c r="Q1350" s="145"/>
      <c r="R1350" s="145"/>
      <c r="S1350" s="145"/>
      <c r="T1350" s="145"/>
      <c r="U1350" s="145"/>
      <c r="V1350" s="145"/>
      <c r="W1350" s="145"/>
      <c r="X1350" s="145"/>
      <c r="Y1350" s="145"/>
      <c r="Z1350" s="145"/>
      <c r="AA1350" s="145"/>
      <c r="AB1350" s="145"/>
      <c r="AC1350" s="145"/>
      <c r="AD1350" s="145"/>
      <c r="AE1350" s="145"/>
      <c r="AF1350" s="145"/>
      <c r="AG1350" s="145"/>
      <c r="AH1350" s="145"/>
      <c r="AI1350" s="145"/>
      <c r="AJ1350" s="145"/>
      <c r="AK1350" s="145"/>
      <c r="AL1350" s="145"/>
      <c r="AM1350" s="321"/>
      <c r="AN1350" s="321"/>
      <c r="AO1350" s="321"/>
      <c r="AP1350" s="321"/>
      <c r="AQ1350" s="321"/>
      <c r="AR1350" s="321"/>
      <c r="AS1350" s="321"/>
      <c r="AT1350" s="321"/>
    </row>
    <row r="1351" spans="10:46">
      <c r="J1351" s="145"/>
      <c r="K1351" s="145"/>
      <c r="L1351" s="145"/>
      <c r="M1351" s="145"/>
      <c r="N1351" s="145"/>
      <c r="O1351" s="145"/>
      <c r="P1351" s="145"/>
      <c r="Q1351" s="145"/>
      <c r="R1351" s="145"/>
      <c r="S1351" s="145"/>
      <c r="T1351" s="145"/>
      <c r="U1351" s="145"/>
      <c r="V1351" s="145"/>
      <c r="W1351" s="145"/>
      <c r="X1351" s="145"/>
      <c r="Y1351" s="145"/>
      <c r="Z1351" s="145"/>
      <c r="AA1351" s="145"/>
      <c r="AB1351" s="145"/>
      <c r="AC1351" s="145"/>
      <c r="AD1351" s="145"/>
      <c r="AE1351" s="145"/>
      <c r="AF1351" s="145"/>
      <c r="AG1351" s="145"/>
      <c r="AH1351" s="145"/>
      <c r="AI1351" s="145"/>
      <c r="AJ1351" s="145"/>
      <c r="AK1351" s="145"/>
      <c r="AL1351" s="145"/>
      <c r="AM1351" s="321"/>
      <c r="AN1351" s="321"/>
      <c r="AO1351" s="321"/>
      <c r="AP1351" s="321"/>
      <c r="AQ1351" s="321"/>
      <c r="AR1351" s="321"/>
      <c r="AS1351" s="321"/>
      <c r="AT1351" s="321"/>
    </row>
    <row r="1352" spans="10:46">
      <c r="J1352" s="145"/>
      <c r="K1352" s="145"/>
      <c r="L1352" s="145"/>
      <c r="M1352" s="145"/>
      <c r="N1352" s="145"/>
      <c r="O1352" s="145"/>
      <c r="P1352" s="145"/>
      <c r="Q1352" s="145"/>
      <c r="R1352" s="145"/>
      <c r="S1352" s="145"/>
      <c r="T1352" s="145"/>
      <c r="U1352" s="145"/>
      <c r="V1352" s="145"/>
      <c r="W1352" s="145"/>
      <c r="X1352" s="145"/>
      <c r="Y1352" s="145"/>
      <c r="Z1352" s="145"/>
      <c r="AA1352" s="145"/>
      <c r="AB1352" s="145"/>
      <c r="AC1352" s="145"/>
      <c r="AD1352" s="145"/>
      <c r="AE1352" s="145"/>
      <c r="AF1352" s="145"/>
      <c r="AG1352" s="145"/>
      <c r="AH1352" s="145"/>
      <c r="AI1352" s="145"/>
      <c r="AJ1352" s="145"/>
      <c r="AK1352" s="145"/>
      <c r="AL1352" s="145"/>
      <c r="AM1352" s="321"/>
      <c r="AN1352" s="321"/>
      <c r="AO1352" s="321"/>
      <c r="AP1352" s="321"/>
      <c r="AQ1352" s="321"/>
      <c r="AR1352" s="321"/>
      <c r="AS1352" s="321"/>
      <c r="AT1352" s="321"/>
    </row>
    <row r="1353" spans="10:46">
      <c r="J1353" s="145"/>
      <c r="K1353" s="145"/>
      <c r="L1353" s="145"/>
      <c r="M1353" s="145"/>
      <c r="N1353" s="145"/>
      <c r="O1353" s="145"/>
      <c r="P1353" s="145"/>
      <c r="Q1353" s="145"/>
      <c r="R1353" s="145"/>
      <c r="S1353" s="145"/>
      <c r="T1353" s="145"/>
      <c r="U1353" s="145"/>
      <c r="V1353" s="145"/>
      <c r="W1353" s="145"/>
      <c r="X1353" s="145"/>
      <c r="Y1353" s="145"/>
      <c r="Z1353" s="145"/>
      <c r="AA1353" s="145"/>
      <c r="AB1353" s="145"/>
      <c r="AC1353" s="145"/>
      <c r="AD1353" s="145"/>
      <c r="AE1353" s="145"/>
      <c r="AF1353" s="145"/>
      <c r="AG1353" s="145"/>
      <c r="AH1353" s="145"/>
      <c r="AI1353" s="145"/>
      <c r="AJ1353" s="145"/>
      <c r="AK1353" s="145"/>
      <c r="AL1353" s="145"/>
      <c r="AM1353" s="321"/>
      <c r="AN1353" s="321"/>
      <c r="AO1353" s="321"/>
      <c r="AP1353" s="321"/>
      <c r="AQ1353" s="321"/>
      <c r="AR1353" s="321"/>
      <c r="AS1353" s="321"/>
      <c r="AT1353" s="321"/>
    </row>
    <row r="1354" spans="10:46">
      <c r="J1354" s="145"/>
      <c r="K1354" s="145"/>
      <c r="L1354" s="145"/>
      <c r="M1354" s="145"/>
      <c r="N1354" s="145"/>
      <c r="O1354" s="145"/>
      <c r="P1354" s="145"/>
      <c r="Q1354" s="145"/>
      <c r="R1354" s="145"/>
      <c r="S1354" s="145"/>
      <c r="T1354" s="145"/>
      <c r="U1354" s="145"/>
      <c r="V1354" s="145"/>
      <c r="W1354" s="145"/>
      <c r="X1354" s="145"/>
      <c r="Y1354" s="145"/>
      <c r="Z1354" s="145"/>
      <c r="AA1354" s="145"/>
      <c r="AB1354" s="145"/>
      <c r="AC1354" s="145"/>
      <c r="AD1354" s="145"/>
      <c r="AE1354" s="145"/>
      <c r="AF1354" s="145"/>
      <c r="AG1354" s="145"/>
      <c r="AH1354" s="145"/>
      <c r="AI1354" s="145"/>
      <c r="AJ1354" s="145"/>
      <c r="AK1354" s="145"/>
      <c r="AL1354" s="145"/>
      <c r="AM1354" s="321"/>
      <c r="AN1354" s="321"/>
      <c r="AO1354" s="321"/>
      <c r="AP1354" s="321"/>
      <c r="AQ1354" s="321"/>
      <c r="AR1354" s="321"/>
      <c r="AS1354" s="321"/>
      <c r="AT1354" s="321"/>
    </row>
    <row r="1355" spans="10:46">
      <c r="J1355" s="145"/>
      <c r="K1355" s="145"/>
      <c r="L1355" s="145"/>
      <c r="M1355" s="145"/>
      <c r="N1355" s="145"/>
      <c r="O1355" s="145"/>
      <c r="P1355" s="145"/>
      <c r="Q1355" s="145"/>
      <c r="R1355" s="145"/>
      <c r="S1355" s="145"/>
      <c r="T1355" s="145"/>
      <c r="U1355" s="145"/>
      <c r="V1355" s="145"/>
      <c r="W1355" s="145"/>
      <c r="X1355" s="145"/>
      <c r="Y1355" s="145"/>
      <c r="Z1355" s="145"/>
      <c r="AA1355" s="145"/>
      <c r="AB1355" s="145"/>
      <c r="AC1355" s="145"/>
      <c r="AD1355" s="145"/>
      <c r="AE1355" s="145"/>
      <c r="AF1355" s="145"/>
      <c r="AG1355" s="145"/>
      <c r="AH1355" s="145"/>
      <c r="AI1355" s="145"/>
      <c r="AJ1355" s="145"/>
      <c r="AK1355" s="145"/>
      <c r="AL1355" s="145"/>
      <c r="AM1355" s="321"/>
      <c r="AN1355" s="321"/>
      <c r="AO1355" s="321"/>
      <c r="AP1355" s="321"/>
      <c r="AQ1355" s="321"/>
      <c r="AR1355" s="321"/>
      <c r="AS1355" s="321"/>
      <c r="AT1355" s="321"/>
    </row>
    <row r="1356" spans="10:46">
      <c r="J1356" s="145"/>
      <c r="K1356" s="145"/>
      <c r="L1356" s="145"/>
      <c r="M1356" s="145"/>
      <c r="N1356" s="145"/>
      <c r="O1356" s="145"/>
      <c r="P1356" s="145"/>
      <c r="Q1356" s="145"/>
      <c r="R1356" s="145"/>
      <c r="S1356" s="145"/>
      <c r="T1356" s="145"/>
      <c r="U1356" s="145"/>
      <c r="V1356" s="145"/>
      <c r="W1356" s="145"/>
      <c r="X1356" s="145"/>
      <c r="Y1356" s="145"/>
      <c r="Z1356" s="145"/>
      <c r="AA1356" s="145"/>
      <c r="AB1356" s="145"/>
      <c r="AC1356" s="145"/>
      <c r="AD1356" s="145"/>
      <c r="AE1356" s="145"/>
      <c r="AF1356" s="145"/>
      <c r="AG1356" s="145"/>
      <c r="AH1356" s="145"/>
      <c r="AI1356" s="145"/>
      <c r="AJ1356" s="145"/>
      <c r="AK1356" s="145"/>
      <c r="AL1356" s="145"/>
      <c r="AM1356" s="321"/>
      <c r="AN1356" s="321"/>
      <c r="AO1356" s="321"/>
      <c r="AP1356" s="321"/>
      <c r="AQ1356" s="321"/>
      <c r="AR1356" s="321"/>
      <c r="AS1356" s="321"/>
      <c r="AT1356" s="321"/>
    </row>
    <row r="1357" spans="10:46">
      <c r="J1357" s="145"/>
      <c r="K1357" s="145"/>
      <c r="L1357" s="145"/>
      <c r="M1357" s="145"/>
      <c r="N1357" s="145"/>
      <c r="O1357" s="145"/>
      <c r="P1357" s="145"/>
      <c r="Q1357" s="145"/>
      <c r="R1357" s="145"/>
      <c r="S1357" s="145"/>
      <c r="T1357" s="145"/>
      <c r="U1357" s="145"/>
      <c r="V1357" s="145"/>
      <c r="W1357" s="145"/>
      <c r="X1357" s="145"/>
      <c r="Y1357" s="145"/>
      <c r="Z1357" s="145"/>
      <c r="AA1357" s="145"/>
      <c r="AB1357" s="145"/>
      <c r="AC1357" s="145"/>
      <c r="AD1357" s="145"/>
      <c r="AE1357" s="145"/>
      <c r="AF1357" s="145"/>
      <c r="AG1357" s="145"/>
      <c r="AH1357" s="145"/>
      <c r="AI1357" s="145"/>
      <c r="AJ1357" s="145"/>
      <c r="AK1357" s="145"/>
      <c r="AL1357" s="145"/>
      <c r="AM1357" s="321"/>
      <c r="AN1357" s="321"/>
      <c r="AO1357" s="321"/>
      <c r="AP1357" s="321"/>
      <c r="AQ1357" s="321"/>
      <c r="AR1357" s="321"/>
      <c r="AS1357" s="321"/>
      <c r="AT1357" s="321"/>
    </row>
    <row r="1358" spans="10:46">
      <c r="J1358" s="145"/>
      <c r="K1358" s="145"/>
      <c r="L1358" s="145"/>
      <c r="M1358" s="145"/>
      <c r="N1358" s="145"/>
      <c r="O1358" s="145"/>
      <c r="P1358" s="145"/>
      <c r="Q1358" s="145"/>
      <c r="R1358" s="145"/>
      <c r="S1358" s="145"/>
      <c r="T1358" s="145"/>
      <c r="U1358" s="145"/>
      <c r="V1358" s="145"/>
      <c r="W1358" s="145"/>
      <c r="X1358" s="145"/>
      <c r="Y1358" s="145"/>
      <c r="Z1358" s="145"/>
      <c r="AA1358" s="145"/>
      <c r="AB1358" s="145"/>
      <c r="AC1358" s="145"/>
      <c r="AD1358" s="145"/>
      <c r="AE1358" s="145"/>
      <c r="AF1358" s="145"/>
      <c r="AG1358" s="145"/>
      <c r="AH1358" s="145"/>
      <c r="AI1358" s="145"/>
      <c r="AJ1358" s="145"/>
      <c r="AK1358" s="145"/>
      <c r="AL1358" s="145"/>
      <c r="AM1358" s="321"/>
      <c r="AN1358" s="321"/>
      <c r="AO1358" s="321"/>
      <c r="AP1358" s="321"/>
      <c r="AQ1358" s="321"/>
      <c r="AR1358" s="321"/>
      <c r="AS1358" s="321"/>
      <c r="AT1358" s="321"/>
    </row>
    <row r="1359" spans="10:46">
      <c r="J1359" s="145"/>
      <c r="K1359" s="145"/>
      <c r="L1359" s="145"/>
      <c r="M1359" s="145"/>
      <c r="N1359" s="145"/>
      <c r="O1359" s="145"/>
      <c r="P1359" s="145"/>
      <c r="Q1359" s="145"/>
      <c r="R1359" s="145"/>
      <c r="S1359" s="145"/>
      <c r="T1359" s="145"/>
      <c r="U1359" s="145"/>
      <c r="V1359" s="145"/>
      <c r="W1359" s="145"/>
      <c r="X1359" s="145"/>
      <c r="Y1359" s="145"/>
      <c r="Z1359" s="145"/>
      <c r="AA1359" s="145"/>
      <c r="AB1359" s="145"/>
      <c r="AC1359" s="145"/>
      <c r="AD1359" s="145"/>
      <c r="AE1359" s="145"/>
      <c r="AF1359" s="145"/>
      <c r="AG1359" s="145"/>
      <c r="AH1359" s="145"/>
      <c r="AI1359" s="145"/>
      <c r="AJ1359" s="145"/>
      <c r="AK1359" s="145"/>
      <c r="AL1359" s="145"/>
      <c r="AM1359" s="321"/>
      <c r="AN1359" s="321"/>
      <c r="AO1359" s="321"/>
      <c r="AP1359" s="321"/>
      <c r="AQ1359" s="321"/>
      <c r="AR1359" s="321"/>
      <c r="AS1359" s="321"/>
      <c r="AT1359" s="321"/>
    </row>
    <row r="1360" spans="10:46">
      <c r="J1360" s="145"/>
      <c r="K1360" s="145"/>
      <c r="L1360" s="145"/>
      <c r="M1360" s="145"/>
      <c r="N1360" s="145"/>
      <c r="O1360" s="145"/>
      <c r="P1360" s="145"/>
      <c r="Q1360" s="145"/>
      <c r="R1360" s="145"/>
      <c r="S1360" s="145"/>
      <c r="T1360" s="145"/>
      <c r="U1360" s="145"/>
      <c r="V1360" s="145"/>
      <c r="W1360" s="145"/>
      <c r="X1360" s="145"/>
      <c r="Y1360" s="145"/>
      <c r="Z1360" s="145"/>
      <c r="AA1360" s="145"/>
      <c r="AB1360" s="145"/>
      <c r="AC1360" s="145"/>
      <c r="AD1360" s="145"/>
      <c r="AE1360" s="145"/>
      <c r="AF1360" s="145"/>
      <c r="AG1360" s="145"/>
      <c r="AH1360" s="145"/>
      <c r="AI1360" s="145"/>
      <c r="AJ1360" s="145"/>
      <c r="AK1360" s="145"/>
      <c r="AL1360" s="145"/>
      <c r="AM1360" s="321"/>
      <c r="AN1360" s="321"/>
      <c r="AO1360" s="321"/>
      <c r="AP1360" s="321"/>
      <c r="AQ1360" s="321"/>
      <c r="AR1360" s="321"/>
      <c r="AS1360" s="321"/>
      <c r="AT1360" s="321"/>
    </row>
    <row r="1361" spans="10:46">
      <c r="J1361" s="145"/>
      <c r="K1361" s="145"/>
      <c r="L1361" s="145"/>
      <c r="M1361" s="145"/>
      <c r="N1361" s="145"/>
      <c r="O1361" s="145"/>
      <c r="P1361" s="145"/>
      <c r="Q1361" s="145"/>
      <c r="R1361" s="145"/>
      <c r="S1361" s="145"/>
      <c r="T1361" s="145"/>
      <c r="U1361" s="145"/>
      <c r="V1361" s="145"/>
      <c r="W1361" s="145"/>
      <c r="X1361" s="145"/>
      <c r="Y1361" s="145"/>
      <c r="Z1361" s="145"/>
      <c r="AA1361" s="145"/>
      <c r="AB1361" s="145"/>
      <c r="AC1361" s="145"/>
      <c r="AD1361" s="145"/>
      <c r="AE1361" s="145"/>
      <c r="AF1361" s="145"/>
      <c r="AG1361" s="145"/>
      <c r="AH1361" s="145"/>
      <c r="AI1361" s="145"/>
      <c r="AJ1361" s="145"/>
      <c r="AK1361" s="145"/>
      <c r="AL1361" s="145"/>
      <c r="AM1361" s="321"/>
      <c r="AN1361" s="321"/>
      <c r="AO1361" s="321"/>
      <c r="AP1361" s="321"/>
      <c r="AQ1361" s="321"/>
      <c r="AR1361" s="321"/>
      <c r="AS1361" s="321"/>
      <c r="AT1361" s="321"/>
    </row>
    <row r="1362" spans="10:46">
      <c r="J1362" s="145"/>
      <c r="K1362" s="145"/>
      <c r="L1362" s="145"/>
      <c r="M1362" s="145"/>
      <c r="N1362" s="145"/>
      <c r="O1362" s="145"/>
      <c r="P1362" s="145"/>
      <c r="Q1362" s="145"/>
      <c r="R1362" s="145"/>
      <c r="S1362" s="145"/>
      <c r="T1362" s="145"/>
      <c r="U1362" s="145"/>
      <c r="V1362" s="145"/>
      <c r="W1362" s="145"/>
      <c r="X1362" s="145"/>
      <c r="Y1362" s="145"/>
      <c r="Z1362" s="145"/>
      <c r="AA1362" s="145"/>
      <c r="AB1362" s="145"/>
      <c r="AC1362" s="145"/>
      <c r="AD1362" s="145"/>
      <c r="AE1362" s="145"/>
      <c r="AF1362" s="145"/>
      <c r="AG1362" s="145"/>
      <c r="AH1362" s="145"/>
      <c r="AI1362" s="145"/>
      <c r="AJ1362" s="145"/>
      <c r="AK1362" s="145"/>
      <c r="AL1362" s="145"/>
      <c r="AM1362" s="321"/>
      <c r="AN1362" s="321"/>
      <c r="AO1362" s="321"/>
      <c r="AP1362" s="321"/>
      <c r="AQ1362" s="321"/>
      <c r="AR1362" s="321"/>
      <c r="AS1362" s="321"/>
      <c r="AT1362" s="321"/>
    </row>
    <row r="1363" spans="10:46">
      <c r="J1363" s="145"/>
      <c r="K1363" s="145"/>
      <c r="L1363" s="145"/>
      <c r="M1363" s="145"/>
      <c r="N1363" s="145"/>
      <c r="O1363" s="145"/>
      <c r="P1363" s="145"/>
      <c r="Q1363" s="145"/>
      <c r="R1363" s="145"/>
      <c r="S1363" s="145"/>
      <c r="T1363" s="145"/>
      <c r="U1363" s="145"/>
      <c r="V1363" s="145"/>
      <c r="W1363" s="145"/>
      <c r="X1363" s="145"/>
      <c r="Y1363" s="145"/>
      <c r="Z1363" s="145"/>
      <c r="AA1363" s="145"/>
      <c r="AB1363" s="145"/>
      <c r="AC1363" s="145"/>
      <c r="AD1363" s="145"/>
      <c r="AE1363" s="145"/>
      <c r="AF1363" s="145"/>
      <c r="AG1363" s="145"/>
      <c r="AH1363" s="145"/>
      <c r="AI1363" s="145"/>
      <c r="AJ1363" s="145"/>
      <c r="AK1363" s="145"/>
      <c r="AL1363" s="145"/>
      <c r="AM1363" s="321"/>
      <c r="AN1363" s="321"/>
      <c r="AO1363" s="321"/>
      <c r="AP1363" s="321"/>
      <c r="AQ1363" s="321"/>
      <c r="AR1363" s="321"/>
      <c r="AS1363" s="321"/>
      <c r="AT1363" s="321"/>
    </row>
    <row r="1364" spans="10:46">
      <c r="J1364" s="145"/>
      <c r="K1364" s="145"/>
      <c r="L1364" s="145"/>
      <c r="M1364" s="145"/>
      <c r="N1364" s="145"/>
      <c r="O1364" s="145"/>
      <c r="P1364" s="145"/>
      <c r="Q1364" s="145"/>
      <c r="R1364" s="145"/>
      <c r="S1364" s="145"/>
      <c r="T1364" s="145"/>
      <c r="U1364" s="145"/>
      <c r="V1364" s="145"/>
      <c r="W1364" s="145"/>
      <c r="X1364" s="145"/>
      <c r="Y1364" s="145"/>
      <c r="Z1364" s="145"/>
      <c r="AA1364" s="145"/>
      <c r="AB1364" s="145"/>
      <c r="AC1364" s="145"/>
      <c r="AD1364" s="145"/>
      <c r="AE1364" s="145"/>
      <c r="AF1364" s="145"/>
      <c r="AG1364" s="145"/>
      <c r="AH1364" s="145"/>
      <c r="AI1364" s="145"/>
      <c r="AJ1364" s="145"/>
      <c r="AK1364" s="145"/>
      <c r="AL1364" s="145"/>
      <c r="AM1364" s="321"/>
      <c r="AN1364" s="321"/>
      <c r="AO1364" s="321"/>
      <c r="AP1364" s="321"/>
      <c r="AQ1364" s="321"/>
      <c r="AR1364" s="321"/>
      <c r="AS1364" s="321"/>
      <c r="AT1364" s="321"/>
    </row>
    <row r="1365" spans="10:46">
      <c r="J1365" s="145"/>
      <c r="K1365" s="145"/>
      <c r="L1365" s="145"/>
      <c r="M1365" s="145"/>
      <c r="N1365" s="145"/>
      <c r="O1365" s="145"/>
      <c r="P1365" s="145"/>
      <c r="Q1365" s="145"/>
      <c r="R1365" s="145"/>
      <c r="S1365" s="145"/>
      <c r="T1365" s="145"/>
      <c r="U1365" s="145"/>
      <c r="V1365" s="145"/>
      <c r="W1365" s="145"/>
      <c r="X1365" s="145"/>
      <c r="Y1365" s="145"/>
      <c r="Z1365" s="145"/>
      <c r="AA1365" s="145"/>
      <c r="AB1365" s="145"/>
      <c r="AC1365" s="145"/>
      <c r="AD1365" s="145"/>
      <c r="AE1365" s="145"/>
      <c r="AF1365" s="145"/>
      <c r="AG1365" s="145"/>
      <c r="AH1365" s="145"/>
      <c r="AI1365" s="145"/>
      <c r="AJ1365" s="145"/>
      <c r="AK1365" s="145"/>
      <c r="AL1365" s="145"/>
      <c r="AM1365" s="321"/>
      <c r="AN1365" s="321"/>
      <c r="AO1365" s="321"/>
      <c r="AP1365" s="321"/>
      <c r="AQ1365" s="321"/>
      <c r="AR1365" s="321"/>
      <c r="AS1365" s="321"/>
      <c r="AT1365" s="321"/>
    </row>
    <row r="1366" spans="10:46">
      <c r="J1366" s="145"/>
      <c r="K1366" s="145"/>
      <c r="L1366" s="145"/>
      <c r="M1366" s="145"/>
      <c r="N1366" s="145"/>
      <c r="O1366" s="145"/>
      <c r="P1366" s="145"/>
      <c r="Q1366" s="145"/>
      <c r="R1366" s="145"/>
      <c r="S1366" s="145"/>
      <c r="T1366" s="145"/>
      <c r="U1366" s="145"/>
      <c r="V1366" s="145"/>
      <c r="W1366" s="145"/>
      <c r="X1366" s="145"/>
      <c r="Y1366" s="145"/>
      <c r="Z1366" s="145"/>
      <c r="AA1366" s="145"/>
      <c r="AB1366" s="145"/>
      <c r="AC1366" s="145"/>
      <c r="AD1366" s="145"/>
      <c r="AE1366" s="145"/>
      <c r="AF1366" s="145"/>
      <c r="AG1366" s="145"/>
      <c r="AH1366" s="145"/>
      <c r="AI1366" s="145"/>
      <c r="AJ1366" s="145"/>
      <c r="AK1366" s="145"/>
      <c r="AL1366" s="145"/>
      <c r="AM1366" s="321"/>
      <c r="AN1366" s="321"/>
      <c r="AO1366" s="321"/>
      <c r="AP1366" s="321"/>
      <c r="AQ1366" s="321"/>
      <c r="AR1366" s="321"/>
      <c r="AS1366" s="321"/>
      <c r="AT1366" s="321"/>
    </row>
    <row r="1367" spans="10:46">
      <c r="J1367" s="145"/>
      <c r="K1367" s="145"/>
      <c r="L1367" s="145"/>
      <c r="M1367" s="145"/>
      <c r="N1367" s="145"/>
      <c r="O1367" s="145"/>
      <c r="P1367" s="145"/>
      <c r="Q1367" s="145"/>
      <c r="R1367" s="145"/>
      <c r="S1367" s="145"/>
      <c r="T1367" s="145"/>
      <c r="U1367" s="145"/>
      <c r="V1367" s="145"/>
      <c r="W1367" s="145"/>
      <c r="X1367" s="145"/>
      <c r="Y1367" s="145"/>
      <c r="Z1367" s="145"/>
      <c r="AA1367" s="145"/>
      <c r="AB1367" s="145"/>
      <c r="AC1367" s="145"/>
      <c r="AD1367" s="145"/>
      <c r="AE1367" s="145"/>
      <c r="AF1367" s="145"/>
      <c r="AG1367" s="145"/>
      <c r="AH1367" s="145"/>
      <c r="AI1367" s="145"/>
      <c r="AJ1367" s="145"/>
      <c r="AK1367" s="145"/>
      <c r="AL1367" s="145"/>
      <c r="AM1367" s="321"/>
      <c r="AN1367" s="321"/>
      <c r="AO1367" s="321"/>
      <c r="AP1367" s="321"/>
      <c r="AQ1367" s="321"/>
      <c r="AR1367" s="321"/>
      <c r="AS1367" s="321"/>
      <c r="AT1367" s="321"/>
    </row>
    <row r="1368" spans="10:46">
      <c r="J1368" s="145"/>
      <c r="K1368" s="145"/>
      <c r="L1368" s="145"/>
      <c r="M1368" s="145"/>
      <c r="N1368" s="145"/>
      <c r="O1368" s="145"/>
      <c r="P1368" s="145"/>
      <c r="Q1368" s="145"/>
      <c r="R1368" s="145"/>
      <c r="S1368" s="145"/>
      <c r="T1368" s="145"/>
      <c r="U1368" s="145"/>
      <c r="V1368" s="145"/>
      <c r="W1368" s="145"/>
      <c r="X1368" s="145"/>
      <c r="Y1368" s="145"/>
      <c r="Z1368" s="145"/>
      <c r="AA1368" s="145"/>
      <c r="AB1368" s="145"/>
      <c r="AC1368" s="145"/>
      <c r="AD1368" s="145"/>
      <c r="AE1368" s="145"/>
      <c r="AF1368" s="145"/>
      <c r="AG1368" s="145"/>
      <c r="AH1368" s="145"/>
      <c r="AI1368" s="145"/>
      <c r="AJ1368" s="145"/>
      <c r="AK1368" s="145"/>
      <c r="AL1368" s="145"/>
      <c r="AM1368" s="321"/>
      <c r="AN1368" s="321"/>
      <c r="AO1368" s="321"/>
      <c r="AP1368" s="321"/>
      <c r="AQ1368" s="321"/>
      <c r="AR1368" s="321"/>
      <c r="AS1368" s="321"/>
      <c r="AT1368" s="321"/>
    </row>
    <row r="1369" spans="10:46">
      <c r="J1369" s="145"/>
      <c r="K1369" s="145"/>
      <c r="L1369" s="145"/>
      <c r="M1369" s="145"/>
      <c r="N1369" s="145"/>
      <c r="O1369" s="145"/>
      <c r="P1369" s="145"/>
      <c r="Q1369" s="145"/>
      <c r="R1369" s="145"/>
      <c r="S1369" s="145"/>
      <c r="T1369" s="145"/>
      <c r="U1369" s="145"/>
      <c r="V1369" s="145"/>
      <c r="W1369" s="145"/>
      <c r="X1369" s="145"/>
      <c r="Y1369" s="145"/>
      <c r="Z1369" s="145"/>
      <c r="AA1369" s="145"/>
      <c r="AB1369" s="145"/>
      <c r="AC1369" s="145"/>
      <c r="AD1369" s="145"/>
      <c r="AE1369" s="145"/>
      <c r="AF1369" s="145"/>
      <c r="AG1369" s="145"/>
      <c r="AH1369" s="145"/>
      <c r="AI1369" s="145"/>
      <c r="AJ1369" s="145"/>
      <c r="AK1369" s="145"/>
      <c r="AL1369" s="145"/>
      <c r="AM1369" s="321"/>
      <c r="AN1369" s="321"/>
      <c r="AO1369" s="321"/>
      <c r="AP1369" s="321"/>
      <c r="AQ1369" s="321"/>
      <c r="AR1369" s="321"/>
      <c r="AS1369" s="321"/>
      <c r="AT1369" s="321"/>
    </row>
    <row r="1370" spans="10:46">
      <c r="J1370" s="145"/>
      <c r="K1370" s="145"/>
      <c r="L1370" s="145"/>
      <c r="M1370" s="145"/>
      <c r="N1370" s="145"/>
      <c r="O1370" s="145"/>
      <c r="P1370" s="145"/>
      <c r="Q1370" s="145"/>
      <c r="R1370" s="145"/>
      <c r="S1370" s="145"/>
      <c r="T1370" s="145"/>
      <c r="U1370" s="145"/>
      <c r="V1370" s="145"/>
      <c r="W1370" s="145"/>
      <c r="X1370" s="145"/>
      <c r="Y1370" s="145"/>
      <c r="Z1370" s="145"/>
      <c r="AA1370" s="145"/>
      <c r="AB1370" s="145"/>
      <c r="AC1370" s="145"/>
      <c r="AD1370" s="145"/>
      <c r="AE1370" s="145"/>
      <c r="AF1370" s="145"/>
      <c r="AG1370" s="145"/>
      <c r="AH1370" s="145"/>
      <c r="AI1370" s="145"/>
      <c r="AJ1370" s="145"/>
      <c r="AK1370" s="145"/>
      <c r="AL1370" s="145"/>
      <c r="AM1370" s="321"/>
      <c r="AN1370" s="321"/>
      <c r="AO1370" s="321"/>
      <c r="AP1370" s="321"/>
      <c r="AQ1370" s="321"/>
      <c r="AR1370" s="321"/>
      <c r="AS1370" s="321"/>
      <c r="AT1370" s="321"/>
    </row>
    <row r="1371" spans="10:46">
      <c r="J1371" s="145"/>
      <c r="K1371" s="145"/>
      <c r="L1371" s="145"/>
      <c r="M1371" s="145"/>
      <c r="N1371" s="145"/>
      <c r="O1371" s="145"/>
      <c r="P1371" s="145"/>
      <c r="Q1371" s="145"/>
      <c r="R1371" s="145"/>
      <c r="S1371" s="145"/>
      <c r="T1371" s="145"/>
      <c r="U1371" s="145"/>
      <c r="V1371" s="145"/>
      <c r="W1371" s="145"/>
      <c r="X1371" s="145"/>
      <c r="Y1371" s="145"/>
      <c r="Z1371" s="145"/>
      <c r="AA1371" s="145"/>
      <c r="AB1371" s="145"/>
      <c r="AC1371" s="145"/>
      <c r="AD1371" s="145"/>
      <c r="AE1371" s="145"/>
      <c r="AF1371" s="145"/>
      <c r="AG1371" s="145"/>
      <c r="AH1371" s="145"/>
      <c r="AI1371" s="145"/>
      <c r="AJ1371" s="145"/>
      <c r="AK1371" s="145"/>
      <c r="AL1371" s="145"/>
      <c r="AM1371" s="321"/>
      <c r="AN1371" s="321"/>
      <c r="AO1371" s="321"/>
      <c r="AP1371" s="321"/>
      <c r="AQ1371" s="321"/>
      <c r="AR1371" s="321"/>
      <c r="AS1371" s="321"/>
      <c r="AT1371" s="321"/>
    </row>
    <row r="1372" spans="10:46">
      <c r="J1372" s="145"/>
      <c r="K1372" s="145"/>
      <c r="L1372" s="145"/>
      <c r="M1372" s="145"/>
      <c r="N1372" s="145"/>
      <c r="O1372" s="145"/>
      <c r="P1372" s="145"/>
      <c r="Q1372" s="145"/>
      <c r="R1372" s="145"/>
      <c r="S1372" s="145"/>
      <c r="T1372" s="145"/>
      <c r="U1372" s="145"/>
      <c r="V1372" s="145"/>
      <c r="W1372" s="145"/>
      <c r="X1372" s="145"/>
      <c r="Y1372" s="145"/>
      <c r="Z1372" s="145"/>
      <c r="AA1372" s="145"/>
      <c r="AB1372" s="145"/>
      <c r="AC1372" s="145"/>
      <c r="AD1372" s="145"/>
      <c r="AE1372" s="145"/>
      <c r="AF1372" s="145"/>
      <c r="AG1372" s="145"/>
      <c r="AH1372" s="145"/>
      <c r="AI1372" s="145"/>
      <c r="AJ1372" s="145"/>
      <c r="AK1372" s="145"/>
      <c r="AL1372" s="145"/>
      <c r="AM1372" s="321"/>
      <c r="AN1372" s="321"/>
      <c r="AO1372" s="321"/>
      <c r="AP1372" s="321"/>
      <c r="AQ1372" s="321"/>
      <c r="AR1372" s="321"/>
      <c r="AS1372" s="321"/>
      <c r="AT1372" s="321"/>
    </row>
    <row r="1373" spans="10:46">
      <c r="J1373" s="145"/>
      <c r="K1373" s="145"/>
      <c r="L1373" s="145"/>
      <c r="M1373" s="145"/>
      <c r="N1373" s="145"/>
      <c r="O1373" s="145"/>
      <c r="P1373" s="145"/>
      <c r="Q1373" s="145"/>
      <c r="R1373" s="145"/>
      <c r="S1373" s="145"/>
      <c r="T1373" s="145"/>
      <c r="U1373" s="145"/>
      <c r="V1373" s="145"/>
      <c r="W1373" s="145"/>
      <c r="X1373" s="145"/>
      <c r="Y1373" s="145"/>
      <c r="Z1373" s="145"/>
      <c r="AA1373" s="145"/>
      <c r="AB1373" s="145"/>
      <c r="AC1373" s="145"/>
      <c r="AD1373" s="145"/>
      <c r="AE1373" s="145"/>
      <c r="AF1373" s="145"/>
      <c r="AG1373" s="145"/>
      <c r="AH1373" s="145"/>
      <c r="AI1373" s="145"/>
      <c r="AJ1373" s="145"/>
      <c r="AK1373" s="145"/>
      <c r="AL1373" s="145"/>
      <c r="AM1373" s="321"/>
      <c r="AN1373" s="321"/>
      <c r="AO1373" s="321"/>
      <c r="AP1373" s="321"/>
      <c r="AQ1373" s="321"/>
      <c r="AR1373" s="321"/>
      <c r="AS1373" s="321"/>
      <c r="AT1373" s="321"/>
    </row>
    <row r="1374" spans="10:46">
      <c r="J1374" s="145"/>
      <c r="K1374" s="145"/>
      <c r="L1374" s="145"/>
      <c r="M1374" s="145"/>
      <c r="N1374" s="145"/>
      <c r="O1374" s="145"/>
      <c r="P1374" s="145"/>
      <c r="Q1374" s="145"/>
      <c r="R1374" s="145"/>
      <c r="S1374" s="145"/>
      <c r="T1374" s="145"/>
      <c r="U1374" s="145"/>
      <c r="V1374" s="145"/>
      <c r="W1374" s="145"/>
      <c r="X1374" s="145"/>
      <c r="Y1374" s="145"/>
      <c r="Z1374" s="145"/>
      <c r="AA1374" s="145"/>
      <c r="AB1374" s="145"/>
      <c r="AC1374" s="145"/>
      <c r="AD1374" s="145"/>
      <c r="AE1374" s="145"/>
      <c r="AF1374" s="145"/>
      <c r="AG1374" s="145"/>
      <c r="AH1374" s="145"/>
      <c r="AI1374" s="145"/>
      <c r="AJ1374" s="145"/>
      <c r="AK1374" s="145"/>
      <c r="AL1374" s="145"/>
      <c r="AM1374" s="321"/>
      <c r="AN1374" s="321"/>
      <c r="AO1374" s="321"/>
      <c r="AP1374" s="321"/>
      <c r="AQ1374" s="321"/>
      <c r="AR1374" s="321"/>
      <c r="AS1374" s="321"/>
      <c r="AT1374" s="321"/>
    </row>
    <row r="1375" spans="10:46">
      <c r="J1375" s="145"/>
      <c r="K1375" s="145"/>
      <c r="L1375" s="145"/>
      <c r="M1375" s="145"/>
      <c r="N1375" s="145"/>
      <c r="O1375" s="145"/>
      <c r="P1375" s="145"/>
      <c r="Q1375" s="145"/>
      <c r="R1375" s="145"/>
      <c r="S1375" s="145"/>
      <c r="T1375" s="145"/>
      <c r="U1375" s="145"/>
      <c r="V1375" s="145"/>
      <c r="W1375" s="145"/>
      <c r="X1375" s="145"/>
      <c r="Y1375" s="145"/>
      <c r="Z1375" s="145"/>
      <c r="AA1375" s="145"/>
      <c r="AB1375" s="145"/>
      <c r="AC1375" s="145"/>
      <c r="AD1375" s="145"/>
      <c r="AE1375" s="145"/>
      <c r="AF1375" s="145"/>
      <c r="AG1375" s="145"/>
      <c r="AH1375" s="145"/>
      <c r="AI1375" s="145"/>
      <c r="AJ1375" s="145"/>
      <c r="AK1375" s="145"/>
      <c r="AL1375" s="145"/>
      <c r="AM1375" s="321"/>
      <c r="AN1375" s="321"/>
      <c r="AO1375" s="321"/>
      <c r="AP1375" s="321"/>
      <c r="AQ1375" s="321"/>
      <c r="AR1375" s="321"/>
      <c r="AS1375" s="321"/>
      <c r="AT1375" s="321"/>
    </row>
    <row r="1376" spans="10:46">
      <c r="J1376" s="145"/>
      <c r="K1376" s="145"/>
      <c r="L1376" s="145"/>
      <c r="M1376" s="145"/>
      <c r="N1376" s="145"/>
      <c r="O1376" s="145"/>
      <c r="P1376" s="145"/>
      <c r="Q1376" s="145"/>
      <c r="R1376" s="145"/>
      <c r="S1376" s="145"/>
      <c r="T1376" s="145"/>
      <c r="U1376" s="145"/>
      <c r="V1376" s="145"/>
      <c r="W1376" s="145"/>
      <c r="X1376" s="145"/>
      <c r="Y1376" s="145"/>
      <c r="Z1376" s="145"/>
      <c r="AA1376" s="145"/>
      <c r="AB1376" s="145"/>
      <c r="AC1376" s="145"/>
      <c r="AD1376" s="145"/>
      <c r="AE1376" s="145"/>
      <c r="AF1376" s="145"/>
      <c r="AG1376" s="145"/>
      <c r="AH1376" s="145"/>
      <c r="AI1376" s="145"/>
      <c r="AJ1376" s="145"/>
      <c r="AK1376" s="145"/>
      <c r="AL1376" s="145"/>
      <c r="AM1376" s="321"/>
      <c r="AN1376" s="321"/>
      <c r="AO1376" s="321"/>
      <c r="AP1376" s="321"/>
      <c r="AQ1376" s="321"/>
      <c r="AR1376" s="321"/>
      <c r="AS1376" s="321"/>
      <c r="AT1376" s="321"/>
    </row>
    <row r="1377" spans="10:46">
      <c r="J1377" s="145"/>
      <c r="K1377" s="145"/>
      <c r="L1377" s="145"/>
      <c r="M1377" s="145"/>
      <c r="N1377" s="145"/>
      <c r="O1377" s="145"/>
      <c r="P1377" s="145"/>
      <c r="Q1377" s="145"/>
      <c r="R1377" s="145"/>
      <c r="S1377" s="145"/>
      <c r="T1377" s="145"/>
      <c r="U1377" s="145"/>
      <c r="V1377" s="145"/>
      <c r="W1377" s="145"/>
      <c r="X1377" s="145"/>
      <c r="Y1377" s="145"/>
      <c r="Z1377" s="145"/>
      <c r="AA1377" s="145"/>
      <c r="AB1377" s="145"/>
      <c r="AC1377" s="145"/>
      <c r="AD1377" s="145"/>
      <c r="AE1377" s="145"/>
      <c r="AF1377" s="145"/>
      <c r="AG1377" s="145"/>
      <c r="AH1377" s="145"/>
      <c r="AI1377" s="145"/>
      <c r="AJ1377" s="145"/>
      <c r="AK1377" s="145"/>
      <c r="AL1377" s="145"/>
      <c r="AM1377" s="321"/>
      <c r="AN1377" s="321"/>
      <c r="AO1377" s="321"/>
      <c r="AP1377" s="321"/>
      <c r="AQ1377" s="321"/>
      <c r="AR1377" s="321"/>
      <c r="AS1377" s="321"/>
      <c r="AT1377" s="321"/>
    </row>
    <row r="1378" spans="10:46">
      <c r="J1378" s="145"/>
      <c r="K1378" s="145"/>
      <c r="L1378" s="145"/>
      <c r="M1378" s="145"/>
      <c r="N1378" s="145"/>
      <c r="O1378" s="145"/>
      <c r="P1378" s="145"/>
      <c r="Q1378" s="145"/>
      <c r="R1378" s="145"/>
      <c r="S1378" s="145"/>
      <c r="T1378" s="145"/>
      <c r="U1378" s="145"/>
      <c r="V1378" s="145"/>
      <c r="W1378" s="145"/>
      <c r="X1378" s="145"/>
      <c r="Y1378" s="145"/>
      <c r="Z1378" s="145"/>
      <c r="AA1378" s="145"/>
      <c r="AB1378" s="145"/>
      <c r="AC1378" s="145"/>
      <c r="AD1378" s="145"/>
      <c r="AE1378" s="145"/>
      <c r="AF1378" s="145"/>
      <c r="AG1378" s="145"/>
      <c r="AH1378" s="145"/>
      <c r="AI1378" s="145"/>
      <c r="AJ1378" s="145"/>
      <c r="AK1378" s="145"/>
      <c r="AL1378" s="145"/>
      <c r="AM1378" s="321"/>
      <c r="AN1378" s="321"/>
      <c r="AO1378" s="321"/>
      <c r="AP1378" s="321"/>
      <c r="AQ1378" s="321"/>
      <c r="AR1378" s="321"/>
      <c r="AS1378" s="321"/>
      <c r="AT1378" s="321"/>
    </row>
    <row r="1379" spans="10:46">
      <c r="J1379" s="145"/>
      <c r="K1379" s="145"/>
      <c r="L1379" s="145"/>
      <c r="M1379" s="145"/>
      <c r="N1379" s="145"/>
      <c r="O1379" s="145"/>
      <c r="P1379" s="145"/>
      <c r="Q1379" s="145"/>
      <c r="R1379" s="145"/>
      <c r="S1379" s="145"/>
      <c r="T1379" s="145"/>
      <c r="U1379" s="145"/>
      <c r="V1379" s="145"/>
      <c r="W1379" s="145"/>
      <c r="X1379" s="145"/>
      <c r="Y1379" s="145"/>
      <c r="Z1379" s="145"/>
      <c r="AA1379" s="145"/>
      <c r="AB1379" s="145"/>
      <c r="AC1379" s="145"/>
      <c r="AD1379" s="145"/>
      <c r="AE1379" s="145"/>
      <c r="AF1379" s="145"/>
      <c r="AG1379" s="145"/>
      <c r="AH1379" s="145"/>
      <c r="AI1379" s="145"/>
      <c r="AJ1379" s="145"/>
      <c r="AK1379" s="145"/>
      <c r="AL1379" s="145"/>
      <c r="AM1379" s="321"/>
      <c r="AN1379" s="321"/>
      <c r="AO1379" s="321"/>
      <c r="AP1379" s="321"/>
      <c r="AQ1379" s="321"/>
      <c r="AR1379" s="321"/>
      <c r="AS1379" s="321"/>
      <c r="AT1379" s="321"/>
    </row>
    <row r="1380" spans="10:46">
      <c r="J1380" s="145"/>
      <c r="K1380" s="145"/>
      <c r="L1380" s="145"/>
      <c r="M1380" s="145"/>
      <c r="N1380" s="145"/>
      <c r="O1380" s="145"/>
      <c r="P1380" s="145"/>
      <c r="Q1380" s="145"/>
      <c r="R1380" s="145"/>
      <c r="S1380" s="145"/>
      <c r="T1380" s="145"/>
      <c r="U1380" s="145"/>
      <c r="V1380" s="145"/>
      <c r="W1380" s="145"/>
      <c r="X1380" s="145"/>
      <c r="Y1380" s="145"/>
      <c r="Z1380" s="145"/>
      <c r="AA1380" s="145"/>
      <c r="AB1380" s="145"/>
      <c r="AC1380" s="145"/>
      <c r="AD1380" s="145"/>
      <c r="AE1380" s="145"/>
      <c r="AF1380" s="145"/>
      <c r="AG1380" s="145"/>
      <c r="AH1380" s="145"/>
      <c r="AI1380" s="145"/>
      <c r="AJ1380" s="145"/>
      <c r="AK1380" s="145"/>
      <c r="AL1380" s="145"/>
      <c r="AM1380" s="321"/>
      <c r="AN1380" s="321"/>
      <c r="AO1380" s="321"/>
      <c r="AP1380" s="321"/>
      <c r="AQ1380" s="321"/>
      <c r="AR1380" s="321"/>
      <c r="AS1380" s="321"/>
      <c r="AT1380" s="321"/>
    </row>
    <row r="1381" spans="10:46">
      <c r="J1381" s="145"/>
      <c r="K1381" s="145"/>
      <c r="L1381" s="145"/>
      <c r="M1381" s="145"/>
      <c r="N1381" s="145"/>
      <c r="O1381" s="145"/>
      <c r="P1381" s="145"/>
      <c r="Q1381" s="145"/>
      <c r="R1381" s="145"/>
      <c r="S1381" s="145"/>
      <c r="T1381" s="145"/>
      <c r="U1381" s="145"/>
      <c r="V1381" s="145"/>
      <c r="W1381" s="145"/>
      <c r="X1381" s="145"/>
      <c r="Y1381" s="145"/>
      <c r="Z1381" s="145"/>
      <c r="AA1381" s="145"/>
      <c r="AB1381" s="145"/>
      <c r="AC1381" s="145"/>
      <c r="AD1381" s="145"/>
      <c r="AE1381" s="145"/>
      <c r="AF1381" s="145"/>
      <c r="AG1381" s="145"/>
      <c r="AH1381" s="145"/>
      <c r="AI1381" s="145"/>
      <c r="AJ1381" s="145"/>
      <c r="AK1381" s="145"/>
      <c r="AL1381" s="145"/>
      <c r="AM1381" s="321"/>
      <c r="AN1381" s="321"/>
      <c r="AO1381" s="321"/>
      <c r="AP1381" s="321"/>
      <c r="AQ1381" s="321"/>
      <c r="AR1381" s="321"/>
      <c r="AS1381" s="321"/>
      <c r="AT1381" s="321"/>
    </row>
    <row r="1382" spans="10:46">
      <c r="J1382" s="145"/>
      <c r="K1382" s="145"/>
      <c r="L1382" s="145"/>
      <c r="M1382" s="145"/>
      <c r="N1382" s="145"/>
      <c r="O1382" s="145"/>
      <c r="P1382" s="145"/>
      <c r="Q1382" s="145"/>
      <c r="R1382" s="145"/>
      <c r="S1382" s="145"/>
      <c r="T1382" s="145"/>
      <c r="U1382" s="145"/>
      <c r="V1382" s="145"/>
      <c r="W1382" s="145"/>
      <c r="X1382" s="145"/>
      <c r="Y1382" s="145"/>
      <c r="Z1382" s="145"/>
      <c r="AA1382" s="145"/>
      <c r="AB1382" s="145"/>
      <c r="AC1382" s="145"/>
      <c r="AD1382" s="145"/>
      <c r="AE1382" s="145"/>
      <c r="AF1382" s="145"/>
      <c r="AG1382" s="145"/>
      <c r="AH1382" s="145"/>
      <c r="AI1382" s="145"/>
      <c r="AJ1382" s="145"/>
      <c r="AK1382" s="145"/>
      <c r="AL1382" s="145"/>
      <c r="AM1382" s="321"/>
      <c r="AN1382" s="321"/>
      <c r="AO1382" s="321"/>
      <c r="AP1382" s="321"/>
      <c r="AQ1382" s="321"/>
      <c r="AR1382" s="321"/>
      <c r="AS1382" s="321"/>
      <c r="AT1382" s="321"/>
    </row>
    <row r="1383" spans="10:46">
      <c r="J1383" s="145"/>
      <c r="K1383" s="145"/>
      <c r="L1383" s="145"/>
      <c r="M1383" s="145"/>
      <c r="N1383" s="145"/>
      <c r="O1383" s="145"/>
      <c r="P1383" s="145"/>
      <c r="Q1383" s="145"/>
      <c r="R1383" s="145"/>
      <c r="S1383" s="145"/>
      <c r="T1383" s="145"/>
      <c r="U1383" s="145"/>
      <c r="V1383" s="145"/>
      <c r="W1383" s="145"/>
      <c r="X1383" s="145"/>
      <c r="Y1383" s="145"/>
      <c r="Z1383" s="145"/>
      <c r="AA1383" s="145"/>
      <c r="AB1383" s="145"/>
      <c r="AC1383" s="145"/>
      <c r="AD1383" s="145"/>
      <c r="AE1383" s="145"/>
      <c r="AF1383" s="145"/>
      <c r="AG1383" s="145"/>
      <c r="AH1383" s="145"/>
      <c r="AI1383" s="145"/>
      <c r="AJ1383" s="145"/>
      <c r="AK1383" s="145"/>
      <c r="AL1383" s="145"/>
      <c r="AM1383" s="321"/>
      <c r="AN1383" s="321"/>
      <c r="AO1383" s="321"/>
      <c r="AP1383" s="321"/>
      <c r="AQ1383" s="321"/>
      <c r="AR1383" s="321"/>
      <c r="AS1383" s="321"/>
      <c r="AT1383" s="321"/>
    </row>
    <row r="1384" spans="10:46">
      <c r="J1384" s="145"/>
      <c r="K1384" s="145"/>
      <c r="L1384" s="145"/>
      <c r="M1384" s="145"/>
      <c r="N1384" s="145"/>
      <c r="O1384" s="145"/>
      <c r="P1384" s="145"/>
      <c r="Q1384" s="145"/>
      <c r="R1384" s="145"/>
      <c r="S1384" s="145"/>
      <c r="T1384" s="145"/>
      <c r="U1384" s="145"/>
      <c r="V1384" s="145"/>
      <c r="W1384" s="145"/>
      <c r="X1384" s="145"/>
      <c r="Y1384" s="145"/>
      <c r="Z1384" s="145"/>
      <c r="AA1384" s="145"/>
      <c r="AB1384" s="145"/>
      <c r="AC1384" s="145"/>
      <c r="AD1384" s="145"/>
      <c r="AE1384" s="145"/>
      <c r="AF1384" s="145"/>
      <c r="AG1384" s="145"/>
      <c r="AH1384" s="145"/>
      <c r="AI1384" s="145"/>
      <c r="AJ1384" s="145"/>
      <c r="AK1384" s="145"/>
      <c r="AL1384" s="145"/>
      <c r="AM1384" s="321"/>
      <c r="AN1384" s="321"/>
      <c r="AO1384" s="321"/>
      <c r="AP1384" s="321"/>
      <c r="AQ1384" s="321"/>
      <c r="AR1384" s="321"/>
      <c r="AS1384" s="321"/>
      <c r="AT1384" s="321"/>
    </row>
    <row r="1385" spans="10:46">
      <c r="J1385" s="145"/>
      <c r="K1385" s="145"/>
      <c r="L1385" s="145"/>
      <c r="M1385" s="145"/>
      <c r="N1385" s="145"/>
      <c r="O1385" s="145"/>
      <c r="P1385" s="145"/>
      <c r="Q1385" s="145"/>
      <c r="R1385" s="145"/>
      <c r="S1385" s="145"/>
      <c r="T1385" s="145"/>
      <c r="U1385" s="145"/>
      <c r="V1385" s="145"/>
      <c r="W1385" s="145"/>
      <c r="X1385" s="145"/>
      <c r="Y1385" s="145"/>
      <c r="Z1385" s="145"/>
      <c r="AA1385" s="145"/>
      <c r="AB1385" s="145"/>
      <c r="AC1385" s="145"/>
      <c r="AD1385" s="145"/>
      <c r="AE1385" s="145"/>
      <c r="AF1385" s="145"/>
      <c r="AG1385" s="145"/>
      <c r="AH1385" s="145"/>
      <c r="AI1385" s="145"/>
      <c r="AJ1385" s="145"/>
      <c r="AK1385" s="145"/>
      <c r="AL1385" s="145"/>
      <c r="AM1385" s="321"/>
      <c r="AN1385" s="321"/>
      <c r="AO1385" s="321"/>
      <c r="AP1385" s="321"/>
      <c r="AQ1385" s="321"/>
      <c r="AR1385" s="321"/>
      <c r="AS1385" s="321"/>
      <c r="AT1385" s="321"/>
    </row>
    <row r="1386" spans="10:46">
      <c r="J1386" s="145"/>
      <c r="K1386" s="145"/>
      <c r="L1386" s="145"/>
      <c r="M1386" s="145"/>
      <c r="N1386" s="145"/>
      <c r="O1386" s="145"/>
      <c r="P1386" s="145"/>
      <c r="Q1386" s="145"/>
      <c r="R1386" s="145"/>
      <c r="S1386" s="145"/>
      <c r="T1386" s="145"/>
      <c r="U1386" s="145"/>
      <c r="V1386" s="145"/>
      <c r="W1386" s="145"/>
      <c r="X1386" s="145"/>
      <c r="Y1386" s="145"/>
      <c r="Z1386" s="145"/>
      <c r="AA1386" s="145"/>
      <c r="AB1386" s="145"/>
      <c r="AC1386" s="145"/>
      <c r="AD1386" s="145"/>
      <c r="AE1386" s="145"/>
      <c r="AF1386" s="145"/>
      <c r="AG1386" s="145"/>
      <c r="AH1386" s="145"/>
      <c r="AI1386" s="145"/>
      <c r="AJ1386" s="145"/>
      <c r="AK1386" s="145"/>
      <c r="AL1386" s="145"/>
      <c r="AM1386" s="321"/>
      <c r="AN1386" s="321"/>
      <c r="AO1386" s="321"/>
      <c r="AP1386" s="321"/>
      <c r="AQ1386" s="321"/>
      <c r="AR1386" s="321"/>
      <c r="AS1386" s="321"/>
      <c r="AT1386" s="321"/>
    </row>
    <row r="1387" spans="10:46">
      <c r="J1387" s="145"/>
      <c r="K1387" s="145"/>
      <c r="L1387" s="145"/>
      <c r="M1387" s="145"/>
      <c r="N1387" s="145"/>
      <c r="O1387" s="145"/>
      <c r="P1387" s="145"/>
      <c r="Q1387" s="145"/>
      <c r="R1387" s="145"/>
      <c r="S1387" s="145"/>
      <c r="T1387" s="145"/>
      <c r="U1387" s="145"/>
      <c r="V1387" s="145"/>
      <c r="W1387" s="145"/>
      <c r="X1387" s="145"/>
      <c r="Y1387" s="145"/>
      <c r="Z1387" s="145"/>
      <c r="AA1387" s="145"/>
      <c r="AB1387" s="145"/>
      <c r="AC1387" s="145"/>
      <c r="AD1387" s="145"/>
      <c r="AE1387" s="145"/>
      <c r="AF1387" s="145"/>
      <c r="AG1387" s="145"/>
      <c r="AH1387" s="145"/>
      <c r="AI1387" s="145"/>
      <c r="AJ1387" s="145"/>
      <c r="AK1387" s="145"/>
      <c r="AL1387" s="145"/>
      <c r="AM1387" s="321"/>
      <c r="AN1387" s="321"/>
      <c r="AO1387" s="321"/>
      <c r="AP1387" s="321"/>
      <c r="AQ1387" s="321"/>
      <c r="AR1387" s="321"/>
      <c r="AS1387" s="321"/>
      <c r="AT1387" s="321"/>
    </row>
    <row r="1388" spans="10:46">
      <c r="J1388" s="145"/>
      <c r="K1388" s="145"/>
      <c r="L1388" s="145"/>
      <c r="M1388" s="145"/>
      <c r="N1388" s="145"/>
      <c r="O1388" s="145"/>
      <c r="P1388" s="145"/>
      <c r="Q1388" s="145"/>
      <c r="R1388" s="145"/>
      <c r="S1388" s="145"/>
      <c r="T1388" s="145"/>
      <c r="U1388" s="145"/>
      <c r="V1388" s="145"/>
      <c r="W1388" s="145"/>
      <c r="X1388" s="145"/>
      <c r="Y1388" s="145"/>
      <c r="Z1388" s="145"/>
      <c r="AA1388" s="145"/>
      <c r="AB1388" s="145"/>
      <c r="AC1388" s="145"/>
      <c r="AD1388" s="145"/>
      <c r="AE1388" s="145"/>
      <c r="AF1388" s="145"/>
      <c r="AG1388" s="145"/>
      <c r="AH1388" s="145"/>
      <c r="AI1388" s="145"/>
      <c r="AJ1388" s="145"/>
      <c r="AK1388" s="145"/>
      <c r="AL1388" s="145"/>
      <c r="AM1388" s="321"/>
      <c r="AN1388" s="321"/>
      <c r="AO1388" s="321"/>
      <c r="AP1388" s="321"/>
      <c r="AQ1388" s="321"/>
      <c r="AR1388" s="321"/>
      <c r="AS1388" s="321"/>
      <c r="AT1388" s="321"/>
    </row>
    <row r="1389" spans="10:46">
      <c r="J1389" s="145"/>
      <c r="K1389" s="145"/>
      <c r="L1389" s="145"/>
      <c r="M1389" s="145"/>
      <c r="N1389" s="145"/>
      <c r="O1389" s="145"/>
      <c r="P1389" s="145"/>
      <c r="Q1389" s="145"/>
      <c r="R1389" s="145"/>
      <c r="S1389" s="145"/>
      <c r="T1389" s="145"/>
      <c r="U1389" s="145"/>
      <c r="V1389" s="145"/>
      <c r="W1389" s="145"/>
      <c r="X1389" s="145"/>
      <c r="Y1389" s="145"/>
      <c r="Z1389" s="145"/>
      <c r="AA1389" s="145"/>
      <c r="AB1389" s="145"/>
      <c r="AC1389" s="145"/>
      <c r="AD1389" s="145"/>
      <c r="AE1389" s="145"/>
      <c r="AF1389" s="145"/>
      <c r="AG1389" s="145"/>
      <c r="AH1389" s="145"/>
      <c r="AI1389" s="145"/>
      <c r="AJ1389" s="145"/>
      <c r="AK1389" s="145"/>
      <c r="AL1389" s="145"/>
      <c r="AM1389" s="321"/>
      <c r="AN1389" s="321"/>
      <c r="AO1389" s="321"/>
      <c r="AP1389" s="321"/>
      <c r="AQ1389" s="321"/>
      <c r="AR1389" s="321"/>
      <c r="AS1389" s="321"/>
      <c r="AT1389" s="321"/>
    </row>
    <row r="1390" spans="10:46">
      <c r="J1390" s="145"/>
      <c r="K1390" s="145"/>
      <c r="L1390" s="145"/>
      <c r="M1390" s="145"/>
      <c r="N1390" s="145"/>
      <c r="O1390" s="145"/>
      <c r="P1390" s="145"/>
      <c r="Q1390" s="145"/>
      <c r="R1390" s="145"/>
      <c r="S1390" s="145"/>
      <c r="T1390" s="145"/>
      <c r="U1390" s="145"/>
      <c r="V1390" s="145"/>
      <c r="W1390" s="145"/>
      <c r="X1390" s="145"/>
      <c r="Y1390" s="145"/>
      <c r="Z1390" s="145"/>
      <c r="AA1390" s="145"/>
      <c r="AB1390" s="145"/>
      <c r="AC1390" s="145"/>
      <c r="AD1390" s="145"/>
      <c r="AE1390" s="145"/>
      <c r="AF1390" s="145"/>
      <c r="AG1390" s="145"/>
      <c r="AH1390" s="145"/>
      <c r="AI1390" s="145"/>
      <c r="AJ1390" s="145"/>
      <c r="AK1390" s="145"/>
      <c r="AL1390" s="145"/>
      <c r="AM1390" s="321"/>
      <c r="AN1390" s="321"/>
      <c r="AO1390" s="321"/>
      <c r="AP1390" s="321"/>
      <c r="AQ1390" s="321"/>
      <c r="AR1390" s="321"/>
      <c r="AS1390" s="321"/>
      <c r="AT1390" s="321"/>
    </row>
    <row r="1391" spans="10:46">
      <c r="J1391" s="145"/>
      <c r="K1391" s="145"/>
      <c r="L1391" s="145"/>
      <c r="M1391" s="145"/>
      <c r="N1391" s="145"/>
      <c r="O1391" s="145"/>
      <c r="P1391" s="145"/>
      <c r="Q1391" s="145"/>
      <c r="R1391" s="145"/>
      <c r="S1391" s="145"/>
      <c r="T1391" s="145"/>
      <c r="U1391" s="145"/>
      <c r="V1391" s="145"/>
      <c r="W1391" s="145"/>
      <c r="X1391" s="145"/>
      <c r="Y1391" s="145"/>
      <c r="Z1391" s="145"/>
      <c r="AA1391" s="145"/>
      <c r="AB1391" s="145"/>
      <c r="AC1391" s="145"/>
      <c r="AD1391" s="145"/>
      <c r="AE1391" s="145"/>
      <c r="AF1391" s="145"/>
      <c r="AG1391" s="145"/>
      <c r="AH1391" s="145"/>
      <c r="AI1391" s="145"/>
      <c r="AJ1391" s="145"/>
      <c r="AK1391" s="145"/>
      <c r="AL1391" s="145"/>
      <c r="AM1391" s="321"/>
      <c r="AN1391" s="321"/>
      <c r="AO1391" s="321"/>
      <c r="AP1391" s="321"/>
      <c r="AQ1391" s="321"/>
      <c r="AR1391" s="321"/>
      <c r="AS1391" s="321"/>
      <c r="AT1391" s="321"/>
    </row>
    <row r="1392" spans="10:46">
      <c r="J1392" s="145"/>
      <c r="K1392" s="145"/>
      <c r="L1392" s="145"/>
      <c r="M1392" s="145"/>
      <c r="N1392" s="145"/>
      <c r="O1392" s="145"/>
      <c r="P1392" s="145"/>
      <c r="Q1392" s="145"/>
      <c r="R1392" s="145"/>
      <c r="S1392" s="145"/>
      <c r="T1392" s="145"/>
      <c r="U1392" s="145"/>
      <c r="V1392" s="145"/>
      <c r="W1392" s="145"/>
      <c r="X1392" s="145"/>
      <c r="Y1392" s="145"/>
      <c r="Z1392" s="145"/>
      <c r="AA1392" s="145"/>
      <c r="AB1392" s="145"/>
      <c r="AC1392" s="145"/>
      <c r="AD1392" s="145"/>
      <c r="AE1392" s="145"/>
      <c r="AF1392" s="145"/>
      <c r="AG1392" s="145"/>
      <c r="AH1392" s="145"/>
      <c r="AI1392" s="145"/>
      <c r="AJ1392" s="145"/>
      <c r="AK1392" s="145"/>
      <c r="AL1392" s="145"/>
      <c r="AM1392" s="321"/>
      <c r="AN1392" s="321"/>
      <c r="AO1392" s="321"/>
      <c r="AP1392" s="321"/>
      <c r="AQ1392" s="321"/>
      <c r="AR1392" s="321"/>
      <c r="AS1392" s="321"/>
      <c r="AT1392" s="321"/>
    </row>
    <row r="1393" spans="10:46">
      <c r="J1393" s="145"/>
      <c r="K1393" s="145"/>
      <c r="L1393" s="145"/>
      <c r="M1393" s="145"/>
      <c r="N1393" s="145"/>
      <c r="O1393" s="145"/>
      <c r="P1393" s="145"/>
      <c r="Q1393" s="145"/>
      <c r="R1393" s="145"/>
      <c r="S1393" s="145"/>
      <c r="T1393" s="145"/>
      <c r="U1393" s="145"/>
      <c r="V1393" s="145"/>
      <c r="W1393" s="145"/>
      <c r="X1393" s="145"/>
      <c r="Y1393" s="145"/>
      <c r="Z1393" s="145"/>
      <c r="AA1393" s="145"/>
      <c r="AB1393" s="145"/>
      <c r="AC1393" s="145"/>
      <c r="AD1393" s="145"/>
      <c r="AE1393" s="145"/>
      <c r="AF1393" s="145"/>
      <c r="AG1393" s="145"/>
      <c r="AH1393" s="145"/>
      <c r="AI1393" s="145"/>
      <c r="AJ1393" s="145"/>
      <c r="AK1393" s="145"/>
      <c r="AL1393" s="145"/>
      <c r="AM1393" s="321"/>
      <c r="AN1393" s="321"/>
      <c r="AO1393" s="321"/>
      <c r="AP1393" s="321"/>
      <c r="AQ1393" s="321"/>
      <c r="AR1393" s="321"/>
      <c r="AS1393" s="321"/>
      <c r="AT1393" s="321"/>
    </row>
    <row r="1394" spans="10:46">
      <c r="J1394" s="145"/>
      <c r="K1394" s="145"/>
      <c r="L1394" s="145"/>
      <c r="M1394" s="145"/>
      <c r="N1394" s="145"/>
      <c r="O1394" s="145"/>
      <c r="P1394" s="145"/>
      <c r="Q1394" s="145"/>
      <c r="R1394" s="145"/>
      <c r="S1394" s="145"/>
      <c r="T1394" s="145"/>
      <c r="U1394" s="145"/>
      <c r="V1394" s="145"/>
      <c r="W1394" s="145"/>
      <c r="X1394" s="145"/>
      <c r="Y1394" s="145"/>
      <c r="Z1394" s="145"/>
      <c r="AA1394" s="145"/>
      <c r="AB1394" s="145"/>
      <c r="AC1394" s="145"/>
      <c r="AD1394" s="145"/>
      <c r="AE1394" s="145"/>
      <c r="AF1394" s="145"/>
      <c r="AG1394" s="145"/>
      <c r="AH1394" s="145"/>
      <c r="AI1394" s="145"/>
      <c r="AJ1394" s="145"/>
      <c r="AK1394" s="145"/>
      <c r="AL1394" s="145"/>
      <c r="AM1394" s="321"/>
      <c r="AN1394" s="321"/>
      <c r="AO1394" s="321"/>
      <c r="AP1394" s="321"/>
      <c r="AQ1394" s="321"/>
      <c r="AR1394" s="321"/>
      <c r="AS1394" s="321"/>
      <c r="AT1394" s="321"/>
    </row>
    <row r="1395" spans="10:46">
      <c r="J1395" s="145"/>
      <c r="K1395" s="145"/>
      <c r="L1395" s="145"/>
      <c r="M1395" s="145"/>
      <c r="N1395" s="145"/>
      <c r="O1395" s="145"/>
      <c r="P1395" s="145"/>
      <c r="Q1395" s="145"/>
      <c r="R1395" s="145"/>
      <c r="S1395" s="145"/>
      <c r="T1395" s="145"/>
      <c r="U1395" s="145"/>
      <c r="V1395" s="145"/>
      <c r="W1395" s="145"/>
      <c r="X1395" s="145"/>
      <c r="Y1395" s="145"/>
      <c r="Z1395" s="145"/>
      <c r="AA1395" s="145"/>
      <c r="AB1395" s="145"/>
      <c r="AC1395" s="145"/>
      <c r="AD1395" s="145"/>
      <c r="AE1395" s="145"/>
      <c r="AF1395" s="145"/>
      <c r="AG1395" s="145"/>
      <c r="AH1395" s="145"/>
      <c r="AI1395" s="145"/>
      <c r="AJ1395" s="145"/>
      <c r="AK1395" s="145"/>
      <c r="AL1395" s="145"/>
      <c r="AM1395" s="321"/>
      <c r="AN1395" s="321"/>
      <c r="AO1395" s="321"/>
      <c r="AP1395" s="321"/>
      <c r="AQ1395" s="321"/>
      <c r="AR1395" s="321"/>
      <c r="AS1395" s="321"/>
      <c r="AT1395" s="321"/>
    </row>
    <row r="1396" spans="10:46">
      <c r="J1396" s="145"/>
      <c r="K1396" s="145"/>
      <c r="L1396" s="145"/>
      <c r="M1396" s="145"/>
      <c r="N1396" s="145"/>
      <c r="O1396" s="145"/>
      <c r="P1396" s="145"/>
      <c r="Q1396" s="145"/>
      <c r="R1396" s="145"/>
      <c r="S1396" s="145"/>
      <c r="T1396" s="145"/>
      <c r="U1396" s="145"/>
      <c r="V1396" s="145"/>
      <c r="W1396" s="145"/>
      <c r="X1396" s="145"/>
      <c r="Y1396" s="145"/>
      <c r="Z1396" s="145"/>
      <c r="AA1396" s="145"/>
      <c r="AB1396" s="145"/>
      <c r="AC1396" s="145"/>
      <c r="AD1396" s="145"/>
      <c r="AE1396" s="145"/>
      <c r="AF1396" s="145"/>
      <c r="AG1396" s="145"/>
      <c r="AH1396" s="145"/>
      <c r="AI1396" s="145"/>
      <c r="AJ1396" s="145"/>
      <c r="AK1396" s="145"/>
      <c r="AL1396" s="145"/>
      <c r="AM1396" s="321"/>
      <c r="AN1396" s="321"/>
      <c r="AO1396" s="321"/>
      <c r="AP1396" s="321"/>
      <c r="AQ1396" s="321"/>
      <c r="AR1396" s="321"/>
      <c r="AS1396" s="321"/>
      <c r="AT1396" s="321"/>
    </row>
    <row r="1397" spans="10:46">
      <c r="J1397" s="145"/>
      <c r="K1397" s="145"/>
      <c r="L1397" s="145"/>
      <c r="M1397" s="145"/>
      <c r="N1397" s="145"/>
      <c r="O1397" s="145"/>
      <c r="P1397" s="145"/>
      <c r="Q1397" s="145"/>
      <c r="R1397" s="145"/>
      <c r="S1397" s="145"/>
      <c r="T1397" s="145"/>
      <c r="U1397" s="145"/>
      <c r="V1397" s="145"/>
      <c r="W1397" s="145"/>
      <c r="X1397" s="145"/>
      <c r="Y1397" s="145"/>
      <c r="Z1397" s="145"/>
      <c r="AA1397" s="145"/>
      <c r="AB1397" s="145"/>
      <c r="AC1397" s="145"/>
      <c r="AD1397" s="145"/>
      <c r="AE1397" s="145"/>
      <c r="AF1397" s="145"/>
      <c r="AG1397" s="145"/>
      <c r="AH1397" s="145"/>
      <c r="AI1397" s="145"/>
      <c r="AJ1397" s="145"/>
      <c r="AK1397" s="145"/>
      <c r="AL1397" s="145"/>
      <c r="AM1397" s="321"/>
      <c r="AN1397" s="321"/>
      <c r="AO1397" s="321"/>
      <c r="AP1397" s="321"/>
      <c r="AQ1397" s="321"/>
      <c r="AR1397" s="321"/>
      <c r="AS1397" s="321"/>
      <c r="AT1397" s="321"/>
    </row>
    <row r="1398" spans="10:46">
      <c r="J1398" s="145"/>
      <c r="K1398" s="145"/>
      <c r="L1398" s="145"/>
      <c r="M1398" s="145"/>
      <c r="N1398" s="145"/>
      <c r="O1398" s="145"/>
      <c r="P1398" s="145"/>
      <c r="Q1398" s="145"/>
      <c r="R1398" s="145"/>
      <c r="S1398" s="145"/>
      <c r="T1398" s="145"/>
      <c r="U1398" s="145"/>
      <c r="V1398" s="145"/>
      <c r="W1398" s="145"/>
      <c r="X1398" s="145"/>
      <c r="Y1398" s="145"/>
      <c r="Z1398" s="145"/>
      <c r="AA1398" s="145"/>
      <c r="AB1398" s="145"/>
      <c r="AC1398" s="145"/>
      <c r="AD1398" s="145"/>
      <c r="AE1398" s="145"/>
      <c r="AF1398" s="145"/>
      <c r="AG1398" s="145"/>
      <c r="AH1398" s="145"/>
      <c r="AI1398" s="145"/>
      <c r="AJ1398" s="145"/>
      <c r="AK1398" s="145"/>
      <c r="AL1398" s="145"/>
      <c r="AM1398" s="321"/>
      <c r="AN1398" s="321"/>
      <c r="AO1398" s="321"/>
      <c r="AP1398" s="321"/>
      <c r="AQ1398" s="321"/>
      <c r="AR1398" s="321"/>
      <c r="AS1398" s="321"/>
      <c r="AT1398" s="321"/>
    </row>
    <row r="1399" spans="10:46">
      <c r="J1399" s="145"/>
      <c r="K1399" s="145"/>
      <c r="L1399" s="145"/>
      <c r="M1399" s="145"/>
      <c r="N1399" s="145"/>
      <c r="O1399" s="145"/>
      <c r="P1399" s="145"/>
      <c r="Q1399" s="145"/>
      <c r="R1399" s="145"/>
      <c r="S1399" s="145"/>
      <c r="T1399" s="145"/>
      <c r="U1399" s="145"/>
      <c r="V1399" s="145"/>
      <c r="W1399" s="145"/>
      <c r="X1399" s="145"/>
      <c r="Y1399" s="145"/>
      <c r="Z1399" s="145"/>
      <c r="AA1399" s="145"/>
      <c r="AB1399" s="145"/>
      <c r="AC1399" s="145"/>
      <c r="AD1399" s="145"/>
      <c r="AE1399" s="145"/>
      <c r="AF1399" s="145"/>
      <c r="AG1399" s="145"/>
      <c r="AH1399" s="145"/>
      <c r="AI1399" s="145"/>
      <c r="AJ1399" s="145"/>
      <c r="AK1399" s="145"/>
      <c r="AL1399" s="145"/>
      <c r="AM1399" s="321"/>
      <c r="AN1399" s="321"/>
      <c r="AO1399" s="321"/>
      <c r="AP1399" s="321"/>
      <c r="AQ1399" s="321"/>
      <c r="AR1399" s="321"/>
      <c r="AS1399" s="321"/>
      <c r="AT1399" s="321"/>
    </row>
    <row r="1400" spans="10:46">
      <c r="J1400" s="145"/>
      <c r="K1400" s="145"/>
      <c r="L1400" s="145"/>
      <c r="M1400" s="145"/>
      <c r="N1400" s="145"/>
      <c r="O1400" s="145"/>
      <c r="P1400" s="145"/>
      <c r="Q1400" s="145"/>
      <c r="R1400" s="145"/>
      <c r="S1400" s="145"/>
      <c r="T1400" s="145"/>
      <c r="U1400" s="145"/>
      <c r="V1400" s="145"/>
      <c r="W1400" s="145"/>
      <c r="X1400" s="145"/>
      <c r="Y1400" s="145"/>
      <c r="Z1400" s="145"/>
      <c r="AA1400" s="145"/>
      <c r="AB1400" s="145"/>
      <c r="AC1400" s="145"/>
      <c r="AD1400" s="145"/>
      <c r="AE1400" s="145"/>
      <c r="AF1400" s="145"/>
      <c r="AG1400" s="145"/>
      <c r="AH1400" s="145"/>
      <c r="AI1400" s="145"/>
      <c r="AJ1400" s="145"/>
      <c r="AK1400" s="145"/>
      <c r="AL1400" s="145"/>
      <c r="AM1400" s="321"/>
      <c r="AN1400" s="321"/>
      <c r="AO1400" s="321"/>
      <c r="AP1400" s="321"/>
      <c r="AQ1400" s="321"/>
      <c r="AR1400" s="321"/>
      <c r="AS1400" s="321"/>
      <c r="AT1400" s="321"/>
    </row>
    <row r="1401" spans="10:46">
      <c r="J1401" s="145"/>
      <c r="K1401" s="145"/>
      <c r="L1401" s="145"/>
      <c r="M1401" s="145"/>
      <c r="N1401" s="145"/>
      <c r="O1401" s="145"/>
      <c r="P1401" s="145"/>
      <c r="Q1401" s="145"/>
      <c r="R1401" s="145"/>
      <c r="S1401" s="145"/>
      <c r="T1401" s="145"/>
      <c r="U1401" s="145"/>
      <c r="V1401" s="145"/>
      <c r="W1401" s="145"/>
      <c r="X1401" s="145"/>
      <c r="Y1401" s="145"/>
      <c r="Z1401" s="145"/>
      <c r="AA1401" s="145"/>
      <c r="AB1401" s="145"/>
      <c r="AC1401" s="145"/>
      <c r="AD1401" s="145"/>
      <c r="AE1401" s="145"/>
      <c r="AF1401" s="145"/>
      <c r="AG1401" s="145"/>
      <c r="AH1401" s="145"/>
      <c r="AI1401" s="145"/>
      <c r="AJ1401" s="145"/>
      <c r="AK1401" s="145"/>
      <c r="AL1401" s="145"/>
      <c r="AM1401" s="321"/>
      <c r="AN1401" s="321"/>
      <c r="AO1401" s="321"/>
      <c r="AP1401" s="321"/>
      <c r="AQ1401" s="321"/>
      <c r="AR1401" s="321"/>
      <c r="AS1401" s="321"/>
      <c r="AT1401" s="321"/>
    </row>
    <row r="1402" spans="10:46">
      <c r="J1402" s="145"/>
      <c r="K1402" s="145"/>
      <c r="L1402" s="145"/>
      <c r="M1402" s="145"/>
      <c r="N1402" s="145"/>
      <c r="O1402" s="145"/>
      <c r="P1402" s="145"/>
      <c r="Q1402" s="145"/>
      <c r="R1402" s="145"/>
      <c r="S1402" s="145"/>
      <c r="T1402" s="145"/>
      <c r="U1402" s="145"/>
      <c r="V1402" s="145"/>
      <c r="W1402" s="145"/>
      <c r="X1402" s="145"/>
      <c r="Y1402" s="145"/>
      <c r="Z1402" s="145"/>
      <c r="AA1402" s="145"/>
      <c r="AB1402" s="145"/>
      <c r="AC1402" s="145"/>
      <c r="AD1402" s="145"/>
      <c r="AE1402" s="145"/>
      <c r="AF1402" s="145"/>
      <c r="AG1402" s="145"/>
      <c r="AH1402" s="145"/>
      <c r="AI1402" s="145"/>
      <c r="AJ1402" s="145"/>
      <c r="AK1402" s="145"/>
      <c r="AL1402" s="145"/>
      <c r="AM1402" s="321"/>
      <c r="AN1402" s="321"/>
      <c r="AO1402" s="321"/>
      <c r="AP1402" s="321"/>
      <c r="AQ1402" s="321"/>
      <c r="AR1402" s="321"/>
      <c r="AS1402" s="321"/>
      <c r="AT1402" s="321"/>
    </row>
    <row r="1403" spans="10:46">
      <c r="J1403" s="145"/>
      <c r="K1403" s="145"/>
      <c r="L1403" s="145"/>
      <c r="M1403" s="145"/>
      <c r="N1403" s="145"/>
      <c r="O1403" s="145"/>
      <c r="P1403" s="145"/>
      <c r="Q1403" s="145"/>
      <c r="R1403" s="145"/>
      <c r="S1403" s="145"/>
      <c r="T1403" s="145"/>
      <c r="U1403" s="145"/>
      <c r="V1403" s="145"/>
      <c r="W1403" s="145"/>
      <c r="X1403" s="145"/>
      <c r="Y1403" s="145"/>
      <c r="Z1403" s="145"/>
      <c r="AA1403" s="145"/>
      <c r="AB1403" s="145"/>
      <c r="AC1403" s="145"/>
      <c r="AD1403" s="145"/>
      <c r="AE1403" s="145"/>
      <c r="AF1403" s="145"/>
      <c r="AG1403" s="145"/>
      <c r="AH1403" s="145"/>
      <c r="AI1403" s="145"/>
      <c r="AJ1403" s="145"/>
      <c r="AK1403" s="145"/>
      <c r="AL1403" s="145"/>
      <c r="AM1403" s="321"/>
      <c r="AN1403" s="321"/>
      <c r="AO1403" s="321"/>
      <c r="AP1403" s="321"/>
      <c r="AQ1403" s="321"/>
      <c r="AR1403" s="321"/>
      <c r="AS1403" s="321"/>
      <c r="AT1403" s="321"/>
    </row>
    <row r="1404" spans="10:46">
      <c r="J1404" s="145"/>
      <c r="K1404" s="145"/>
      <c r="L1404" s="145"/>
      <c r="M1404" s="145"/>
      <c r="N1404" s="145"/>
      <c r="O1404" s="145"/>
      <c r="P1404" s="145"/>
      <c r="Q1404" s="145"/>
      <c r="R1404" s="145"/>
      <c r="S1404" s="145"/>
      <c r="T1404" s="145"/>
      <c r="U1404" s="145"/>
      <c r="V1404" s="145"/>
      <c r="W1404" s="145"/>
      <c r="X1404" s="145"/>
      <c r="Y1404" s="145"/>
      <c r="Z1404" s="145"/>
      <c r="AA1404" s="145"/>
      <c r="AB1404" s="145"/>
      <c r="AC1404" s="145"/>
      <c r="AD1404" s="145"/>
      <c r="AE1404" s="145"/>
      <c r="AF1404" s="145"/>
      <c r="AG1404" s="145"/>
      <c r="AH1404" s="145"/>
      <c r="AI1404" s="145"/>
      <c r="AJ1404" s="145"/>
      <c r="AK1404" s="145"/>
      <c r="AL1404" s="145"/>
      <c r="AM1404" s="321"/>
      <c r="AN1404" s="321"/>
      <c r="AO1404" s="321"/>
      <c r="AP1404" s="321"/>
      <c r="AQ1404" s="321"/>
      <c r="AR1404" s="321"/>
      <c r="AS1404" s="321"/>
      <c r="AT1404" s="321"/>
    </row>
    <row r="1405" spans="10:46">
      <c r="J1405" s="145"/>
      <c r="K1405" s="145"/>
      <c r="L1405" s="145"/>
      <c r="M1405" s="145"/>
      <c r="N1405" s="145"/>
      <c r="O1405" s="145"/>
      <c r="P1405" s="145"/>
      <c r="Q1405" s="145"/>
      <c r="R1405" s="145"/>
      <c r="S1405" s="145"/>
      <c r="T1405" s="145"/>
      <c r="U1405" s="145"/>
      <c r="V1405" s="145"/>
      <c r="W1405" s="145"/>
      <c r="X1405" s="145"/>
      <c r="Y1405" s="145"/>
      <c r="Z1405" s="145"/>
      <c r="AA1405" s="145"/>
      <c r="AB1405" s="145"/>
      <c r="AC1405" s="145"/>
      <c r="AD1405" s="145"/>
      <c r="AE1405" s="145"/>
      <c r="AF1405" s="145"/>
      <c r="AG1405" s="145"/>
      <c r="AH1405" s="145"/>
      <c r="AI1405" s="145"/>
      <c r="AJ1405" s="145"/>
      <c r="AK1405" s="145"/>
      <c r="AL1405" s="145"/>
      <c r="AM1405" s="321"/>
      <c r="AN1405" s="321"/>
      <c r="AO1405" s="321"/>
      <c r="AP1405" s="321"/>
      <c r="AQ1405" s="321"/>
      <c r="AR1405" s="321"/>
      <c r="AS1405" s="321"/>
      <c r="AT1405" s="321"/>
    </row>
    <row r="1406" spans="10:46">
      <c r="J1406" s="145"/>
      <c r="K1406" s="145"/>
      <c r="L1406" s="145"/>
      <c r="M1406" s="145"/>
      <c r="N1406" s="145"/>
      <c r="O1406" s="145"/>
      <c r="P1406" s="145"/>
      <c r="Q1406" s="145"/>
      <c r="R1406" s="145"/>
      <c r="S1406" s="145"/>
      <c r="T1406" s="145"/>
      <c r="U1406" s="145"/>
      <c r="V1406" s="145"/>
      <c r="W1406" s="145"/>
      <c r="X1406" s="145"/>
      <c r="Y1406" s="145"/>
      <c r="Z1406" s="145"/>
      <c r="AA1406" s="145"/>
      <c r="AB1406" s="145"/>
      <c r="AC1406" s="145"/>
      <c r="AD1406" s="145"/>
      <c r="AE1406" s="145"/>
      <c r="AF1406" s="145"/>
      <c r="AG1406" s="145"/>
      <c r="AH1406" s="145"/>
      <c r="AI1406" s="145"/>
      <c r="AJ1406" s="145"/>
      <c r="AK1406" s="145"/>
      <c r="AL1406" s="145"/>
      <c r="AM1406" s="321"/>
      <c r="AN1406" s="321"/>
      <c r="AO1406" s="321"/>
      <c r="AP1406" s="321"/>
      <c r="AQ1406" s="321"/>
      <c r="AR1406" s="321"/>
      <c r="AS1406" s="321"/>
      <c r="AT1406" s="321"/>
    </row>
    <row r="1407" spans="10:46">
      <c r="J1407" s="145"/>
      <c r="K1407" s="145"/>
      <c r="L1407" s="145"/>
      <c r="M1407" s="145"/>
      <c r="N1407" s="145"/>
      <c r="O1407" s="145"/>
      <c r="P1407" s="145"/>
      <c r="Q1407" s="145"/>
      <c r="R1407" s="145"/>
      <c r="S1407" s="145"/>
      <c r="T1407" s="145"/>
      <c r="U1407" s="145"/>
      <c r="V1407" s="145"/>
      <c r="W1407" s="145"/>
      <c r="X1407" s="145"/>
      <c r="Y1407" s="145"/>
      <c r="Z1407" s="145"/>
      <c r="AA1407" s="145"/>
      <c r="AB1407" s="145"/>
      <c r="AC1407" s="145"/>
      <c r="AD1407" s="145"/>
      <c r="AE1407" s="145"/>
      <c r="AF1407" s="145"/>
      <c r="AG1407" s="145"/>
      <c r="AH1407" s="145"/>
      <c r="AI1407" s="145"/>
      <c r="AJ1407" s="145"/>
      <c r="AK1407" s="145"/>
      <c r="AL1407" s="145"/>
      <c r="AM1407" s="321"/>
      <c r="AN1407" s="321"/>
      <c r="AO1407" s="321"/>
      <c r="AP1407" s="321"/>
      <c r="AQ1407" s="321"/>
      <c r="AR1407" s="321"/>
      <c r="AS1407" s="321"/>
      <c r="AT1407" s="321"/>
    </row>
    <row r="1408" spans="10:46">
      <c r="J1408" s="145"/>
      <c r="K1408" s="145"/>
      <c r="L1408" s="145"/>
      <c r="M1408" s="145"/>
      <c r="N1408" s="145"/>
      <c r="O1408" s="145"/>
      <c r="P1408" s="145"/>
      <c r="Q1408" s="145"/>
      <c r="R1408" s="145"/>
      <c r="S1408" s="145"/>
      <c r="T1408" s="145"/>
      <c r="U1408" s="145"/>
      <c r="V1408" s="145"/>
      <c r="W1408" s="145"/>
      <c r="X1408" s="145"/>
      <c r="Y1408" s="145"/>
      <c r="Z1408" s="145"/>
      <c r="AA1408" s="145"/>
      <c r="AB1408" s="145"/>
      <c r="AC1408" s="145"/>
      <c r="AD1408" s="145"/>
      <c r="AE1408" s="145"/>
      <c r="AF1408" s="145"/>
      <c r="AG1408" s="145"/>
      <c r="AH1408" s="145"/>
      <c r="AI1408" s="145"/>
      <c r="AJ1408" s="145"/>
      <c r="AK1408" s="145"/>
      <c r="AL1408" s="145"/>
      <c r="AM1408" s="321"/>
      <c r="AN1408" s="321"/>
      <c r="AO1408" s="321"/>
      <c r="AP1408" s="321"/>
      <c r="AQ1408" s="321"/>
      <c r="AR1408" s="321"/>
      <c r="AS1408" s="321"/>
      <c r="AT1408" s="321"/>
    </row>
    <row r="1409" spans="10:46">
      <c r="J1409" s="145"/>
      <c r="K1409" s="145"/>
      <c r="L1409" s="145"/>
      <c r="M1409" s="145"/>
      <c r="N1409" s="145"/>
      <c r="O1409" s="145"/>
      <c r="P1409" s="145"/>
      <c r="Q1409" s="145"/>
      <c r="R1409" s="145"/>
      <c r="S1409" s="145"/>
      <c r="T1409" s="145"/>
      <c r="U1409" s="145"/>
      <c r="V1409" s="145"/>
      <c r="W1409" s="145"/>
      <c r="X1409" s="145"/>
      <c r="Y1409" s="145"/>
      <c r="Z1409" s="145"/>
      <c r="AA1409" s="145"/>
      <c r="AB1409" s="145"/>
      <c r="AC1409" s="145"/>
      <c r="AD1409" s="145"/>
      <c r="AE1409" s="145"/>
      <c r="AF1409" s="145"/>
      <c r="AG1409" s="145"/>
      <c r="AH1409" s="145"/>
      <c r="AI1409" s="145"/>
      <c r="AJ1409" s="145"/>
      <c r="AK1409" s="145"/>
      <c r="AL1409" s="145"/>
      <c r="AM1409" s="321"/>
      <c r="AN1409" s="321"/>
      <c r="AO1409" s="321"/>
      <c r="AP1409" s="321"/>
      <c r="AQ1409" s="321"/>
      <c r="AR1409" s="321"/>
      <c r="AS1409" s="321"/>
      <c r="AT1409" s="321"/>
    </row>
    <row r="1410" spans="10:46">
      <c r="J1410" s="145"/>
      <c r="K1410" s="145"/>
      <c r="L1410" s="145"/>
      <c r="M1410" s="145"/>
      <c r="N1410" s="145"/>
      <c r="O1410" s="145"/>
      <c r="P1410" s="145"/>
      <c r="Q1410" s="145"/>
      <c r="R1410" s="145"/>
      <c r="S1410" s="145"/>
      <c r="T1410" s="145"/>
      <c r="U1410" s="145"/>
      <c r="V1410" s="145"/>
      <c r="W1410" s="145"/>
      <c r="X1410" s="145"/>
      <c r="Y1410" s="145"/>
      <c r="Z1410" s="145"/>
      <c r="AA1410" s="145"/>
      <c r="AB1410" s="145"/>
      <c r="AC1410" s="145"/>
      <c r="AD1410" s="145"/>
      <c r="AE1410" s="145"/>
      <c r="AF1410" s="145"/>
      <c r="AG1410" s="145"/>
      <c r="AH1410" s="145"/>
      <c r="AI1410" s="145"/>
      <c r="AJ1410" s="145"/>
      <c r="AK1410" s="145"/>
      <c r="AL1410" s="145"/>
      <c r="AM1410" s="321"/>
      <c r="AN1410" s="321"/>
      <c r="AO1410" s="321"/>
      <c r="AP1410" s="321"/>
      <c r="AQ1410" s="321"/>
      <c r="AR1410" s="321"/>
      <c r="AS1410" s="321"/>
      <c r="AT1410" s="321"/>
    </row>
    <row r="1411" spans="10:46">
      <c r="J1411" s="145"/>
      <c r="K1411" s="145"/>
      <c r="L1411" s="145"/>
      <c r="M1411" s="145"/>
      <c r="N1411" s="145"/>
      <c r="O1411" s="145"/>
      <c r="P1411" s="145"/>
      <c r="Q1411" s="145"/>
      <c r="R1411" s="145"/>
      <c r="S1411" s="145"/>
      <c r="T1411" s="145"/>
      <c r="U1411" s="145"/>
      <c r="V1411" s="145"/>
      <c r="W1411" s="145"/>
      <c r="X1411" s="145"/>
      <c r="Y1411" s="145"/>
      <c r="Z1411" s="145"/>
      <c r="AA1411" s="145"/>
      <c r="AB1411" s="145"/>
      <c r="AC1411" s="145"/>
      <c r="AD1411" s="145"/>
      <c r="AE1411" s="145"/>
      <c r="AF1411" s="145"/>
      <c r="AG1411" s="145"/>
      <c r="AH1411" s="145"/>
      <c r="AI1411" s="145"/>
      <c r="AJ1411" s="145"/>
      <c r="AK1411" s="145"/>
      <c r="AL1411" s="145"/>
      <c r="AM1411" s="321"/>
      <c r="AN1411" s="321"/>
      <c r="AO1411" s="321"/>
      <c r="AP1411" s="321"/>
      <c r="AQ1411" s="321"/>
      <c r="AR1411" s="321"/>
      <c r="AS1411" s="321"/>
      <c r="AT1411" s="321"/>
    </row>
    <row r="1412" spans="10:46">
      <c r="J1412" s="145"/>
      <c r="K1412" s="145"/>
      <c r="L1412" s="145"/>
      <c r="M1412" s="145"/>
      <c r="N1412" s="145"/>
      <c r="O1412" s="145"/>
      <c r="P1412" s="145"/>
      <c r="Q1412" s="145"/>
      <c r="R1412" s="145"/>
      <c r="S1412" s="145"/>
      <c r="T1412" s="145"/>
      <c r="U1412" s="145"/>
      <c r="V1412" s="145"/>
      <c r="W1412" s="145"/>
      <c r="X1412" s="145"/>
      <c r="Y1412" s="145"/>
      <c r="Z1412" s="145"/>
      <c r="AA1412" s="145"/>
      <c r="AB1412" s="145"/>
      <c r="AC1412" s="145"/>
      <c r="AD1412" s="145"/>
      <c r="AE1412" s="145"/>
      <c r="AF1412" s="145"/>
      <c r="AG1412" s="145"/>
      <c r="AH1412" s="145"/>
      <c r="AI1412" s="145"/>
      <c r="AJ1412" s="145"/>
      <c r="AK1412" s="145"/>
      <c r="AL1412" s="145"/>
      <c r="AM1412" s="321"/>
      <c r="AN1412" s="321"/>
      <c r="AO1412" s="321"/>
      <c r="AP1412" s="321"/>
      <c r="AQ1412" s="321"/>
      <c r="AR1412" s="321"/>
      <c r="AS1412" s="321"/>
      <c r="AT1412" s="321"/>
    </row>
    <row r="1413" spans="10:46">
      <c r="J1413" s="145"/>
      <c r="K1413" s="145"/>
      <c r="L1413" s="145"/>
      <c r="M1413" s="145"/>
      <c r="N1413" s="145"/>
      <c r="O1413" s="145"/>
      <c r="P1413" s="145"/>
      <c r="Q1413" s="145"/>
      <c r="R1413" s="145"/>
      <c r="S1413" s="145"/>
      <c r="T1413" s="145"/>
      <c r="U1413" s="145"/>
      <c r="V1413" s="145"/>
      <c r="W1413" s="145"/>
      <c r="X1413" s="145"/>
      <c r="Y1413" s="145"/>
      <c r="Z1413" s="145"/>
      <c r="AA1413" s="145"/>
      <c r="AB1413" s="145"/>
      <c r="AC1413" s="145"/>
      <c r="AD1413" s="145"/>
      <c r="AE1413" s="145"/>
      <c r="AF1413" s="145"/>
      <c r="AG1413" s="145"/>
      <c r="AH1413" s="145"/>
      <c r="AI1413" s="145"/>
      <c r="AJ1413" s="145"/>
      <c r="AK1413" s="145"/>
      <c r="AL1413" s="145"/>
      <c r="AM1413" s="321"/>
      <c r="AN1413" s="321"/>
      <c r="AO1413" s="321"/>
      <c r="AP1413" s="321"/>
      <c r="AQ1413" s="321"/>
      <c r="AR1413" s="321"/>
      <c r="AS1413" s="321"/>
      <c r="AT1413" s="321"/>
    </row>
    <row r="1414" spans="10:46">
      <c r="J1414" s="145"/>
      <c r="K1414" s="145"/>
      <c r="L1414" s="145"/>
      <c r="M1414" s="145"/>
      <c r="N1414" s="145"/>
      <c r="O1414" s="145"/>
      <c r="P1414" s="145"/>
      <c r="Q1414" s="145"/>
      <c r="R1414" s="145"/>
      <c r="S1414" s="145"/>
      <c r="T1414" s="145"/>
      <c r="U1414" s="145"/>
      <c r="V1414" s="145"/>
      <c r="W1414" s="145"/>
      <c r="X1414" s="145"/>
      <c r="Y1414" s="145"/>
      <c r="Z1414" s="145"/>
      <c r="AA1414" s="145"/>
      <c r="AB1414" s="145"/>
      <c r="AC1414" s="145"/>
      <c r="AD1414" s="145"/>
      <c r="AE1414" s="145"/>
      <c r="AF1414" s="145"/>
      <c r="AG1414" s="145"/>
      <c r="AH1414" s="145"/>
      <c r="AI1414" s="145"/>
      <c r="AJ1414" s="145"/>
      <c r="AK1414" s="145"/>
      <c r="AL1414" s="145"/>
      <c r="AM1414" s="321"/>
      <c r="AN1414" s="321"/>
      <c r="AO1414" s="321"/>
      <c r="AP1414" s="321"/>
      <c r="AQ1414" s="321"/>
      <c r="AR1414" s="321"/>
      <c r="AS1414" s="321"/>
      <c r="AT1414" s="321"/>
    </row>
    <row r="1415" spans="10:46">
      <c r="J1415" s="145"/>
      <c r="K1415" s="145"/>
      <c r="L1415" s="145"/>
      <c r="M1415" s="145"/>
      <c r="N1415" s="145"/>
      <c r="O1415" s="145"/>
      <c r="P1415" s="145"/>
      <c r="Q1415" s="145"/>
      <c r="R1415" s="145"/>
      <c r="S1415" s="145"/>
      <c r="T1415" s="145"/>
      <c r="U1415" s="145"/>
      <c r="V1415" s="145"/>
      <c r="W1415" s="145"/>
      <c r="X1415" s="145"/>
      <c r="Y1415" s="145"/>
      <c r="Z1415" s="145"/>
      <c r="AA1415" s="145"/>
      <c r="AB1415" s="145"/>
      <c r="AC1415" s="145"/>
      <c r="AD1415" s="145"/>
      <c r="AE1415" s="145"/>
      <c r="AF1415" s="145"/>
      <c r="AG1415" s="145"/>
      <c r="AH1415" s="145"/>
      <c r="AI1415" s="145"/>
      <c r="AJ1415" s="145"/>
      <c r="AK1415" s="145"/>
      <c r="AL1415" s="145"/>
      <c r="AM1415" s="321"/>
      <c r="AN1415" s="321"/>
      <c r="AO1415" s="321"/>
      <c r="AP1415" s="321"/>
      <c r="AQ1415" s="321"/>
      <c r="AR1415" s="321"/>
      <c r="AS1415" s="321"/>
      <c r="AT1415" s="321"/>
    </row>
    <row r="1416" spans="10:46">
      <c r="J1416" s="145"/>
      <c r="K1416" s="145"/>
      <c r="L1416" s="145"/>
      <c r="M1416" s="145"/>
      <c r="N1416" s="145"/>
      <c r="O1416" s="145"/>
      <c r="P1416" s="145"/>
      <c r="Q1416" s="145"/>
      <c r="R1416" s="145"/>
      <c r="S1416" s="145"/>
      <c r="T1416" s="145"/>
      <c r="U1416" s="145"/>
      <c r="V1416" s="145"/>
      <c r="W1416" s="145"/>
      <c r="X1416" s="145"/>
      <c r="Y1416" s="145"/>
      <c r="Z1416" s="145"/>
      <c r="AA1416" s="145"/>
      <c r="AB1416" s="145"/>
      <c r="AC1416" s="145"/>
      <c r="AD1416" s="145"/>
      <c r="AE1416" s="145"/>
      <c r="AF1416" s="145"/>
      <c r="AG1416" s="145"/>
      <c r="AH1416" s="145"/>
      <c r="AI1416" s="145"/>
      <c r="AJ1416" s="145"/>
      <c r="AK1416" s="145"/>
      <c r="AL1416" s="145"/>
      <c r="AM1416" s="321"/>
      <c r="AN1416" s="321"/>
      <c r="AO1416" s="321"/>
      <c r="AP1416" s="321"/>
      <c r="AQ1416" s="321"/>
      <c r="AR1416" s="321"/>
      <c r="AS1416" s="321"/>
      <c r="AT1416" s="321"/>
    </row>
    <row r="1417" spans="10:46">
      <c r="J1417" s="145"/>
      <c r="K1417" s="145"/>
      <c r="L1417" s="145"/>
      <c r="M1417" s="145"/>
      <c r="N1417" s="145"/>
      <c r="O1417" s="145"/>
      <c r="P1417" s="145"/>
      <c r="Q1417" s="145"/>
      <c r="R1417" s="145"/>
      <c r="S1417" s="145"/>
      <c r="T1417" s="145"/>
      <c r="U1417" s="145"/>
      <c r="V1417" s="145"/>
      <c r="W1417" s="145"/>
      <c r="X1417" s="145"/>
      <c r="Y1417" s="145"/>
      <c r="Z1417" s="145"/>
      <c r="AA1417" s="145"/>
      <c r="AB1417" s="145"/>
      <c r="AC1417" s="145"/>
      <c r="AD1417" s="145"/>
      <c r="AE1417" s="145"/>
      <c r="AF1417" s="145"/>
      <c r="AG1417" s="145"/>
      <c r="AH1417" s="145"/>
      <c r="AI1417" s="145"/>
      <c r="AJ1417" s="145"/>
      <c r="AK1417" s="145"/>
      <c r="AL1417" s="145"/>
      <c r="AM1417" s="321"/>
      <c r="AN1417" s="321"/>
      <c r="AO1417" s="321"/>
      <c r="AP1417" s="321"/>
      <c r="AQ1417" s="321"/>
      <c r="AR1417" s="321"/>
      <c r="AS1417" s="321"/>
      <c r="AT1417" s="321"/>
    </row>
    <row r="1418" spans="10:46">
      <c r="J1418" s="145"/>
      <c r="K1418" s="145"/>
      <c r="L1418" s="145"/>
      <c r="M1418" s="145"/>
      <c r="N1418" s="145"/>
      <c r="O1418" s="145"/>
      <c r="P1418" s="145"/>
      <c r="Q1418" s="145"/>
      <c r="R1418" s="145"/>
      <c r="S1418" s="145"/>
      <c r="T1418" s="145"/>
      <c r="U1418" s="145"/>
      <c r="V1418" s="145"/>
      <c r="W1418" s="145"/>
      <c r="X1418" s="145"/>
      <c r="Y1418" s="145"/>
      <c r="Z1418" s="145"/>
      <c r="AA1418" s="145"/>
      <c r="AB1418" s="145"/>
      <c r="AC1418" s="145"/>
      <c r="AD1418" s="145"/>
      <c r="AE1418" s="145"/>
      <c r="AF1418" s="145"/>
      <c r="AG1418" s="145"/>
      <c r="AH1418" s="145"/>
      <c r="AI1418" s="145"/>
      <c r="AJ1418" s="145"/>
      <c r="AK1418" s="145"/>
      <c r="AL1418" s="145"/>
      <c r="AM1418" s="321"/>
      <c r="AN1418" s="321"/>
      <c r="AO1418" s="321"/>
      <c r="AP1418" s="321"/>
      <c r="AQ1418" s="321"/>
      <c r="AR1418" s="321"/>
      <c r="AS1418" s="321"/>
      <c r="AT1418" s="321"/>
    </row>
    <row r="1419" spans="10:46">
      <c r="J1419" s="145"/>
      <c r="K1419" s="145"/>
      <c r="L1419" s="145"/>
      <c r="M1419" s="145"/>
      <c r="N1419" s="145"/>
      <c r="O1419" s="145"/>
      <c r="P1419" s="145"/>
      <c r="Q1419" s="145"/>
      <c r="R1419" s="145"/>
      <c r="S1419" s="145"/>
      <c r="T1419" s="145"/>
      <c r="U1419" s="145"/>
      <c r="V1419" s="145"/>
      <c r="W1419" s="145"/>
      <c r="X1419" s="145"/>
      <c r="Y1419" s="145"/>
      <c r="Z1419" s="145"/>
      <c r="AA1419" s="145"/>
      <c r="AB1419" s="145"/>
      <c r="AC1419" s="145"/>
      <c r="AD1419" s="145"/>
      <c r="AE1419" s="145"/>
      <c r="AF1419" s="145"/>
      <c r="AG1419" s="145"/>
      <c r="AH1419" s="145"/>
      <c r="AI1419" s="145"/>
      <c r="AJ1419" s="145"/>
      <c r="AK1419" s="145"/>
      <c r="AL1419" s="145"/>
      <c r="AM1419" s="321"/>
      <c r="AN1419" s="321"/>
      <c r="AO1419" s="321"/>
      <c r="AP1419" s="321"/>
      <c r="AQ1419" s="321"/>
      <c r="AR1419" s="321"/>
      <c r="AS1419" s="321"/>
      <c r="AT1419" s="321"/>
    </row>
    <row r="1420" spans="10:46">
      <c r="J1420" s="145"/>
      <c r="K1420" s="145"/>
      <c r="L1420" s="145"/>
      <c r="M1420" s="145"/>
      <c r="N1420" s="145"/>
      <c r="O1420" s="145"/>
      <c r="P1420" s="145"/>
      <c r="Q1420" s="145"/>
      <c r="R1420" s="145"/>
      <c r="S1420" s="145"/>
      <c r="T1420" s="145"/>
      <c r="U1420" s="145"/>
      <c r="V1420" s="145"/>
      <c r="W1420" s="145"/>
      <c r="X1420" s="145"/>
      <c r="Y1420" s="145"/>
      <c r="Z1420" s="145"/>
      <c r="AA1420" s="145"/>
      <c r="AB1420" s="145"/>
      <c r="AC1420" s="145"/>
      <c r="AD1420" s="145"/>
      <c r="AE1420" s="145"/>
      <c r="AF1420" s="145"/>
      <c r="AG1420" s="145"/>
      <c r="AH1420" s="145"/>
      <c r="AI1420" s="145"/>
      <c r="AJ1420" s="145"/>
      <c r="AK1420" s="145"/>
      <c r="AL1420" s="145"/>
      <c r="AM1420" s="321"/>
      <c r="AN1420" s="321"/>
      <c r="AO1420" s="321"/>
      <c r="AP1420" s="321"/>
      <c r="AQ1420" s="321"/>
      <c r="AR1420" s="321"/>
      <c r="AS1420" s="321"/>
      <c r="AT1420" s="321"/>
    </row>
    <row r="1421" spans="10:46">
      <c r="J1421" s="145"/>
      <c r="K1421" s="145"/>
      <c r="L1421" s="145"/>
      <c r="M1421" s="145"/>
      <c r="N1421" s="145"/>
      <c r="O1421" s="145"/>
      <c r="P1421" s="145"/>
      <c r="Q1421" s="145"/>
      <c r="R1421" s="145"/>
      <c r="S1421" s="145"/>
      <c r="T1421" s="145"/>
      <c r="U1421" s="145"/>
      <c r="V1421" s="145"/>
      <c r="W1421" s="145"/>
      <c r="X1421" s="145"/>
      <c r="Y1421" s="145"/>
      <c r="Z1421" s="145"/>
      <c r="AA1421" s="145"/>
      <c r="AB1421" s="145"/>
      <c r="AC1421" s="145"/>
      <c r="AD1421" s="145"/>
      <c r="AE1421" s="145"/>
      <c r="AF1421" s="145"/>
      <c r="AG1421" s="145"/>
      <c r="AH1421" s="145"/>
      <c r="AI1421" s="145"/>
      <c r="AJ1421" s="145"/>
      <c r="AK1421" s="145"/>
      <c r="AL1421" s="145"/>
      <c r="AM1421" s="321"/>
      <c r="AN1421" s="321"/>
      <c r="AO1421" s="321"/>
      <c r="AP1421" s="321"/>
      <c r="AQ1421" s="321"/>
      <c r="AR1421" s="321"/>
      <c r="AS1421" s="321"/>
      <c r="AT1421" s="321"/>
    </row>
    <row r="1422" spans="10:46">
      <c r="J1422" s="145"/>
      <c r="K1422" s="145"/>
      <c r="L1422" s="145"/>
      <c r="M1422" s="145"/>
      <c r="N1422" s="145"/>
      <c r="O1422" s="145"/>
      <c r="P1422" s="145"/>
      <c r="Q1422" s="145"/>
      <c r="R1422" s="145"/>
      <c r="S1422" s="145"/>
      <c r="T1422" s="145"/>
      <c r="U1422" s="145"/>
      <c r="V1422" s="145"/>
      <c r="W1422" s="145"/>
      <c r="X1422" s="145"/>
      <c r="Y1422" s="145"/>
      <c r="Z1422" s="145"/>
      <c r="AA1422" s="145"/>
      <c r="AB1422" s="145"/>
      <c r="AC1422" s="145"/>
      <c r="AD1422" s="145"/>
      <c r="AE1422" s="145"/>
      <c r="AF1422" s="145"/>
      <c r="AG1422" s="145"/>
      <c r="AH1422" s="145"/>
      <c r="AI1422" s="145"/>
      <c r="AJ1422" s="145"/>
      <c r="AK1422" s="145"/>
      <c r="AL1422" s="145"/>
      <c r="AM1422" s="321"/>
      <c r="AN1422" s="321"/>
      <c r="AO1422" s="321"/>
      <c r="AP1422" s="321"/>
      <c r="AQ1422" s="321"/>
      <c r="AR1422" s="321"/>
      <c r="AS1422" s="321"/>
      <c r="AT1422" s="321"/>
    </row>
    <row r="1423" spans="10:46">
      <c r="J1423" s="145"/>
      <c r="K1423" s="145"/>
      <c r="L1423" s="145"/>
      <c r="M1423" s="145"/>
      <c r="N1423" s="145"/>
      <c r="O1423" s="145"/>
      <c r="P1423" s="145"/>
      <c r="Q1423" s="145"/>
      <c r="R1423" s="145"/>
      <c r="S1423" s="145"/>
      <c r="T1423" s="145"/>
      <c r="U1423" s="145"/>
      <c r="V1423" s="145"/>
      <c r="W1423" s="145"/>
      <c r="X1423" s="145"/>
      <c r="Y1423" s="145"/>
      <c r="Z1423" s="145"/>
      <c r="AA1423" s="145"/>
      <c r="AB1423" s="145"/>
      <c r="AC1423" s="145"/>
      <c r="AD1423" s="145"/>
      <c r="AE1423" s="145"/>
      <c r="AF1423" s="145"/>
      <c r="AG1423" s="145"/>
      <c r="AH1423" s="145"/>
      <c r="AI1423" s="145"/>
      <c r="AJ1423" s="145"/>
      <c r="AK1423" s="145"/>
      <c r="AL1423" s="145"/>
      <c r="AM1423" s="321"/>
      <c r="AN1423" s="321"/>
      <c r="AO1423" s="321"/>
      <c r="AP1423" s="321"/>
      <c r="AQ1423" s="321"/>
      <c r="AR1423" s="321"/>
      <c r="AS1423" s="321"/>
      <c r="AT1423" s="321"/>
    </row>
    <row r="1424" spans="10:46">
      <c r="J1424" s="145"/>
      <c r="K1424" s="145"/>
      <c r="L1424" s="145"/>
      <c r="M1424" s="145"/>
      <c r="N1424" s="145"/>
      <c r="O1424" s="145"/>
      <c r="P1424" s="145"/>
      <c r="Q1424" s="145"/>
      <c r="R1424" s="145"/>
      <c r="S1424" s="145"/>
      <c r="T1424" s="145"/>
      <c r="U1424" s="145"/>
      <c r="V1424" s="145"/>
      <c r="W1424" s="145"/>
      <c r="X1424" s="145"/>
      <c r="Y1424" s="145"/>
      <c r="Z1424" s="145"/>
      <c r="AA1424" s="145"/>
      <c r="AB1424" s="145"/>
      <c r="AC1424" s="145"/>
      <c r="AD1424" s="145"/>
      <c r="AE1424" s="145"/>
      <c r="AF1424" s="145"/>
      <c r="AG1424" s="145"/>
      <c r="AH1424" s="145"/>
      <c r="AI1424" s="145"/>
      <c r="AJ1424" s="145"/>
      <c r="AK1424" s="145"/>
      <c r="AL1424" s="145"/>
      <c r="AM1424" s="321"/>
      <c r="AN1424" s="321"/>
      <c r="AO1424" s="321"/>
      <c r="AP1424" s="321"/>
      <c r="AQ1424" s="321"/>
      <c r="AR1424" s="321"/>
      <c r="AS1424" s="321"/>
      <c r="AT1424" s="321"/>
    </row>
    <row r="1425" spans="10:46">
      <c r="J1425" s="145"/>
      <c r="K1425" s="145"/>
      <c r="L1425" s="145"/>
      <c r="M1425" s="145"/>
      <c r="N1425" s="145"/>
      <c r="O1425" s="145"/>
      <c r="P1425" s="145"/>
      <c r="Q1425" s="145"/>
      <c r="R1425" s="145"/>
      <c r="S1425" s="145"/>
      <c r="T1425" s="145"/>
      <c r="U1425" s="145"/>
      <c r="V1425" s="145"/>
      <c r="W1425" s="145"/>
      <c r="X1425" s="145"/>
      <c r="Y1425" s="145"/>
      <c r="Z1425" s="145"/>
      <c r="AA1425" s="145"/>
      <c r="AB1425" s="145"/>
      <c r="AC1425" s="145"/>
      <c r="AD1425" s="145"/>
      <c r="AE1425" s="145"/>
      <c r="AF1425" s="145"/>
      <c r="AG1425" s="145"/>
      <c r="AH1425" s="145"/>
      <c r="AI1425" s="145"/>
      <c r="AJ1425" s="145"/>
      <c r="AK1425" s="145"/>
      <c r="AL1425" s="145"/>
      <c r="AM1425" s="321"/>
      <c r="AN1425" s="321"/>
      <c r="AO1425" s="321"/>
      <c r="AP1425" s="321"/>
      <c r="AQ1425" s="321"/>
      <c r="AR1425" s="321"/>
      <c r="AS1425" s="321"/>
      <c r="AT1425" s="321"/>
    </row>
    <row r="1426" spans="10:46">
      <c r="J1426" s="145"/>
      <c r="K1426" s="145"/>
      <c r="L1426" s="145"/>
      <c r="M1426" s="145"/>
      <c r="N1426" s="145"/>
      <c r="O1426" s="145"/>
      <c r="P1426" s="145"/>
      <c r="Q1426" s="145"/>
      <c r="R1426" s="145"/>
      <c r="S1426" s="145"/>
      <c r="T1426" s="145"/>
      <c r="U1426" s="145"/>
      <c r="V1426" s="145"/>
      <c r="W1426" s="145"/>
      <c r="X1426" s="145"/>
      <c r="Y1426" s="145"/>
      <c r="Z1426" s="145"/>
      <c r="AA1426" s="145"/>
      <c r="AB1426" s="145"/>
      <c r="AC1426" s="145"/>
      <c r="AD1426" s="145"/>
      <c r="AE1426" s="145"/>
      <c r="AF1426" s="145"/>
      <c r="AG1426" s="145"/>
      <c r="AH1426" s="145"/>
      <c r="AI1426" s="145"/>
      <c r="AJ1426" s="145"/>
      <c r="AK1426" s="145"/>
      <c r="AL1426" s="145"/>
      <c r="AM1426" s="321"/>
      <c r="AN1426" s="321"/>
      <c r="AO1426" s="321"/>
      <c r="AP1426" s="321"/>
      <c r="AQ1426" s="321"/>
      <c r="AR1426" s="321"/>
      <c r="AS1426" s="321"/>
      <c r="AT1426" s="321"/>
    </row>
    <row r="1427" spans="10:46">
      <c r="J1427" s="145"/>
      <c r="K1427" s="145"/>
      <c r="L1427" s="145"/>
      <c r="M1427" s="145"/>
      <c r="N1427" s="145"/>
      <c r="O1427" s="145"/>
      <c r="P1427" s="145"/>
      <c r="Q1427" s="145"/>
      <c r="R1427" s="145"/>
      <c r="S1427" s="145"/>
      <c r="T1427" s="145"/>
      <c r="U1427" s="145"/>
      <c r="V1427" s="145"/>
      <c r="W1427" s="145"/>
      <c r="X1427" s="145"/>
      <c r="Y1427" s="145"/>
      <c r="Z1427" s="145"/>
      <c r="AA1427" s="145"/>
      <c r="AB1427" s="145"/>
      <c r="AC1427" s="145"/>
      <c r="AD1427" s="145"/>
      <c r="AE1427" s="145"/>
      <c r="AF1427" s="145"/>
      <c r="AG1427" s="145"/>
      <c r="AH1427" s="145"/>
      <c r="AI1427" s="145"/>
      <c r="AJ1427" s="145"/>
      <c r="AK1427" s="145"/>
      <c r="AL1427" s="145"/>
      <c r="AM1427" s="321"/>
      <c r="AN1427" s="321"/>
      <c r="AO1427" s="321"/>
      <c r="AP1427" s="321"/>
      <c r="AQ1427" s="321"/>
      <c r="AR1427" s="321"/>
      <c r="AS1427" s="321"/>
      <c r="AT1427" s="321"/>
    </row>
    <row r="1428" spans="10:46">
      <c r="J1428" s="145"/>
      <c r="K1428" s="145"/>
      <c r="L1428" s="145"/>
      <c r="M1428" s="145"/>
      <c r="N1428" s="145"/>
      <c r="O1428" s="145"/>
      <c r="P1428" s="145"/>
      <c r="Q1428" s="145"/>
      <c r="R1428" s="145"/>
      <c r="S1428" s="145"/>
      <c r="T1428" s="145"/>
      <c r="U1428" s="145"/>
      <c r="V1428" s="145"/>
      <c r="W1428" s="145"/>
      <c r="X1428" s="145"/>
      <c r="Y1428" s="145"/>
      <c r="Z1428" s="145"/>
      <c r="AA1428" s="145"/>
      <c r="AB1428" s="145"/>
      <c r="AC1428" s="145"/>
      <c r="AD1428" s="145"/>
      <c r="AE1428" s="145"/>
      <c r="AF1428" s="145"/>
      <c r="AG1428" s="145"/>
      <c r="AH1428" s="145"/>
      <c r="AI1428" s="145"/>
      <c r="AJ1428" s="145"/>
      <c r="AK1428" s="145"/>
      <c r="AL1428" s="145"/>
      <c r="AM1428" s="321"/>
      <c r="AN1428" s="321"/>
      <c r="AO1428" s="321"/>
      <c r="AP1428" s="321"/>
      <c r="AQ1428" s="321"/>
      <c r="AR1428" s="321"/>
      <c r="AS1428" s="321"/>
      <c r="AT1428" s="321"/>
    </row>
    <row r="1429" spans="10:46">
      <c r="J1429" s="145"/>
      <c r="K1429" s="145"/>
      <c r="L1429" s="145"/>
      <c r="M1429" s="145"/>
      <c r="N1429" s="145"/>
      <c r="O1429" s="145"/>
      <c r="P1429" s="145"/>
      <c r="Q1429" s="145"/>
      <c r="R1429" s="145"/>
      <c r="S1429" s="145"/>
      <c r="T1429" s="145"/>
      <c r="U1429" s="145"/>
      <c r="V1429" s="145"/>
      <c r="W1429" s="145"/>
      <c r="X1429" s="145"/>
      <c r="Y1429" s="145"/>
      <c r="Z1429" s="145"/>
      <c r="AA1429" s="145"/>
      <c r="AB1429" s="145"/>
      <c r="AC1429" s="145"/>
      <c r="AD1429" s="145"/>
      <c r="AE1429" s="145"/>
      <c r="AF1429" s="145"/>
      <c r="AG1429" s="145"/>
      <c r="AH1429" s="145"/>
      <c r="AI1429" s="145"/>
      <c r="AJ1429" s="145"/>
      <c r="AK1429" s="145"/>
      <c r="AL1429" s="145"/>
      <c r="AM1429" s="321"/>
      <c r="AN1429" s="321"/>
      <c r="AO1429" s="321"/>
      <c r="AP1429" s="321"/>
      <c r="AQ1429" s="321"/>
      <c r="AR1429" s="321"/>
      <c r="AS1429" s="321"/>
      <c r="AT1429" s="321"/>
    </row>
    <row r="1430" spans="10:46">
      <c r="J1430" s="145"/>
      <c r="K1430" s="145"/>
      <c r="L1430" s="145"/>
      <c r="M1430" s="145"/>
      <c r="N1430" s="145"/>
      <c r="O1430" s="145"/>
      <c r="P1430" s="145"/>
      <c r="Q1430" s="145"/>
      <c r="R1430" s="145"/>
      <c r="S1430" s="145"/>
      <c r="T1430" s="145"/>
      <c r="U1430" s="145"/>
      <c r="V1430" s="145"/>
      <c r="W1430" s="145"/>
      <c r="X1430" s="145"/>
      <c r="Y1430" s="145"/>
      <c r="Z1430" s="145"/>
      <c r="AA1430" s="145"/>
      <c r="AB1430" s="145"/>
      <c r="AC1430" s="145"/>
      <c r="AD1430" s="145"/>
      <c r="AE1430" s="145"/>
      <c r="AF1430" s="145"/>
      <c r="AG1430" s="145"/>
      <c r="AH1430" s="145"/>
      <c r="AI1430" s="145"/>
      <c r="AJ1430" s="145"/>
      <c r="AK1430" s="145"/>
      <c r="AL1430" s="145"/>
      <c r="AM1430" s="321"/>
      <c r="AN1430" s="321"/>
      <c r="AO1430" s="321"/>
      <c r="AP1430" s="321"/>
      <c r="AQ1430" s="321"/>
      <c r="AR1430" s="321"/>
      <c r="AS1430" s="321"/>
      <c r="AT1430" s="321"/>
    </row>
    <row r="1431" spans="10:46">
      <c r="J1431" s="145"/>
      <c r="K1431" s="145"/>
      <c r="L1431" s="145"/>
      <c r="M1431" s="145"/>
      <c r="N1431" s="145"/>
      <c r="O1431" s="145"/>
      <c r="P1431" s="145"/>
      <c r="Q1431" s="145"/>
      <c r="R1431" s="145"/>
      <c r="S1431" s="145"/>
      <c r="T1431" s="145"/>
      <c r="U1431" s="145"/>
      <c r="V1431" s="145"/>
      <c r="W1431" s="145"/>
      <c r="X1431" s="145"/>
      <c r="Y1431" s="145"/>
      <c r="Z1431" s="145"/>
      <c r="AA1431" s="145"/>
      <c r="AB1431" s="145"/>
      <c r="AC1431" s="145"/>
      <c r="AD1431" s="145"/>
      <c r="AE1431" s="145"/>
      <c r="AF1431" s="145"/>
      <c r="AG1431" s="145"/>
      <c r="AH1431" s="145"/>
      <c r="AI1431" s="145"/>
      <c r="AJ1431" s="145"/>
      <c r="AK1431" s="145"/>
      <c r="AL1431" s="145"/>
      <c r="AM1431" s="321"/>
      <c r="AN1431" s="321"/>
      <c r="AO1431" s="321"/>
      <c r="AP1431" s="321"/>
      <c r="AQ1431" s="321"/>
      <c r="AR1431" s="321"/>
      <c r="AS1431" s="321"/>
      <c r="AT1431" s="321"/>
    </row>
    <row r="1432" spans="10:46">
      <c r="J1432" s="145"/>
      <c r="K1432" s="145"/>
      <c r="L1432" s="145"/>
      <c r="M1432" s="145"/>
      <c r="N1432" s="145"/>
      <c r="O1432" s="145"/>
      <c r="P1432" s="145"/>
      <c r="Q1432" s="145"/>
      <c r="R1432" s="145"/>
      <c r="S1432" s="145"/>
      <c r="T1432" s="145"/>
      <c r="U1432" s="145"/>
      <c r="V1432" s="145"/>
      <c r="W1432" s="145"/>
      <c r="X1432" s="145"/>
      <c r="Y1432" s="145"/>
      <c r="Z1432" s="145"/>
      <c r="AA1432" s="145"/>
      <c r="AB1432" s="145"/>
      <c r="AC1432" s="145"/>
      <c r="AD1432" s="145"/>
      <c r="AE1432" s="145"/>
      <c r="AF1432" s="145"/>
      <c r="AG1432" s="145"/>
      <c r="AH1432" s="145"/>
      <c r="AI1432" s="145"/>
      <c r="AJ1432" s="145"/>
      <c r="AK1432" s="145"/>
      <c r="AL1432" s="145"/>
      <c r="AM1432" s="321"/>
      <c r="AN1432" s="321"/>
      <c r="AO1432" s="321"/>
      <c r="AP1432" s="321"/>
      <c r="AQ1432" s="321"/>
      <c r="AR1432" s="321"/>
      <c r="AS1432" s="321"/>
      <c r="AT1432" s="321"/>
    </row>
    <row r="1433" spans="10:46">
      <c r="J1433" s="145"/>
      <c r="K1433" s="145"/>
      <c r="L1433" s="145"/>
      <c r="M1433" s="145"/>
      <c r="N1433" s="145"/>
      <c r="O1433" s="145"/>
      <c r="P1433" s="145"/>
      <c r="Q1433" s="145"/>
      <c r="R1433" s="145"/>
      <c r="S1433" s="145"/>
      <c r="T1433" s="145"/>
      <c r="U1433" s="145"/>
      <c r="V1433" s="145"/>
      <c r="W1433" s="145"/>
      <c r="X1433" s="145"/>
      <c r="Y1433" s="145"/>
      <c r="Z1433" s="145"/>
      <c r="AA1433" s="145"/>
      <c r="AB1433" s="145"/>
      <c r="AC1433" s="145"/>
      <c r="AD1433" s="145"/>
      <c r="AE1433" s="145"/>
      <c r="AF1433" s="145"/>
      <c r="AG1433" s="145"/>
      <c r="AH1433" s="145"/>
      <c r="AI1433" s="145"/>
      <c r="AJ1433" s="145"/>
      <c r="AK1433" s="145"/>
      <c r="AL1433" s="145"/>
      <c r="AM1433" s="321"/>
      <c r="AN1433" s="321"/>
      <c r="AO1433" s="321"/>
      <c r="AP1433" s="321"/>
      <c r="AQ1433" s="321"/>
      <c r="AR1433" s="321"/>
      <c r="AS1433" s="321"/>
      <c r="AT1433" s="321"/>
    </row>
    <row r="1434" spans="10:46">
      <c r="J1434" s="145"/>
      <c r="K1434" s="145"/>
      <c r="L1434" s="145"/>
      <c r="M1434" s="145"/>
      <c r="N1434" s="145"/>
      <c r="O1434" s="145"/>
      <c r="P1434" s="145"/>
      <c r="Q1434" s="145"/>
      <c r="R1434" s="145"/>
      <c r="S1434" s="145"/>
      <c r="T1434" s="145"/>
      <c r="U1434" s="145"/>
      <c r="V1434" s="145"/>
      <c r="W1434" s="145"/>
      <c r="X1434" s="145"/>
      <c r="Y1434" s="145"/>
      <c r="Z1434" s="145"/>
      <c r="AA1434" s="145"/>
      <c r="AB1434" s="145"/>
      <c r="AC1434" s="145"/>
      <c r="AD1434" s="145"/>
      <c r="AE1434" s="145"/>
      <c r="AF1434" s="145"/>
      <c r="AG1434" s="145"/>
      <c r="AH1434" s="145"/>
      <c r="AI1434" s="145"/>
      <c r="AJ1434" s="145"/>
      <c r="AK1434" s="145"/>
      <c r="AL1434" s="145"/>
      <c r="AM1434" s="321"/>
      <c r="AN1434" s="321"/>
      <c r="AO1434" s="321"/>
      <c r="AP1434" s="321"/>
      <c r="AQ1434" s="321"/>
      <c r="AR1434" s="321"/>
      <c r="AS1434" s="321"/>
      <c r="AT1434" s="321"/>
    </row>
    <row r="1435" spans="10:46">
      <c r="J1435" s="145"/>
      <c r="K1435" s="145"/>
      <c r="L1435" s="145"/>
      <c r="M1435" s="145"/>
      <c r="N1435" s="145"/>
      <c r="O1435" s="145"/>
      <c r="P1435" s="145"/>
      <c r="Q1435" s="145"/>
      <c r="R1435" s="145"/>
      <c r="S1435" s="145"/>
      <c r="T1435" s="145"/>
      <c r="U1435" s="145"/>
      <c r="V1435" s="145"/>
      <c r="W1435" s="145"/>
      <c r="X1435" s="145"/>
      <c r="Y1435" s="145"/>
      <c r="Z1435" s="145"/>
      <c r="AA1435" s="145"/>
      <c r="AB1435" s="145"/>
      <c r="AC1435" s="145"/>
      <c r="AD1435" s="145"/>
      <c r="AE1435" s="145"/>
      <c r="AF1435" s="145"/>
      <c r="AG1435" s="145"/>
      <c r="AH1435" s="145"/>
      <c r="AI1435" s="145"/>
      <c r="AJ1435" s="145"/>
      <c r="AK1435" s="145"/>
      <c r="AL1435" s="145"/>
      <c r="AM1435" s="321"/>
      <c r="AN1435" s="321"/>
      <c r="AO1435" s="321"/>
      <c r="AP1435" s="321"/>
      <c r="AQ1435" s="321"/>
      <c r="AR1435" s="321"/>
      <c r="AS1435" s="321"/>
      <c r="AT1435" s="321"/>
    </row>
    <row r="1436" spans="10:46">
      <c r="J1436" s="145"/>
      <c r="K1436" s="145"/>
      <c r="L1436" s="145"/>
      <c r="M1436" s="145"/>
      <c r="N1436" s="145"/>
      <c r="O1436" s="145"/>
      <c r="P1436" s="145"/>
      <c r="Q1436" s="145"/>
      <c r="R1436" s="145"/>
      <c r="S1436" s="145"/>
      <c r="T1436" s="145"/>
      <c r="U1436" s="145"/>
      <c r="V1436" s="145"/>
      <c r="W1436" s="145"/>
      <c r="X1436" s="145"/>
      <c r="Y1436" s="145"/>
      <c r="Z1436" s="145"/>
      <c r="AA1436" s="145"/>
      <c r="AB1436" s="145"/>
      <c r="AC1436" s="145"/>
      <c r="AD1436" s="145"/>
      <c r="AE1436" s="145"/>
      <c r="AF1436" s="145"/>
      <c r="AG1436" s="145"/>
      <c r="AH1436" s="145"/>
      <c r="AI1436" s="145"/>
      <c r="AJ1436" s="145"/>
      <c r="AK1436" s="145"/>
      <c r="AL1436" s="145"/>
      <c r="AM1436" s="321"/>
      <c r="AN1436" s="321"/>
      <c r="AO1436" s="321"/>
      <c r="AP1436" s="321"/>
      <c r="AQ1436" s="321"/>
      <c r="AR1436" s="321"/>
      <c r="AS1436" s="321"/>
      <c r="AT1436" s="321"/>
    </row>
    <row r="1437" spans="10:46">
      <c r="J1437" s="145"/>
      <c r="K1437" s="145"/>
      <c r="L1437" s="145"/>
      <c r="M1437" s="145"/>
      <c r="N1437" s="145"/>
      <c r="O1437" s="145"/>
      <c r="P1437" s="145"/>
      <c r="Q1437" s="145"/>
      <c r="R1437" s="145"/>
      <c r="S1437" s="145"/>
      <c r="T1437" s="145"/>
      <c r="U1437" s="145"/>
      <c r="V1437" s="145"/>
      <c r="W1437" s="145"/>
      <c r="X1437" s="145"/>
      <c r="Y1437" s="145"/>
      <c r="Z1437" s="145"/>
      <c r="AA1437" s="145"/>
      <c r="AB1437" s="145"/>
      <c r="AC1437" s="145"/>
      <c r="AD1437" s="145"/>
      <c r="AE1437" s="145"/>
      <c r="AF1437" s="145"/>
      <c r="AG1437" s="145"/>
      <c r="AH1437" s="145"/>
      <c r="AI1437" s="145"/>
      <c r="AJ1437" s="145"/>
      <c r="AK1437" s="145"/>
      <c r="AL1437" s="145"/>
      <c r="AM1437" s="321"/>
      <c r="AN1437" s="321"/>
      <c r="AO1437" s="321"/>
      <c r="AP1437" s="321"/>
      <c r="AQ1437" s="321"/>
      <c r="AR1437" s="321"/>
      <c r="AS1437" s="321"/>
      <c r="AT1437" s="321"/>
    </row>
    <row r="1438" spans="10:46">
      <c r="J1438" s="145"/>
      <c r="K1438" s="145"/>
      <c r="L1438" s="145"/>
      <c r="M1438" s="145"/>
      <c r="N1438" s="145"/>
      <c r="O1438" s="145"/>
      <c r="P1438" s="145"/>
      <c r="Q1438" s="145"/>
      <c r="R1438" s="145"/>
      <c r="S1438" s="145"/>
      <c r="T1438" s="145"/>
      <c r="U1438" s="145"/>
      <c r="V1438" s="145"/>
      <c r="W1438" s="145"/>
      <c r="X1438" s="145"/>
      <c r="Y1438" s="145"/>
      <c r="Z1438" s="145"/>
      <c r="AA1438" s="145"/>
      <c r="AB1438" s="145"/>
      <c r="AC1438" s="145"/>
      <c r="AD1438" s="145"/>
      <c r="AE1438" s="145"/>
      <c r="AF1438" s="145"/>
      <c r="AG1438" s="145"/>
      <c r="AH1438" s="145"/>
      <c r="AI1438" s="145"/>
      <c r="AJ1438" s="145"/>
      <c r="AK1438" s="145"/>
      <c r="AL1438" s="145"/>
      <c r="AM1438" s="321"/>
      <c r="AN1438" s="321"/>
      <c r="AO1438" s="321"/>
      <c r="AP1438" s="321"/>
      <c r="AQ1438" s="321"/>
      <c r="AR1438" s="321"/>
      <c r="AS1438" s="321"/>
      <c r="AT1438" s="321"/>
    </row>
    <row r="1439" spans="10:46">
      <c r="J1439" s="145"/>
      <c r="K1439" s="145"/>
      <c r="L1439" s="145"/>
      <c r="M1439" s="145"/>
      <c r="N1439" s="145"/>
      <c r="O1439" s="145"/>
      <c r="P1439" s="145"/>
      <c r="Q1439" s="145"/>
      <c r="R1439" s="145"/>
      <c r="S1439" s="145"/>
      <c r="T1439" s="145"/>
      <c r="U1439" s="145"/>
      <c r="V1439" s="145"/>
      <c r="W1439" s="145"/>
      <c r="X1439" s="145"/>
      <c r="Y1439" s="145"/>
      <c r="Z1439" s="145"/>
      <c r="AA1439" s="145"/>
      <c r="AB1439" s="145"/>
      <c r="AC1439" s="145"/>
      <c r="AD1439" s="145"/>
      <c r="AE1439" s="145"/>
      <c r="AF1439" s="145"/>
      <c r="AG1439" s="145"/>
      <c r="AH1439" s="145"/>
      <c r="AI1439" s="145"/>
      <c r="AJ1439" s="145"/>
      <c r="AK1439" s="145"/>
      <c r="AL1439" s="145"/>
      <c r="AM1439" s="321"/>
      <c r="AN1439" s="321"/>
      <c r="AO1439" s="321"/>
      <c r="AP1439" s="321"/>
      <c r="AQ1439" s="321"/>
      <c r="AR1439" s="321"/>
      <c r="AS1439" s="321"/>
      <c r="AT1439" s="321"/>
    </row>
    <row r="1440" spans="10:46">
      <c r="J1440" s="145"/>
      <c r="K1440" s="145"/>
      <c r="L1440" s="145"/>
      <c r="M1440" s="145"/>
      <c r="N1440" s="145"/>
      <c r="O1440" s="145"/>
      <c r="P1440" s="145"/>
      <c r="Q1440" s="145"/>
      <c r="R1440" s="145"/>
      <c r="S1440" s="145"/>
      <c r="T1440" s="145"/>
      <c r="U1440" s="145"/>
      <c r="V1440" s="145"/>
      <c r="W1440" s="145"/>
      <c r="X1440" s="145"/>
      <c r="Y1440" s="145"/>
      <c r="Z1440" s="145"/>
      <c r="AA1440" s="145"/>
      <c r="AB1440" s="145"/>
      <c r="AC1440" s="145"/>
      <c r="AD1440" s="145"/>
      <c r="AE1440" s="145"/>
      <c r="AF1440" s="145"/>
      <c r="AG1440" s="145"/>
      <c r="AH1440" s="145"/>
      <c r="AI1440" s="145"/>
      <c r="AJ1440" s="145"/>
      <c r="AK1440" s="145"/>
      <c r="AL1440" s="145"/>
      <c r="AM1440" s="321"/>
      <c r="AN1440" s="321"/>
      <c r="AO1440" s="321"/>
      <c r="AP1440" s="321"/>
      <c r="AQ1440" s="321"/>
      <c r="AR1440" s="321"/>
      <c r="AS1440" s="321"/>
      <c r="AT1440" s="321"/>
    </row>
    <row r="1441" spans="10:46">
      <c r="J1441" s="145"/>
      <c r="K1441" s="145"/>
      <c r="L1441" s="145"/>
      <c r="M1441" s="145"/>
      <c r="N1441" s="145"/>
      <c r="O1441" s="145"/>
      <c r="P1441" s="145"/>
      <c r="Q1441" s="145"/>
      <c r="R1441" s="145"/>
      <c r="S1441" s="145"/>
      <c r="T1441" s="145"/>
      <c r="U1441" s="145"/>
      <c r="V1441" s="145"/>
      <c r="W1441" s="145"/>
      <c r="X1441" s="145"/>
      <c r="Y1441" s="145"/>
      <c r="Z1441" s="145"/>
      <c r="AA1441" s="145"/>
      <c r="AB1441" s="145"/>
      <c r="AC1441" s="145"/>
      <c r="AD1441" s="145"/>
      <c r="AE1441" s="145"/>
      <c r="AF1441" s="145"/>
      <c r="AG1441" s="145"/>
      <c r="AH1441" s="145"/>
      <c r="AI1441" s="145"/>
      <c r="AJ1441" s="145"/>
      <c r="AK1441" s="145"/>
      <c r="AL1441" s="145"/>
      <c r="AM1441" s="321"/>
      <c r="AN1441" s="321"/>
      <c r="AO1441" s="321"/>
      <c r="AP1441" s="321"/>
      <c r="AQ1441" s="321"/>
      <c r="AR1441" s="321"/>
      <c r="AS1441" s="321"/>
      <c r="AT1441" s="321"/>
    </row>
    <row r="1442" spans="10:46">
      <c r="J1442" s="145"/>
      <c r="K1442" s="145"/>
      <c r="L1442" s="145"/>
      <c r="M1442" s="145"/>
      <c r="N1442" s="145"/>
      <c r="O1442" s="145"/>
      <c r="P1442" s="145"/>
      <c r="Q1442" s="145"/>
      <c r="R1442" s="145"/>
      <c r="S1442" s="145"/>
      <c r="T1442" s="145"/>
      <c r="U1442" s="145"/>
      <c r="V1442" s="145"/>
      <c r="W1442" s="145"/>
      <c r="X1442" s="145"/>
      <c r="Y1442" s="145"/>
      <c r="Z1442" s="145"/>
      <c r="AA1442" s="145"/>
      <c r="AB1442" s="145"/>
      <c r="AC1442" s="145"/>
      <c r="AD1442" s="145"/>
      <c r="AE1442" s="145"/>
      <c r="AF1442" s="145"/>
      <c r="AG1442" s="145"/>
      <c r="AH1442" s="145"/>
      <c r="AI1442" s="145"/>
      <c r="AJ1442" s="145"/>
      <c r="AK1442" s="145"/>
      <c r="AL1442" s="145"/>
      <c r="AM1442" s="321"/>
      <c r="AN1442" s="321"/>
      <c r="AO1442" s="321"/>
      <c r="AP1442" s="321"/>
      <c r="AQ1442" s="321"/>
      <c r="AR1442" s="321"/>
      <c r="AS1442" s="321"/>
      <c r="AT1442" s="321"/>
    </row>
    <row r="1443" spans="10:46">
      <c r="J1443" s="145"/>
      <c r="K1443" s="145"/>
      <c r="L1443" s="145"/>
      <c r="M1443" s="145"/>
      <c r="N1443" s="145"/>
      <c r="O1443" s="145"/>
      <c r="P1443" s="145"/>
      <c r="Q1443" s="145"/>
      <c r="R1443" s="145"/>
      <c r="S1443" s="145"/>
      <c r="T1443" s="145"/>
      <c r="U1443" s="145"/>
      <c r="V1443" s="145"/>
      <c r="W1443" s="145"/>
      <c r="X1443" s="145"/>
      <c r="Y1443" s="145"/>
      <c r="Z1443" s="145"/>
      <c r="AA1443" s="145"/>
      <c r="AB1443" s="145"/>
      <c r="AC1443" s="145"/>
      <c r="AD1443" s="145"/>
      <c r="AE1443" s="145"/>
      <c r="AF1443" s="145"/>
      <c r="AG1443" s="145"/>
      <c r="AH1443" s="145"/>
      <c r="AI1443" s="145"/>
      <c r="AJ1443" s="145"/>
      <c r="AK1443" s="145"/>
      <c r="AL1443" s="145"/>
      <c r="AM1443" s="321"/>
      <c r="AN1443" s="321"/>
      <c r="AO1443" s="321"/>
      <c r="AP1443" s="321"/>
      <c r="AQ1443" s="321"/>
      <c r="AR1443" s="321"/>
      <c r="AS1443" s="321"/>
      <c r="AT1443" s="321"/>
    </row>
    <row r="1444" spans="10:46">
      <c r="J1444" s="145"/>
      <c r="K1444" s="145"/>
      <c r="L1444" s="145"/>
      <c r="M1444" s="145"/>
      <c r="N1444" s="145"/>
      <c r="O1444" s="145"/>
      <c r="P1444" s="145"/>
      <c r="Q1444" s="145"/>
      <c r="R1444" s="145"/>
      <c r="S1444" s="145"/>
      <c r="T1444" s="145"/>
      <c r="U1444" s="145"/>
      <c r="V1444" s="145"/>
      <c r="W1444" s="145"/>
      <c r="X1444" s="145"/>
      <c r="Y1444" s="145"/>
      <c r="Z1444" s="145"/>
      <c r="AA1444" s="145"/>
      <c r="AB1444" s="145"/>
      <c r="AC1444" s="145"/>
      <c r="AD1444" s="145"/>
      <c r="AE1444" s="145"/>
      <c r="AF1444" s="145"/>
      <c r="AG1444" s="145"/>
      <c r="AH1444" s="145"/>
      <c r="AI1444" s="145"/>
      <c r="AJ1444" s="145"/>
      <c r="AK1444" s="145"/>
      <c r="AL1444" s="145"/>
      <c r="AM1444" s="321"/>
      <c r="AN1444" s="321"/>
      <c r="AO1444" s="321"/>
      <c r="AP1444" s="321"/>
      <c r="AQ1444" s="321"/>
      <c r="AR1444" s="321"/>
      <c r="AS1444" s="321"/>
      <c r="AT1444" s="321"/>
    </row>
    <row r="1445" spans="10:46">
      <c r="J1445" s="145"/>
      <c r="K1445" s="145"/>
      <c r="L1445" s="145"/>
      <c r="M1445" s="145"/>
      <c r="N1445" s="145"/>
      <c r="O1445" s="145"/>
      <c r="P1445" s="145"/>
      <c r="Q1445" s="145"/>
      <c r="R1445" s="145"/>
      <c r="S1445" s="145"/>
      <c r="T1445" s="145"/>
      <c r="U1445" s="145"/>
      <c r="V1445" s="145"/>
      <c r="W1445" s="145"/>
      <c r="X1445" s="145"/>
      <c r="Y1445" s="145"/>
      <c r="Z1445" s="145"/>
      <c r="AA1445" s="145"/>
      <c r="AB1445" s="145"/>
      <c r="AC1445" s="145"/>
      <c r="AD1445" s="145"/>
      <c r="AE1445" s="145"/>
      <c r="AF1445" s="145"/>
      <c r="AG1445" s="145"/>
      <c r="AH1445" s="145"/>
      <c r="AI1445" s="145"/>
      <c r="AJ1445" s="145"/>
      <c r="AK1445" s="145"/>
      <c r="AL1445" s="145"/>
      <c r="AM1445" s="321"/>
      <c r="AN1445" s="321"/>
      <c r="AO1445" s="321"/>
      <c r="AP1445" s="321"/>
      <c r="AQ1445" s="321"/>
      <c r="AR1445" s="321"/>
      <c r="AS1445" s="321"/>
      <c r="AT1445" s="321"/>
    </row>
    <row r="1446" spans="10:46">
      <c r="J1446" s="145"/>
      <c r="K1446" s="145"/>
      <c r="L1446" s="145"/>
      <c r="M1446" s="145"/>
      <c r="N1446" s="145"/>
      <c r="O1446" s="145"/>
      <c r="P1446" s="145"/>
      <c r="Q1446" s="145"/>
      <c r="R1446" s="145"/>
      <c r="S1446" s="145"/>
      <c r="T1446" s="145"/>
      <c r="U1446" s="145"/>
      <c r="V1446" s="145"/>
      <c r="W1446" s="145"/>
      <c r="X1446" s="145"/>
      <c r="Y1446" s="145"/>
      <c r="Z1446" s="145"/>
      <c r="AA1446" s="145"/>
      <c r="AB1446" s="145"/>
      <c r="AC1446" s="145"/>
      <c r="AD1446" s="145"/>
      <c r="AE1446" s="145"/>
      <c r="AF1446" s="145"/>
      <c r="AG1446" s="145"/>
      <c r="AH1446" s="145"/>
      <c r="AI1446" s="145"/>
      <c r="AJ1446" s="145"/>
      <c r="AK1446" s="145"/>
      <c r="AL1446" s="145"/>
      <c r="AM1446" s="321"/>
      <c r="AN1446" s="321"/>
      <c r="AO1446" s="321"/>
      <c r="AP1446" s="321"/>
      <c r="AQ1446" s="321"/>
      <c r="AR1446" s="321"/>
      <c r="AS1446" s="321"/>
      <c r="AT1446" s="321"/>
    </row>
    <row r="1447" spans="10:46">
      <c r="J1447" s="145"/>
      <c r="K1447" s="145"/>
      <c r="L1447" s="145"/>
      <c r="M1447" s="145"/>
      <c r="N1447" s="145"/>
      <c r="O1447" s="145"/>
      <c r="P1447" s="145"/>
      <c r="Q1447" s="145"/>
      <c r="R1447" s="145"/>
      <c r="S1447" s="145"/>
      <c r="T1447" s="145"/>
      <c r="U1447" s="145"/>
      <c r="V1447" s="145"/>
      <c r="W1447" s="145"/>
      <c r="X1447" s="145"/>
      <c r="Y1447" s="145"/>
      <c r="Z1447" s="145"/>
      <c r="AA1447" s="145"/>
      <c r="AB1447" s="145"/>
      <c r="AC1447" s="145"/>
      <c r="AD1447" s="145"/>
      <c r="AE1447" s="145"/>
      <c r="AF1447" s="145"/>
      <c r="AG1447" s="145"/>
      <c r="AH1447" s="145"/>
      <c r="AI1447" s="145"/>
      <c r="AJ1447" s="145"/>
      <c r="AK1447" s="145"/>
      <c r="AL1447" s="145"/>
      <c r="AM1447" s="321"/>
      <c r="AN1447" s="321"/>
      <c r="AO1447" s="321"/>
      <c r="AP1447" s="321"/>
      <c r="AQ1447" s="321"/>
      <c r="AR1447" s="321"/>
      <c r="AS1447" s="321"/>
      <c r="AT1447" s="321"/>
    </row>
    <row r="1448" spans="10:46">
      <c r="J1448" s="145"/>
      <c r="K1448" s="145"/>
      <c r="L1448" s="145"/>
      <c r="M1448" s="145"/>
      <c r="N1448" s="145"/>
      <c r="O1448" s="145"/>
      <c r="P1448" s="145"/>
      <c r="Q1448" s="145"/>
      <c r="R1448" s="145"/>
      <c r="S1448" s="145"/>
      <c r="T1448" s="145"/>
      <c r="U1448" s="145"/>
      <c r="V1448" s="145"/>
      <c r="W1448" s="145"/>
      <c r="X1448" s="145"/>
      <c r="Y1448" s="145"/>
      <c r="Z1448" s="145"/>
      <c r="AA1448" s="145"/>
      <c r="AB1448" s="145"/>
      <c r="AC1448" s="145"/>
      <c r="AD1448" s="145"/>
      <c r="AE1448" s="145"/>
      <c r="AF1448" s="145"/>
      <c r="AG1448" s="145"/>
      <c r="AH1448" s="145"/>
      <c r="AI1448" s="145"/>
      <c r="AJ1448" s="145"/>
      <c r="AK1448" s="145"/>
      <c r="AL1448" s="145"/>
      <c r="AM1448" s="321"/>
      <c r="AN1448" s="321"/>
      <c r="AO1448" s="321"/>
      <c r="AP1448" s="321"/>
      <c r="AQ1448" s="321"/>
      <c r="AR1448" s="321"/>
      <c r="AS1448" s="321"/>
      <c r="AT1448" s="321"/>
    </row>
    <row r="1449" spans="10:46">
      <c r="J1449" s="145"/>
      <c r="K1449" s="145"/>
      <c r="L1449" s="145"/>
      <c r="M1449" s="145"/>
      <c r="N1449" s="145"/>
      <c r="O1449" s="145"/>
      <c r="P1449" s="145"/>
      <c r="Q1449" s="145"/>
      <c r="R1449" s="145"/>
      <c r="S1449" s="145"/>
      <c r="T1449" s="145"/>
      <c r="U1449" s="145"/>
      <c r="V1449" s="145"/>
      <c r="W1449" s="145"/>
      <c r="X1449" s="145"/>
      <c r="Y1449" s="145"/>
      <c r="Z1449" s="145"/>
      <c r="AA1449" s="145"/>
      <c r="AB1449" s="145"/>
      <c r="AC1449" s="145"/>
      <c r="AD1449" s="145"/>
      <c r="AE1449" s="145"/>
      <c r="AF1449" s="145"/>
      <c r="AG1449" s="145"/>
      <c r="AH1449" s="145"/>
      <c r="AI1449" s="145"/>
      <c r="AJ1449" s="145"/>
      <c r="AK1449" s="145"/>
      <c r="AL1449" s="145"/>
      <c r="AM1449" s="321"/>
      <c r="AN1449" s="321"/>
      <c r="AO1449" s="321"/>
      <c r="AP1449" s="321"/>
      <c r="AQ1449" s="321"/>
      <c r="AR1449" s="321"/>
      <c r="AS1449" s="321"/>
      <c r="AT1449" s="321"/>
    </row>
    <row r="1450" spans="10:46">
      <c r="J1450" s="145"/>
      <c r="K1450" s="145"/>
      <c r="L1450" s="145"/>
      <c r="M1450" s="145"/>
      <c r="N1450" s="145"/>
      <c r="O1450" s="145"/>
      <c r="P1450" s="145"/>
      <c r="Q1450" s="145"/>
      <c r="R1450" s="145"/>
      <c r="S1450" s="145"/>
      <c r="T1450" s="145"/>
      <c r="U1450" s="145"/>
      <c r="V1450" s="145"/>
      <c r="W1450" s="145"/>
      <c r="X1450" s="145"/>
      <c r="Y1450" s="145"/>
      <c r="Z1450" s="145"/>
      <c r="AA1450" s="145"/>
      <c r="AB1450" s="145"/>
      <c r="AC1450" s="145"/>
      <c r="AD1450" s="145"/>
      <c r="AE1450" s="145"/>
      <c r="AF1450" s="145"/>
      <c r="AG1450" s="145"/>
      <c r="AH1450" s="145"/>
      <c r="AI1450" s="145"/>
      <c r="AJ1450" s="145"/>
      <c r="AK1450" s="145"/>
      <c r="AL1450" s="145"/>
      <c r="AM1450" s="321"/>
      <c r="AN1450" s="321"/>
      <c r="AO1450" s="321"/>
      <c r="AP1450" s="321"/>
      <c r="AQ1450" s="321"/>
      <c r="AR1450" s="321"/>
      <c r="AS1450" s="321"/>
      <c r="AT1450" s="321"/>
    </row>
    <row r="1451" spans="10:46">
      <c r="J1451" s="145"/>
      <c r="K1451" s="145"/>
      <c r="L1451" s="145"/>
      <c r="M1451" s="145"/>
      <c r="N1451" s="145"/>
      <c r="O1451" s="145"/>
      <c r="P1451" s="145"/>
      <c r="Q1451" s="145"/>
      <c r="R1451" s="145"/>
      <c r="S1451" s="145"/>
      <c r="T1451" s="145"/>
      <c r="U1451" s="145"/>
      <c r="V1451" s="145"/>
      <c r="W1451" s="145"/>
      <c r="X1451" s="145"/>
      <c r="Y1451" s="145"/>
      <c r="Z1451" s="145"/>
      <c r="AA1451" s="145"/>
      <c r="AB1451" s="145"/>
      <c r="AC1451" s="145"/>
      <c r="AD1451" s="145"/>
      <c r="AE1451" s="145"/>
      <c r="AF1451" s="145"/>
      <c r="AG1451" s="145"/>
      <c r="AH1451" s="145"/>
      <c r="AI1451" s="145"/>
      <c r="AJ1451" s="145"/>
      <c r="AK1451" s="145"/>
      <c r="AL1451" s="145"/>
      <c r="AM1451" s="321"/>
      <c r="AN1451" s="321"/>
      <c r="AO1451" s="321"/>
      <c r="AP1451" s="321"/>
      <c r="AQ1451" s="321"/>
      <c r="AR1451" s="321"/>
      <c r="AS1451" s="321"/>
      <c r="AT1451" s="321"/>
    </row>
    <row r="1452" spans="10:46">
      <c r="J1452" s="145"/>
      <c r="K1452" s="145"/>
      <c r="L1452" s="145"/>
      <c r="M1452" s="145"/>
      <c r="N1452" s="145"/>
      <c r="O1452" s="145"/>
      <c r="P1452" s="145"/>
      <c r="Q1452" s="145"/>
      <c r="R1452" s="145"/>
      <c r="S1452" s="145"/>
      <c r="T1452" s="145"/>
      <c r="U1452" s="145"/>
      <c r="V1452" s="145"/>
      <c r="W1452" s="145"/>
      <c r="X1452" s="145"/>
      <c r="Y1452" s="145"/>
      <c r="Z1452" s="145"/>
      <c r="AA1452" s="145"/>
      <c r="AB1452" s="145"/>
      <c r="AC1452" s="145"/>
      <c r="AD1452" s="145"/>
      <c r="AE1452" s="145"/>
      <c r="AF1452" s="145"/>
      <c r="AG1452" s="145"/>
      <c r="AH1452" s="145"/>
      <c r="AI1452" s="145"/>
      <c r="AJ1452" s="145"/>
      <c r="AK1452" s="145"/>
      <c r="AL1452" s="145"/>
      <c r="AM1452" s="321"/>
      <c r="AN1452" s="321"/>
      <c r="AO1452" s="321"/>
      <c r="AP1452" s="321"/>
      <c r="AQ1452" s="321"/>
      <c r="AR1452" s="321"/>
      <c r="AS1452" s="321"/>
      <c r="AT1452" s="321"/>
    </row>
    <row r="1453" spans="10:46">
      <c r="J1453" s="145"/>
      <c r="K1453" s="145"/>
      <c r="L1453" s="145"/>
      <c r="M1453" s="145"/>
      <c r="N1453" s="145"/>
      <c r="O1453" s="145"/>
      <c r="P1453" s="145"/>
      <c r="Q1453" s="145"/>
      <c r="R1453" s="145"/>
      <c r="S1453" s="145"/>
      <c r="T1453" s="145"/>
      <c r="U1453" s="145"/>
      <c r="V1453" s="145"/>
      <c r="W1453" s="145"/>
      <c r="X1453" s="145"/>
      <c r="Y1453" s="145"/>
      <c r="Z1453" s="145"/>
      <c r="AA1453" s="145"/>
      <c r="AB1453" s="145"/>
      <c r="AC1453" s="145"/>
      <c r="AD1453" s="145"/>
      <c r="AE1453" s="145"/>
      <c r="AF1453" s="145"/>
      <c r="AG1453" s="145"/>
      <c r="AH1453" s="145"/>
      <c r="AI1453" s="145"/>
      <c r="AJ1453" s="145"/>
      <c r="AK1453" s="145"/>
      <c r="AL1453" s="145"/>
      <c r="AM1453" s="321"/>
      <c r="AN1453" s="321"/>
      <c r="AO1453" s="321"/>
      <c r="AP1453" s="321"/>
      <c r="AQ1453" s="321"/>
      <c r="AR1453" s="321"/>
      <c r="AS1453" s="321"/>
      <c r="AT1453" s="321"/>
    </row>
    <row r="1454" spans="10:46">
      <c r="J1454" s="145"/>
      <c r="K1454" s="145"/>
      <c r="L1454" s="145"/>
      <c r="M1454" s="145"/>
      <c r="N1454" s="145"/>
      <c r="O1454" s="145"/>
      <c r="P1454" s="145"/>
      <c r="Q1454" s="145"/>
      <c r="R1454" s="145"/>
      <c r="S1454" s="145"/>
      <c r="T1454" s="145"/>
      <c r="U1454" s="145"/>
      <c r="V1454" s="145"/>
      <c r="W1454" s="145"/>
      <c r="X1454" s="145"/>
      <c r="Y1454" s="145"/>
      <c r="Z1454" s="145"/>
      <c r="AA1454" s="145"/>
      <c r="AB1454" s="145"/>
      <c r="AC1454" s="145"/>
      <c r="AD1454" s="145"/>
      <c r="AE1454" s="145"/>
      <c r="AF1454" s="145"/>
      <c r="AG1454" s="145"/>
      <c r="AH1454" s="145"/>
      <c r="AI1454" s="145"/>
      <c r="AJ1454" s="145"/>
      <c r="AK1454" s="145"/>
      <c r="AL1454" s="145"/>
      <c r="AM1454" s="321"/>
      <c r="AN1454" s="321"/>
      <c r="AO1454" s="321"/>
      <c r="AP1454" s="321"/>
      <c r="AQ1454" s="321"/>
      <c r="AR1454" s="321"/>
      <c r="AS1454" s="321"/>
      <c r="AT1454" s="321"/>
    </row>
    <row r="1455" spans="10:46">
      <c r="J1455" s="145"/>
      <c r="K1455" s="145"/>
      <c r="L1455" s="145"/>
      <c r="M1455" s="145"/>
      <c r="N1455" s="145"/>
      <c r="O1455" s="145"/>
      <c r="P1455" s="145"/>
      <c r="Q1455" s="145"/>
      <c r="R1455" s="145"/>
      <c r="S1455" s="145"/>
      <c r="T1455" s="145"/>
      <c r="U1455" s="145"/>
      <c r="V1455" s="145"/>
      <c r="W1455" s="145"/>
      <c r="X1455" s="145"/>
      <c r="Y1455" s="145"/>
      <c r="Z1455" s="145"/>
      <c r="AA1455" s="145"/>
      <c r="AB1455" s="145"/>
      <c r="AC1455" s="145"/>
      <c r="AD1455" s="145"/>
      <c r="AE1455" s="145"/>
      <c r="AF1455" s="145"/>
      <c r="AG1455" s="145"/>
      <c r="AH1455" s="145"/>
      <c r="AI1455" s="145"/>
      <c r="AJ1455" s="145"/>
      <c r="AK1455" s="145"/>
      <c r="AL1455" s="145"/>
      <c r="AM1455" s="321"/>
      <c r="AN1455" s="321"/>
      <c r="AO1455" s="321"/>
      <c r="AP1455" s="321"/>
      <c r="AQ1455" s="321"/>
      <c r="AR1455" s="321"/>
      <c r="AS1455" s="321"/>
      <c r="AT1455" s="321"/>
    </row>
    <row r="1456" spans="10:46">
      <c r="J1456" s="145"/>
      <c r="K1456" s="145"/>
      <c r="L1456" s="145"/>
      <c r="M1456" s="145"/>
      <c r="N1456" s="145"/>
      <c r="O1456" s="145"/>
      <c r="P1456" s="145"/>
      <c r="Q1456" s="145"/>
      <c r="R1456" s="145"/>
      <c r="S1456" s="145"/>
      <c r="T1456" s="145"/>
      <c r="U1456" s="145"/>
      <c r="V1456" s="145"/>
      <c r="W1456" s="145"/>
      <c r="X1456" s="145"/>
      <c r="Y1456" s="145"/>
      <c r="Z1456" s="145"/>
      <c r="AA1456" s="145"/>
      <c r="AB1456" s="145"/>
      <c r="AC1456" s="145"/>
      <c r="AD1456" s="145"/>
      <c r="AE1456" s="145"/>
      <c r="AF1456" s="145"/>
      <c r="AG1456" s="145"/>
      <c r="AH1456" s="145"/>
      <c r="AI1456" s="145"/>
      <c r="AJ1456" s="145"/>
      <c r="AK1456" s="145"/>
      <c r="AL1456" s="145"/>
      <c r="AM1456" s="321"/>
      <c r="AN1456" s="321"/>
      <c r="AO1456" s="321"/>
      <c r="AP1456" s="321"/>
      <c r="AQ1456" s="321"/>
      <c r="AR1456" s="321"/>
      <c r="AS1456" s="321"/>
      <c r="AT1456" s="321"/>
    </row>
    <row r="1457" spans="10:46">
      <c r="J1457" s="145"/>
      <c r="K1457" s="145"/>
      <c r="L1457" s="145"/>
      <c r="M1457" s="145"/>
      <c r="N1457" s="145"/>
      <c r="O1457" s="145"/>
      <c r="P1457" s="145"/>
      <c r="Q1457" s="145"/>
      <c r="R1457" s="145"/>
      <c r="S1457" s="145"/>
      <c r="T1457" s="145"/>
      <c r="U1457" s="145"/>
      <c r="V1457" s="145"/>
      <c r="W1457" s="145"/>
      <c r="X1457" s="145"/>
      <c r="Y1457" s="145"/>
      <c r="Z1457" s="145"/>
      <c r="AA1457" s="145"/>
      <c r="AB1457" s="145"/>
      <c r="AC1457" s="145"/>
      <c r="AD1457" s="145"/>
      <c r="AE1457" s="145"/>
      <c r="AF1457" s="145"/>
      <c r="AG1457" s="145"/>
      <c r="AH1457" s="145"/>
      <c r="AI1457" s="145"/>
      <c r="AJ1457" s="145"/>
      <c r="AK1457" s="145"/>
      <c r="AL1457" s="145"/>
      <c r="AM1457" s="321"/>
      <c r="AN1457" s="321"/>
      <c r="AO1457" s="321"/>
      <c r="AP1457" s="321"/>
      <c r="AQ1457" s="321"/>
      <c r="AR1457" s="321"/>
      <c r="AS1457" s="321"/>
      <c r="AT1457" s="321"/>
    </row>
    <row r="1458" spans="10:46">
      <c r="J1458" s="145"/>
      <c r="K1458" s="145"/>
      <c r="L1458" s="145"/>
      <c r="M1458" s="145"/>
      <c r="N1458" s="145"/>
      <c r="O1458" s="145"/>
      <c r="P1458" s="145"/>
      <c r="Q1458" s="145"/>
      <c r="R1458" s="145"/>
      <c r="S1458" s="145"/>
      <c r="T1458" s="145"/>
      <c r="U1458" s="145"/>
      <c r="V1458" s="145"/>
      <c r="W1458" s="145"/>
      <c r="X1458" s="145"/>
      <c r="Y1458" s="145"/>
      <c r="Z1458" s="145"/>
      <c r="AA1458" s="145"/>
      <c r="AB1458" s="145"/>
      <c r="AC1458" s="145"/>
      <c r="AD1458" s="145"/>
      <c r="AE1458" s="145"/>
      <c r="AF1458" s="145"/>
      <c r="AG1458" s="145"/>
      <c r="AH1458" s="145"/>
      <c r="AI1458" s="145"/>
      <c r="AJ1458" s="145"/>
      <c r="AK1458" s="145"/>
      <c r="AL1458" s="145"/>
      <c r="AM1458" s="321"/>
      <c r="AN1458" s="321"/>
      <c r="AO1458" s="321"/>
      <c r="AP1458" s="321"/>
      <c r="AQ1458" s="321"/>
      <c r="AR1458" s="321"/>
      <c r="AS1458" s="321"/>
      <c r="AT1458" s="321"/>
    </row>
    <row r="1459" spans="10:46">
      <c r="J1459" s="145"/>
      <c r="K1459" s="145"/>
      <c r="L1459" s="145"/>
      <c r="M1459" s="145"/>
      <c r="N1459" s="145"/>
      <c r="O1459" s="145"/>
      <c r="P1459" s="145"/>
      <c r="Q1459" s="145"/>
      <c r="R1459" s="145"/>
      <c r="S1459" s="145"/>
      <c r="T1459" s="145"/>
      <c r="U1459" s="145"/>
      <c r="V1459" s="145"/>
      <c r="W1459" s="145"/>
      <c r="X1459" s="145"/>
      <c r="Y1459" s="145"/>
      <c r="Z1459" s="145"/>
      <c r="AA1459" s="145"/>
      <c r="AB1459" s="145"/>
      <c r="AC1459" s="145"/>
      <c r="AD1459" s="145"/>
      <c r="AE1459" s="145"/>
      <c r="AF1459" s="145"/>
      <c r="AG1459" s="145"/>
      <c r="AH1459" s="145"/>
      <c r="AI1459" s="145"/>
      <c r="AJ1459" s="145"/>
      <c r="AK1459" s="145"/>
      <c r="AL1459" s="145"/>
      <c r="AM1459" s="321"/>
      <c r="AN1459" s="321"/>
      <c r="AO1459" s="321"/>
      <c r="AP1459" s="321"/>
      <c r="AQ1459" s="321"/>
      <c r="AR1459" s="321"/>
      <c r="AS1459" s="321"/>
      <c r="AT1459" s="321"/>
    </row>
    <row r="1460" spans="10:46">
      <c r="J1460" s="145"/>
      <c r="K1460" s="145"/>
      <c r="L1460" s="145"/>
      <c r="M1460" s="145"/>
      <c r="N1460" s="145"/>
      <c r="O1460" s="145"/>
      <c r="P1460" s="145"/>
      <c r="Q1460" s="145"/>
      <c r="R1460" s="145"/>
      <c r="S1460" s="145"/>
      <c r="T1460" s="145"/>
      <c r="U1460" s="145"/>
      <c r="V1460" s="145"/>
      <c r="W1460" s="145"/>
      <c r="X1460" s="145"/>
      <c r="Y1460" s="145"/>
      <c r="Z1460" s="145"/>
      <c r="AA1460" s="145"/>
      <c r="AB1460" s="145"/>
      <c r="AC1460" s="145"/>
      <c r="AD1460" s="145"/>
      <c r="AE1460" s="145"/>
      <c r="AF1460" s="145"/>
      <c r="AG1460" s="145"/>
      <c r="AH1460" s="145"/>
      <c r="AI1460" s="145"/>
      <c r="AJ1460" s="145"/>
      <c r="AK1460" s="145"/>
      <c r="AL1460" s="145"/>
      <c r="AM1460" s="321"/>
      <c r="AN1460" s="321"/>
      <c r="AO1460" s="321"/>
      <c r="AP1460" s="321"/>
      <c r="AQ1460" s="321"/>
      <c r="AR1460" s="321"/>
      <c r="AS1460" s="321"/>
      <c r="AT1460" s="321"/>
    </row>
    <row r="1461" spans="10:46">
      <c r="J1461" s="145"/>
      <c r="K1461" s="145"/>
      <c r="L1461" s="145"/>
      <c r="M1461" s="145"/>
      <c r="N1461" s="145"/>
      <c r="O1461" s="145"/>
      <c r="P1461" s="145"/>
      <c r="Q1461" s="145"/>
      <c r="R1461" s="145"/>
      <c r="S1461" s="145"/>
      <c r="T1461" s="145"/>
      <c r="U1461" s="145"/>
      <c r="V1461" s="145"/>
      <c r="W1461" s="145"/>
      <c r="X1461" s="145"/>
      <c r="Y1461" s="145"/>
      <c r="Z1461" s="145"/>
      <c r="AA1461" s="145"/>
      <c r="AB1461" s="145"/>
      <c r="AC1461" s="145"/>
      <c r="AD1461" s="145"/>
      <c r="AE1461" s="145"/>
      <c r="AF1461" s="145"/>
      <c r="AG1461" s="145"/>
      <c r="AH1461" s="145"/>
      <c r="AI1461" s="145"/>
      <c r="AJ1461" s="145"/>
      <c r="AK1461" s="145"/>
      <c r="AL1461" s="145"/>
      <c r="AM1461" s="321"/>
      <c r="AN1461" s="321"/>
      <c r="AO1461" s="321"/>
      <c r="AP1461" s="321"/>
      <c r="AQ1461" s="321"/>
      <c r="AR1461" s="321"/>
      <c r="AS1461" s="321"/>
      <c r="AT1461" s="321"/>
    </row>
    <row r="1462" spans="10:46">
      <c r="J1462" s="145"/>
      <c r="K1462" s="145"/>
      <c r="L1462" s="145"/>
      <c r="M1462" s="145"/>
      <c r="N1462" s="145"/>
      <c r="O1462" s="145"/>
      <c r="P1462" s="145"/>
      <c r="Q1462" s="145"/>
      <c r="R1462" s="145"/>
      <c r="S1462" s="145"/>
      <c r="T1462" s="145"/>
      <c r="U1462" s="145"/>
      <c r="V1462" s="145"/>
      <c r="W1462" s="145"/>
      <c r="X1462" s="145"/>
      <c r="Y1462" s="145"/>
      <c r="Z1462" s="145"/>
      <c r="AA1462" s="145"/>
      <c r="AB1462" s="145"/>
      <c r="AC1462" s="145"/>
      <c r="AD1462" s="145"/>
      <c r="AE1462" s="145"/>
      <c r="AF1462" s="145"/>
      <c r="AG1462" s="145"/>
      <c r="AH1462" s="145"/>
      <c r="AI1462" s="145"/>
      <c r="AJ1462" s="145"/>
      <c r="AK1462" s="145"/>
      <c r="AL1462" s="145"/>
      <c r="AM1462" s="321"/>
      <c r="AN1462" s="321"/>
      <c r="AO1462" s="321"/>
      <c r="AP1462" s="321"/>
      <c r="AQ1462" s="321"/>
      <c r="AR1462" s="321"/>
      <c r="AS1462" s="321"/>
      <c r="AT1462" s="321"/>
    </row>
    <row r="1463" spans="10:46">
      <c r="J1463" s="145"/>
      <c r="K1463" s="145"/>
      <c r="L1463" s="145"/>
      <c r="M1463" s="145"/>
      <c r="N1463" s="145"/>
      <c r="O1463" s="145"/>
      <c r="P1463" s="145"/>
      <c r="Q1463" s="145"/>
      <c r="R1463" s="145"/>
      <c r="S1463" s="145"/>
      <c r="T1463" s="145"/>
      <c r="U1463" s="145"/>
      <c r="V1463" s="145"/>
      <c r="W1463" s="145"/>
      <c r="X1463" s="145"/>
      <c r="Y1463" s="145"/>
      <c r="Z1463" s="145"/>
      <c r="AA1463" s="145"/>
      <c r="AB1463" s="145"/>
      <c r="AC1463" s="145"/>
      <c r="AD1463" s="145"/>
      <c r="AE1463" s="145"/>
      <c r="AF1463" s="145"/>
      <c r="AG1463" s="145"/>
      <c r="AH1463" s="145"/>
      <c r="AI1463" s="145"/>
      <c r="AJ1463" s="145"/>
      <c r="AK1463" s="145"/>
      <c r="AL1463" s="145"/>
      <c r="AM1463" s="321"/>
      <c r="AN1463" s="321"/>
      <c r="AO1463" s="321"/>
      <c r="AP1463" s="321"/>
      <c r="AQ1463" s="321"/>
      <c r="AR1463" s="321"/>
      <c r="AS1463" s="321"/>
      <c r="AT1463" s="321"/>
    </row>
    <row r="1464" spans="10:46">
      <c r="J1464" s="145"/>
      <c r="K1464" s="145"/>
      <c r="L1464" s="145"/>
      <c r="M1464" s="145"/>
      <c r="N1464" s="145"/>
      <c r="O1464" s="145"/>
      <c r="P1464" s="145"/>
      <c r="Q1464" s="145"/>
      <c r="R1464" s="145"/>
      <c r="S1464" s="145"/>
      <c r="T1464" s="145"/>
      <c r="U1464" s="145"/>
      <c r="V1464" s="145"/>
      <c r="W1464" s="145"/>
      <c r="X1464" s="145"/>
      <c r="Y1464" s="145"/>
      <c r="Z1464" s="145"/>
      <c r="AA1464" s="145"/>
      <c r="AB1464" s="145"/>
      <c r="AC1464" s="145"/>
      <c r="AD1464" s="145"/>
      <c r="AE1464" s="145"/>
      <c r="AF1464" s="145"/>
      <c r="AG1464" s="145"/>
      <c r="AH1464" s="145"/>
      <c r="AI1464" s="145"/>
      <c r="AJ1464" s="145"/>
      <c r="AK1464" s="145"/>
      <c r="AL1464" s="145"/>
      <c r="AM1464" s="321"/>
      <c r="AN1464" s="321"/>
      <c r="AO1464" s="321"/>
      <c r="AP1464" s="321"/>
      <c r="AQ1464" s="321"/>
      <c r="AR1464" s="321"/>
      <c r="AS1464" s="321"/>
      <c r="AT1464" s="321"/>
    </row>
    <row r="1465" spans="10:46">
      <c r="J1465" s="145"/>
      <c r="K1465" s="145"/>
      <c r="L1465" s="145"/>
      <c r="M1465" s="145"/>
      <c r="N1465" s="145"/>
      <c r="O1465" s="145"/>
      <c r="P1465" s="145"/>
      <c r="Q1465" s="145"/>
      <c r="R1465" s="145"/>
      <c r="S1465" s="145"/>
      <c r="T1465" s="145"/>
      <c r="U1465" s="145"/>
      <c r="V1465" s="145"/>
      <c r="W1465" s="145"/>
      <c r="X1465" s="145"/>
      <c r="Y1465" s="145"/>
      <c r="Z1465" s="145"/>
      <c r="AA1465" s="145"/>
      <c r="AB1465" s="145"/>
      <c r="AC1465" s="145"/>
      <c r="AD1465" s="145"/>
      <c r="AE1465" s="145"/>
      <c r="AF1465" s="145"/>
      <c r="AG1465" s="145"/>
      <c r="AH1465" s="145"/>
      <c r="AI1465" s="145"/>
      <c r="AJ1465" s="145"/>
      <c r="AK1465" s="145"/>
      <c r="AL1465" s="145"/>
      <c r="AM1465" s="321"/>
      <c r="AN1465" s="321"/>
      <c r="AO1465" s="321"/>
      <c r="AP1465" s="321"/>
      <c r="AQ1465" s="321"/>
      <c r="AR1465" s="321"/>
      <c r="AS1465" s="321"/>
      <c r="AT1465" s="321"/>
    </row>
    <row r="1466" spans="10:46">
      <c r="J1466" s="145"/>
      <c r="K1466" s="145"/>
      <c r="L1466" s="145"/>
      <c r="M1466" s="145"/>
      <c r="N1466" s="145"/>
      <c r="O1466" s="145"/>
      <c r="P1466" s="145"/>
      <c r="Q1466" s="145"/>
      <c r="R1466" s="145"/>
      <c r="S1466" s="145"/>
      <c r="T1466" s="145"/>
      <c r="U1466" s="145"/>
      <c r="V1466" s="145"/>
      <c r="W1466" s="145"/>
      <c r="X1466" s="145"/>
      <c r="Y1466" s="145"/>
      <c r="Z1466" s="145"/>
      <c r="AA1466" s="145"/>
      <c r="AB1466" s="145"/>
      <c r="AC1466" s="145"/>
      <c r="AD1466" s="145"/>
      <c r="AE1466" s="145"/>
      <c r="AF1466" s="145"/>
      <c r="AG1466" s="145"/>
      <c r="AH1466" s="145"/>
      <c r="AI1466" s="145"/>
      <c r="AJ1466" s="145"/>
      <c r="AK1466" s="145"/>
      <c r="AL1466" s="145"/>
      <c r="AM1466" s="321"/>
      <c r="AN1466" s="321"/>
      <c r="AO1466" s="321"/>
      <c r="AP1466" s="321"/>
      <c r="AQ1466" s="321"/>
      <c r="AR1466" s="321"/>
      <c r="AS1466" s="321"/>
      <c r="AT1466" s="321"/>
    </row>
    <row r="1467" spans="10:46">
      <c r="J1467" s="145"/>
      <c r="K1467" s="145"/>
      <c r="L1467" s="145"/>
      <c r="M1467" s="145"/>
      <c r="N1467" s="145"/>
      <c r="O1467" s="145"/>
      <c r="P1467" s="145"/>
      <c r="Q1467" s="145"/>
      <c r="R1467" s="145"/>
      <c r="S1467" s="145"/>
      <c r="T1467" s="145"/>
      <c r="U1467" s="145"/>
      <c r="V1467" s="145"/>
      <c r="W1467" s="145"/>
      <c r="X1467" s="145"/>
      <c r="Y1467" s="145"/>
      <c r="Z1467" s="145"/>
      <c r="AA1467" s="145"/>
      <c r="AB1467" s="145"/>
      <c r="AC1467" s="145"/>
      <c r="AD1467" s="145"/>
      <c r="AE1467" s="145"/>
      <c r="AF1467" s="145"/>
      <c r="AG1467" s="145"/>
      <c r="AH1467" s="145"/>
      <c r="AI1467" s="145"/>
      <c r="AJ1467" s="145"/>
      <c r="AK1467" s="145"/>
      <c r="AL1467" s="145"/>
      <c r="AM1467" s="321"/>
      <c r="AN1467" s="321"/>
      <c r="AO1467" s="321"/>
      <c r="AP1467" s="321"/>
      <c r="AQ1467" s="321"/>
      <c r="AR1467" s="321"/>
      <c r="AS1467" s="321"/>
      <c r="AT1467" s="321"/>
    </row>
    <row r="1468" spans="10:46">
      <c r="J1468" s="145"/>
      <c r="K1468" s="145"/>
      <c r="L1468" s="145"/>
      <c r="M1468" s="145"/>
      <c r="N1468" s="145"/>
      <c r="O1468" s="145"/>
      <c r="P1468" s="145"/>
      <c r="Q1468" s="145"/>
      <c r="R1468" s="145"/>
      <c r="S1468" s="145"/>
      <c r="T1468" s="145"/>
      <c r="U1468" s="145"/>
      <c r="V1468" s="145"/>
      <c r="W1468" s="145"/>
      <c r="X1468" s="145"/>
      <c r="Y1468" s="145"/>
      <c r="Z1468" s="145"/>
      <c r="AA1468" s="145"/>
      <c r="AB1468" s="145"/>
      <c r="AC1468" s="145"/>
      <c r="AD1468" s="145"/>
      <c r="AE1468" s="145"/>
      <c r="AF1468" s="145"/>
      <c r="AG1468" s="145"/>
      <c r="AH1468" s="145"/>
      <c r="AI1468" s="145"/>
      <c r="AJ1468" s="145"/>
      <c r="AK1468" s="145"/>
      <c r="AL1468" s="145"/>
      <c r="AM1468" s="321"/>
      <c r="AN1468" s="321"/>
      <c r="AO1468" s="321"/>
      <c r="AP1468" s="321"/>
      <c r="AQ1468" s="321"/>
      <c r="AR1468" s="321"/>
      <c r="AS1468" s="321"/>
      <c r="AT1468" s="321"/>
    </row>
    <row r="1469" spans="10:46">
      <c r="J1469" s="145"/>
      <c r="K1469" s="145"/>
      <c r="L1469" s="145"/>
      <c r="M1469" s="145"/>
      <c r="N1469" s="145"/>
      <c r="O1469" s="145"/>
      <c r="P1469" s="145"/>
      <c r="Q1469" s="145"/>
      <c r="R1469" s="145"/>
      <c r="S1469" s="145"/>
      <c r="T1469" s="145"/>
      <c r="U1469" s="145"/>
      <c r="V1469" s="145"/>
      <c r="W1469" s="145"/>
      <c r="X1469" s="145"/>
      <c r="Y1469" s="145"/>
      <c r="Z1469" s="145"/>
      <c r="AA1469" s="145"/>
      <c r="AB1469" s="145"/>
      <c r="AC1469" s="145"/>
      <c r="AD1469" s="145"/>
      <c r="AE1469" s="145"/>
      <c r="AF1469" s="145"/>
      <c r="AG1469" s="145"/>
      <c r="AH1469" s="145"/>
      <c r="AI1469" s="145"/>
      <c r="AJ1469" s="145"/>
      <c r="AK1469" s="145"/>
      <c r="AL1469" s="145"/>
      <c r="AM1469" s="321"/>
      <c r="AN1469" s="321"/>
      <c r="AO1469" s="321"/>
      <c r="AP1469" s="321"/>
      <c r="AQ1469" s="321"/>
      <c r="AR1469" s="321"/>
      <c r="AS1469" s="321"/>
      <c r="AT1469" s="321"/>
    </row>
    <row r="1470" spans="10:46">
      <c r="J1470" s="145"/>
      <c r="K1470" s="145"/>
      <c r="L1470" s="145"/>
      <c r="M1470" s="145"/>
      <c r="N1470" s="145"/>
      <c r="O1470" s="145"/>
      <c r="P1470" s="145"/>
      <c r="Q1470" s="145"/>
      <c r="R1470" s="145"/>
      <c r="S1470" s="145"/>
      <c r="T1470" s="145"/>
      <c r="U1470" s="145"/>
      <c r="V1470" s="145"/>
      <c r="W1470" s="145"/>
      <c r="X1470" s="145"/>
      <c r="Y1470" s="145"/>
      <c r="Z1470" s="145"/>
      <c r="AA1470" s="145"/>
      <c r="AB1470" s="145"/>
      <c r="AC1470" s="145"/>
      <c r="AD1470" s="145"/>
      <c r="AE1470" s="145"/>
      <c r="AF1470" s="145"/>
      <c r="AG1470" s="145"/>
      <c r="AH1470" s="145"/>
      <c r="AI1470" s="145"/>
      <c r="AJ1470" s="145"/>
      <c r="AK1470" s="145"/>
      <c r="AL1470" s="145"/>
      <c r="AM1470" s="321"/>
      <c r="AN1470" s="321"/>
      <c r="AO1470" s="321"/>
      <c r="AP1470" s="321"/>
      <c r="AQ1470" s="321"/>
      <c r="AR1470" s="321"/>
      <c r="AS1470" s="321"/>
      <c r="AT1470" s="321"/>
    </row>
    <row r="1471" spans="10:46">
      <c r="J1471" s="145"/>
      <c r="K1471" s="145"/>
      <c r="L1471" s="145"/>
      <c r="M1471" s="145"/>
      <c r="N1471" s="145"/>
      <c r="O1471" s="145"/>
      <c r="P1471" s="145"/>
      <c r="Q1471" s="145"/>
      <c r="R1471" s="145"/>
      <c r="S1471" s="145"/>
      <c r="T1471" s="145"/>
      <c r="U1471" s="145"/>
      <c r="V1471" s="145"/>
      <c r="W1471" s="145"/>
      <c r="X1471" s="145"/>
      <c r="Y1471" s="145"/>
      <c r="Z1471" s="145"/>
      <c r="AA1471" s="145"/>
      <c r="AB1471" s="145"/>
      <c r="AC1471" s="145"/>
      <c r="AD1471" s="145"/>
      <c r="AE1471" s="145"/>
      <c r="AF1471" s="145"/>
      <c r="AG1471" s="145"/>
      <c r="AH1471" s="145"/>
      <c r="AI1471" s="145"/>
      <c r="AJ1471" s="145"/>
      <c r="AK1471" s="145"/>
      <c r="AL1471" s="145"/>
      <c r="AM1471" s="321"/>
      <c r="AN1471" s="321"/>
      <c r="AO1471" s="321"/>
      <c r="AP1471" s="321"/>
      <c r="AQ1471" s="321"/>
      <c r="AR1471" s="321"/>
      <c r="AS1471" s="321"/>
      <c r="AT1471" s="321"/>
    </row>
    <row r="1472" spans="10:46">
      <c r="J1472" s="145"/>
      <c r="K1472" s="145"/>
      <c r="L1472" s="145"/>
      <c r="M1472" s="145"/>
      <c r="N1472" s="145"/>
      <c r="O1472" s="145"/>
      <c r="P1472" s="145"/>
      <c r="Q1472" s="145"/>
      <c r="R1472" s="145"/>
      <c r="S1472" s="145"/>
      <c r="T1472" s="145"/>
      <c r="U1472" s="145"/>
      <c r="V1472" s="145"/>
      <c r="W1472" s="145"/>
      <c r="X1472" s="145"/>
      <c r="Y1472" s="145"/>
      <c r="Z1472" s="145"/>
      <c r="AA1472" s="145"/>
      <c r="AB1472" s="145"/>
      <c r="AC1472" s="145"/>
      <c r="AD1472" s="145"/>
      <c r="AE1472" s="145"/>
      <c r="AF1472" s="145"/>
      <c r="AG1472" s="145"/>
      <c r="AH1472" s="145"/>
      <c r="AI1472" s="145"/>
      <c r="AJ1472" s="145"/>
      <c r="AK1472" s="145"/>
      <c r="AL1472" s="145"/>
      <c r="AM1472" s="321"/>
      <c r="AN1472" s="321"/>
      <c r="AO1472" s="321"/>
      <c r="AP1472" s="321"/>
      <c r="AQ1472" s="321"/>
      <c r="AR1472" s="321"/>
      <c r="AS1472" s="321"/>
      <c r="AT1472" s="321"/>
    </row>
    <row r="1473" spans="10:46">
      <c r="J1473" s="145"/>
      <c r="K1473" s="145"/>
      <c r="L1473" s="145"/>
      <c r="M1473" s="145"/>
      <c r="N1473" s="145"/>
      <c r="O1473" s="145"/>
      <c r="P1473" s="145"/>
      <c r="Q1473" s="145"/>
      <c r="R1473" s="145"/>
      <c r="S1473" s="145"/>
      <c r="T1473" s="145"/>
      <c r="U1473" s="145"/>
      <c r="V1473" s="145"/>
      <c r="W1473" s="145"/>
      <c r="X1473" s="145"/>
      <c r="Y1473" s="145"/>
      <c r="Z1473" s="145"/>
      <c r="AA1473" s="145"/>
      <c r="AB1473" s="145"/>
      <c r="AC1473" s="145"/>
      <c r="AD1473" s="145"/>
      <c r="AE1473" s="145"/>
      <c r="AF1473" s="145"/>
      <c r="AG1473" s="145"/>
      <c r="AH1473" s="145"/>
      <c r="AI1473" s="145"/>
      <c r="AJ1473" s="145"/>
      <c r="AK1473" s="145"/>
      <c r="AL1473" s="145"/>
      <c r="AM1473" s="321"/>
      <c r="AN1473" s="321"/>
      <c r="AO1473" s="321"/>
      <c r="AP1473" s="321"/>
      <c r="AQ1473" s="321"/>
      <c r="AR1473" s="321"/>
      <c r="AS1473" s="321"/>
      <c r="AT1473" s="321"/>
    </row>
    <row r="1474" spans="10:46">
      <c r="J1474" s="145"/>
      <c r="K1474" s="145"/>
      <c r="L1474" s="145"/>
      <c r="M1474" s="145"/>
      <c r="N1474" s="145"/>
      <c r="O1474" s="145"/>
      <c r="P1474" s="145"/>
      <c r="Q1474" s="145"/>
      <c r="R1474" s="145"/>
      <c r="S1474" s="145"/>
      <c r="T1474" s="145"/>
      <c r="U1474" s="145"/>
      <c r="V1474" s="145"/>
      <c r="W1474" s="145"/>
      <c r="X1474" s="145"/>
      <c r="Y1474" s="145"/>
      <c r="Z1474" s="145"/>
      <c r="AA1474" s="145"/>
      <c r="AB1474" s="145"/>
      <c r="AC1474" s="145"/>
      <c r="AD1474" s="145"/>
      <c r="AE1474" s="145"/>
      <c r="AF1474" s="145"/>
      <c r="AG1474" s="145"/>
      <c r="AH1474" s="145"/>
      <c r="AI1474" s="145"/>
      <c r="AJ1474" s="145"/>
      <c r="AK1474" s="145"/>
      <c r="AL1474" s="145"/>
      <c r="AM1474" s="321"/>
      <c r="AN1474" s="321"/>
      <c r="AO1474" s="321"/>
      <c r="AP1474" s="321"/>
      <c r="AQ1474" s="321"/>
      <c r="AR1474" s="321"/>
      <c r="AS1474" s="321"/>
      <c r="AT1474" s="321"/>
    </row>
    <row r="1475" spans="10:46">
      <c r="J1475" s="145"/>
      <c r="K1475" s="145"/>
      <c r="L1475" s="145"/>
      <c r="M1475" s="145"/>
      <c r="N1475" s="145"/>
      <c r="O1475" s="145"/>
      <c r="P1475" s="145"/>
      <c r="Q1475" s="145"/>
      <c r="R1475" s="145"/>
      <c r="S1475" s="145"/>
      <c r="T1475" s="145"/>
      <c r="U1475" s="145"/>
      <c r="V1475" s="145"/>
      <c r="W1475" s="145"/>
      <c r="X1475" s="145"/>
      <c r="Y1475" s="145"/>
      <c r="Z1475" s="145"/>
      <c r="AA1475" s="145"/>
      <c r="AB1475" s="145"/>
      <c r="AC1475" s="145"/>
      <c r="AD1475" s="145"/>
      <c r="AE1475" s="145"/>
      <c r="AF1475" s="145"/>
      <c r="AG1475" s="145"/>
      <c r="AH1475" s="145"/>
      <c r="AI1475" s="145"/>
      <c r="AJ1475" s="145"/>
      <c r="AK1475" s="145"/>
      <c r="AL1475" s="145"/>
      <c r="AM1475" s="321"/>
      <c r="AN1475" s="321"/>
      <c r="AO1475" s="321"/>
      <c r="AP1475" s="321"/>
      <c r="AQ1475" s="321"/>
      <c r="AR1475" s="321"/>
      <c r="AS1475" s="321"/>
      <c r="AT1475" s="321"/>
    </row>
    <row r="1476" spans="10:46">
      <c r="J1476" s="145"/>
      <c r="K1476" s="145"/>
      <c r="L1476" s="145"/>
      <c r="M1476" s="145"/>
      <c r="N1476" s="145"/>
      <c r="O1476" s="145"/>
      <c r="P1476" s="145"/>
      <c r="Q1476" s="145"/>
      <c r="R1476" s="145"/>
      <c r="S1476" s="145"/>
      <c r="T1476" s="145"/>
      <c r="U1476" s="145"/>
      <c r="V1476" s="145"/>
      <c r="W1476" s="145"/>
      <c r="X1476" s="145"/>
      <c r="Y1476" s="145"/>
      <c r="Z1476" s="145"/>
      <c r="AA1476" s="145"/>
      <c r="AB1476" s="145"/>
      <c r="AC1476" s="145"/>
      <c r="AD1476" s="145"/>
      <c r="AE1476" s="145"/>
      <c r="AF1476" s="145"/>
      <c r="AG1476" s="145"/>
      <c r="AH1476" s="145"/>
      <c r="AI1476" s="145"/>
      <c r="AJ1476" s="145"/>
      <c r="AK1476" s="145"/>
      <c r="AL1476" s="145"/>
      <c r="AM1476" s="321"/>
      <c r="AN1476" s="321"/>
      <c r="AO1476" s="321"/>
      <c r="AP1476" s="321"/>
      <c r="AQ1476" s="321"/>
      <c r="AR1476" s="321"/>
      <c r="AS1476" s="321"/>
      <c r="AT1476" s="321"/>
    </row>
    <row r="1477" spans="10:46">
      <c r="J1477" s="145"/>
      <c r="K1477" s="145"/>
      <c r="L1477" s="145"/>
      <c r="M1477" s="145"/>
      <c r="N1477" s="145"/>
      <c r="O1477" s="145"/>
      <c r="P1477" s="145"/>
      <c r="Q1477" s="145"/>
      <c r="R1477" s="145"/>
      <c r="S1477" s="145"/>
      <c r="T1477" s="145"/>
      <c r="U1477" s="145"/>
      <c r="V1477" s="145"/>
      <c r="W1477" s="145"/>
      <c r="X1477" s="145"/>
      <c r="Y1477" s="145"/>
      <c r="Z1477" s="145"/>
      <c r="AA1477" s="145"/>
      <c r="AB1477" s="145"/>
      <c r="AC1477" s="145"/>
      <c r="AD1477" s="145"/>
      <c r="AE1477" s="145"/>
      <c r="AF1477" s="145"/>
      <c r="AG1477" s="145"/>
      <c r="AH1477" s="145"/>
      <c r="AI1477" s="145"/>
      <c r="AJ1477" s="145"/>
      <c r="AK1477" s="145"/>
      <c r="AL1477" s="145"/>
      <c r="AM1477" s="321"/>
      <c r="AN1477" s="321"/>
      <c r="AO1477" s="321"/>
      <c r="AP1477" s="321"/>
      <c r="AQ1477" s="321"/>
      <c r="AR1477" s="321"/>
      <c r="AS1477" s="321"/>
      <c r="AT1477" s="321"/>
    </row>
    <row r="1478" spans="10:46">
      <c r="J1478" s="145"/>
      <c r="K1478" s="145"/>
      <c r="L1478" s="145"/>
      <c r="M1478" s="145"/>
      <c r="N1478" s="145"/>
      <c r="O1478" s="145"/>
      <c r="P1478" s="145"/>
      <c r="Q1478" s="145"/>
      <c r="R1478" s="145"/>
      <c r="S1478" s="145"/>
      <c r="T1478" s="145"/>
      <c r="U1478" s="145"/>
      <c r="V1478" s="145"/>
      <c r="W1478" s="145"/>
      <c r="X1478" s="145"/>
      <c r="Y1478" s="145"/>
      <c r="Z1478" s="145"/>
      <c r="AA1478" s="145"/>
      <c r="AB1478" s="145"/>
      <c r="AC1478" s="145"/>
      <c r="AD1478" s="145"/>
      <c r="AE1478" s="145"/>
      <c r="AF1478" s="145"/>
      <c r="AG1478" s="145"/>
      <c r="AH1478" s="145"/>
      <c r="AI1478" s="145"/>
      <c r="AJ1478" s="145"/>
      <c r="AK1478" s="145"/>
      <c r="AL1478" s="145"/>
      <c r="AM1478" s="321"/>
      <c r="AN1478" s="321"/>
      <c r="AO1478" s="321"/>
      <c r="AP1478" s="321"/>
      <c r="AQ1478" s="321"/>
      <c r="AR1478" s="321"/>
      <c r="AS1478" s="321"/>
      <c r="AT1478" s="321"/>
    </row>
    <row r="1479" spans="10:46">
      <c r="J1479" s="145"/>
      <c r="K1479" s="145"/>
      <c r="L1479" s="145"/>
      <c r="M1479" s="145"/>
      <c r="N1479" s="145"/>
      <c r="O1479" s="145"/>
      <c r="P1479" s="145"/>
      <c r="Q1479" s="145"/>
      <c r="R1479" s="145"/>
      <c r="S1479" s="145"/>
      <c r="T1479" s="145"/>
      <c r="U1479" s="145"/>
      <c r="V1479" s="145"/>
      <c r="W1479" s="145"/>
      <c r="X1479" s="145"/>
      <c r="Y1479" s="145"/>
      <c r="Z1479" s="145"/>
      <c r="AA1479" s="145"/>
      <c r="AB1479" s="145"/>
      <c r="AC1479" s="145"/>
      <c r="AD1479" s="145"/>
      <c r="AE1479" s="145"/>
      <c r="AF1479" s="145"/>
      <c r="AG1479" s="145"/>
      <c r="AH1479" s="145"/>
      <c r="AI1479" s="145"/>
      <c r="AJ1479" s="145"/>
      <c r="AK1479" s="145"/>
      <c r="AL1479" s="145"/>
      <c r="AM1479" s="321"/>
      <c r="AN1479" s="321"/>
      <c r="AO1479" s="321"/>
      <c r="AP1479" s="321"/>
      <c r="AQ1479" s="321"/>
      <c r="AR1479" s="321"/>
      <c r="AS1479" s="321"/>
      <c r="AT1479" s="321"/>
    </row>
    <row r="1480" spans="10:46">
      <c r="J1480" s="145"/>
      <c r="K1480" s="145"/>
      <c r="L1480" s="145"/>
      <c r="M1480" s="145"/>
      <c r="N1480" s="145"/>
      <c r="O1480" s="145"/>
      <c r="P1480" s="145"/>
      <c r="Q1480" s="145"/>
      <c r="R1480" s="145"/>
      <c r="S1480" s="145"/>
      <c r="T1480" s="145"/>
      <c r="U1480" s="145"/>
      <c r="V1480" s="145"/>
      <c r="W1480" s="145"/>
      <c r="X1480" s="145"/>
      <c r="Y1480" s="145"/>
      <c r="Z1480" s="145"/>
      <c r="AA1480" s="145"/>
      <c r="AB1480" s="145"/>
      <c r="AC1480" s="145"/>
      <c r="AD1480" s="145"/>
      <c r="AE1480" s="145"/>
      <c r="AF1480" s="145"/>
      <c r="AG1480" s="145"/>
      <c r="AH1480" s="145"/>
      <c r="AI1480" s="145"/>
      <c r="AJ1480" s="145"/>
      <c r="AK1480" s="145"/>
      <c r="AL1480" s="145"/>
      <c r="AM1480" s="321"/>
      <c r="AN1480" s="321"/>
      <c r="AO1480" s="321"/>
      <c r="AP1480" s="321"/>
      <c r="AQ1480" s="321"/>
      <c r="AR1480" s="321"/>
      <c r="AS1480" s="321"/>
      <c r="AT1480" s="321"/>
    </row>
    <row r="1481" spans="10:46">
      <c r="J1481" s="145"/>
      <c r="K1481" s="145"/>
      <c r="L1481" s="145"/>
      <c r="M1481" s="145"/>
      <c r="N1481" s="145"/>
      <c r="O1481" s="145"/>
      <c r="P1481" s="145"/>
      <c r="Q1481" s="145"/>
      <c r="R1481" s="145"/>
      <c r="S1481" s="145"/>
      <c r="T1481" s="145"/>
      <c r="U1481" s="145"/>
      <c r="V1481" s="145"/>
      <c r="W1481" s="145"/>
      <c r="X1481" s="145"/>
      <c r="Y1481" s="145"/>
      <c r="Z1481" s="145"/>
      <c r="AA1481" s="145"/>
      <c r="AB1481" s="145"/>
      <c r="AC1481" s="145"/>
      <c r="AD1481" s="145"/>
      <c r="AE1481" s="145"/>
      <c r="AF1481" s="145"/>
      <c r="AG1481" s="145"/>
      <c r="AH1481" s="145"/>
      <c r="AI1481" s="145"/>
      <c r="AJ1481" s="145"/>
      <c r="AK1481" s="145"/>
      <c r="AL1481" s="145"/>
      <c r="AM1481" s="321"/>
      <c r="AN1481" s="321"/>
      <c r="AO1481" s="321"/>
      <c r="AP1481" s="321"/>
      <c r="AQ1481" s="321"/>
      <c r="AR1481" s="321"/>
      <c r="AS1481" s="321"/>
      <c r="AT1481" s="321"/>
    </row>
    <row r="1482" spans="10:46">
      <c r="J1482" s="145"/>
      <c r="K1482" s="145"/>
      <c r="L1482" s="145"/>
      <c r="M1482" s="145"/>
      <c r="N1482" s="145"/>
      <c r="O1482" s="145"/>
      <c r="P1482" s="145"/>
      <c r="Q1482" s="145"/>
      <c r="R1482" s="145"/>
      <c r="S1482" s="145"/>
      <c r="T1482" s="145"/>
      <c r="U1482" s="145"/>
      <c r="V1482" s="145"/>
      <c r="W1482" s="145"/>
      <c r="X1482" s="145"/>
      <c r="Y1482" s="145"/>
      <c r="Z1482" s="145"/>
      <c r="AA1482" s="145"/>
      <c r="AB1482" s="145"/>
      <c r="AC1482" s="145"/>
      <c r="AD1482" s="145"/>
      <c r="AE1482" s="145"/>
      <c r="AF1482" s="145"/>
      <c r="AG1482" s="145"/>
      <c r="AH1482" s="145"/>
      <c r="AI1482" s="145"/>
      <c r="AJ1482" s="145"/>
      <c r="AK1482" s="145"/>
      <c r="AL1482" s="145"/>
      <c r="AM1482" s="321"/>
      <c r="AN1482" s="321"/>
      <c r="AO1482" s="321"/>
      <c r="AP1482" s="321"/>
      <c r="AQ1482" s="321"/>
      <c r="AR1482" s="321"/>
      <c r="AS1482" s="321"/>
      <c r="AT1482" s="321"/>
    </row>
    <row r="1483" spans="10:46">
      <c r="J1483" s="145"/>
      <c r="K1483" s="145"/>
      <c r="L1483" s="145"/>
      <c r="M1483" s="145"/>
      <c r="N1483" s="145"/>
      <c r="O1483" s="145"/>
      <c r="P1483" s="145"/>
      <c r="Q1483" s="145"/>
      <c r="R1483" s="145"/>
      <c r="S1483" s="145"/>
      <c r="T1483" s="145"/>
      <c r="U1483" s="145"/>
      <c r="V1483" s="145"/>
      <c r="W1483" s="145"/>
      <c r="X1483" s="145"/>
      <c r="Y1483" s="145"/>
      <c r="Z1483" s="145"/>
      <c r="AA1483" s="145"/>
      <c r="AB1483" s="145"/>
      <c r="AC1483" s="145"/>
      <c r="AD1483" s="145"/>
      <c r="AE1483" s="145"/>
      <c r="AF1483" s="145"/>
      <c r="AG1483" s="145"/>
      <c r="AH1483" s="145"/>
      <c r="AI1483" s="145"/>
      <c r="AJ1483" s="145"/>
      <c r="AK1483" s="145"/>
      <c r="AL1483" s="145"/>
      <c r="AM1483" s="321"/>
      <c r="AN1483" s="321"/>
      <c r="AO1483" s="321"/>
      <c r="AP1483" s="321"/>
      <c r="AQ1483" s="321"/>
      <c r="AR1483" s="321"/>
      <c r="AS1483" s="321"/>
      <c r="AT1483" s="321"/>
    </row>
    <row r="1484" spans="10:46">
      <c r="J1484" s="145"/>
      <c r="K1484" s="145"/>
      <c r="L1484" s="145"/>
      <c r="M1484" s="145"/>
      <c r="N1484" s="145"/>
      <c r="O1484" s="145"/>
      <c r="P1484" s="145"/>
      <c r="Q1484" s="145"/>
      <c r="R1484" s="145"/>
      <c r="S1484" s="145"/>
      <c r="T1484" s="145"/>
      <c r="U1484" s="145"/>
      <c r="V1484" s="145"/>
      <c r="W1484" s="145"/>
      <c r="X1484" s="145"/>
      <c r="Y1484" s="145"/>
      <c r="Z1484" s="145"/>
      <c r="AA1484" s="145"/>
      <c r="AB1484" s="145"/>
      <c r="AC1484" s="145"/>
      <c r="AD1484" s="145"/>
      <c r="AE1484" s="145"/>
      <c r="AF1484" s="145"/>
      <c r="AG1484" s="145"/>
      <c r="AH1484" s="145"/>
      <c r="AI1484" s="145"/>
      <c r="AJ1484" s="145"/>
      <c r="AK1484" s="145"/>
      <c r="AL1484" s="145"/>
      <c r="AM1484" s="321"/>
      <c r="AN1484" s="321"/>
      <c r="AO1484" s="321"/>
      <c r="AP1484" s="321"/>
      <c r="AQ1484" s="321"/>
      <c r="AR1484" s="321"/>
      <c r="AS1484" s="321"/>
      <c r="AT1484" s="321"/>
    </row>
    <row r="1485" spans="10:46">
      <c r="J1485" s="145"/>
      <c r="K1485" s="145"/>
      <c r="L1485" s="145"/>
      <c r="M1485" s="145"/>
      <c r="N1485" s="145"/>
      <c r="O1485" s="145"/>
      <c r="P1485" s="145"/>
      <c r="Q1485" s="145"/>
      <c r="R1485" s="145"/>
      <c r="S1485" s="145"/>
      <c r="T1485" s="145"/>
      <c r="U1485" s="145"/>
      <c r="V1485" s="145"/>
      <c r="W1485" s="145"/>
      <c r="X1485" s="145"/>
      <c r="Y1485" s="145"/>
      <c r="Z1485" s="145"/>
      <c r="AA1485" s="145"/>
      <c r="AB1485" s="145"/>
      <c r="AC1485" s="145"/>
      <c r="AD1485" s="145"/>
      <c r="AE1485" s="145"/>
      <c r="AF1485" s="145"/>
      <c r="AG1485" s="145"/>
      <c r="AH1485" s="145"/>
      <c r="AI1485" s="145"/>
      <c r="AJ1485" s="145"/>
      <c r="AK1485" s="145"/>
      <c r="AL1485" s="145"/>
      <c r="AM1485" s="321"/>
      <c r="AN1485" s="321"/>
      <c r="AO1485" s="321"/>
      <c r="AP1485" s="321"/>
      <c r="AQ1485" s="321"/>
      <c r="AR1485" s="321"/>
      <c r="AS1485" s="321"/>
      <c r="AT1485" s="321"/>
    </row>
    <row r="1486" spans="10:46">
      <c r="J1486" s="145"/>
      <c r="K1486" s="145"/>
      <c r="L1486" s="145"/>
      <c r="M1486" s="145"/>
      <c r="N1486" s="145"/>
      <c r="O1486" s="145"/>
      <c r="P1486" s="145"/>
      <c r="Q1486" s="145"/>
      <c r="R1486" s="145"/>
      <c r="S1486" s="145"/>
      <c r="T1486" s="145"/>
      <c r="U1486" s="145"/>
      <c r="V1486" s="145"/>
      <c r="W1486" s="145"/>
      <c r="X1486" s="145"/>
      <c r="Y1486" s="145"/>
      <c r="Z1486" s="145"/>
      <c r="AA1486" s="145"/>
      <c r="AB1486" s="145"/>
      <c r="AC1486" s="145"/>
      <c r="AD1486" s="145"/>
      <c r="AE1486" s="145"/>
      <c r="AF1486" s="145"/>
      <c r="AG1486" s="145"/>
      <c r="AH1486" s="145"/>
      <c r="AI1486" s="145"/>
      <c r="AJ1486" s="145"/>
      <c r="AK1486" s="145"/>
      <c r="AL1486" s="145"/>
      <c r="AM1486" s="321"/>
      <c r="AN1486" s="321"/>
      <c r="AO1486" s="321"/>
      <c r="AP1486" s="321"/>
      <c r="AQ1486" s="321"/>
      <c r="AR1486" s="321"/>
      <c r="AS1486" s="321"/>
      <c r="AT1486" s="321"/>
    </row>
    <row r="1487" spans="10:46">
      <c r="J1487" s="145"/>
      <c r="K1487" s="145"/>
      <c r="L1487" s="145"/>
      <c r="M1487" s="145"/>
      <c r="N1487" s="145"/>
      <c r="O1487" s="145"/>
      <c r="P1487" s="145"/>
      <c r="Q1487" s="145"/>
      <c r="R1487" s="145"/>
      <c r="S1487" s="145"/>
      <c r="T1487" s="145"/>
      <c r="U1487" s="145"/>
      <c r="V1487" s="145"/>
      <c r="W1487" s="145"/>
      <c r="X1487" s="145"/>
      <c r="Y1487" s="145"/>
      <c r="Z1487" s="145"/>
      <c r="AA1487" s="145"/>
      <c r="AB1487" s="145"/>
      <c r="AC1487" s="145"/>
      <c r="AD1487" s="145"/>
      <c r="AE1487" s="145"/>
      <c r="AF1487" s="145"/>
      <c r="AG1487" s="145"/>
      <c r="AH1487" s="145"/>
      <c r="AI1487" s="145"/>
      <c r="AJ1487" s="145"/>
      <c r="AK1487" s="145"/>
      <c r="AL1487" s="145"/>
      <c r="AM1487" s="321"/>
      <c r="AN1487" s="321"/>
      <c r="AO1487" s="321"/>
      <c r="AP1487" s="321"/>
      <c r="AQ1487" s="321"/>
      <c r="AR1487" s="321"/>
      <c r="AS1487" s="321"/>
      <c r="AT1487" s="321"/>
    </row>
    <row r="1488" spans="10:46">
      <c r="J1488" s="145"/>
      <c r="K1488" s="145"/>
      <c r="L1488" s="145"/>
      <c r="M1488" s="145"/>
      <c r="N1488" s="145"/>
      <c r="O1488" s="145"/>
      <c r="P1488" s="145"/>
      <c r="Q1488" s="145"/>
      <c r="R1488" s="145"/>
      <c r="S1488" s="145"/>
      <c r="T1488" s="145"/>
      <c r="U1488" s="145"/>
      <c r="V1488" s="145"/>
      <c r="W1488" s="145"/>
      <c r="X1488" s="145"/>
      <c r="Y1488" s="145"/>
      <c r="Z1488" s="145"/>
      <c r="AA1488" s="145"/>
      <c r="AB1488" s="145"/>
      <c r="AC1488" s="145"/>
      <c r="AD1488" s="145"/>
      <c r="AE1488" s="145"/>
      <c r="AF1488" s="145"/>
      <c r="AG1488" s="145"/>
      <c r="AH1488" s="145"/>
      <c r="AI1488" s="145"/>
      <c r="AJ1488" s="145"/>
      <c r="AK1488" s="145"/>
      <c r="AL1488" s="145"/>
      <c r="AM1488" s="321"/>
      <c r="AN1488" s="321"/>
      <c r="AO1488" s="321"/>
      <c r="AP1488" s="321"/>
      <c r="AQ1488" s="321"/>
      <c r="AR1488" s="321"/>
      <c r="AS1488" s="321"/>
      <c r="AT1488" s="321"/>
    </row>
    <row r="1489" spans="10:46">
      <c r="J1489" s="145"/>
      <c r="K1489" s="145"/>
      <c r="L1489" s="145"/>
      <c r="M1489" s="145"/>
      <c r="N1489" s="145"/>
      <c r="O1489" s="145"/>
      <c r="P1489" s="145"/>
      <c r="Q1489" s="145"/>
      <c r="R1489" s="145"/>
      <c r="S1489" s="145"/>
      <c r="T1489" s="145"/>
      <c r="U1489" s="145"/>
      <c r="V1489" s="145"/>
      <c r="W1489" s="145"/>
      <c r="X1489" s="145"/>
      <c r="Y1489" s="145"/>
      <c r="Z1489" s="145"/>
      <c r="AA1489" s="145"/>
      <c r="AB1489" s="145"/>
      <c r="AC1489" s="145"/>
      <c r="AD1489" s="145"/>
      <c r="AE1489" s="145"/>
      <c r="AF1489" s="145"/>
      <c r="AG1489" s="145"/>
      <c r="AH1489" s="145"/>
      <c r="AI1489" s="145"/>
      <c r="AJ1489" s="145"/>
      <c r="AK1489" s="145"/>
      <c r="AL1489" s="145"/>
      <c r="AM1489" s="321"/>
      <c r="AN1489" s="321"/>
      <c r="AO1489" s="321"/>
      <c r="AP1489" s="321"/>
      <c r="AQ1489" s="321"/>
      <c r="AR1489" s="321"/>
      <c r="AS1489" s="321"/>
      <c r="AT1489" s="321"/>
    </row>
    <row r="1490" spans="10:46">
      <c r="J1490" s="145"/>
      <c r="K1490" s="145"/>
      <c r="L1490" s="145"/>
      <c r="M1490" s="145"/>
      <c r="N1490" s="145"/>
      <c r="O1490" s="145"/>
      <c r="P1490" s="145"/>
      <c r="Q1490" s="145"/>
      <c r="R1490" s="145"/>
      <c r="S1490" s="145"/>
      <c r="T1490" s="145"/>
      <c r="U1490" s="145"/>
      <c r="V1490" s="145"/>
      <c r="W1490" s="145"/>
      <c r="X1490" s="145"/>
      <c r="Y1490" s="145"/>
      <c r="Z1490" s="145"/>
      <c r="AA1490" s="145"/>
      <c r="AB1490" s="145"/>
      <c r="AC1490" s="145"/>
      <c r="AD1490" s="145"/>
      <c r="AE1490" s="145"/>
      <c r="AF1490" s="145"/>
      <c r="AG1490" s="145"/>
      <c r="AH1490" s="145"/>
      <c r="AI1490" s="145"/>
      <c r="AJ1490" s="145"/>
      <c r="AK1490" s="145"/>
      <c r="AL1490" s="145"/>
      <c r="AM1490" s="321"/>
      <c r="AN1490" s="321"/>
      <c r="AO1490" s="321"/>
      <c r="AP1490" s="321"/>
      <c r="AQ1490" s="321"/>
      <c r="AR1490" s="321"/>
      <c r="AS1490" s="321"/>
      <c r="AT1490" s="321"/>
    </row>
    <row r="1491" spans="10:46">
      <c r="J1491" s="145"/>
      <c r="K1491" s="145"/>
      <c r="L1491" s="145"/>
      <c r="M1491" s="145"/>
      <c r="N1491" s="145"/>
      <c r="O1491" s="145"/>
      <c r="P1491" s="145"/>
      <c r="Q1491" s="145"/>
      <c r="R1491" s="145"/>
      <c r="S1491" s="145"/>
      <c r="T1491" s="145"/>
      <c r="U1491" s="145"/>
      <c r="V1491" s="145"/>
      <c r="W1491" s="145"/>
      <c r="X1491" s="145"/>
      <c r="Y1491" s="145"/>
      <c r="Z1491" s="145"/>
      <c r="AA1491" s="145"/>
      <c r="AB1491" s="145"/>
      <c r="AC1491" s="145"/>
      <c r="AD1491" s="145"/>
      <c r="AE1491" s="145"/>
      <c r="AF1491" s="145"/>
      <c r="AG1491" s="145"/>
      <c r="AH1491" s="145"/>
      <c r="AI1491" s="145"/>
      <c r="AJ1491" s="145"/>
      <c r="AK1491" s="145"/>
      <c r="AL1491" s="145"/>
      <c r="AM1491" s="321"/>
      <c r="AN1491" s="321"/>
      <c r="AO1491" s="321"/>
      <c r="AP1491" s="321"/>
      <c r="AQ1491" s="321"/>
      <c r="AR1491" s="321"/>
      <c r="AS1491" s="321"/>
      <c r="AT1491" s="321"/>
    </row>
    <row r="1492" spans="10:46">
      <c r="J1492" s="145"/>
      <c r="K1492" s="145"/>
      <c r="L1492" s="145"/>
      <c r="M1492" s="145"/>
      <c r="N1492" s="145"/>
      <c r="O1492" s="145"/>
      <c r="P1492" s="145"/>
      <c r="Q1492" s="145"/>
      <c r="R1492" s="145"/>
      <c r="S1492" s="145"/>
      <c r="T1492" s="145"/>
      <c r="U1492" s="145"/>
      <c r="V1492" s="145"/>
      <c r="W1492" s="145"/>
      <c r="X1492" s="145"/>
      <c r="Y1492" s="145"/>
      <c r="Z1492" s="145"/>
      <c r="AA1492" s="145"/>
      <c r="AB1492" s="145"/>
      <c r="AC1492" s="145"/>
      <c r="AD1492" s="145"/>
      <c r="AE1492" s="145"/>
      <c r="AF1492" s="145"/>
      <c r="AG1492" s="145"/>
      <c r="AH1492" s="145"/>
      <c r="AI1492" s="145"/>
      <c r="AJ1492" s="145"/>
      <c r="AK1492" s="145"/>
      <c r="AL1492" s="145"/>
      <c r="AM1492" s="321"/>
      <c r="AN1492" s="321"/>
      <c r="AO1492" s="321"/>
      <c r="AP1492" s="321"/>
      <c r="AQ1492" s="321"/>
      <c r="AR1492" s="321"/>
      <c r="AS1492" s="321"/>
      <c r="AT1492" s="321"/>
    </row>
    <row r="1493" spans="10:46">
      <c r="J1493" s="145"/>
      <c r="K1493" s="145"/>
      <c r="L1493" s="145"/>
      <c r="M1493" s="145"/>
      <c r="N1493" s="145"/>
      <c r="O1493" s="145"/>
      <c r="P1493" s="145"/>
      <c r="Q1493" s="145"/>
      <c r="R1493" s="145"/>
      <c r="S1493" s="145"/>
      <c r="T1493" s="145"/>
      <c r="U1493" s="145"/>
      <c r="V1493" s="145"/>
      <c r="W1493" s="145"/>
      <c r="X1493" s="145"/>
      <c r="Y1493" s="145"/>
      <c r="Z1493" s="145"/>
      <c r="AA1493" s="145"/>
      <c r="AB1493" s="145"/>
      <c r="AC1493" s="145"/>
      <c r="AD1493" s="145"/>
      <c r="AE1493" s="145"/>
      <c r="AF1493" s="145"/>
      <c r="AG1493" s="145"/>
      <c r="AH1493" s="145"/>
      <c r="AI1493" s="145"/>
      <c r="AJ1493" s="145"/>
      <c r="AK1493" s="145"/>
      <c r="AL1493" s="145"/>
      <c r="AM1493" s="321"/>
      <c r="AN1493" s="321"/>
      <c r="AO1493" s="321"/>
      <c r="AP1493" s="321"/>
      <c r="AQ1493" s="321"/>
      <c r="AR1493" s="321"/>
      <c r="AS1493" s="321"/>
      <c r="AT1493" s="321"/>
    </row>
    <row r="1494" spans="10:46">
      <c r="J1494" s="145"/>
      <c r="K1494" s="145"/>
      <c r="L1494" s="145"/>
      <c r="M1494" s="145"/>
      <c r="N1494" s="145"/>
      <c r="O1494" s="145"/>
      <c r="P1494" s="145"/>
      <c r="Q1494" s="145"/>
      <c r="R1494" s="145"/>
      <c r="S1494" s="145"/>
      <c r="T1494" s="145"/>
      <c r="U1494" s="145"/>
      <c r="V1494" s="145"/>
      <c r="W1494" s="145"/>
      <c r="X1494" s="145"/>
      <c r="Y1494" s="145"/>
      <c r="Z1494" s="145"/>
      <c r="AA1494" s="145"/>
      <c r="AB1494" s="145"/>
      <c r="AC1494" s="145"/>
      <c r="AD1494" s="145"/>
      <c r="AE1494" s="145"/>
      <c r="AF1494" s="145"/>
      <c r="AG1494" s="145"/>
      <c r="AH1494" s="145"/>
      <c r="AI1494" s="145"/>
      <c r="AJ1494" s="145"/>
      <c r="AK1494" s="145"/>
      <c r="AL1494" s="145"/>
      <c r="AM1494" s="321"/>
      <c r="AN1494" s="321"/>
      <c r="AO1494" s="321"/>
      <c r="AP1494" s="321"/>
      <c r="AQ1494" s="321"/>
      <c r="AR1494" s="321"/>
      <c r="AS1494" s="321"/>
      <c r="AT1494" s="321"/>
    </row>
    <row r="1495" spans="10:46">
      <c r="J1495" s="145"/>
      <c r="K1495" s="145"/>
      <c r="L1495" s="145"/>
      <c r="M1495" s="145"/>
      <c r="N1495" s="145"/>
      <c r="O1495" s="145"/>
      <c r="P1495" s="145"/>
      <c r="Q1495" s="145"/>
      <c r="R1495" s="145"/>
      <c r="S1495" s="145"/>
      <c r="T1495" s="145"/>
      <c r="U1495" s="145"/>
      <c r="V1495" s="145"/>
      <c r="W1495" s="145"/>
      <c r="X1495" s="145"/>
      <c r="Y1495" s="145"/>
      <c r="Z1495" s="145"/>
      <c r="AA1495" s="145"/>
      <c r="AB1495" s="145"/>
      <c r="AC1495" s="145"/>
      <c r="AD1495" s="145"/>
      <c r="AE1495" s="145"/>
      <c r="AF1495" s="145"/>
      <c r="AG1495" s="145"/>
      <c r="AH1495" s="145"/>
      <c r="AI1495" s="145"/>
      <c r="AJ1495" s="145"/>
      <c r="AK1495" s="145"/>
      <c r="AL1495" s="145"/>
      <c r="AM1495" s="321"/>
      <c r="AN1495" s="321"/>
      <c r="AO1495" s="321"/>
      <c r="AP1495" s="321"/>
      <c r="AQ1495" s="321"/>
      <c r="AR1495" s="321"/>
      <c r="AS1495" s="321"/>
      <c r="AT1495" s="321"/>
    </row>
    <row r="1496" spans="10:46">
      <c r="J1496" s="145"/>
      <c r="K1496" s="145"/>
      <c r="L1496" s="145"/>
      <c r="M1496" s="145"/>
      <c r="N1496" s="145"/>
      <c r="O1496" s="145"/>
      <c r="P1496" s="145"/>
      <c r="Q1496" s="145"/>
      <c r="R1496" s="145"/>
      <c r="S1496" s="145"/>
      <c r="T1496" s="145"/>
      <c r="U1496" s="145"/>
      <c r="V1496" s="145"/>
      <c r="W1496" s="145"/>
      <c r="X1496" s="145"/>
      <c r="Y1496" s="145"/>
      <c r="Z1496" s="145"/>
      <c r="AA1496" s="145"/>
      <c r="AB1496" s="145"/>
      <c r="AC1496" s="145"/>
      <c r="AD1496" s="145"/>
      <c r="AE1496" s="145"/>
      <c r="AF1496" s="145"/>
      <c r="AG1496" s="145"/>
      <c r="AH1496" s="145"/>
      <c r="AI1496" s="145"/>
      <c r="AJ1496" s="145"/>
      <c r="AK1496" s="145"/>
      <c r="AL1496" s="145"/>
      <c r="AM1496" s="321"/>
      <c r="AN1496" s="321"/>
      <c r="AO1496" s="321"/>
      <c r="AP1496" s="321"/>
      <c r="AQ1496" s="321"/>
      <c r="AR1496" s="321"/>
      <c r="AS1496" s="321"/>
      <c r="AT1496" s="321"/>
    </row>
    <row r="1497" spans="10:46">
      <c r="J1497" s="145"/>
      <c r="K1497" s="145"/>
      <c r="L1497" s="145"/>
      <c r="M1497" s="145"/>
      <c r="N1497" s="145"/>
      <c r="O1497" s="145"/>
      <c r="P1497" s="145"/>
      <c r="Q1497" s="145"/>
      <c r="R1497" s="145"/>
      <c r="S1497" s="145"/>
      <c r="T1497" s="145"/>
      <c r="U1497" s="145"/>
      <c r="V1497" s="145"/>
      <c r="W1497" s="145"/>
      <c r="X1497" s="145"/>
      <c r="Y1497" s="145"/>
      <c r="Z1497" s="145"/>
      <c r="AA1497" s="145"/>
      <c r="AB1497" s="145"/>
      <c r="AC1497" s="145"/>
      <c r="AD1497" s="145"/>
      <c r="AE1497" s="145"/>
      <c r="AF1497" s="145"/>
      <c r="AG1497" s="145"/>
      <c r="AH1497" s="145"/>
      <c r="AI1497" s="145"/>
      <c r="AJ1497" s="145"/>
      <c r="AK1497" s="145"/>
      <c r="AL1497" s="145"/>
      <c r="AM1497" s="321"/>
      <c r="AN1497" s="321"/>
      <c r="AO1497" s="321"/>
      <c r="AP1497" s="321"/>
      <c r="AQ1497" s="321"/>
      <c r="AR1497" s="321"/>
      <c r="AS1497" s="321"/>
      <c r="AT1497" s="321"/>
    </row>
    <row r="1498" spans="10:46">
      <c r="J1498" s="145"/>
      <c r="K1498" s="145"/>
      <c r="L1498" s="145"/>
      <c r="M1498" s="145"/>
      <c r="N1498" s="145"/>
      <c r="O1498" s="145"/>
      <c r="P1498" s="145"/>
      <c r="Q1498" s="145"/>
      <c r="R1498" s="145"/>
      <c r="S1498" s="145"/>
      <c r="T1498" s="145"/>
      <c r="U1498" s="145"/>
      <c r="V1498" s="145"/>
      <c r="W1498" s="145"/>
      <c r="X1498" s="145"/>
      <c r="Y1498" s="145"/>
      <c r="Z1498" s="145"/>
      <c r="AA1498" s="145"/>
      <c r="AB1498" s="145"/>
      <c r="AC1498" s="145"/>
      <c r="AD1498" s="145"/>
      <c r="AE1498" s="145"/>
      <c r="AF1498" s="145"/>
      <c r="AG1498" s="145"/>
      <c r="AH1498" s="145"/>
      <c r="AI1498" s="145"/>
      <c r="AJ1498" s="145"/>
      <c r="AK1498" s="145"/>
      <c r="AL1498" s="145"/>
      <c r="AM1498" s="321"/>
      <c r="AN1498" s="321"/>
      <c r="AO1498" s="321"/>
      <c r="AP1498" s="321"/>
      <c r="AQ1498" s="321"/>
      <c r="AR1498" s="321"/>
      <c r="AS1498" s="321"/>
      <c r="AT1498" s="321"/>
    </row>
    <row r="1499" spans="10:46">
      <c r="J1499" s="145"/>
      <c r="K1499" s="145"/>
      <c r="L1499" s="145"/>
      <c r="M1499" s="145"/>
      <c r="N1499" s="145"/>
      <c r="O1499" s="145"/>
      <c r="P1499" s="145"/>
      <c r="Q1499" s="145"/>
      <c r="R1499" s="145"/>
      <c r="S1499" s="145"/>
      <c r="T1499" s="145"/>
      <c r="U1499" s="145"/>
      <c r="V1499" s="145"/>
      <c r="W1499" s="145"/>
      <c r="X1499" s="145"/>
      <c r="Y1499" s="145"/>
      <c r="Z1499" s="145"/>
      <c r="AA1499" s="145"/>
      <c r="AB1499" s="145"/>
      <c r="AC1499" s="145"/>
      <c r="AD1499" s="145"/>
      <c r="AE1499" s="145"/>
      <c r="AF1499" s="145"/>
      <c r="AG1499" s="145"/>
      <c r="AH1499" s="145"/>
      <c r="AI1499" s="145"/>
      <c r="AJ1499" s="145"/>
      <c r="AK1499" s="145"/>
      <c r="AL1499" s="145"/>
      <c r="AM1499" s="321"/>
      <c r="AN1499" s="321"/>
      <c r="AO1499" s="321"/>
      <c r="AP1499" s="321"/>
      <c r="AQ1499" s="321"/>
      <c r="AR1499" s="321"/>
      <c r="AS1499" s="321"/>
      <c r="AT1499" s="321"/>
    </row>
    <row r="1500" spans="10:46">
      <c r="J1500" s="145"/>
      <c r="K1500" s="145"/>
      <c r="L1500" s="145"/>
      <c r="M1500" s="145"/>
      <c r="N1500" s="145"/>
      <c r="O1500" s="145"/>
      <c r="P1500" s="145"/>
      <c r="Q1500" s="145"/>
      <c r="R1500" s="145"/>
      <c r="S1500" s="145"/>
      <c r="T1500" s="145"/>
      <c r="U1500" s="145"/>
      <c r="V1500" s="145"/>
      <c r="W1500" s="145"/>
      <c r="X1500" s="145"/>
      <c r="Y1500" s="145"/>
      <c r="Z1500" s="145"/>
      <c r="AA1500" s="145"/>
      <c r="AB1500" s="145"/>
      <c r="AC1500" s="145"/>
      <c r="AD1500" s="145"/>
      <c r="AE1500" s="145"/>
      <c r="AF1500" s="145"/>
      <c r="AG1500" s="145"/>
      <c r="AH1500" s="145"/>
      <c r="AI1500" s="145"/>
      <c r="AJ1500" s="145"/>
      <c r="AK1500" s="145"/>
      <c r="AL1500" s="145"/>
      <c r="AM1500" s="321"/>
      <c r="AN1500" s="321"/>
      <c r="AO1500" s="321"/>
      <c r="AP1500" s="321"/>
      <c r="AQ1500" s="321"/>
      <c r="AR1500" s="321"/>
      <c r="AS1500" s="321"/>
      <c r="AT1500" s="321"/>
    </row>
    <row r="1501" spans="10:46">
      <c r="J1501" s="145"/>
      <c r="K1501" s="145"/>
      <c r="L1501" s="145"/>
      <c r="M1501" s="145"/>
      <c r="N1501" s="145"/>
      <c r="O1501" s="145"/>
      <c r="P1501" s="145"/>
      <c r="Q1501" s="145"/>
      <c r="R1501" s="145"/>
      <c r="S1501" s="145"/>
      <c r="T1501" s="145"/>
      <c r="U1501" s="145"/>
      <c r="V1501" s="145"/>
      <c r="W1501" s="145"/>
      <c r="X1501" s="145"/>
      <c r="Y1501" s="145"/>
      <c r="Z1501" s="145"/>
      <c r="AA1501" s="145"/>
      <c r="AB1501" s="145"/>
      <c r="AC1501" s="145"/>
      <c r="AD1501" s="145"/>
      <c r="AE1501" s="145"/>
      <c r="AF1501" s="145"/>
      <c r="AG1501" s="145"/>
      <c r="AH1501" s="145"/>
      <c r="AI1501" s="145"/>
      <c r="AJ1501" s="145"/>
      <c r="AK1501" s="145"/>
      <c r="AL1501" s="145"/>
      <c r="AM1501" s="321"/>
      <c r="AN1501" s="321"/>
      <c r="AO1501" s="321"/>
      <c r="AP1501" s="321"/>
      <c r="AQ1501" s="321"/>
      <c r="AR1501" s="321"/>
      <c r="AS1501" s="321"/>
      <c r="AT1501" s="321"/>
    </row>
    <row r="1502" spans="10:46">
      <c r="J1502" s="145"/>
      <c r="K1502" s="145"/>
      <c r="L1502" s="145"/>
      <c r="M1502" s="145"/>
      <c r="N1502" s="145"/>
      <c r="O1502" s="145"/>
      <c r="P1502" s="145"/>
      <c r="Q1502" s="145"/>
      <c r="R1502" s="145"/>
      <c r="S1502" s="145"/>
      <c r="T1502" s="145"/>
      <c r="U1502" s="145"/>
      <c r="V1502" s="145"/>
      <c r="W1502" s="145"/>
      <c r="X1502" s="145"/>
      <c r="Y1502" s="145"/>
      <c r="Z1502" s="145"/>
      <c r="AA1502" s="145"/>
      <c r="AB1502" s="145"/>
      <c r="AC1502" s="145"/>
      <c r="AD1502" s="145"/>
      <c r="AE1502" s="145"/>
      <c r="AF1502" s="145"/>
      <c r="AG1502" s="145"/>
      <c r="AH1502" s="145"/>
      <c r="AI1502" s="145"/>
      <c r="AJ1502" s="145"/>
      <c r="AK1502" s="145"/>
      <c r="AL1502" s="145"/>
      <c r="AM1502" s="321"/>
      <c r="AN1502" s="321"/>
      <c r="AO1502" s="321"/>
      <c r="AP1502" s="321"/>
      <c r="AQ1502" s="321"/>
      <c r="AR1502" s="321"/>
      <c r="AS1502" s="321"/>
      <c r="AT1502" s="321"/>
    </row>
    <row r="1503" spans="10:46">
      <c r="J1503" s="145"/>
      <c r="K1503" s="145"/>
      <c r="L1503" s="145"/>
      <c r="M1503" s="145"/>
      <c r="N1503" s="145"/>
      <c r="O1503" s="145"/>
      <c r="P1503" s="145"/>
      <c r="Q1503" s="145"/>
      <c r="R1503" s="145"/>
      <c r="S1503" s="145"/>
      <c r="T1503" s="145"/>
      <c r="U1503" s="145"/>
      <c r="V1503" s="145"/>
      <c r="W1503" s="145"/>
      <c r="X1503" s="145"/>
      <c r="Y1503" s="145"/>
      <c r="Z1503" s="145"/>
      <c r="AA1503" s="145"/>
      <c r="AB1503" s="145"/>
      <c r="AC1503" s="145"/>
      <c r="AD1503" s="145"/>
      <c r="AE1503" s="145"/>
      <c r="AF1503" s="145"/>
      <c r="AG1503" s="145"/>
      <c r="AH1503" s="145"/>
      <c r="AI1503" s="145"/>
      <c r="AJ1503" s="145"/>
      <c r="AK1503" s="145"/>
      <c r="AL1503" s="145"/>
      <c r="AM1503" s="321"/>
      <c r="AN1503" s="321"/>
      <c r="AO1503" s="321"/>
      <c r="AP1503" s="321"/>
      <c r="AQ1503" s="321"/>
      <c r="AR1503" s="321"/>
      <c r="AS1503" s="321"/>
      <c r="AT1503" s="321"/>
    </row>
    <row r="1504" spans="10:46">
      <c r="J1504" s="145"/>
      <c r="K1504" s="145"/>
      <c r="L1504" s="145"/>
      <c r="M1504" s="145"/>
      <c r="N1504" s="145"/>
      <c r="O1504" s="145"/>
      <c r="P1504" s="145"/>
      <c r="Q1504" s="145"/>
      <c r="R1504" s="145"/>
      <c r="S1504" s="145"/>
      <c r="T1504" s="145"/>
      <c r="U1504" s="145"/>
      <c r="V1504" s="145"/>
      <c r="W1504" s="145"/>
      <c r="X1504" s="145"/>
      <c r="Y1504" s="145"/>
      <c r="Z1504" s="145"/>
      <c r="AA1504" s="145"/>
      <c r="AB1504" s="145"/>
      <c r="AC1504" s="145"/>
      <c r="AD1504" s="145"/>
      <c r="AE1504" s="145"/>
      <c r="AF1504" s="145"/>
      <c r="AG1504" s="145"/>
      <c r="AH1504" s="145"/>
      <c r="AI1504" s="145"/>
      <c r="AJ1504" s="145"/>
      <c r="AK1504" s="145"/>
      <c r="AL1504" s="145"/>
      <c r="AM1504" s="321"/>
      <c r="AN1504" s="321"/>
      <c r="AO1504" s="321"/>
      <c r="AP1504" s="321"/>
      <c r="AQ1504" s="321"/>
      <c r="AR1504" s="321"/>
      <c r="AS1504" s="321"/>
      <c r="AT1504" s="321"/>
    </row>
    <row r="1505" spans="10:46">
      <c r="J1505" s="145"/>
      <c r="K1505" s="145"/>
      <c r="L1505" s="145"/>
      <c r="M1505" s="145"/>
      <c r="N1505" s="145"/>
      <c r="O1505" s="145"/>
      <c r="P1505" s="145"/>
      <c r="Q1505" s="145"/>
      <c r="R1505" s="145"/>
      <c r="S1505" s="145"/>
      <c r="T1505" s="145"/>
      <c r="U1505" s="145"/>
      <c r="V1505" s="145"/>
      <c r="W1505" s="145"/>
      <c r="X1505" s="145"/>
      <c r="Y1505" s="145"/>
      <c r="Z1505" s="145"/>
      <c r="AA1505" s="145"/>
      <c r="AB1505" s="145"/>
      <c r="AC1505" s="145"/>
      <c r="AD1505" s="145"/>
      <c r="AE1505" s="145"/>
      <c r="AF1505" s="145"/>
      <c r="AG1505" s="145"/>
      <c r="AH1505" s="145"/>
      <c r="AI1505" s="145"/>
      <c r="AJ1505" s="145"/>
      <c r="AK1505" s="145"/>
      <c r="AL1505" s="145"/>
      <c r="AM1505" s="321"/>
      <c r="AN1505" s="321"/>
      <c r="AO1505" s="321"/>
      <c r="AP1505" s="321"/>
      <c r="AQ1505" s="321"/>
      <c r="AR1505" s="321"/>
      <c r="AS1505" s="321"/>
      <c r="AT1505" s="321"/>
    </row>
    <row r="1506" spans="10:46">
      <c r="J1506" s="145"/>
      <c r="K1506" s="145"/>
      <c r="L1506" s="145"/>
      <c r="M1506" s="145"/>
      <c r="N1506" s="145"/>
      <c r="O1506" s="145"/>
      <c r="P1506" s="145"/>
      <c r="Q1506" s="145"/>
      <c r="R1506" s="145"/>
      <c r="S1506" s="145"/>
      <c r="T1506" s="145"/>
      <c r="U1506" s="145"/>
      <c r="V1506" s="145"/>
      <c r="W1506" s="145"/>
      <c r="X1506" s="145"/>
      <c r="Y1506" s="145"/>
      <c r="Z1506" s="145"/>
      <c r="AA1506" s="145"/>
      <c r="AB1506" s="145"/>
      <c r="AC1506" s="145"/>
      <c r="AD1506" s="145"/>
      <c r="AE1506" s="145"/>
      <c r="AF1506" s="145"/>
      <c r="AG1506" s="145"/>
      <c r="AH1506" s="145"/>
      <c r="AI1506" s="145"/>
      <c r="AJ1506" s="145"/>
      <c r="AK1506" s="145"/>
      <c r="AL1506" s="145"/>
      <c r="AM1506" s="321"/>
      <c r="AN1506" s="321"/>
      <c r="AO1506" s="321"/>
      <c r="AP1506" s="321"/>
      <c r="AQ1506" s="321"/>
      <c r="AR1506" s="321"/>
      <c r="AS1506" s="321"/>
      <c r="AT1506" s="321"/>
    </row>
    <row r="1507" spans="10:46">
      <c r="J1507" s="145"/>
      <c r="K1507" s="145"/>
      <c r="L1507" s="145"/>
      <c r="M1507" s="145"/>
      <c r="N1507" s="145"/>
      <c r="O1507" s="145"/>
      <c r="P1507" s="145"/>
      <c r="Q1507" s="145"/>
      <c r="R1507" s="145"/>
      <c r="S1507" s="145"/>
      <c r="T1507" s="145"/>
      <c r="U1507" s="145"/>
      <c r="V1507" s="145"/>
      <c r="W1507" s="145"/>
      <c r="X1507" s="145"/>
      <c r="Y1507" s="145"/>
      <c r="Z1507" s="145"/>
      <c r="AA1507" s="145"/>
      <c r="AB1507" s="145"/>
      <c r="AC1507" s="145"/>
      <c r="AD1507" s="145"/>
      <c r="AE1507" s="145"/>
      <c r="AF1507" s="145"/>
      <c r="AG1507" s="145"/>
      <c r="AH1507" s="145"/>
      <c r="AI1507" s="145"/>
      <c r="AJ1507" s="145"/>
      <c r="AK1507" s="145"/>
      <c r="AL1507" s="145"/>
      <c r="AM1507" s="321"/>
      <c r="AN1507" s="321"/>
      <c r="AO1507" s="321"/>
      <c r="AP1507" s="321"/>
      <c r="AQ1507" s="321"/>
      <c r="AR1507" s="321"/>
      <c r="AS1507" s="321"/>
      <c r="AT1507" s="321"/>
    </row>
    <row r="1508" spans="10:46">
      <c r="J1508" s="145"/>
      <c r="K1508" s="145"/>
      <c r="L1508" s="145"/>
      <c r="M1508" s="145"/>
      <c r="N1508" s="145"/>
      <c r="O1508" s="145"/>
      <c r="P1508" s="145"/>
      <c r="Q1508" s="145"/>
      <c r="R1508" s="145"/>
      <c r="S1508" s="145"/>
      <c r="T1508" s="145"/>
      <c r="U1508" s="145"/>
      <c r="V1508" s="145"/>
      <c r="W1508" s="145"/>
      <c r="X1508" s="145"/>
      <c r="Y1508" s="145"/>
      <c r="Z1508" s="145"/>
      <c r="AA1508" s="145"/>
      <c r="AB1508" s="145"/>
      <c r="AC1508" s="145"/>
      <c r="AD1508" s="145"/>
      <c r="AE1508" s="145"/>
      <c r="AF1508" s="145"/>
      <c r="AG1508" s="145"/>
      <c r="AH1508" s="145"/>
      <c r="AI1508" s="145"/>
      <c r="AJ1508" s="145"/>
      <c r="AK1508" s="145"/>
      <c r="AL1508" s="145"/>
      <c r="AM1508" s="321"/>
      <c r="AN1508" s="321"/>
      <c r="AO1508" s="321"/>
      <c r="AP1508" s="321"/>
      <c r="AQ1508" s="321"/>
      <c r="AR1508" s="321"/>
      <c r="AS1508" s="321"/>
      <c r="AT1508" s="321"/>
    </row>
    <row r="1509" spans="10:46">
      <c r="J1509" s="145"/>
      <c r="K1509" s="145"/>
      <c r="L1509" s="145"/>
      <c r="M1509" s="145"/>
      <c r="N1509" s="145"/>
      <c r="O1509" s="145"/>
      <c r="P1509" s="145"/>
      <c r="Q1509" s="145"/>
      <c r="R1509" s="145"/>
      <c r="S1509" s="145"/>
      <c r="T1509" s="145"/>
      <c r="U1509" s="145"/>
      <c r="V1509" s="145"/>
      <c r="W1509" s="145"/>
      <c r="X1509" s="145"/>
      <c r="Y1509" s="145"/>
      <c r="Z1509" s="145"/>
      <c r="AA1509" s="145"/>
      <c r="AB1509" s="145"/>
      <c r="AC1509" s="145"/>
      <c r="AD1509" s="145"/>
      <c r="AE1509" s="145"/>
      <c r="AF1509" s="145"/>
      <c r="AG1509" s="145"/>
      <c r="AH1509" s="145"/>
      <c r="AI1509" s="145"/>
      <c r="AJ1509" s="145"/>
      <c r="AK1509" s="145"/>
      <c r="AL1509" s="145"/>
      <c r="AM1509" s="321"/>
      <c r="AN1509" s="321"/>
      <c r="AO1509" s="321"/>
      <c r="AP1509" s="321"/>
      <c r="AQ1509" s="321"/>
      <c r="AR1509" s="321"/>
      <c r="AS1509" s="321"/>
      <c r="AT1509" s="321"/>
    </row>
    <row r="1510" spans="10:46">
      <c r="J1510" s="145"/>
      <c r="K1510" s="145"/>
      <c r="L1510" s="145"/>
      <c r="M1510" s="145"/>
      <c r="N1510" s="145"/>
      <c r="O1510" s="145"/>
      <c r="P1510" s="145"/>
      <c r="Q1510" s="145"/>
      <c r="R1510" s="145"/>
      <c r="S1510" s="145"/>
      <c r="T1510" s="145"/>
      <c r="U1510" s="145"/>
      <c r="V1510" s="145"/>
      <c r="W1510" s="145"/>
      <c r="X1510" s="145"/>
      <c r="Y1510" s="145"/>
      <c r="Z1510" s="145"/>
      <c r="AA1510" s="145"/>
      <c r="AB1510" s="145"/>
      <c r="AC1510" s="145"/>
      <c r="AD1510" s="145"/>
      <c r="AE1510" s="145"/>
      <c r="AF1510" s="145"/>
      <c r="AG1510" s="145"/>
      <c r="AH1510" s="145"/>
      <c r="AI1510" s="145"/>
      <c r="AJ1510" s="145"/>
      <c r="AK1510" s="145"/>
      <c r="AL1510" s="145"/>
      <c r="AM1510" s="321"/>
      <c r="AN1510" s="321"/>
      <c r="AO1510" s="321"/>
      <c r="AP1510" s="321"/>
      <c r="AQ1510" s="321"/>
      <c r="AR1510" s="321"/>
      <c r="AS1510" s="321"/>
      <c r="AT1510" s="321"/>
    </row>
    <row r="1511" spans="10:46">
      <c r="J1511" s="145"/>
      <c r="K1511" s="145"/>
      <c r="L1511" s="145"/>
      <c r="M1511" s="145"/>
      <c r="N1511" s="145"/>
      <c r="O1511" s="145"/>
      <c r="P1511" s="145"/>
      <c r="Q1511" s="145"/>
      <c r="R1511" s="145"/>
      <c r="S1511" s="145"/>
      <c r="T1511" s="145"/>
      <c r="U1511" s="145"/>
      <c r="V1511" s="145"/>
      <c r="W1511" s="145"/>
      <c r="X1511" s="145"/>
      <c r="Y1511" s="145"/>
      <c r="Z1511" s="145"/>
      <c r="AA1511" s="145"/>
      <c r="AB1511" s="145"/>
      <c r="AC1511" s="145"/>
      <c r="AD1511" s="145"/>
      <c r="AE1511" s="145"/>
      <c r="AF1511" s="145"/>
      <c r="AG1511" s="145"/>
      <c r="AH1511" s="145"/>
      <c r="AI1511" s="145"/>
      <c r="AJ1511" s="145"/>
      <c r="AK1511" s="145"/>
      <c r="AL1511" s="145"/>
      <c r="AM1511" s="321"/>
      <c r="AN1511" s="321"/>
      <c r="AO1511" s="321"/>
      <c r="AP1511" s="321"/>
      <c r="AQ1511" s="321"/>
      <c r="AR1511" s="321"/>
      <c r="AS1511" s="321"/>
      <c r="AT1511" s="321"/>
    </row>
    <row r="1512" spans="10:46">
      <c r="J1512" s="145"/>
      <c r="K1512" s="145"/>
      <c r="L1512" s="145"/>
      <c r="M1512" s="145"/>
      <c r="N1512" s="145"/>
      <c r="O1512" s="145"/>
      <c r="P1512" s="145"/>
      <c r="Q1512" s="145"/>
      <c r="R1512" s="145"/>
      <c r="S1512" s="145"/>
      <c r="T1512" s="145"/>
      <c r="U1512" s="145"/>
      <c r="V1512" s="145"/>
      <c r="W1512" s="145"/>
      <c r="X1512" s="145"/>
      <c r="Y1512" s="145"/>
      <c r="Z1512" s="145"/>
      <c r="AA1512" s="145"/>
      <c r="AB1512" s="145"/>
      <c r="AC1512" s="145"/>
      <c r="AD1512" s="145"/>
      <c r="AE1512" s="145"/>
      <c r="AF1512" s="145"/>
      <c r="AG1512" s="145"/>
      <c r="AH1512" s="145"/>
      <c r="AI1512" s="145"/>
      <c r="AJ1512" s="145"/>
      <c r="AK1512" s="145"/>
      <c r="AL1512" s="145"/>
      <c r="AM1512" s="321"/>
      <c r="AN1512" s="321"/>
      <c r="AO1512" s="321"/>
      <c r="AP1512" s="321"/>
      <c r="AQ1512" s="321"/>
      <c r="AR1512" s="321"/>
      <c r="AS1512" s="321"/>
      <c r="AT1512" s="321"/>
    </row>
    <row r="1513" spans="10:46">
      <c r="J1513" s="145"/>
      <c r="K1513" s="145"/>
      <c r="L1513" s="145"/>
      <c r="M1513" s="145"/>
      <c r="N1513" s="145"/>
      <c r="O1513" s="145"/>
      <c r="P1513" s="145"/>
      <c r="Q1513" s="145"/>
      <c r="R1513" s="145"/>
      <c r="S1513" s="145"/>
      <c r="T1513" s="145"/>
      <c r="U1513" s="145"/>
      <c r="V1513" s="145"/>
      <c r="W1513" s="145"/>
      <c r="X1513" s="145"/>
      <c r="Y1513" s="145"/>
      <c r="Z1513" s="145"/>
      <c r="AA1513" s="145"/>
      <c r="AB1513" s="145"/>
      <c r="AC1513" s="145"/>
      <c r="AD1513" s="145"/>
      <c r="AE1513" s="145"/>
      <c r="AF1513" s="145"/>
      <c r="AG1513" s="145"/>
      <c r="AH1513" s="145"/>
      <c r="AI1513" s="145"/>
      <c r="AJ1513" s="145"/>
      <c r="AK1513" s="145"/>
      <c r="AL1513" s="145"/>
      <c r="AM1513" s="321"/>
      <c r="AN1513" s="321"/>
      <c r="AO1513" s="321"/>
      <c r="AP1513" s="321"/>
      <c r="AQ1513" s="321"/>
      <c r="AR1513" s="321"/>
      <c r="AS1513" s="321"/>
      <c r="AT1513" s="321"/>
    </row>
    <row r="1514" spans="10:46">
      <c r="J1514" s="145"/>
      <c r="K1514" s="145"/>
      <c r="L1514" s="145"/>
      <c r="M1514" s="145"/>
      <c r="N1514" s="145"/>
      <c r="O1514" s="145"/>
      <c r="P1514" s="145"/>
      <c r="Q1514" s="145"/>
      <c r="R1514" s="145"/>
      <c r="S1514" s="145"/>
      <c r="T1514" s="145"/>
      <c r="U1514" s="145"/>
      <c r="V1514" s="145"/>
      <c r="W1514" s="145"/>
      <c r="X1514" s="145"/>
      <c r="Y1514" s="145"/>
      <c r="Z1514" s="145"/>
      <c r="AA1514" s="145"/>
      <c r="AB1514" s="145"/>
      <c r="AC1514" s="145"/>
      <c r="AD1514" s="145"/>
      <c r="AE1514" s="145"/>
      <c r="AF1514" s="145"/>
      <c r="AG1514" s="145"/>
      <c r="AH1514" s="145"/>
      <c r="AI1514" s="145"/>
      <c r="AJ1514" s="145"/>
      <c r="AK1514" s="145"/>
      <c r="AL1514" s="145"/>
      <c r="AM1514" s="321"/>
      <c r="AN1514" s="321"/>
      <c r="AO1514" s="321"/>
      <c r="AP1514" s="321"/>
      <c r="AQ1514" s="321"/>
      <c r="AR1514" s="321"/>
      <c r="AS1514" s="321"/>
      <c r="AT1514" s="321"/>
    </row>
    <row r="1515" spans="10:46">
      <c r="J1515" s="145"/>
      <c r="K1515" s="145"/>
      <c r="L1515" s="145"/>
      <c r="M1515" s="145"/>
      <c r="N1515" s="145"/>
      <c r="O1515" s="145"/>
      <c r="P1515" s="145"/>
      <c r="Q1515" s="145"/>
      <c r="R1515" s="145"/>
      <c r="S1515" s="145"/>
      <c r="T1515" s="145"/>
      <c r="U1515" s="145"/>
      <c r="V1515" s="145"/>
      <c r="W1515" s="145"/>
      <c r="X1515" s="145"/>
      <c r="Y1515" s="145"/>
      <c r="Z1515" s="145"/>
      <c r="AA1515" s="145"/>
      <c r="AB1515" s="145"/>
      <c r="AC1515" s="145"/>
      <c r="AD1515" s="145"/>
      <c r="AE1515" s="145"/>
      <c r="AF1515" s="145"/>
      <c r="AG1515" s="145"/>
      <c r="AH1515" s="145"/>
      <c r="AI1515" s="145"/>
      <c r="AJ1515" s="145"/>
      <c r="AK1515" s="145"/>
      <c r="AL1515" s="145"/>
      <c r="AM1515" s="321"/>
      <c r="AN1515" s="321"/>
      <c r="AO1515" s="321"/>
      <c r="AP1515" s="321"/>
      <c r="AQ1515" s="321"/>
      <c r="AR1515" s="321"/>
      <c r="AS1515" s="321"/>
      <c r="AT1515" s="321"/>
    </row>
    <row r="1516" spans="10:46">
      <c r="J1516" s="145"/>
      <c r="K1516" s="145"/>
      <c r="L1516" s="145"/>
      <c r="M1516" s="145"/>
      <c r="N1516" s="145"/>
      <c r="O1516" s="145"/>
      <c r="P1516" s="145"/>
      <c r="Q1516" s="145"/>
      <c r="R1516" s="145"/>
      <c r="S1516" s="145"/>
      <c r="T1516" s="145"/>
      <c r="U1516" s="145"/>
      <c r="V1516" s="145"/>
      <c r="W1516" s="145"/>
      <c r="X1516" s="145"/>
      <c r="Y1516" s="145"/>
      <c r="Z1516" s="145"/>
      <c r="AA1516" s="145"/>
      <c r="AB1516" s="145"/>
      <c r="AC1516" s="145"/>
      <c r="AD1516" s="145"/>
      <c r="AE1516" s="145"/>
      <c r="AF1516" s="145"/>
      <c r="AG1516" s="145"/>
      <c r="AH1516" s="145"/>
      <c r="AI1516" s="145"/>
      <c r="AJ1516" s="145"/>
      <c r="AK1516" s="145"/>
      <c r="AL1516" s="145"/>
      <c r="AM1516" s="321"/>
      <c r="AN1516" s="321"/>
      <c r="AO1516" s="321"/>
      <c r="AP1516" s="321"/>
      <c r="AQ1516" s="321"/>
      <c r="AR1516" s="321"/>
      <c r="AS1516" s="321"/>
      <c r="AT1516" s="321"/>
    </row>
    <row r="1517" spans="10:46">
      <c r="J1517" s="145"/>
      <c r="K1517" s="145"/>
      <c r="L1517" s="145"/>
      <c r="M1517" s="145"/>
      <c r="N1517" s="145"/>
      <c r="O1517" s="145"/>
      <c r="P1517" s="145"/>
      <c r="Q1517" s="145"/>
      <c r="R1517" s="145"/>
      <c r="S1517" s="145"/>
      <c r="T1517" s="145"/>
      <c r="U1517" s="145"/>
      <c r="V1517" s="145"/>
      <c r="W1517" s="145"/>
      <c r="X1517" s="145"/>
      <c r="Y1517" s="145"/>
      <c r="Z1517" s="145"/>
      <c r="AA1517" s="145"/>
      <c r="AB1517" s="145"/>
      <c r="AC1517" s="145"/>
      <c r="AD1517" s="145"/>
      <c r="AE1517" s="145"/>
      <c r="AF1517" s="145"/>
      <c r="AG1517" s="145"/>
      <c r="AH1517" s="145"/>
      <c r="AI1517" s="145"/>
      <c r="AJ1517" s="145"/>
      <c r="AK1517" s="145"/>
      <c r="AL1517" s="145"/>
      <c r="AM1517" s="321"/>
      <c r="AN1517" s="321"/>
      <c r="AO1517" s="321"/>
      <c r="AP1517" s="321"/>
      <c r="AQ1517" s="321"/>
      <c r="AR1517" s="321"/>
      <c r="AS1517" s="321"/>
      <c r="AT1517" s="321"/>
    </row>
    <row r="1518" spans="10:46">
      <c r="J1518" s="145"/>
      <c r="K1518" s="145"/>
      <c r="L1518" s="145"/>
      <c r="M1518" s="145"/>
      <c r="N1518" s="145"/>
      <c r="O1518" s="145"/>
      <c r="P1518" s="145"/>
      <c r="Q1518" s="145"/>
      <c r="R1518" s="145"/>
      <c r="S1518" s="145"/>
      <c r="T1518" s="145"/>
      <c r="U1518" s="145"/>
      <c r="V1518" s="145"/>
      <c r="W1518" s="145"/>
      <c r="X1518" s="145"/>
      <c r="Y1518" s="145"/>
      <c r="Z1518" s="145"/>
      <c r="AA1518" s="145"/>
      <c r="AB1518" s="145"/>
      <c r="AC1518" s="145"/>
      <c r="AD1518" s="145"/>
      <c r="AE1518" s="145"/>
      <c r="AF1518" s="145"/>
      <c r="AG1518" s="145"/>
      <c r="AH1518" s="145"/>
      <c r="AI1518" s="145"/>
      <c r="AJ1518" s="145"/>
      <c r="AK1518" s="145"/>
      <c r="AL1518" s="145"/>
      <c r="AM1518" s="321"/>
      <c r="AN1518" s="321"/>
      <c r="AO1518" s="321"/>
      <c r="AP1518" s="321"/>
      <c r="AQ1518" s="321"/>
      <c r="AR1518" s="321"/>
      <c r="AS1518" s="321"/>
      <c r="AT1518" s="321"/>
    </row>
    <row r="1519" spans="10:46">
      <c r="J1519" s="145"/>
      <c r="K1519" s="145"/>
      <c r="L1519" s="145"/>
      <c r="M1519" s="145"/>
      <c r="N1519" s="145"/>
      <c r="O1519" s="145"/>
      <c r="P1519" s="145"/>
      <c r="Q1519" s="145"/>
      <c r="R1519" s="145"/>
      <c r="S1519" s="145"/>
      <c r="T1519" s="145"/>
      <c r="U1519" s="145"/>
      <c r="V1519" s="145"/>
      <c r="W1519" s="145"/>
      <c r="X1519" s="145"/>
      <c r="Y1519" s="145"/>
      <c r="Z1519" s="145"/>
      <c r="AA1519" s="145"/>
      <c r="AB1519" s="145"/>
      <c r="AC1519" s="145"/>
      <c r="AD1519" s="145"/>
      <c r="AE1519" s="145"/>
      <c r="AF1519" s="145"/>
      <c r="AG1519" s="145"/>
      <c r="AH1519" s="145"/>
      <c r="AI1519" s="145"/>
      <c r="AJ1519" s="145"/>
      <c r="AK1519" s="145"/>
      <c r="AL1519" s="145"/>
      <c r="AM1519" s="321"/>
      <c r="AN1519" s="321"/>
      <c r="AO1519" s="321"/>
      <c r="AP1519" s="321"/>
      <c r="AQ1519" s="321"/>
      <c r="AR1519" s="321"/>
      <c r="AS1519" s="321"/>
      <c r="AT1519" s="321"/>
    </row>
    <row r="1520" spans="10:46">
      <c r="J1520" s="145"/>
      <c r="K1520" s="145"/>
      <c r="L1520" s="145"/>
      <c r="M1520" s="145"/>
      <c r="N1520" s="145"/>
      <c r="O1520" s="145"/>
      <c r="P1520" s="145"/>
      <c r="Q1520" s="145"/>
      <c r="R1520" s="145"/>
      <c r="S1520" s="145"/>
      <c r="T1520" s="145"/>
      <c r="U1520" s="145"/>
      <c r="V1520" s="145"/>
      <c r="W1520" s="145"/>
      <c r="X1520" s="145"/>
      <c r="Y1520" s="145"/>
      <c r="Z1520" s="145"/>
      <c r="AA1520" s="145"/>
      <c r="AB1520" s="145"/>
      <c r="AC1520" s="145"/>
      <c r="AD1520" s="145"/>
      <c r="AE1520" s="145"/>
      <c r="AF1520" s="145"/>
      <c r="AG1520" s="145"/>
      <c r="AH1520" s="145"/>
      <c r="AI1520" s="145"/>
      <c r="AJ1520" s="145"/>
      <c r="AK1520" s="145"/>
      <c r="AL1520" s="145"/>
      <c r="AM1520" s="321"/>
      <c r="AN1520" s="321"/>
      <c r="AO1520" s="321"/>
      <c r="AP1520" s="321"/>
      <c r="AQ1520" s="321"/>
      <c r="AR1520" s="321"/>
      <c r="AS1520" s="321"/>
      <c r="AT1520" s="321"/>
    </row>
    <row r="1521" spans="10:46">
      <c r="J1521" s="145"/>
      <c r="K1521" s="145"/>
      <c r="L1521" s="145"/>
      <c r="M1521" s="145"/>
      <c r="N1521" s="145"/>
      <c r="O1521" s="145"/>
      <c r="P1521" s="145"/>
      <c r="Q1521" s="145"/>
      <c r="R1521" s="145"/>
      <c r="S1521" s="145"/>
      <c r="T1521" s="145"/>
      <c r="U1521" s="145"/>
      <c r="V1521" s="145"/>
      <c r="W1521" s="145"/>
      <c r="X1521" s="145"/>
      <c r="Y1521" s="145"/>
      <c r="Z1521" s="145"/>
      <c r="AA1521" s="145"/>
      <c r="AB1521" s="145"/>
      <c r="AC1521" s="145"/>
      <c r="AD1521" s="145"/>
      <c r="AE1521" s="145"/>
      <c r="AF1521" s="145"/>
      <c r="AG1521" s="145"/>
      <c r="AH1521" s="145"/>
      <c r="AI1521" s="145"/>
      <c r="AJ1521" s="145"/>
      <c r="AK1521" s="145"/>
      <c r="AL1521" s="145"/>
      <c r="AM1521" s="321"/>
      <c r="AN1521" s="321"/>
      <c r="AO1521" s="321"/>
      <c r="AP1521" s="321"/>
      <c r="AQ1521" s="321"/>
      <c r="AR1521" s="321"/>
      <c r="AS1521" s="321"/>
      <c r="AT1521" s="321"/>
    </row>
    <row r="1522" spans="10:46">
      <c r="J1522" s="145"/>
      <c r="K1522" s="145"/>
      <c r="L1522" s="145"/>
      <c r="M1522" s="145"/>
      <c r="N1522" s="145"/>
      <c r="O1522" s="145"/>
      <c r="P1522" s="145"/>
      <c r="Q1522" s="145"/>
      <c r="R1522" s="145"/>
      <c r="S1522" s="145"/>
      <c r="T1522" s="145"/>
      <c r="U1522" s="145"/>
      <c r="V1522" s="145"/>
      <c r="W1522" s="145"/>
      <c r="X1522" s="145"/>
      <c r="Y1522" s="145"/>
      <c r="Z1522" s="145"/>
      <c r="AA1522" s="145"/>
      <c r="AB1522" s="145"/>
      <c r="AC1522" s="145"/>
      <c r="AD1522" s="145"/>
      <c r="AE1522" s="145"/>
      <c r="AF1522" s="145"/>
      <c r="AG1522" s="145"/>
      <c r="AH1522" s="145"/>
      <c r="AI1522" s="145"/>
      <c r="AJ1522" s="145"/>
      <c r="AK1522" s="145"/>
      <c r="AL1522" s="145"/>
      <c r="AM1522" s="321"/>
      <c r="AN1522" s="321"/>
      <c r="AO1522" s="321"/>
      <c r="AP1522" s="321"/>
      <c r="AQ1522" s="321"/>
      <c r="AR1522" s="321"/>
      <c r="AS1522" s="321"/>
      <c r="AT1522" s="321"/>
    </row>
    <row r="1523" spans="10:46">
      <c r="J1523" s="145"/>
      <c r="K1523" s="145"/>
      <c r="L1523" s="145"/>
      <c r="M1523" s="145"/>
      <c r="N1523" s="145"/>
      <c r="O1523" s="145"/>
      <c r="P1523" s="145"/>
      <c r="Q1523" s="145"/>
      <c r="R1523" s="145"/>
      <c r="S1523" s="145"/>
      <c r="T1523" s="145"/>
      <c r="U1523" s="145"/>
      <c r="V1523" s="145"/>
      <c r="W1523" s="145"/>
      <c r="X1523" s="145"/>
      <c r="Y1523" s="145"/>
      <c r="Z1523" s="145"/>
      <c r="AA1523" s="145"/>
      <c r="AB1523" s="145"/>
      <c r="AC1523" s="145"/>
      <c r="AD1523" s="145"/>
      <c r="AE1523" s="145"/>
      <c r="AF1523" s="145"/>
      <c r="AG1523" s="145"/>
      <c r="AH1523" s="145"/>
      <c r="AI1523" s="145"/>
      <c r="AJ1523" s="145"/>
      <c r="AK1523" s="145"/>
      <c r="AL1523" s="145"/>
      <c r="AM1523" s="321"/>
      <c r="AN1523" s="321"/>
      <c r="AO1523" s="321"/>
      <c r="AP1523" s="321"/>
      <c r="AQ1523" s="321"/>
      <c r="AR1523" s="321"/>
      <c r="AS1523" s="321"/>
      <c r="AT1523" s="321"/>
    </row>
    <row r="1524" spans="10:46">
      <c r="J1524" s="145"/>
      <c r="K1524" s="145"/>
      <c r="L1524" s="145"/>
      <c r="M1524" s="145"/>
      <c r="N1524" s="145"/>
      <c r="O1524" s="145"/>
      <c r="P1524" s="145"/>
      <c r="Q1524" s="145"/>
      <c r="R1524" s="145"/>
      <c r="S1524" s="145"/>
      <c r="T1524" s="145"/>
      <c r="U1524" s="145"/>
      <c r="V1524" s="145"/>
      <c r="W1524" s="145"/>
      <c r="X1524" s="145"/>
      <c r="Y1524" s="145"/>
      <c r="Z1524" s="145"/>
      <c r="AA1524" s="145"/>
      <c r="AB1524" s="145"/>
      <c r="AC1524" s="145"/>
      <c r="AD1524" s="145"/>
      <c r="AE1524" s="145"/>
      <c r="AF1524" s="145"/>
      <c r="AG1524" s="145"/>
      <c r="AH1524" s="145"/>
      <c r="AI1524" s="145"/>
      <c r="AJ1524" s="145"/>
      <c r="AK1524" s="145"/>
      <c r="AL1524" s="145"/>
      <c r="AM1524" s="321"/>
      <c r="AN1524" s="321"/>
      <c r="AO1524" s="321"/>
      <c r="AP1524" s="321"/>
      <c r="AQ1524" s="321"/>
      <c r="AR1524" s="321"/>
      <c r="AS1524" s="321"/>
      <c r="AT1524" s="321"/>
    </row>
    <row r="1525" spans="10:46">
      <c r="J1525" s="145"/>
      <c r="K1525" s="145"/>
      <c r="L1525" s="145"/>
      <c r="M1525" s="145"/>
      <c r="N1525" s="145"/>
      <c r="O1525" s="145"/>
      <c r="P1525" s="145"/>
      <c r="Q1525" s="145"/>
      <c r="R1525" s="145"/>
      <c r="S1525" s="145"/>
      <c r="T1525" s="145"/>
      <c r="U1525" s="145"/>
      <c r="V1525" s="145"/>
      <c r="W1525" s="145"/>
      <c r="X1525" s="145"/>
      <c r="Y1525" s="145"/>
      <c r="Z1525" s="145"/>
      <c r="AA1525" s="145"/>
      <c r="AB1525" s="145"/>
      <c r="AC1525" s="145"/>
      <c r="AD1525" s="145"/>
      <c r="AE1525" s="145"/>
      <c r="AF1525" s="145"/>
      <c r="AG1525" s="145"/>
      <c r="AH1525" s="145"/>
      <c r="AI1525" s="145"/>
      <c r="AJ1525" s="145"/>
      <c r="AK1525" s="145"/>
      <c r="AL1525" s="145"/>
      <c r="AM1525" s="321"/>
      <c r="AN1525" s="321"/>
      <c r="AO1525" s="321"/>
      <c r="AP1525" s="321"/>
      <c r="AQ1525" s="321"/>
      <c r="AR1525" s="321"/>
      <c r="AS1525" s="321"/>
      <c r="AT1525" s="321"/>
    </row>
    <row r="1526" spans="10:46">
      <c r="J1526" s="145"/>
      <c r="K1526" s="145"/>
      <c r="L1526" s="145"/>
      <c r="M1526" s="145"/>
      <c r="N1526" s="145"/>
      <c r="O1526" s="145"/>
      <c r="P1526" s="145"/>
      <c r="Q1526" s="145"/>
      <c r="R1526" s="145"/>
      <c r="S1526" s="145"/>
      <c r="T1526" s="145"/>
      <c r="U1526" s="145"/>
      <c r="V1526" s="145"/>
      <c r="W1526" s="145"/>
      <c r="X1526" s="145"/>
      <c r="Y1526" s="145"/>
      <c r="Z1526" s="145"/>
      <c r="AA1526" s="145"/>
      <c r="AB1526" s="145"/>
      <c r="AC1526" s="145"/>
      <c r="AD1526" s="145"/>
      <c r="AE1526" s="145"/>
      <c r="AF1526" s="145"/>
      <c r="AG1526" s="145"/>
      <c r="AH1526" s="145"/>
      <c r="AI1526" s="145"/>
      <c r="AJ1526" s="145"/>
      <c r="AK1526" s="145"/>
      <c r="AL1526" s="145"/>
      <c r="AM1526" s="321"/>
      <c r="AN1526" s="321"/>
      <c r="AO1526" s="321"/>
      <c r="AP1526" s="321"/>
      <c r="AQ1526" s="321"/>
      <c r="AR1526" s="321"/>
      <c r="AS1526" s="321"/>
      <c r="AT1526" s="321"/>
    </row>
    <row r="1527" spans="10:46">
      <c r="J1527" s="145"/>
      <c r="K1527" s="145"/>
      <c r="L1527" s="145"/>
      <c r="M1527" s="145"/>
      <c r="N1527" s="145"/>
      <c r="O1527" s="145"/>
      <c r="P1527" s="145"/>
      <c r="Q1527" s="145"/>
      <c r="R1527" s="145"/>
      <c r="S1527" s="145"/>
      <c r="T1527" s="145"/>
      <c r="U1527" s="145"/>
      <c r="V1527" s="145"/>
      <c r="W1527" s="145"/>
      <c r="X1527" s="145"/>
      <c r="Y1527" s="145"/>
      <c r="Z1527" s="145"/>
      <c r="AA1527" s="145"/>
      <c r="AB1527" s="145"/>
      <c r="AC1527" s="145"/>
      <c r="AD1527" s="145"/>
      <c r="AE1527" s="145"/>
      <c r="AF1527" s="145"/>
      <c r="AG1527" s="145"/>
      <c r="AH1527" s="145"/>
      <c r="AI1527" s="145"/>
      <c r="AJ1527" s="145"/>
      <c r="AK1527" s="145"/>
      <c r="AL1527" s="145"/>
      <c r="AM1527" s="321"/>
      <c r="AN1527" s="321"/>
      <c r="AO1527" s="321"/>
      <c r="AP1527" s="321"/>
      <c r="AQ1527" s="321"/>
      <c r="AR1527" s="321"/>
      <c r="AS1527" s="321"/>
      <c r="AT1527" s="321"/>
    </row>
    <row r="1528" spans="10:46">
      <c r="J1528" s="145"/>
      <c r="K1528" s="145"/>
      <c r="L1528" s="145"/>
      <c r="M1528" s="145"/>
      <c r="N1528" s="145"/>
      <c r="O1528" s="145"/>
      <c r="P1528" s="145"/>
      <c r="Q1528" s="145"/>
      <c r="R1528" s="145"/>
      <c r="S1528" s="145"/>
      <c r="T1528" s="145"/>
      <c r="U1528" s="145"/>
      <c r="V1528" s="145"/>
      <c r="W1528" s="145"/>
      <c r="X1528" s="145"/>
      <c r="Y1528" s="145"/>
      <c r="Z1528" s="145"/>
      <c r="AA1528" s="145"/>
      <c r="AB1528" s="145"/>
      <c r="AC1528" s="145"/>
      <c r="AD1528" s="145"/>
      <c r="AE1528" s="145"/>
      <c r="AF1528" s="145"/>
      <c r="AG1528" s="145"/>
      <c r="AH1528" s="145"/>
      <c r="AI1528" s="145"/>
      <c r="AJ1528" s="145"/>
      <c r="AK1528" s="145"/>
      <c r="AL1528" s="145"/>
      <c r="AM1528" s="321"/>
      <c r="AN1528" s="321"/>
      <c r="AO1528" s="321"/>
      <c r="AP1528" s="321"/>
      <c r="AQ1528" s="321"/>
      <c r="AR1528" s="321"/>
      <c r="AS1528" s="321"/>
      <c r="AT1528" s="321"/>
    </row>
    <row r="1529" spans="10:46">
      <c r="J1529" s="145"/>
      <c r="K1529" s="145"/>
      <c r="L1529" s="145"/>
      <c r="M1529" s="145"/>
      <c r="N1529" s="145"/>
      <c r="O1529" s="145"/>
      <c r="P1529" s="145"/>
      <c r="Q1529" s="145"/>
      <c r="R1529" s="145"/>
      <c r="S1529" s="145"/>
      <c r="T1529" s="145"/>
      <c r="U1529" s="145"/>
      <c r="V1529" s="145"/>
      <c r="W1529" s="145"/>
      <c r="X1529" s="145"/>
      <c r="Y1529" s="145"/>
      <c r="Z1529" s="145"/>
      <c r="AA1529" s="145"/>
      <c r="AB1529" s="145"/>
      <c r="AC1529" s="145"/>
      <c r="AD1529" s="145"/>
      <c r="AE1529" s="145"/>
      <c r="AF1529" s="145"/>
      <c r="AG1529" s="145"/>
      <c r="AH1529" s="145"/>
      <c r="AI1529" s="145"/>
      <c r="AJ1529" s="145"/>
      <c r="AK1529" s="145"/>
      <c r="AL1529" s="145"/>
      <c r="AM1529" s="321"/>
      <c r="AN1529" s="321"/>
      <c r="AO1529" s="321"/>
      <c r="AP1529" s="321"/>
      <c r="AQ1529" s="321"/>
      <c r="AR1529" s="321"/>
      <c r="AS1529" s="321"/>
      <c r="AT1529" s="321"/>
    </row>
    <row r="1530" spans="10:46">
      <c r="J1530" s="145"/>
      <c r="K1530" s="145"/>
      <c r="L1530" s="145"/>
      <c r="M1530" s="145"/>
      <c r="N1530" s="145"/>
      <c r="O1530" s="145"/>
      <c r="P1530" s="145"/>
      <c r="Q1530" s="145"/>
      <c r="R1530" s="145"/>
      <c r="S1530" s="145"/>
      <c r="T1530" s="145"/>
      <c r="U1530" s="145"/>
      <c r="V1530" s="145"/>
      <c r="W1530" s="145"/>
      <c r="X1530" s="145"/>
      <c r="Y1530" s="145"/>
      <c r="Z1530" s="145"/>
      <c r="AA1530" s="145"/>
      <c r="AB1530" s="145"/>
      <c r="AC1530" s="145"/>
      <c r="AD1530" s="145"/>
      <c r="AE1530" s="145"/>
      <c r="AF1530" s="145"/>
      <c r="AG1530" s="145"/>
      <c r="AH1530" s="145"/>
      <c r="AI1530" s="145"/>
      <c r="AJ1530" s="145"/>
      <c r="AK1530" s="145"/>
      <c r="AL1530" s="145"/>
      <c r="AM1530" s="321"/>
      <c r="AN1530" s="321"/>
      <c r="AO1530" s="321"/>
      <c r="AP1530" s="321"/>
      <c r="AQ1530" s="321"/>
      <c r="AR1530" s="321"/>
      <c r="AS1530" s="321"/>
      <c r="AT1530" s="321"/>
    </row>
    <row r="1531" spans="10:46">
      <c r="J1531" s="145"/>
      <c r="K1531" s="145"/>
      <c r="L1531" s="145"/>
      <c r="M1531" s="145"/>
      <c r="N1531" s="145"/>
      <c r="O1531" s="145"/>
      <c r="P1531" s="145"/>
      <c r="Q1531" s="145"/>
      <c r="R1531" s="145"/>
      <c r="S1531" s="145"/>
      <c r="T1531" s="145"/>
      <c r="U1531" s="145"/>
      <c r="V1531" s="145"/>
      <c r="W1531" s="145"/>
      <c r="X1531" s="145"/>
      <c r="Y1531" s="145"/>
      <c r="Z1531" s="145"/>
      <c r="AA1531" s="145"/>
      <c r="AB1531" s="145"/>
      <c r="AC1531" s="145"/>
      <c r="AD1531" s="145"/>
      <c r="AE1531" s="145"/>
      <c r="AF1531" s="145"/>
      <c r="AG1531" s="145"/>
      <c r="AH1531" s="145"/>
      <c r="AI1531" s="145"/>
      <c r="AJ1531" s="145"/>
      <c r="AK1531" s="145"/>
      <c r="AL1531" s="145"/>
      <c r="AM1531" s="321"/>
      <c r="AN1531" s="321"/>
      <c r="AO1531" s="321"/>
      <c r="AP1531" s="321"/>
      <c r="AQ1531" s="321"/>
      <c r="AR1531" s="321"/>
      <c r="AS1531" s="321"/>
      <c r="AT1531" s="321"/>
    </row>
    <row r="1532" spans="10:46">
      <c r="J1532" s="145"/>
      <c r="K1532" s="145"/>
      <c r="L1532" s="145"/>
      <c r="M1532" s="145"/>
      <c r="N1532" s="145"/>
      <c r="O1532" s="145"/>
      <c r="P1532" s="145"/>
      <c r="Q1532" s="145"/>
      <c r="R1532" s="145"/>
      <c r="S1532" s="145"/>
      <c r="T1532" s="145"/>
      <c r="U1532" s="145"/>
      <c r="V1532" s="145"/>
      <c r="W1532" s="145"/>
      <c r="X1532" s="145"/>
      <c r="Y1532" s="145"/>
      <c r="Z1532" s="145"/>
      <c r="AA1532" s="145"/>
      <c r="AB1532" s="145"/>
      <c r="AC1532" s="145"/>
      <c r="AD1532" s="145"/>
      <c r="AE1532" s="145"/>
      <c r="AF1532" s="145"/>
      <c r="AG1532" s="145"/>
      <c r="AH1532" s="145"/>
      <c r="AI1532" s="145"/>
      <c r="AJ1532" s="145"/>
      <c r="AK1532" s="145"/>
      <c r="AL1532" s="145"/>
      <c r="AM1532" s="321"/>
      <c r="AN1532" s="321"/>
      <c r="AO1532" s="321"/>
      <c r="AP1532" s="321"/>
      <c r="AQ1532" s="321"/>
      <c r="AR1532" s="321"/>
      <c r="AS1532" s="321"/>
      <c r="AT1532" s="321"/>
    </row>
    <row r="1533" spans="10:46">
      <c r="J1533" s="145"/>
      <c r="K1533" s="145"/>
      <c r="L1533" s="145"/>
      <c r="M1533" s="145"/>
      <c r="N1533" s="145"/>
      <c r="O1533" s="145"/>
      <c r="P1533" s="145"/>
      <c r="Q1533" s="145"/>
      <c r="R1533" s="145"/>
      <c r="S1533" s="145"/>
      <c r="T1533" s="145"/>
      <c r="U1533" s="145"/>
      <c r="V1533" s="145"/>
      <c r="W1533" s="145"/>
      <c r="X1533" s="145"/>
      <c r="Y1533" s="145"/>
      <c r="Z1533" s="145"/>
      <c r="AA1533" s="145"/>
      <c r="AB1533" s="145"/>
      <c r="AC1533" s="145"/>
      <c r="AD1533" s="145"/>
      <c r="AE1533" s="145"/>
      <c r="AF1533" s="145"/>
      <c r="AG1533" s="145"/>
      <c r="AH1533" s="145"/>
      <c r="AI1533" s="145"/>
      <c r="AJ1533" s="145"/>
      <c r="AK1533" s="145"/>
      <c r="AL1533" s="145"/>
      <c r="AM1533" s="321"/>
      <c r="AN1533" s="321"/>
      <c r="AO1533" s="321"/>
      <c r="AP1533" s="321"/>
      <c r="AQ1533" s="321"/>
      <c r="AR1533" s="321"/>
      <c r="AS1533" s="321"/>
      <c r="AT1533" s="321"/>
    </row>
    <row r="1534" spans="10:46">
      <c r="J1534" s="145"/>
      <c r="K1534" s="145"/>
      <c r="L1534" s="145"/>
      <c r="M1534" s="145"/>
      <c r="N1534" s="145"/>
      <c r="O1534" s="145"/>
      <c r="P1534" s="145"/>
      <c r="Q1534" s="145"/>
      <c r="R1534" s="145"/>
      <c r="S1534" s="145"/>
      <c r="T1534" s="145"/>
      <c r="U1534" s="145"/>
      <c r="V1534" s="145"/>
      <c r="W1534" s="145"/>
      <c r="X1534" s="145"/>
      <c r="Y1534" s="145"/>
      <c r="Z1534" s="145"/>
      <c r="AA1534" s="145"/>
      <c r="AB1534" s="145"/>
      <c r="AC1534" s="145"/>
      <c r="AD1534" s="145"/>
      <c r="AE1534" s="145"/>
      <c r="AF1534" s="145"/>
      <c r="AG1534" s="145"/>
      <c r="AH1534" s="145"/>
      <c r="AI1534" s="145"/>
      <c r="AJ1534" s="145"/>
      <c r="AK1534" s="145"/>
      <c r="AL1534" s="145"/>
      <c r="AM1534" s="321"/>
      <c r="AN1534" s="321"/>
      <c r="AO1534" s="321"/>
      <c r="AP1534" s="321"/>
      <c r="AQ1534" s="321"/>
      <c r="AR1534" s="321"/>
      <c r="AS1534" s="321"/>
      <c r="AT1534" s="321"/>
    </row>
    <row r="1535" spans="10:46">
      <c r="J1535" s="145"/>
      <c r="K1535" s="145"/>
      <c r="L1535" s="145"/>
      <c r="M1535" s="145"/>
      <c r="N1535" s="145"/>
      <c r="O1535" s="145"/>
      <c r="P1535" s="145"/>
      <c r="Q1535" s="145"/>
      <c r="R1535" s="145"/>
      <c r="S1535" s="145"/>
      <c r="T1535" s="145"/>
      <c r="U1535" s="145"/>
      <c r="V1535" s="145"/>
      <c r="W1535" s="145"/>
      <c r="X1535" s="145"/>
      <c r="Y1535" s="145"/>
      <c r="Z1535" s="145"/>
      <c r="AA1535" s="145"/>
      <c r="AB1535" s="145"/>
      <c r="AC1535" s="145"/>
      <c r="AD1535" s="145"/>
      <c r="AE1535" s="145"/>
      <c r="AF1535" s="145"/>
      <c r="AG1535" s="145"/>
      <c r="AH1535" s="145"/>
      <c r="AI1535" s="145"/>
      <c r="AJ1535" s="145"/>
      <c r="AK1535" s="145"/>
      <c r="AL1535" s="145"/>
      <c r="AM1535" s="321"/>
      <c r="AN1535" s="321"/>
      <c r="AO1535" s="321"/>
      <c r="AP1535" s="321"/>
      <c r="AQ1535" s="321"/>
      <c r="AR1535" s="321"/>
      <c r="AS1535" s="321"/>
      <c r="AT1535" s="321"/>
    </row>
    <row r="1536" spans="10:46">
      <c r="J1536" s="145"/>
      <c r="K1536" s="145"/>
      <c r="L1536" s="145"/>
      <c r="M1536" s="145"/>
      <c r="N1536" s="145"/>
      <c r="O1536" s="145"/>
      <c r="P1536" s="145"/>
      <c r="Q1536" s="145"/>
      <c r="R1536" s="145"/>
      <c r="S1536" s="145"/>
      <c r="T1536" s="145"/>
      <c r="U1536" s="145"/>
      <c r="V1536" s="145"/>
      <c r="W1536" s="145"/>
      <c r="X1536" s="145"/>
      <c r="Y1536" s="145"/>
      <c r="Z1536" s="145"/>
      <c r="AA1536" s="145"/>
      <c r="AB1536" s="145"/>
      <c r="AC1536" s="145"/>
      <c r="AD1536" s="145"/>
      <c r="AE1536" s="145"/>
      <c r="AF1536" s="145"/>
      <c r="AG1536" s="145"/>
      <c r="AH1536" s="145"/>
      <c r="AI1536" s="145"/>
      <c r="AJ1536" s="145"/>
      <c r="AK1536" s="145"/>
      <c r="AL1536" s="145"/>
      <c r="AM1536" s="321"/>
      <c r="AN1536" s="321"/>
      <c r="AO1536" s="321"/>
      <c r="AP1536" s="321"/>
      <c r="AQ1536" s="321"/>
      <c r="AR1536" s="321"/>
      <c r="AS1536" s="321"/>
      <c r="AT1536" s="321"/>
    </row>
    <row r="1537" spans="10:46">
      <c r="J1537" s="145"/>
      <c r="K1537" s="145"/>
      <c r="L1537" s="145"/>
      <c r="M1537" s="145"/>
      <c r="N1537" s="145"/>
      <c r="O1537" s="145"/>
      <c r="P1537" s="145"/>
      <c r="Q1537" s="145"/>
      <c r="R1537" s="145"/>
      <c r="S1537" s="145"/>
      <c r="T1537" s="145"/>
      <c r="U1537" s="145"/>
      <c r="V1537" s="145"/>
      <c r="W1537" s="145"/>
      <c r="X1537" s="145"/>
      <c r="Y1537" s="145"/>
      <c r="Z1537" s="145"/>
      <c r="AA1537" s="145"/>
      <c r="AB1537" s="145"/>
      <c r="AC1537" s="145"/>
      <c r="AD1537" s="145"/>
      <c r="AE1537" s="145"/>
      <c r="AF1537" s="145"/>
      <c r="AG1537" s="145"/>
      <c r="AH1537" s="145"/>
      <c r="AI1537" s="145"/>
      <c r="AJ1537" s="145"/>
      <c r="AK1537" s="145"/>
      <c r="AL1537" s="145"/>
      <c r="AM1537" s="321"/>
      <c r="AN1537" s="321"/>
      <c r="AO1537" s="321"/>
      <c r="AP1537" s="321"/>
      <c r="AQ1537" s="321"/>
      <c r="AR1537" s="321"/>
      <c r="AS1537" s="321"/>
      <c r="AT1537" s="321"/>
    </row>
    <row r="1538" spans="10:46">
      <c r="J1538" s="145"/>
      <c r="K1538" s="145"/>
      <c r="L1538" s="145"/>
      <c r="M1538" s="145"/>
      <c r="N1538" s="145"/>
      <c r="O1538" s="145"/>
      <c r="P1538" s="145"/>
      <c r="Q1538" s="145"/>
      <c r="R1538" s="145"/>
      <c r="S1538" s="145"/>
      <c r="T1538" s="145"/>
      <c r="U1538" s="145"/>
      <c r="V1538" s="145"/>
      <c r="W1538" s="145"/>
      <c r="X1538" s="145"/>
      <c r="Y1538" s="145"/>
      <c r="Z1538" s="145"/>
      <c r="AA1538" s="145"/>
      <c r="AB1538" s="145"/>
      <c r="AC1538" s="145"/>
      <c r="AD1538" s="145"/>
      <c r="AE1538" s="145"/>
      <c r="AF1538" s="145"/>
      <c r="AG1538" s="145"/>
      <c r="AH1538" s="145"/>
      <c r="AI1538" s="145"/>
      <c r="AJ1538" s="145"/>
      <c r="AK1538" s="145"/>
      <c r="AL1538" s="145"/>
      <c r="AM1538" s="321"/>
      <c r="AN1538" s="321"/>
      <c r="AO1538" s="321"/>
      <c r="AP1538" s="321"/>
      <c r="AQ1538" s="321"/>
      <c r="AR1538" s="321"/>
      <c r="AS1538" s="321"/>
      <c r="AT1538" s="321"/>
    </row>
    <row r="1539" spans="10:46">
      <c r="J1539" s="145"/>
      <c r="K1539" s="145"/>
      <c r="L1539" s="145"/>
      <c r="M1539" s="145"/>
      <c r="N1539" s="145"/>
      <c r="O1539" s="145"/>
      <c r="P1539" s="145"/>
      <c r="Q1539" s="145"/>
      <c r="R1539" s="145"/>
      <c r="S1539" s="145"/>
      <c r="T1539" s="145"/>
      <c r="U1539" s="145"/>
      <c r="V1539" s="145"/>
      <c r="W1539" s="145"/>
      <c r="X1539" s="145"/>
      <c r="Y1539" s="145"/>
      <c r="Z1539" s="145"/>
      <c r="AA1539" s="145"/>
      <c r="AB1539" s="145"/>
      <c r="AC1539" s="145"/>
      <c r="AD1539" s="145"/>
      <c r="AE1539" s="145"/>
      <c r="AF1539" s="145"/>
      <c r="AG1539" s="145"/>
      <c r="AH1539" s="145"/>
      <c r="AI1539" s="145"/>
      <c r="AJ1539" s="145"/>
      <c r="AK1539" s="145"/>
      <c r="AL1539" s="145"/>
      <c r="AM1539" s="321"/>
      <c r="AN1539" s="321"/>
      <c r="AO1539" s="321"/>
      <c r="AP1539" s="321"/>
      <c r="AQ1539" s="321"/>
      <c r="AR1539" s="321"/>
      <c r="AS1539" s="321"/>
      <c r="AT1539" s="321"/>
    </row>
    <row r="1540" spans="10:46">
      <c r="J1540" s="145"/>
      <c r="K1540" s="145"/>
      <c r="L1540" s="145"/>
      <c r="M1540" s="145"/>
      <c r="N1540" s="145"/>
      <c r="O1540" s="145"/>
      <c r="P1540" s="145"/>
      <c r="Q1540" s="145"/>
      <c r="R1540" s="145"/>
      <c r="S1540" s="145"/>
      <c r="T1540" s="145"/>
      <c r="U1540" s="145"/>
      <c r="V1540" s="145"/>
      <c r="W1540" s="145"/>
      <c r="X1540" s="145"/>
      <c r="Y1540" s="145"/>
      <c r="Z1540" s="145"/>
      <c r="AA1540" s="145"/>
      <c r="AB1540" s="145"/>
      <c r="AC1540" s="145"/>
      <c r="AD1540" s="145"/>
      <c r="AE1540" s="145"/>
      <c r="AF1540" s="145"/>
      <c r="AG1540" s="145"/>
      <c r="AH1540" s="145"/>
      <c r="AI1540" s="145"/>
      <c r="AJ1540" s="145"/>
      <c r="AK1540" s="145"/>
      <c r="AL1540" s="145"/>
      <c r="AM1540" s="321"/>
      <c r="AN1540" s="321"/>
      <c r="AO1540" s="321"/>
      <c r="AP1540" s="321"/>
      <c r="AQ1540" s="321"/>
      <c r="AR1540" s="321"/>
      <c r="AS1540" s="321"/>
      <c r="AT1540" s="321"/>
    </row>
    <row r="1541" spans="10:46">
      <c r="J1541" s="145"/>
      <c r="K1541" s="145"/>
      <c r="L1541" s="145"/>
      <c r="M1541" s="145"/>
      <c r="N1541" s="145"/>
      <c r="O1541" s="145"/>
      <c r="P1541" s="145"/>
      <c r="Q1541" s="145"/>
      <c r="R1541" s="145"/>
      <c r="S1541" s="145"/>
      <c r="T1541" s="145"/>
      <c r="U1541" s="145"/>
      <c r="V1541" s="145"/>
      <c r="W1541" s="145"/>
      <c r="X1541" s="145"/>
      <c r="Y1541" s="145"/>
      <c r="Z1541" s="145"/>
      <c r="AA1541" s="145"/>
      <c r="AB1541" s="145"/>
      <c r="AC1541" s="145"/>
      <c r="AD1541" s="145"/>
      <c r="AE1541" s="145"/>
      <c r="AF1541" s="145"/>
      <c r="AG1541" s="145"/>
      <c r="AH1541" s="145"/>
      <c r="AI1541" s="145"/>
      <c r="AJ1541" s="145"/>
      <c r="AK1541" s="145"/>
      <c r="AL1541" s="145"/>
      <c r="AM1541" s="321"/>
      <c r="AN1541" s="321"/>
      <c r="AO1541" s="321"/>
      <c r="AP1541" s="321"/>
      <c r="AQ1541" s="321"/>
      <c r="AR1541" s="321"/>
      <c r="AS1541" s="321"/>
      <c r="AT1541" s="321"/>
    </row>
    <row r="1542" spans="10:46">
      <c r="J1542" s="145"/>
      <c r="K1542" s="145"/>
      <c r="L1542" s="145"/>
      <c r="M1542" s="145"/>
      <c r="N1542" s="145"/>
      <c r="O1542" s="145"/>
      <c r="P1542" s="145"/>
      <c r="Q1542" s="145"/>
      <c r="R1542" s="145"/>
      <c r="S1542" s="145"/>
      <c r="T1542" s="145"/>
      <c r="U1542" s="145"/>
      <c r="V1542" s="145"/>
      <c r="W1542" s="145"/>
      <c r="X1542" s="145"/>
      <c r="Y1542" s="145"/>
      <c r="Z1542" s="145"/>
      <c r="AA1542" s="145"/>
      <c r="AB1542" s="145"/>
      <c r="AC1542" s="145"/>
      <c r="AD1542" s="145"/>
      <c r="AE1542" s="145"/>
      <c r="AF1542" s="145"/>
      <c r="AG1542" s="145"/>
      <c r="AH1542" s="145"/>
      <c r="AI1542" s="145"/>
      <c r="AJ1542" s="145"/>
      <c r="AK1542" s="145"/>
      <c r="AL1542" s="145"/>
      <c r="AM1542" s="321"/>
      <c r="AN1542" s="321"/>
      <c r="AO1542" s="321"/>
      <c r="AP1542" s="321"/>
      <c r="AQ1542" s="321"/>
      <c r="AR1542" s="321"/>
      <c r="AS1542" s="321"/>
      <c r="AT1542" s="321"/>
    </row>
    <row r="1543" spans="10:46">
      <c r="J1543" s="145"/>
      <c r="K1543" s="145"/>
      <c r="L1543" s="145"/>
      <c r="M1543" s="145"/>
      <c r="N1543" s="145"/>
      <c r="O1543" s="145"/>
      <c r="P1543" s="145"/>
      <c r="Q1543" s="145"/>
      <c r="R1543" s="145"/>
      <c r="S1543" s="145"/>
      <c r="T1543" s="145"/>
      <c r="U1543" s="145"/>
      <c r="V1543" s="145"/>
      <c r="W1543" s="145"/>
      <c r="X1543" s="145"/>
      <c r="Y1543" s="145"/>
      <c r="Z1543" s="145"/>
      <c r="AA1543" s="145"/>
      <c r="AB1543" s="145"/>
      <c r="AC1543" s="145"/>
      <c r="AD1543" s="145"/>
      <c r="AE1543" s="145"/>
      <c r="AF1543" s="145"/>
      <c r="AG1543" s="145"/>
      <c r="AH1543" s="145"/>
      <c r="AI1543" s="145"/>
      <c r="AJ1543" s="145"/>
      <c r="AK1543" s="145"/>
      <c r="AL1543" s="145"/>
      <c r="AM1543" s="321"/>
      <c r="AN1543" s="321"/>
      <c r="AO1543" s="321"/>
      <c r="AP1543" s="321"/>
      <c r="AQ1543" s="321"/>
      <c r="AR1543" s="321"/>
      <c r="AS1543" s="321"/>
      <c r="AT1543" s="321"/>
    </row>
    <row r="1544" spans="10:46">
      <c r="J1544" s="145"/>
      <c r="K1544" s="145"/>
      <c r="L1544" s="145"/>
      <c r="M1544" s="145"/>
      <c r="N1544" s="145"/>
      <c r="O1544" s="145"/>
      <c r="P1544" s="145"/>
      <c r="Q1544" s="145"/>
      <c r="R1544" s="145"/>
      <c r="S1544" s="145"/>
      <c r="T1544" s="145"/>
      <c r="U1544" s="145"/>
      <c r="V1544" s="145"/>
      <c r="W1544" s="145"/>
      <c r="X1544" s="145"/>
      <c r="Y1544" s="145"/>
      <c r="Z1544" s="145"/>
      <c r="AA1544" s="145"/>
      <c r="AB1544" s="145"/>
      <c r="AC1544" s="145"/>
      <c r="AD1544" s="145"/>
      <c r="AE1544" s="145"/>
      <c r="AF1544" s="145"/>
      <c r="AG1544" s="145"/>
      <c r="AH1544" s="145"/>
      <c r="AI1544" s="145"/>
      <c r="AJ1544" s="145"/>
      <c r="AK1544" s="145"/>
      <c r="AL1544" s="145"/>
      <c r="AM1544" s="321"/>
      <c r="AN1544" s="321"/>
      <c r="AO1544" s="321"/>
      <c r="AP1544" s="321"/>
      <c r="AQ1544" s="321"/>
      <c r="AR1544" s="321"/>
      <c r="AS1544" s="321"/>
      <c r="AT1544" s="321"/>
    </row>
    <row r="1545" spans="10:46">
      <c r="J1545" s="145"/>
      <c r="K1545" s="145"/>
      <c r="L1545" s="145"/>
      <c r="M1545" s="145"/>
      <c r="N1545" s="145"/>
      <c r="O1545" s="145"/>
      <c r="P1545" s="145"/>
      <c r="Q1545" s="145"/>
      <c r="R1545" s="145"/>
      <c r="S1545" s="145"/>
      <c r="T1545" s="145"/>
      <c r="U1545" s="145"/>
      <c r="V1545" s="145"/>
      <c r="W1545" s="145"/>
      <c r="X1545" s="145"/>
      <c r="Y1545" s="145"/>
      <c r="Z1545" s="145"/>
      <c r="AA1545" s="145"/>
      <c r="AB1545" s="145"/>
      <c r="AC1545" s="145"/>
      <c r="AD1545" s="145"/>
      <c r="AE1545" s="145"/>
      <c r="AF1545" s="145"/>
      <c r="AG1545" s="145"/>
      <c r="AH1545" s="145"/>
      <c r="AI1545" s="145"/>
      <c r="AJ1545" s="145"/>
      <c r="AK1545" s="145"/>
      <c r="AL1545" s="145"/>
      <c r="AM1545" s="321"/>
      <c r="AN1545" s="321"/>
      <c r="AO1545" s="321"/>
      <c r="AP1545" s="321"/>
      <c r="AQ1545" s="321"/>
      <c r="AR1545" s="321"/>
      <c r="AS1545" s="321"/>
      <c r="AT1545" s="321"/>
    </row>
    <row r="1546" spans="10:46">
      <c r="J1546" s="145"/>
      <c r="K1546" s="145"/>
      <c r="L1546" s="145"/>
      <c r="M1546" s="145"/>
      <c r="N1546" s="145"/>
      <c r="O1546" s="145"/>
      <c r="P1546" s="145"/>
      <c r="Q1546" s="145"/>
      <c r="R1546" s="145"/>
      <c r="S1546" s="145"/>
      <c r="T1546" s="145"/>
      <c r="U1546" s="145"/>
      <c r="V1546" s="145"/>
      <c r="W1546" s="145"/>
      <c r="X1546" s="145"/>
      <c r="Y1546" s="145"/>
      <c r="Z1546" s="145"/>
      <c r="AA1546" s="145"/>
      <c r="AB1546" s="145"/>
      <c r="AC1546" s="145"/>
      <c r="AD1546" s="145"/>
      <c r="AE1546" s="145"/>
      <c r="AF1546" s="145"/>
      <c r="AG1546" s="145"/>
      <c r="AH1546" s="145"/>
      <c r="AI1546" s="145"/>
      <c r="AJ1546" s="145"/>
      <c r="AK1546" s="145"/>
      <c r="AL1546" s="145"/>
      <c r="AM1546" s="321"/>
      <c r="AN1546" s="321"/>
      <c r="AO1546" s="321"/>
      <c r="AP1546" s="321"/>
      <c r="AQ1546" s="321"/>
      <c r="AR1546" s="321"/>
      <c r="AS1546" s="321"/>
      <c r="AT1546" s="321"/>
    </row>
    <row r="1547" spans="10:46">
      <c r="J1547" s="145"/>
      <c r="K1547" s="145"/>
      <c r="L1547" s="145"/>
      <c r="M1547" s="145"/>
      <c r="N1547" s="145"/>
      <c r="O1547" s="145"/>
      <c r="P1547" s="145"/>
      <c r="Q1547" s="145"/>
      <c r="R1547" s="145"/>
      <c r="S1547" s="145"/>
      <c r="T1547" s="145"/>
      <c r="U1547" s="145"/>
      <c r="V1547" s="145"/>
      <c r="W1547" s="145"/>
      <c r="X1547" s="145"/>
      <c r="Y1547" s="145"/>
      <c r="Z1547" s="145"/>
      <c r="AA1547" s="145"/>
      <c r="AB1547" s="145"/>
      <c r="AC1547" s="145"/>
      <c r="AD1547" s="145"/>
      <c r="AE1547" s="145"/>
      <c r="AF1547" s="145"/>
      <c r="AG1547" s="145"/>
      <c r="AH1547" s="145"/>
      <c r="AI1547" s="145"/>
      <c r="AJ1547" s="145"/>
      <c r="AK1547" s="145"/>
      <c r="AL1547" s="145"/>
      <c r="AM1547" s="321"/>
      <c r="AN1547" s="321"/>
      <c r="AO1547" s="321"/>
      <c r="AP1547" s="321"/>
      <c r="AQ1547" s="321"/>
      <c r="AR1547" s="321"/>
      <c r="AS1547" s="321"/>
      <c r="AT1547" s="321"/>
    </row>
    <row r="1548" spans="10:46">
      <c r="J1548" s="145"/>
      <c r="K1548" s="145"/>
      <c r="L1548" s="145"/>
      <c r="M1548" s="145"/>
      <c r="N1548" s="145"/>
      <c r="O1548" s="145"/>
      <c r="P1548" s="145"/>
      <c r="Q1548" s="145"/>
      <c r="R1548" s="145"/>
      <c r="S1548" s="145"/>
      <c r="T1548" s="145"/>
      <c r="U1548" s="145"/>
      <c r="V1548" s="145"/>
      <c r="W1548" s="145"/>
      <c r="X1548" s="145"/>
      <c r="Y1548" s="145"/>
      <c r="Z1548" s="145"/>
      <c r="AA1548" s="145"/>
      <c r="AB1548" s="145"/>
      <c r="AC1548" s="145"/>
      <c r="AD1548" s="145"/>
      <c r="AE1548" s="145"/>
      <c r="AF1548" s="145"/>
      <c r="AG1548" s="145"/>
      <c r="AH1548" s="145"/>
      <c r="AI1548" s="145"/>
      <c r="AJ1548" s="145"/>
      <c r="AK1548" s="145"/>
      <c r="AL1548" s="145"/>
      <c r="AM1548" s="321"/>
      <c r="AN1548" s="321"/>
      <c r="AO1548" s="321"/>
      <c r="AP1548" s="321"/>
      <c r="AQ1548" s="321"/>
      <c r="AR1548" s="321"/>
      <c r="AS1548" s="321"/>
      <c r="AT1548" s="321"/>
    </row>
    <row r="1549" spans="10:46">
      <c r="J1549" s="145"/>
      <c r="K1549" s="145"/>
      <c r="L1549" s="145"/>
      <c r="M1549" s="145"/>
      <c r="N1549" s="145"/>
      <c r="O1549" s="145"/>
      <c r="P1549" s="145"/>
      <c r="Q1549" s="145"/>
      <c r="R1549" s="145"/>
      <c r="S1549" s="145"/>
      <c r="T1549" s="145"/>
      <c r="U1549" s="145"/>
      <c r="V1549" s="145"/>
      <c r="W1549" s="145"/>
      <c r="X1549" s="145"/>
      <c r="Y1549" s="145"/>
      <c r="Z1549" s="145"/>
      <c r="AA1549" s="145"/>
      <c r="AB1549" s="145"/>
      <c r="AC1549" s="145"/>
      <c r="AD1549" s="145"/>
      <c r="AE1549" s="145"/>
      <c r="AF1549" s="145"/>
      <c r="AG1549" s="145"/>
      <c r="AH1549" s="145"/>
      <c r="AI1549" s="145"/>
      <c r="AJ1549" s="145"/>
      <c r="AK1549" s="145"/>
      <c r="AL1549" s="145"/>
      <c r="AM1549" s="321"/>
      <c r="AN1549" s="321"/>
      <c r="AO1549" s="321"/>
      <c r="AP1549" s="321"/>
      <c r="AQ1549" s="321"/>
      <c r="AR1549" s="321"/>
      <c r="AS1549" s="321"/>
      <c r="AT1549" s="321"/>
    </row>
    <row r="1550" spans="10:46">
      <c r="J1550" s="145"/>
      <c r="K1550" s="145"/>
      <c r="L1550" s="145"/>
      <c r="M1550" s="145"/>
      <c r="N1550" s="145"/>
      <c r="O1550" s="145"/>
      <c r="P1550" s="145"/>
      <c r="Q1550" s="145"/>
      <c r="R1550" s="145"/>
      <c r="S1550" s="145"/>
      <c r="T1550" s="145"/>
      <c r="U1550" s="145"/>
      <c r="V1550" s="145"/>
      <c r="W1550" s="145"/>
      <c r="X1550" s="145"/>
      <c r="Y1550" s="145"/>
      <c r="Z1550" s="145"/>
      <c r="AA1550" s="145"/>
      <c r="AB1550" s="145"/>
      <c r="AC1550" s="145"/>
      <c r="AD1550" s="145"/>
      <c r="AE1550" s="145"/>
      <c r="AF1550" s="145"/>
      <c r="AG1550" s="145"/>
      <c r="AH1550" s="145"/>
      <c r="AI1550" s="145"/>
      <c r="AJ1550" s="145"/>
      <c r="AK1550" s="145"/>
      <c r="AL1550" s="145"/>
      <c r="AM1550" s="321"/>
      <c r="AN1550" s="321"/>
      <c r="AO1550" s="321"/>
      <c r="AP1550" s="321"/>
      <c r="AQ1550" s="321"/>
      <c r="AR1550" s="321"/>
      <c r="AS1550" s="321"/>
      <c r="AT1550" s="321"/>
    </row>
    <row r="1551" spans="10:46">
      <c r="J1551" s="145"/>
      <c r="K1551" s="145"/>
      <c r="L1551" s="145"/>
      <c r="M1551" s="145"/>
      <c r="N1551" s="145"/>
      <c r="O1551" s="145"/>
      <c r="P1551" s="145"/>
      <c r="Q1551" s="145"/>
      <c r="R1551" s="145"/>
      <c r="S1551" s="145"/>
      <c r="T1551" s="145"/>
      <c r="U1551" s="145"/>
      <c r="V1551" s="145"/>
      <c r="W1551" s="145"/>
      <c r="X1551" s="145"/>
      <c r="Y1551" s="145"/>
      <c r="Z1551" s="145"/>
      <c r="AA1551" s="145"/>
      <c r="AB1551" s="145"/>
      <c r="AC1551" s="145"/>
      <c r="AD1551" s="145"/>
      <c r="AE1551" s="145"/>
      <c r="AF1551" s="145"/>
      <c r="AG1551" s="145"/>
      <c r="AH1551" s="145"/>
      <c r="AI1551" s="145"/>
      <c r="AJ1551" s="145"/>
      <c r="AK1551" s="145"/>
      <c r="AL1551" s="145"/>
      <c r="AM1551" s="321"/>
      <c r="AN1551" s="321"/>
      <c r="AO1551" s="321"/>
      <c r="AP1551" s="321"/>
      <c r="AQ1551" s="321"/>
      <c r="AR1551" s="321"/>
      <c r="AS1551" s="321"/>
      <c r="AT1551" s="321"/>
    </row>
    <row r="1552" spans="10:46">
      <c r="J1552" s="145"/>
      <c r="K1552" s="145"/>
      <c r="L1552" s="145"/>
      <c r="M1552" s="145"/>
      <c r="N1552" s="145"/>
      <c r="O1552" s="145"/>
      <c r="P1552" s="145"/>
      <c r="Q1552" s="145"/>
      <c r="R1552" s="145"/>
      <c r="S1552" s="145"/>
      <c r="T1552" s="145"/>
      <c r="U1552" s="145"/>
      <c r="V1552" s="145"/>
      <c r="W1552" s="145"/>
      <c r="X1552" s="145"/>
      <c r="Y1552" s="145"/>
      <c r="Z1552" s="145"/>
      <c r="AA1552" s="145"/>
      <c r="AB1552" s="145"/>
      <c r="AC1552" s="145"/>
      <c r="AD1552" s="145"/>
      <c r="AE1552" s="145"/>
      <c r="AF1552" s="145"/>
      <c r="AG1552" s="145"/>
      <c r="AH1552" s="145"/>
      <c r="AI1552" s="145"/>
      <c r="AJ1552" s="145"/>
      <c r="AK1552" s="145"/>
      <c r="AL1552" s="145"/>
      <c r="AM1552" s="321"/>
      <c r="AN1552" s="321"/>
      <c r="AO1552" s="321"/>
      <c r="AP1552" s="321"/>
      <c r="AQ1552" s="321"/>
      <c r="AR1552" s="321"/>
      <c r="AS1552" s="321"/>
      <c r="AT1552" s="321"/>
    </row>
    <row r="1553" spans="10:46">
      <c r="J1553" s="145"/>
      <c r="K1553" s="145"/>
      <c r="L1553" s="145"/>
      <c r="M1553" s="145"/>
      <c r="N1553" s="145"/>
      <c r="O1553" s="145"/>
      <c r="P1553" s="145"/>
      <c r="Q1553" s="145"/>
      <c r="R1553" s="145"/>
      <c r="S1553" s="145"/>
      <c r="T1553" s="145"/>
      <c r="U1553" s="145"/>
      <c r="V1553" s="145"/>
      <c r="W1553" s="145"/>
      <c r="X1553" s="145"/>
      <c r="Y1553" s="145"/>
      <c r="Z1553" s="145"/>
      <c r="AA1553" s="145"/>
      <c r="AB1553" s="145"/>
      <c r="AC1553" s="145"/>
      <c r="AD1553" s="145"/>
      <c r="AE1553" s="145"/>
      <c r="AF1553" s="145"/>
      <c r="AG1553" s="145"/>
      <c r="AH1553" s="145"/>
      <c r="AI1553" s="145"/>
      <c r="AJ1553" s="145"/>
      <c r="AK1553" s="145"/>
      <c r="AL1553" s="145"/>
      <c r="AM1553" s="321"/>
      <c r="AN1553" s="321"/>
      <c r="AO1553" s="321"/>
      <c r="AP1553" s="321"/>
      <c r="AQ1553" s="321"/>
      <c r="AR1553" s="321"/>
      <c r="AS1553" s="321"/>
      <c r="AT1553" s="321"/>
    </row>
    <row r="1554" spans="10:46">
      <c r="J1554" s="145"/>
      <c r="K1554" s="145"/>
      <c r="L1554" s="145"/>
      <c r="M1554" s="145"/>
      <c r="N1554" s="145"/>
      <c r="O1554" s="145"/>
      <c r="P1554" s="145"/>
      <c r="Q1554" s="145"/>
      <c r="R1554" s="145"/>
      <c r="S1554" s="145"/>
      <c r="T1554" s="145"/>
      <c r="U1554" s="145"/>
      <c r="V1554" s="145"/>
      <c r="W1554" s="145"/>
      <c r="X1554" s="145"/>
      <c r="Y1554" s="145"/>
      <c r="Z1554" s="145"/>
      <c r="AA1554" s="145"/>
      <c r="AB1554" s="145"/>
      <c r="AC1554" s="145"/>
      <c r="AD1554" s="145"/>
      <c r="AE1554" s="145"/>
      <c r="AF1554" s="145"/>
      <c r="AG1554" s="145"/>
      <c r="AH1554" s="145"/>
      <c r="AI1554" s="145"/>
      <c r="AJ1554" s="145"/>
      <c r="AK1554" s="145"/>
      <c r="AL1554" s="145"/>
      <c r="AM1554" s="321"/>
      <c r="AN1554" s="321"/>
      <c r="AO1554" s="321"/>
      <c r="AP1554" s="321"/>
      <c r="AQ1554" s="321"/>
      <c r="AR1554" s="321"/>
      <c r="AS1554" s="321"/>
      <c r="AT1554" s="321"/>
    </row>
    <row r="1555" spans="10:46">
      <c r="J1555" s="145"/>
      <c r="K1555" s="145"/>
      <c r="L1555" s="145"/>
      <c r="M1555" s="145"/>
      <c r="N1555" s="145"/>
      <c r="O1555" s="145"/>
      <c r="P1555" s="145"/>
      <c r="Q1555" s="145"/>
      <c r="R1555" s="145"/>
      <c r="S1555" s="145"/>
      <c r="T1555" s="145"/>
      <c r="U1555" s="145"/>
      <c r="V1555" s="145"/>
      <c r="W1555" s="145"/>
      <c r="X1555" s="145"/>
      <c r="Y1555" s="145"/>
      <c r="Z1555" s="145"/>
      <c r="AA1555" s="145"/>
      <c r="AB1555" s="145"/>
      <c r="AC1555" s="145"/>
      <c r="AD1555" s="145"/>
      <c r="AE1555" s="145"/>
      <c r="AF1555" s="145"/>
      <c r="AG1555" s="145"/>
      <c r="AH1555" s="145"/>
      <c r="AI1555" s="145"/>
      <c r="AJ1555" s="145"/>
      <c r="AK1555" s="145"/>
      <c r="AL1555" s="145"/>
      <c r="AM1555" s="321"/>
      <c r="AN1555" s="321"/>
      <c r="AO1555" s="321"/>
      <c r="AP1555" s="321"/>
      <c r="AQ1555" s="321"/>
      <c r="AR1555" s="321"/>
      <c r="AS1555" s="321"/>
      <c r="AT1555" s="321"/>
    </row>
    <row r="1556" spans="10:46">
      <c r="J1556" s="145"/>
      <c r="K1556" s="145"/>
      <c r="L1556" s="145"/>
      <c r="M1556" s="145"/>
      <c r="N1556" s="145"/>
      <c r="O1556" s="145"/>
      <c r="P1556" s="145"/>
      <c r="Q1556" s="145"/>
      <c r="R1556" s="145"/>
      <c r="S1556" s="145"/>
      <c r="T1556" s="145"/>
      <c r="U1556" s="145"/>
      <c r="V1556" s="145"/>
      <c r="W1556" s="145"/>
      <c r="X1556" s="145"/>
      <c r="Y1556" s="145"/>
      <c r="Z1556" s="145"/>
      <c r="AA1556" s="145"/>
      <c r="AB1556" s="145"/>
      <c r="AC1556" s="145"/>
      <c r="AD1556" s="145"/>
      <c r="AE1556" s="145"/>
      <c r="AF1556" s="145"/>
      <c r="AG1556" s="145"/>
      <c r="AH1556" s="145"/>
      <c r="AI1556" s="145"/>
      <c r="AJ1556" s="145"/>
      <c r="AK1556" s="145"/>
      <c r="AL1556" s="145"/>
      <c r="AM1556" s="321"/>
      <c r="AN1556" s="321"/>
      <c r="AO1556" s="321"/>
      <c r="AP1556" s="321"/>
      <c r="AQ1556" s="321"/>
      <c r="AR1556" s="321"/>
      <c r="AS1556" s="321"/>
      <c r="AT1556" s="321"/>
    </row>
    <row r="1557" spans="10:46">
      <c r="J1557" s="145"/>
      <c r="K1557" s="145"/>
      <c r="L1557" s="145"/>
      <c r="M1557" s="145"/>
      <c r="N1557" s="145"/>
      <c r="O1557" s="145"/>
      <c r="P1557" s="145"/>
      <c r="Q1557" s="145"/>
      <c r="R1557" s="145"/>
      <c r="S1557" s="145"/>
      <c r="T1557" s="145"/>
      <c r="U1557" s="145"/>
      <c r="V1557" s="145"/>
      <c r="W1557" s="145"/>
      <c r="X1557" s="145"/>
      <c r="Y1557" s="145"/>
      <c r="Z1557" s="145"/>
      <c r="AA1557" s="145"/>
      <c r="AB1557" s="145"/>
      <c r="AC1557" s="145"/>
      <c r="AD1557" s="145"/>
      <c r="AE1557" s="145"/>
      <c r="AF1557" s="145"/>
      <c r="AG1557" s="145"/>
      <c r="AH1557" s="145"/>
      <c r="AI1557" s="145"/>
      <c r="AJ1557" s="145"/>
      <c r="AK1557" s="145"/>
      <c r="AL1557" s="145"/>
      <c r="AM1557" s="321"/>
      <c r="AN1557" s="321"/>
      <c r="AO1557" s="321"/>
      <c r="AP1557" s="321"/>
      <c r="AQ1557" s="321"/>
      <c r="AR1557" s="321"/>
      <c r="AS1557" s="321"/>
      <c r="AT1557" s="321"/>
    </row>
    <row r="1558" spans="10:46">
      <c r="J1558" s="145"/>
      <c r="K1558" s="145"/>
      <c r="L1558" s="145"/>
      <c r="M1558" s="145"/>
      <c r="N1558" s="145"/>
      <c r="O1558" s="145"/>
      <c r="P1558" s="145"/>
      <c r="Q1558" s="145"/>
      <c r="R1558" s="145"/>
      <c r="S1558" s="145"/>
      <c r="T1558" s="145"/>
      <c r="U1558" s="145"/>
      <c r="V1558" s="145"/>
      <c r="W1558" s="145"/>
      <c r="X1558" s="145"/>
      <c r="Y1558" s="145"/>
      <c r="Z1558" s="145"/>
      <c r="AA1558" s="145"/>
      <c r="AB1558" s="145"/>
      <c r="AC1558" s="145"/>
      <c r="AD1558" s="145"/>
      <c r="AE1558" s="145"/>
      <c r="AF1558" s="145"/>
      <c r="AG1558" s="145"/>
      <c r="AH1558" s="145"/>
      <c r="AI1558" s="145"/>
      <c r="AJ1558" s="145"/>
      <c r="AK1558" s="145"/>
      <c r="AL1558" s="145"/>
      <c r="AM1558" s="321"/>
      <c r="AN1558" s="321"/>
      <c r="AO1558" s="321"/>
      <c r="AP1558" s="321"/>
      <c r="AQ1558" s="321"/>
      <c r="AR1558" s="321"/>
      <c r="AS1558" s="321"/>
      <c r="AT1558" s="321"/>
    </row>
    <row r="1559" spans="10:46">
      <c r="J1559" s="145"/>
      <c r="K1559" s="145"/>
      <c r="L1559" s="145"/>
      <c r="M1559" s="145"/>
      <c r="N1559" s="145"/>
      <c r="O1559" s="145"/>
      <c r="P1559" s="145"/>
      <c r="Q1559" s="145"/>
      <c r="R1559" s="145"/>
      <c r="S1559" s="145"/>
      <c r="T1559" s="145"/>
      <c r="U1559" s="145"/>
      <c r="V1559" s="145"/>
      <c r="W1559" s="145"/>
      <c r="X1559" s="145"/>
      <c r="Y1559" s="145"/>
      <c r="Z1559" s="145"/>
      <c r="AA1559" s="145"/>
      <c r="AB1559" s="145"/>
      <c r="AC1559" s="145"/>
      <c r="AD1559" s="145"/>
      <c r="AE1559" s="145"/>
      <c r="AF1559" s="145"/>
      <c r="AG1559" s="145"/>
      <c r="AH1559" s="145"/>
      <c r="AI1559" s="145"/>
      <c r="AJ1559" s="145"/>
      <c r="AK1559" s="145"/>
      <c r="AL1559" s="145"/>
      <c r="AM1559" s="321"/>
      <c r="AN1559" s="321"/>
      <c r="AO1559" s="321"/>
      <c r="AP1559" s="321"/>
      <c r="AQ1559" s="321"/>
      <c r="AR1559" s="321"/>
      <c r="AS1559" s="321"/>
      <c r="AT1559" s="321"/>
    </row>
    <row r="1560" spans="10:46">
      <c r="J1560" s="145"/>
      <c r="K1560" s="145"/>
      <c r="L1560" s="145"/>
      <c r="M1560" s="145"/>
      <c r="N1560" s="145"/>
      <c r="O1560" s="145"/>
      <c r="P1560" s="145"/>
      <c r="Q1560" s="145"/>
      <c r="R1560" s="145"/>
      <c r="S1560" s="145"/>
      <c r="T1560" s="145"/>
      <c r="U1560" s="145"/>
      <c r="V1560" s="145"/>
      <c r="W1560" s="145"/>
      <c r="X1560" s="145"/>
      <c r="Y1560" s="145"/>
      <c r="Z1560" s="145"/>
      <c r="AA1560" s="145"/>
      <c r="AB1560" s="145"/>
      <c r="AC1560" s="145"/>
      <c r="AD1560" s="145"/>
      <c r="AE1560" s="145"/>
      <c r="AF1560" s="145"/>
      <c r="AG1560" s="145"/>
      <c r="AH1560" s="145"/>
      <c r="AI1560" s="145"/>
      <c r="AJ1560" s="145"/>
      <c r="AK1560" s="145"/>
      <c r="AL1560" s="145"/>
      <c r="AM1560" s="321"/>
      <c r="AN1560" s="321"/>
      <c r="AO1560" s="321"/>
      <c r="AP1560" s="321"/>
      <c r="AQ1560" s="321"/>
      <c r="AR1560" s="321"/>
      <c r="AS1560" s="321"/>
      <c r="AT1560" s="321"/>
    </row>
    <row r="1561" spans="10:46">
      <c r="J1561" s="145"/>
      <c r="K1561" s="145"/>
      <c r="L1561" s="145"/>
      <c r="M1561" s="145"/>
      <c r="N1561" s="145"/>
      <c r="O1561" s="145"/>
      <c r="P1561" s="145"/>
      <c r="Q1561" s="145"/>
      <c r="R1561" s="145"/>
      <c r="S1561" s="145"/>
      <c r="T1561" s="145"/>
      <c r="U1561" s="145"/>
      <c r="V1561" s="145"/>
      <c r="W1561" s="145"/>
      <c r="X1561" s="145"/>
      <c r="Y1561" s="145"/>
      <c r="Z1561" s="145"/>
      <c r="AA1561" s="145"/>
      <c r="AB1561" s="145"/>
      <c r="AC1561" s="145"/>
      <c r="AD1561" s="145"/>
      <c r="AE1561" s="145"/>
      <c r="AF1561" s="145"/>
      <c r="AG1561" s="145"/>
      <c r="AH1561" s="145"/>
      <c r="AI1561" s="145"/>
      <c r="AJ1561" s="145"/>
      <c r="AK1561" s="145"/>
      <c r="AL1561" s="145"/>
      <c r="AM1561" s="321"/>
      <c r="AN1561" s="321"/>
      <c r="AO1561" s="321"/>
      <c r="AP1561" s="321"/>
      <c r="AQ1561" s="321"/>
      <c r="AR1561" s="321"/>
      <c r="AS1561" s="321"/>
      <c r="AT1561" s="321"/>
    </row>
    <row r="1562" spans="10:46">
      <c r="J1562" s="145"/>
      <c r="K1562" s="145"/>
      <c r="L1562" s="145"/>
      <c r="M1562" s="145"/>
      <c r="N1562" s="145"/>
      <c r="O1562" s="145"/>
      <c r="P1562" s="145"/>
      <c r="Q1562" s="145"/>
      <c r="R1562" s="145"/>
      <c r="S1562" s="145"/>
      <c r="T1562" s="145"/>
      <c r="U1562" s="145"/>
      <c r="V1562" s="145"/>
      <c r="W1562" s="145"/>
      <c r="X1562" s="145"/>
      <c r="Y1562" s="145"/>
      <c r="Z1562" s="145"/>
      <c r="AA1562" s="145"/>
      <c r="AB1562" s="145"/>
      <c r="AC1562" s="145"/>
      <c r="AD1562" s="145"/>
      <c r="AE1562" s="145"/>
      <c r="AF1562" s="145"/>
      <c r="AG1562" s="145"/>
      <c r="AH1562" s="145"/>
      <c r="AI1562" s="145"/>
      <c r="AJ1562" s="145"/>
      <c r="AK1562" s="145"/>
      <c r="AL1562" s="145"/>
      <c r="AM1562" s="321"/>
      <c r="AN1562" s="321"/>
      <c r="AO1562" s="321"/>
      <c r="AP1562" s="321"/>
      <c r="AQ1562" s="321"/>
      <c r="AR1562" s="321"/>
      <c r="AS1562" s="321"/>
      <c r="AT1562" s="321"/>
    </row>
    <row r="1563" spans="10:46">
      <c r="J1563" s="145"/>
      <c r="K1563" s="145"/>
      <c r="L1563" s="145"/>
      <c r="M1563" s="145"/>
      <c r="N1563" s="145"/>
      <c r="O1563" s="145"/>
      <c r="P1563" s="145"/>
      <c r="Q1563" s="145"/>
      <c r="R1563" s="145"/>
      <c r="S1563" s="145"/>
      <c r="T1563" s="145"/>
      <c r="U1563" s="145"/>
      <c r="V1563" s="145"/>
      <c r="W1563" s="145"/>
      <c r="X1563" s="145"/>
      <c r="Y1563" s="145"/>
      <c r="Z1563" s="145"/>
      <c r="AA1563" s="145"/>
      <c r="AB1563" s="145"/>
      <c r="AC1563" s="145"/>
      <c r="AD1563" s="145"/>
      <c r="AE1563" s="145"/>
      <c r="AF1563" s="145"/>
      <c r="AG1563" s="145"/>
      <c r="AH1563" s="145"/>
      <c r="AI1563" s="145"/>
      <c r="AJ1563" s="145"/>
      <c r="AK1563" s="145"/>
      <c r="AL1563" s="145"/>
      <c r="AM1563" s="321"/>
      <c r="AN1563" s="321"/>
      <c r="AO1563" s="321"/>
      <c r="AP1563" s="321"/>
      <c r="AQ1563" s="321"/>
      <c r="AR1563" s="321"/>
      <c r="AS1563" s="321"/>
      <c r="AT1563" s="321"/>
    </row>
    <row r="1564" spans="10:46">
      <c r="J1564" s="145"/>
      <c r="K1564" s="145"/>
      <c r="L1564" s="145"/>
      <c r="M1564" s="145"/>
      <c r="N1564" s="145"/>
      <c r="O1564" s="145"/>
      <c r="P1564" s="145"/>
      <c r="Q1564" s="145"/>
      <c r="R1564" s="145"/>
      <c r="S1564" s="145"/>
      <c r="T1564" s="145"/>
      <c r="U1564" s="145"/>
      <c r="V1564" s="145"/>
      <c r="W1564" s="145"/>
      <c r="X1564" s="145"/>
      <c r="Y1564" s="145"/>
      <c r="Z1564" s="145"/>
      <c r="AA1564" s="145"/>
      <c r="AB1564" s="145"/>
      <c r="AC1564" s="145"/>
      <c r="AD1564" s="145"/>
      <c r="AE1564" s="145"/>
      <c r="AF1564" s="145"/>
      <c r="AG1564" s="145"/>
      <c r="AH1564" s="145"/>
      <c r="AI1564" s="145"/>
      <c r="AJ1564" s="145"/>
      <c r="AK1564" s="145"/>
      <c r="AL1564" s="145"/>
      <c r="AM1564" s="321"/>
      <c r="AN1564" s="321"/>
      <c r="AO1564" s="321"/>
      <c r="AP1564" s="321"/>
      <c r="AQ1564" s="321"/>
      <c r="AR1564" s="321"/>
      <c r="AS1564" s="321"/>
      <c r="AT1564" s="321"/>
    </row>
    <row r="1565" spans="10:46">
      <c r="J1565" s="145"/>
      <c r="K1565" s="145"/>
      <c r="L1565" s="145"/>
      <c r="M1565" s="145"/>
      <c r="N1565" s="145"/>
      <c r="O1565" s="145"/>
      <c r="P1565" s="145"/>
      <c r="Q1565" s="145"/>
      <c r="R1565" s="145"/>
      <c r="S1565" s="145"/>
      <c r="T1565" s="145"/>
      <c r="U1565" s="145"/>
      <c r="V1565" s="145"/>
      <c r="W1565" s="145"/>
      <c r="X1565" s="145"/>
      <c r="Y1565" s="145"/>
      <c r="Z1565" s="145"/>
      <c r="AA1565" s="145"/>
      <c r="AB1565" s="145"/>
      <c r="AC1565" s="145"/>
      <c r="AD1565" s="145"/>
      <c r="AE1565" s="145"/>
      <c r="AF1565" s="145"/>
      <c r="AG1565" s="145"/>
      <c r="AH1565" s="145"/>
      <c r="AI1565" s="145"/>
      <c r="AJ1565" s="145"/>
      <c r="AK1565" s="145"/>
      <c r="AL1565" s="145"/>
      <c r="AM1565" s="321"/>
      <c r="AN1565" s="321"/>
      <c r="AO1565" s="321"/>
      <c r="AP1565" s="321"/>
      <c r="AQ1565" s="321"/>
      <c r="AR1565" s="321"/>
      <c r="AS1565" s="321"/>
      <c r="AT1565" s="321"/>
    </row>
    <row r="1566" spans="10:46">
      <c r="J1566" s="145"/>
      <c r="K1566" s="145"/>
      <c r="L1566" s="145"/>
      <c r="M1566" s="145"/>
      <c r="N1566" s="145"/>
      <c r="O1566" s="145"/>
      <c r="P1566" s="145"/>
      <c r="Q1566" s="145"/>
      <c r="R1566" s="145"/>
      <c r="S1566" s="145"/>
      <c r="T1566" s="145"/>
      <c r="U1566" s="145"/>
      <c r="V1566" s="145"/>
      <c r="W1566" s="145"/>
      <c r="X1566" s="145"/>
      <c r="Y1566" s="145"/>
      <c r="Z1566" s="145"/>
      <c r="AA1566" s="145"/>
      <c r="AB1566" s="145"/>
      <c r="AC1566" s="145"/>
      <c r="AD1566" s="145"/>
      <c r="AE1566" s="145"/>
      <c r="AF1566" s="145"/>
      <c r="AG1566" s="145"/>
      <c r="AH1566" s="145"/>
      <c r="AI1566" s="145"/>
      <c r="AJ1566" s="145"/>
      <c r="AK1566" s="145"/>
      <c r="AL1566" s="145"/>
      <c r="AM1566" s="321"/>
      <c r="AN1566" s="321"/>
      <c r="AO1566" s="321"/>
      <c r="AP1566" s="321"/>
      <c r="AQ1566" s="321"/>
      <c r="AR1566" s="321"/>
      <c r="AS1566" s="321"/>
      <c r="AT1566" s="321"/>
    </row>
    <row r="1567" spans="10:46">
      <c r="J1567" s="145"/>
      <c r="K1567" s="145"/>
      <c r="L1567" s="145"/>
      <c r="M1567" s="145"/>
      <c r="N1567" s="145"/>
      <c r="O1567" s="145"/>
      <c r="P1567" s="145"/>
      <c r="Q1567" s="145"/>
      <c r="R1567" s="145"/>
      <c r="S1567" s="145"/>
      <c r="T1567" s="145"/>
      <c r="U1567" s="145"/>
      <c r="V1567" s="145"/>
      <c r="W1567" s="145"/>
      <c r="X1567" s="145"/>
      <c r="Y1567" s="145"/>
      <c r="Z1567" s="145"/>
      <c r="AA1567" s="145"/>
      <c r="AB1567" s="145"/>
      <c r="AC1567" s="145"/>
      <c r="AD1567" s="145"/>
      <c r="AE1567" s="145"/>
      <c r="AF1567" s="145"/>
      <c r="AG1567" s="145"/>
      <c r="AH1567" s="145"/>
      <c r="AI1567" s="145"/>
      <c r="AJ1567" s="145"/>
      <c r="AK1567" s="145"/>
      <c r="AL1567" s="145"/>
      <c r="AM1567" s="321"/>
      <c r="AN1567" s="321"/>
      <c r="AO1567" s="321"/>
      <c r="AP1567" s="321"/>
      <c r="AQ1567" s="321"/>
      <c r="AR1567" s="321"/>
      <c r="AS1567" s="321"/>
      <c r="AT1567" s="321"/>
    </row>
    <row r="1568" spans="10:46">
      <c r="J1568" s="145"/>
      <c r="K1568" s="145"/>
      <c r="L1568" s="145"/>
      <c r="M1568" s="145"/>
      <c r="N1568" s="145"/>
      <c r="O1568" s="145"/>
      <c r="P1568" s="145"/>
      <c r="Q1568" s="145"/>
      <c r="R1568" s="145"/>
      <c r="S1568" s="145"/>
      <c r="T1568" s="145"/>
      <c r="U1568" s="145"/>
      <c r="V1568" s="145"/>
      <c r="W1568" s="145"/>
      <c r="X1568" s="145"/>
      <c r="Y1568" s="145"/>
      <c r="Z1568" s="145"/>
      <c r="AA1568" s="145"/>
      <c r="AB1568" s="145"/>
      <c r="AC1568" s="145"/>
      <c r="AD1568" s="145"/>
      <c r="AE1568" s="145"/>
      <c r="AF1568" s="145"/>
      <c r="AG1568" s="145"/>
      <c r="AH1568" s="145"/>
      <c r="AI1568" s="145"/>
      <c r="AJ1568" s="145"/>
      <c r="AK1568" s="145"/>
      <c r="AL1568" s="145"/>
      <c r="AM1568" s="321"/>
      <c r="AN1568" s="321"/>
      <c r="AO1568" s="321"/>
      <c r="AP1568" s="321"/>
      <c r="AQ1568" s="321"/>
      <c r="AR1568" s="321"/>
      <c r="AS1568" s="321"/>
      <c r="AT1568" s="321"/>
    </row>
    <row r="1569" spans="10:46">
      <c r="J1569" s="145"/>
      <c r="K1569" s="145"/>
      <c r="L1569" s="145"/>
      <c r="M1569" s="145"/>
      <c r="N1569" s="145"/>
      <c r="O1569" s="145"/>
      <c r="P1569" s="145"/>
      <c r="Q1569" s="145"/>
      <c r="R1569" s="145"/>
      <c r="S1569" s="145"/>
      <c r="T1569" s="145"/>
      <c r="U1569" s="145"/>
      <c r="V1569" s="145"/>
      <c r="W1569" s="145"/>
      <c r="X1569" s="145"/>
      <c r="Y1569" s="145"/>
      <c r="Z1569" s="145"/>
      <c r="AA1569" s="145"/>
      <c r="AB1569" s="145"/>
      <c r="AC1569" s="145"/>
      <c r="AD1569" s="145"/>
      <c r="AE1569" s="145"/>
      <c r="AF1569" s="145"/>
      <c r="AG1569" s="145"/>
      <c r="AH1569" s="145"/>
      <c r="AI1569" s="145"/>
      <c r="AJ1569" s="145"/>
      <c r="AK1569" s="145"/>
      <c r="AL1569" s="145"/>
      <c r="AM1569" s="321"/>
      <c r="AN1569" s="321"/>
      <c r="AO1569" s="321"/>
      <c r="AP1569" s="321"/>
      <c r="AQ1569" s="321"/>
      <c r="AR1569" s="321"/>
      <c r="AS1569" s="321"/>
      <c r="AT1569" s="321"/>
    </row>
    <row r="1570" spans="10:46">
      <c r="J1570" s="145"/>
      <c r="K1570" s="145"/>
      <c r="L1570" s="145"/>
      <c r="M1570" s="145"/>
      <c r="N1570" s="145"/>
      <c r="O1570" s="145"/>
      <c r="P1570" s="145"/>
      <c r="Q1570" s="145"/>
      <c r="R1570" s="145"/>
      <c r="S1570" s="145"/>
      <c r="T1570" s="145"/>
      <c r="U1570" s="145"/>
      <c r="V1570" s="145"/>
      <c r="W1570" s="145"/>
      <c r="X1570" s="145"/>
      <c r="Y1570" s="145"/>
      <c r="Z1570" s="145"/>
      <c r="AA1570" s="145"/>
      <c r="AB1570" s="145"/>
      <c r="AC1570" s="145"/>
      <c r="AD1570" s="145"/>
      <c r="AE1570" s="145"/>
      <c r="AF1570" s="145"/>
      <c r="AG1570" s="145"/>
      <c r="AH1570" s="145"/>
      <c r="AI1570" s="145"/>
      <c r="AJ1570" s="145"/>
      <c r="AK1570" s="145"/>
      <c r="AL1570" s="145"/>
      <c r="AM1570" s="321"/>
      <c r="AN1570" s="321"/>
      <c r="AO1570" s="321"/>
      <c r="AP1570" s="321"/>
      <c r="AQ1570" s="321"/>
      <c r="AR1570" s="321"/>
      <c r="AS1570" s="321"/>
      <c r="AT1570" s="321"/>
    </row>
    <row r="1571" spans="10:46">
      <c r="J1571" s="145"/>
      <c r="K1571" s="145"/>
      <c r="L1571" s="145"/>
      <c r="M1571" s="145"/>
      <c r="N1571" s="145"/>
      <c r="O1571" s="145"/>
      <c r="P1571" s="145"/>
      <c r="Q1571" s="145"/>
      <c r="R1571" s="145"/>
      <c r="S1571" s="145"/>
      <c r="T1571" s="145"/>
      <c r="U1571" s="145"/>
      <c r="V1571" s="145"/>
      <c r="W1571" s="145"/>
      <c r="X1571" s="145"/>
      <c r="Y1571" s="145"/>
      <c r="Z1571" s="145"/>
      <c r="AA1571" s="145"/>
      <c r="AB1571" s="145"/>
      <c r="AC1571" s="145"/>
      <c r="AD1571" s="145"/>
      <c r="AE1571" s="145"/>
      <c r="AF1571" s="145"/>
      <c r="AG1571" s="145"/>
      <c r="AH1571" s="145"/>
      <c r="AI1571" s="145"/>
      <c r="AJ1571" s="145"/>
      <c r="AK1571" s="145"/>
      <c r="AL1571" s="145"/>
      <c r="AM1571" s="321"/>
      <c r="AN1571" s="321"/>
      <c r="AO1571" s="321"/>
      <c r="AP1571" s="321"/>
      <c r="AQ1571" s="321"/>
      <c r="AR1571" s="321"/>
      <c r="AS1571" s="321"/>
      <c r="AT1571" s="321"/>
    </row>
    <row r="1572" spans="10:46">
      <c r="J1572" s="145"/>
      <c r="K1572" s="145"/>
      <c r="L1572" s="145"/>
      <c r="M1572" s="145"/>
      <c r="N1572" s="145"/>
      <c r="O1572" s="145"/>
      <c r="P1572" s="145"/>
      <c r="Q1572" s="145"/>
      <c r="R1572" s="145"/>
      <c r="S1572" s="145"/>
      <c r="T1572" s="145"/>
      <c r="U1572" s="145"/>
      <c r="V1572" s="145"/>
      <c r="W1572" s="145"/>
      <c r="X1572" s="145"/>
      <c r="Y1572" s="145"/>
      <c r="Z1572" s="145"/>
      <c r="AA1572" s="145"/>
      <c r="AB1572" s="145"/>
      <c r="AC1572" s="145"/>
      <c r="AD1572" s="145"/>
      <c r="AE1572" s="145"/>
      <c r="AF1572" s="145"/>
      <c r="AG1572" s="145"/>
      <c r="AH1572" s="145"/>
      <c r="AI1572" s="145"/>
      <c r="AJ1572" s="145"/>
      <c r="AK1572" s="145"/>
      <c r="AL1572" s="145"/>
      <c r="AM1572" s="321"/>
      <c r="AN1572" s="321"/>
      <c r="AO1572" s="321"/>
      <c r="AP1572" s="321"/>
      <c r="AQ1572" s="321"/>
      <c r="AR1572" s="321"/>
      <c r="AS1572" s="321"/>
      <c r="AT1572" s="321"/>
    </row>
    <row r="1573" spans="10:46">
      <c r="J1573" s="145"/>
      <c r="K1573" s="145"/>
      <c r="L1573" s="145"/>
      <c r="M1573" s="145"/>
      <c r="N1573" s="145"/>
      <c r="O1573" s="145"/>
      <c r="P1573" s="145"/>
      <c r="Q1573" s="145"/>
      <c r="R1573" s="145"/>
      <c r="S1573" s="145"/>
      <c r="T1573" s="145"/>
      <c r="U1573" s="145"/>
      <c r="V1573" s="145"/>
      <c r="W1573" s="145"/>
      <c r="X1573" s="145"/>
      <c r="Y1573" s="145"/>
      <c r="Z1573" s="145"/>
      <c r="AA1573" s="145"/>
      <c r="AB1573" s="145"/>
      <c r="AC1573" s="145"/>
      <c r="AD1573" s="145"/>
      <c r="AE1573" s="145"/>
      <c r="AF1573" s="145"/>
      <c r="AG1573" s="145"/>
      <c r="AH1573" s="145"/>
      <c r="AI1573" s="145"/>
      <c r="AJ1573" s="145"/>
      <c r="AK1573" s="145"/>
      <c r="AL1573" s="145"/>
      <c r="AM1573" s="321"/>
      <c r="AN1573" s="321"/>
      <c r="AO1573" s="321"/>
      <c r="AP1573" s="321"/>
      <c r="AQ1573" s="321"/>
      <c r="AR1573" s="321"/>
      <c r="AS1573" s="321"/>
      <c r="AT1573" s="321"/>
    </row>
    <row r="1574" spans="10:46">
      <c r="J1574" s="145"/>
      <c r="K1574" s="145"/>
      <c r="L1574" s="145"/>
      <c r="M1574" s="145"/>
      <c r="N1574" s="145"/>
      <c r="O1574" s="145"/>
      <c r="P1574" s="145"/>
      <c r="Q1574" s="145"/>
      <c r="R1574" s="145"/>
      <c r="S1574" s="145"/>
      <c r="T1574" s="145"/>
      <c r="U1574" s="145"/>
      <c r="V1574" s="145"/>
      <c r="W1574" s="145"/>
      <c r="X1574" s="145"/>
      <c r="Y1574" s="145"/>
      <c r="Z1574" s="145"/>
      <c r="AA1574" s="145"/>
      <c r="AB1574" s="145"/>
      <c r="AC1574" s="145"/>
      <c r="AD1574" s="145"/>
      <c r="AE1574" s="145"/>
      <c r="AF1574" s="145"/>
      <c r="AG1574" s="145"/>
      <c r="AH1574" s="145"/>
      <c r="AI1574" s="145"/>
      <c r="AJ1574" s="145"/>
      <c r="AK1574" s="145"/>
      <c r="AL1574" s="145"/>
      <c r="AM1574" s="321"/>
      <c r="AN1574" s="321"/>
      <c r="AO1574" s="321"/>
      <c r="AP1574" s="321"/>
      <c r="AQ1574" s="321"/>
      <c r="AR1574" s="321"/>
      <c r="AS1574" s="321"/>
      <c r="AT1574" s="321"/>
    </row>
    <row r="1575" spans="10:46">
      <c r="J1575" s="145"/>
      <c r="K1575" s="145"/>
      <c r="L1575" s="145"/>
      <c r="M1575" s="145"/>
      <c r="N1575" s="145"/>
      <c r="O1575" s="145"/>
      <c r="P1575" s="145"/>
      <c r="Q1575" s="145"/>
      <c r="R1575" s="145"/>
      <c r="S1575" s="145"/>
      <c r="T1575" s="145"/>
      <c r="U1575" s="145"/>
      <c r="V1575" s="145"/>
      <c r="W1575" s="145"/>
      <c r="X1575" s="145"/>
      <c r="Y1575" s="145"/>
      <c r="Z1575" s="145"/>
      <c r="AA1575" s="145"/>
      <c r="AB1575" s="145"/>
      <c r="AC1575" s="145"/>
      <c r="AD1575" s="145"/>
      <c r="AE1575" s="145"/>
      <c r="AF1575" s="145"/>
      <c r="AG1575" s="145"/>
      <c r="AH1575" s="145"/>
      <c r="AI1575" s="145"/>
      <c r="AJ1575" s="145"/>
      <c r="AK1575" s="145"/>
      <c r="AL1575" s="145"/>
      <c r="AM1575" s="321"/>
      <c r="AN1575" s="321"/>
      <c r="AO1575" s="321"/>
      <c r="AP1575" s="321"/>
      <c r="AQ1575" s="321"/>
      <c r="AR1575" s="321"/>
      <c r="AS1575" s="321"/>
      <c r="AT1575" s="321"/>
    </row>
    <row r="1576" spans="10:46">
      <c r="J1576" s="145"/>
      <c r="K1576" s="145"/>
      <c r="L1576" s="145"/>
      <c r="M1576" s="145"/>
      <c r="N1576" s="145"/>
      <c r="O1576" s="145"/>
      <c r="P1576" s="145"/>
      <c r="Q1576" s="145"/>
      <c r="R1576" s="145"/>
      <c r="S1576" s="145"/>
      <c r="T1576" s="145"/>
      <c r="U1576" s="145"/>
      <c r="V1576" s="145"/>
      <c r="W1576" s="145"/>
      <c r="X1576" s="145"/>
      <c r="Y1576" s="145"/>
      <c r="Z1576" s="145"/>
      <c r="AA1576" s="145"/>
      <c r="AB1576" s="145"/>
      <c r="AC1576" s="145"/>
      <c r="AD1576" s="145"/>
      <c r="AE1576" s="145"/>
      <c r="AF1576" s="145"/>
      <c r="AG1576" s="145"/>
      <c r="AH1576" s="145"/>
      <c r="AI1576" s="145"/>
      <c r="AJ1576" s="145"/>
      <c r="AK1576" s="145"/>
      <c r="AL1576" s="145"/>
      <c r="AM1576" s="321"/>
      <c r="AN1576" s="321"/>
      <c r="AO1576" s="321"/>
      <c r="AP1576" s="321"/>
      <c r="AQ1576" s="321"/>
      <c r="AR1576" s="321"/>
      <c r="AS1576" s="321"/>
      <c r="AT1576" s="321"/>
    </row>
    <row r="1577" spans="10:46">
      <c r="J1577" s="145"/>
      <c r="K1577" s="145"/>
      <c r="L1577" s="145"/>
      <c r="M1577" s="145"/>
      <c r="N1577" s="145"/>
      <c r="O1577" s="145"/>
      <c r="P1577" s="145"/>
      <c r="Q1577" s="145"/>
      <c r="R1577" s="145"/>
      <c r="S1577" s="145"/>
      <c r="T1577" s="145"/>
      <c r="U1577" s="145"/>
      <c r="V1577" s="145"/>
      <c r="W1577" s="145"/>
      <c r="X1577" s="145"/>
      <c r="Y1577" s="145"/>
      <c r="Z1577" s="145"/>
      <c r="AA1577" s="145"/>
      <c r="AB1577" s="145"/>
      <c r="AC1577" s="145"/>
      <c r="AD1577" s="145"/>
      <c r="AE1577" s="145"/>
      <c r="AF1577" s="145"/>
      <c r="AG1577" s="145"/>
      <c r="AH1577" s="145"/>
      <c r="AI1577" s="145"/>
      <c r="AJ1577" s="145"/>
      <c r="AK1577" s="145"/>
      <c r="AL1577" s="145"/>
      <c r="AM1577" s="321"/>
      <c r="AN1577" s="321"/>
      <c r="AO1577" s="321"/>
      <c r="AP1577" s="321"/>
      <c r="AQ1577" s="321"/>
      <c r="AR1577" s="321"/>
      <c r="AS1577" s="321"/>
      <c r="AT1577" s="321"/>
    </row>
    <row r="1578" spans="10:46">
      <c r="J1578" s="145"/>
      <c r="K1578" s="145"/>
      <c r="L1578" s="145"/>
      <c r="M1578" s="145"/>
      <c r="N1578" s="145"/>
      <c r="O1578" s="145"/>
      <c r="P1578" s="145"/>
      <c r="Q1578" s="145"/>
      <c r="R1578" s="145"/>
      <c r="S1578" s="145"/>
      <c r="T1578" s="145"/>
      <c r="U1578" s="145"/>
      <c r="V1578" s="145"/>
      <c r="W1578" s="145"/>
      <c r="X1578" s="145"/>
      <c r="Y1578" s="145"/>
      <c r="Z1578" s="145"/>
      <c r="AA1578" s="145"/>
      <c r="AB1578" s="145"/>
      <c r="AC1578" s="145"/>
      <c r="AD1578" s="145"/>
      <c r="AE1578" s="145"/>
      <c r="AF1578" s="145"/>
      <c r="AG1578" s="145"/>
      <c r="AH1578" s="145"/>
      <c r="AI1578" s="145"/>
      <c r="AJ1578" s="145"/>
      <c r="AK1578" s="145"/>
      <c r="AL1578" s="145"/>
      <c r="AM1578" s="321"/>
      <c r="AN1578" s="321"/>
      <c r="AO1578" s="321"/>
      <c r="AP1578" s="321"/>
      <c r="AQ1578" s="321"/>
      <c r="AR1578" s="321"/>
      <c r="AS1578" s="321"/>
      <c r="AT1578" s="321"/>
    </row>
    <row r="1579" spans="10:46">
      <c r="J1579" s="145"/>
      <c r="K1579" s="145"/>
      <c r="L1579" s="145"/>
      <c r="M1579" s="145"/>
      <c r="N1579" s="145"/>
      <c r="O1579" s="145"/>
      <c r="P1579" s="145"/>
      <c r="Q1579" s="145"/>
      <c r="R1579" s="145"/>
      <c r="S1579" s="145"/>
      <c r="T1579" s="145"/>
      <c r="U1579" s="145"/>
      <c r="V1579" s="145"/>
      <c r="W1579" s="145"/>
      <c r="X1579" s="145"/>
      <c r="Y1579" s="145"/>
      <c r="Z1579" s="145"/>
      <c r="AA1579" s="145"/>
      <c r="AB1579" s="145"/>
      <c r="AC1579" s="145"/>
      <c r="AD1579" s="145"/>
      <c r="AE1579" s="145"/>
      <c r="AF1579" s="145"/>
      <c r="AG1579" s="145"/>
      <c r="AH1579" s="145"/>
      <c r="AI1579" s="145"/>
      <c r="AJ1579" s="145"/>
      <c r="AK1579" s="145"/>
      <c r="AL1579" s="145"/>
      <c r="AM1579" s="321"/>
      <c r="AN1579" s="321"/>
      <c r="AO1579" s="321"/>
      <c r="AP1579" s="321"/>
      <c r="AQ1579" s="321"/>
      <c r="AR1579" s="321"/>
      <c r="AS1579" s="321"/>
      <c r="AT1579" s="321"/>
    </row>
    <row r="1580" spans="10:46">
      <c r="J1580" s="145"/>
      <c r="K1580" s="145"/>
      <c r="L1580" s="145"/>
      <c r="M1580" s="145"/>
      <c r="N1580" s="145"/>
      <c r="O1580" s="145"/>
      <c r="P1580" s="145"/>
      <c r="Q1580" s="145"/>
      <c r="R1580" s="145"/>
      <c r="S1580" s="145"/>
      <c r="T1580" s="145"/>
      <c r="U1580" s="145"/>
      <c r="V1580" s="145"/>
      <c r="W1580" s="145"/>
      <c r="X1580" s="145"/>
      <c r="Y1580" s="145"/>
      <c r="Z1580" s="145"/>
      <c r="AA1580" s="145"/>
      <c r="AB1580" s="145"/>
      <c r="AC1580" s="145"/>
      <c r="AD1580" s="145"/>
      <c r="AE1580" s="145"/>
      <c r="AF1580" s="145"/>
      <c r="AG1580" s="145"/>
      <c r="AH1580" s="145"/>
      <c r="AI1580" s="145"/>
      <c r="AJ1580" s="145"/>
      <c r="AK1580" s="145"/>
      <c r="AL1580" s="145"/>
      <c r="AM1580" s="321"/>
      <c r="AN1580" s="321"/>
      <c r="AO1580" s="321"/>
      <c r="AP1580" s="321"/>
      <c r="AQ1580" s="321"/>
      <c r="AR1580" s="321"/>
      <c r="AS1580" s="321"/>
      <c r="AT1580" s="321"/>
    </row>
    <row r="1581" spans="10:46">
      <c r="J1581" s="145"/>
      <c r="K1581" s="145"/>
      <c r="L1581" s="145"/>
      <c r="M1581" s="145"/>
      <c r="N1581" s="145"/>
      <c r="O1581" s="145"/>
      <c r="P1581" s="145"/>
      <c r="Q1581" s="145"/>
      <c r="R1581" s="145"/>
      <c r="S1581" s="145"/>
      <c r="T1581" s="145"/>
      <c r="U1581" s="145"/>
      <c r="V1581" s="145"/>
      <c r="W1581" s="145"/>
      <c r="X1581" s="145"/>
      <c r="Y1581" s="145"/>
      <c r="Z1581" s="145"/>
      <c r="AA1581" s="145"/>
      <c r="AB1581" s="145"/>
      <c r="AC1581" s="145"/>
      <c r="AD1581" s="145"/>
      <c r="AE1581" s="145"/>
      <c r="AF1581" s="145"/>
      <c r="AG1581" s="145"/>
      <c r="AH1581" s="145"/>
      <c r="AI1581" s="145"/>
      <c r="AJ1581" s="145"/>
      <c r="AK1581" s="145"/>
      <c r="AL1581" s="145"/>
      <c r="AM1581" s="321"/>
      <c r="AN1581" s="321"/>
      <c r="AO1581" s="321"/>
      <c r="AP1581" s="321"/>
      <c r="AQ1581" s="321"/>
      <c r="AR1581" s="321"/>
      <c r="AS1581" s="321"/>
      <c r="AT1581" s="321"/>
    </row>
    <row r="1582" spans="10:46">
      <c r="J1582" s="145"/>
      <c r="K1582" s="145"/>
      <c r="L1582" s="145"/>
      <c r="M1582" s="145"/>
      <c r="N1582" s="145"/>
      <c r="O1582" s="145"/>
      <c r="P1582" s="145"/>
      <c r="Q1582" s="145"/>
      <c r="R1582" s="145"/>
      <c r="S1582" s="145"/>
      <c r="T1582" s="145"/>
      <c r="U1582" s="145"/>
      <c r="V1582" s="145"/>
      <c r="W1582" s="145"/>
      <c r="X1582" s="145"/>
      <c r="Y1582" s="145"/>
      <c r="Z1582" s="145"/>
      <c r="AA1582" s="145"/>
      <c r="AB1582" s="145"/>
      <c r="AC1582" s="145"/>
      <c r="AD1582" s="145"/>
      <c r="AE1582" s="145"/>
      <c r="AF1582" s="145"/>
      <c r="AG1582" s="145"/>
      <c r="AH1582" s="145"/>
      <c r="AI1582" s="145"/>
      <c r="AJ1582" s="145"/>
      <c r="AK1582" s="145"/>
      <c r="AL1582" s="145"/>
      <c r="AM1582" s="321"/>
      <c r="AN1582" s="321"/>
      <c r="AO1582" s="321"/>
      <c r="AP1582" s="321"/>
      <c r="AQ1582" s="321"/>
      <c r="AR1582" s="321"/>
      <c r="AS1582" s="321"/>
      <c r="AT1582" s="321"/>
    </row>
    <row r="1583" spans="10:46">
      <c r="J1583" s="145"/>
      <c r="K1583" s="145"/>
      <c r="L1583" s="145"/>
      <c r="M1583" s="145"/>
      <c r="N1583" s="145"/>
      <c r="O1583" s="145"/>
      <c r="P1583" s="145"/>
      <c r="Q1583" s="145"/>
      <c r="R1583" s="145"/>
      <c r="S1583" s="145"/>
      <c r="T1583" s="145"/>
      <c r="U1583" s="145"/>
      <c r="V1583" s="145"/>
      <c r="W1583" s="145"/>
      <c r="X1583" s="145"/>
      <c r="Y1583" s="145"/>
      <c r="Z1583" s="145"/>
      <c r="AA1583" s="145"/>
      <c r="AB1583" s="145"/>
      <c r="AC1583" s="145"/>
      <c r="AD1583" s="145"/>
      <c r="AE1583" s="145"/>
      <c r="AF1583" s="145"/>
      <c r="AG1583" s="145"/>
      <c r="AH1583" s="145"/>
      <c r="AI1583" s="145"/>
      <c r="AJ1583" s="145"/>
      <c r="AK1583" s="145"/>
      <c r="AL1583" s="145"/>
      <c r="AM1583" s="321"/>
      <c r="AN1583" s="321"/>
      <c r="AO1583" s="321"/>
      <c r="AP1583" s="321"/>
      <c r="AQ1583" s="321"/>
      <c r="AR1583" s="321"/>
      <c r="AS1583" s="321"/>
      <c r="AT1583" s="321"/>
    </row>
    <row r="1584" spans="10:46">
      <c r="J1584" s="145"/>
      <c r="K1584" s="145"/>
      <c r="L1584" s="145"/>
      <c r="M1584" s="145"/>
      <c r="N1584" s="145"/>
      <c r="O1584" s="145"/>
      <c r="P1584" s="145"/>
      <c r="Q1584" s="145"/>
      <c r="R1584" s="145"/>
      <c r="S1584" s="145"/>
      <c r="T1584" s="145"/>
      <c r="U1584" s="145"/>
      <c r="V1584" s="145"/>
      <c r="W1584" s="145"/>
      <c r="X1584" s="145"/>
      <c r="Y1584" s="145"/>
      <c r="Z1584" s="145"/>
      <c r="AA1584" s="145"/>
      <c r="AB1584" s="145"/>
      <c r="AC1584" s="145"/>
      <c r="AD1584" s="145"/>
      <c r="AE1584" s="145"/>
      <c r="AF1584" s="145"/>
      <c r="AG1584" s="145"/>
      <c r="AH1584" s="145"/>
      <c r="AI1584" s="145"/>
      <c r="AJ1584" s="145"/>
      <c r="AK1584" s="145"/>
      <c r="AL1584" s="145"/>
      <c r="AM1584" s="321"/>
      <c r="AN1584" s="321"/>
      <c r="AO1584" s="321"/>
      <c r="AP1584" s="321"/>
      <c r="AQ1584" s="321"/>
      <c r="AR1584" s="321"/>
      <c r="AS1584" s="321"/>
      <c r="AT1584" s="321"/>
    </row>
    <row r="1585" spans="10:46">
      <c r="J1585" s="145"/>
      <c r="K1585" s="145"/>
      <c r="L1585" s="145"/>
      <c r="M1585" s="145"/>
      <c r="N1585" s="145"/>
      <c r="O1585" s="145"/>
      <c r="P1585" s="145"/>
      <c r="Q1585" s="145"/>
      <c r="R1585" s="145"/>
      <c r="S1585" s="145"/>
      <c r="T1585" s="145"/>
      <c r="U1585" s="145"/>
      <c r="V1585" s="145"/>
      <c r="W1585" s="145"/>
      <c r="X1585" s="145"/>
      <c r="Y1585" s="145"/>
      <c r="Z1585" s="145"/>
      <c r="AA1585" s="145"/>
      <c r="AB1585" s="145"/>
      <c r="AC1585" s="145"/>
      <c r="AD1585" s="145"/>
      <c r="AE1585" s="145"/>
      <c r="AF1585" s="145"/>
      <c r="AG1585" s="145"/>
      <c r="AH1585" s="145"/>
      <c r="AI1585" s="145"/>
      <c r="AJ1585" s="145"/>
      <c r="AK1585" s="145"/>
      <c r="AL1585" s="145"/>
      <c r="AM1585" s="321"/>
      <c r="AN1585" s="321"/>
      <c r="AO1585" s="321"/>
      <c r="AP1585" s="321"/>
      <c r="AQ1585" s="321"/>
      <c r="AR1585" s="321"/>
      <c r="AS1585" s="321"/>
      <c r="AT1585" s="321"/>
    </row>
    <row r="1586" spans="10:46">
      <c r="J1586" s="145"/>
      <c r="K1586" s="145"/>
      <c r="L1586" s="145"/>
      <c r="M1586" s="145"/>
      <c r="N1586" s="145"/>
      <c r="O1586" s="145"/>
      <c r="P1586" s="145"/>
      <c r="Q1586" s="145"/>
      <c r="R1586" s="145"/>
      <c r="S1586" s="145"/>
      <c r="T1586" s="145"/>
      <c r="U1586" s="145"/>
      <c r="V1586" s="145"/>
      <c r="W1586" s="145"/>
      <c r="X1586" s="145"/>
      <c r="Y1586" s="145"/>
      <c r="Z1586" s="145"/>
      <c r="AA1586" s="145"/>
      <c r="AB1586" s="145"/>
      <c r="AC1586" s="145"/>
      <c r="AD1586" s="145"/>
      <c r="AE1586" s="145"/>
      <c r="AF1586" s="145"/>
      <c r="AG1586" s="145"/>
      <c r="AH1586" s="145"/>
      <c r="AI1586" s="145"/>
      <c r="AJ1586" s="145"/>
      <c r="AK1586" s="145"/>
      <c r="AL1586" s="145"/>
      <c r="AM1586" s="321"/>
      <c r="AN1586" s="321"/>
      <c r="AO1586" s="321"/>
      <c r="AP1586" s="321"/>
      <c r="AQ1586" s="321"/>
      <c r="AR1586" s="321"/>
      <c r="AS1586" s="321"/>
      <c r="AT1586" s="321"/>
    </row>
    <row r="1587" spans="10:46">
      <c r="J1587" s="145"/>
      <c r="K1587" s="145"/>
      <c r="L1587" s="145"/>
      <c r="M1587" s="145"/>
      <c r="N1587" s="145"/>
      <c r="O1587" s="145"/>
      <c r="P1587" s="145"/>
      <c r="Q1587" s="145"/>
      <c r="R1587" s="145"/>
      <c r="S1587" s="145"/>
      <c r="T1587" s="145"/>
      <c r="U1587" s="145"/>
      <c r="V1587" s="145"/>
      <c r="W1587" s="145"/>
      <c r="X1587" s="145"/>
      <c r="Y1587" s="145"/>
      <c r="Z1587" s="145"/>
      <c r="AA1587" s="145"/>
      <c r="AB1587" s="145"/>
      <c r="AC1587" s="145"/>
      <c r="AD1587" s="145"/>
      <c r="AE1587" s="145"/>
      <c r="AF1587" s="145"/>
      <c r="AG1587" s="145"/>
      <c r="AH1587" s="145"/>
      <c r="AI1587" s="145"/>
      <c r="AJ1587" s="145"/>
      <c r="AK1587" s="145"/>
      <c r="AL1587" s="145"/>
      <c r="AM1587" s="321"/>
      <c r="AN1587" s="321"/>
      <c r="AO1587" s="321"/>
      <c r="AP1587" s="321"/>
      <c r="AQ1587" s="321"/>
      <c r="AR1587" s="321"/>
      <c r="AS1587" s="321"/>
      <c r="AT1587" s="321"/>
    </row>
    <row r="1588" spans="10:46">
      <c r="J1588" s="145"/>
      <c r="K1588" s="145"/>
      <c r="L1588" s="145"/>
      <c r="M1588" s="145"/>
      <c r="N1588" s="145"/>
      <c r="O1588" s="145"/>
      <c r="P1588" s="145"/>
      <c r="Q1588" s="145"/>
      <c r="R1588" s="145"/>
      <c r="S1588" s="145"/>
      <c r="T1588" s="145"/>
      <c r="U1588" s="145"/>
      <c r="V1588" s="145"/>
      <c r="W1588" s="145"/>
      <c r="X1588" s="145"/>
      <c r="Y1588" s="145"/>
      <c r="Z1588" s="145"/>
      <c r="AA1588" s="145"/>
      <c r="AB1588" s="145"/>
      <c r="AC1588" s="145"/>
      <c r="AD1588" s="145"/>
      <c r="AE1588" s="145"/>
      <c r="AF1588" s="145"/>
      <c r="AG1588" s="145"/>
      <c r="AH1588" s="145"/>
      <c r="AI1588" s="145"/>
      <c r="AJ1588" s="145"/>
      <c r="AK1588" s="145"/>
      <c r="AL1588" s="145"/>
      <c r="AM1588" s="321"/>
      <c r="AN1588" s="321"/>
      <c r="AO1588" s="321"/>
      <c r="AP1588" s="321"/>
      <c r="AQ1588" s="321"/>
      <c r="AR1588" s="321"/>
      <c r="AS1588" s="321"/>
      <c r="AT1588" s="321"/>
    </row>
    <row r="1589" spans="10:46">
      <c r="J1589" s="145"/>
      <c r="K1589" s="145"/>
      <c r="L1589" s="145"/>
      <c r="M1589" s="145"/>
      <c r="N1589" s="145"/>
      <c r="O1589" s="145"/>
      <c r="P1589" s="145"/>
      <c r="Q1589" s="145"/>
      <c r="R1589" s="145"/>
      <c r="S1589" s="145"/>
      <c r="T1589" s="145"/>
      <c r="U1589" s="145"/>
      <c r="V1589" s="145"/>
      <c r="W1589" s="145"/>
      <c r="X1589" s="145"/>
      <c r="Y1589" s="145"/>
      <c r="Z1589" s="145"/>
      <c r="AA1589" s="145"/>
      <c r="AB1589" s="145"/>
      <c r="AC1589" s="145"/>
      <c r="AD1589" s="145"/>
      <c r="AE1589" s="145"/>
      <c r="AF1589" s="145"/>
      <c r="AG1589" s="145"/>
      <c r="AH1589" s="145"/>
      <c r="AI1589" s="145"/>
      <c r="AJ1589" s="145"/>
      <c r="AK1589" s="145"/>
      <c r="AL1589" s="145"/>
      <c r="AM1589" s="321"/>
      <c r="AN1589" s="321"/>
      <c r="AO1589" s="321"/>
      <c r="AP1589" s="321"/>
      <c r="AQ1589" s="321"/>
      <c r="AR1589" s="321"/>
      <c r="AS1589" s="321"/>
      <c r="AT1589" s="321"/>
    </row>
    <row r="1590" spans="10:46">
      <c r="J1590" s="145"/>
      <c r="K1590" s="145"/>
      <c r="L1590" s="145"/>
      <c r="M1590" s="145"/>
      <c r="N1590" s="145"/>
      <c r="O1590" s="145"/>
      <c r="P1590" s="145"/>
      <c r="Q1590" s="145"/>
      <c r="R1590" s="145"/>
      <c r="S1590" s="145"/>
      <c r="T1590" s="145"/>
      <c r="U1590" s="145"/>
      <c r="V1590" s="145"/>
      <c r="W1590" s="145"/>
      <c r="X1590" s="145"/>
      <c r="Y1590" s="145"/>
      <c r="Z1590" s="145"/>
      <c r="AA1590" s="145"/>
      <c r="AB1590" s="145"/>
      <c r="AC1590" s="145"/>
      <c r="AD1590" s="145"/>
      <c r="AE1590" s="145"/>
      <c r="AF1590" s="145"/>
      <c r="AG1590" s="145"/>
      <c r="AH1590" s="145"/>
      <c r="AI1590" s="145"/>
      <c r="AJ1590" s="145"/>
      <c r="AK1590" s="145"/>
      <c r="AL1590" s="145"/>
      <c r="AM1590" s="321"/>
      <c r="AN1590" s="321"/>
      <c r="AO1590" s="321"/>
      <c r="AP1590" s="321"/>
      <c r="AQ1590" s="321"/>
      <c r="AR1590" s="321"/>
      <c r="AS1590" s="321"/>
      <c r="AT1590" s="321"/>
    </row>
    <row r="1591" spans="10:46">
      <c r="J1591" s="145"/>
      <c r="K1591" s="145"/>
      <c r="L1591" s="145"/>
      <c r="M1591" s="145"/>
      <c r="N1591" s="145"/>
      <c r="O1591" s="145"/>
      <c r="P1591" s="145"/>
      <c r="Q1591" s="145"/>
      <c r="R1591" s="145"/>
      <c r="S1591" s="145"/>
      <c r="T1591" s="145"/>
      <c r="U1591" s="145"/>
      <c r="V1591" s="145"/>
      <c r="W1591" s="145"/>
      <c r="X1591" s="145"/>
      <c r="Y1591" s="145"/>
      <c r="Z1591" s="145"/>
      <c r="AA1591" s="145"/>
      <c r="AB1591" s="145"/>
      <c r="AC1591" s="145"/>
      <c r="AD1591" s="145"/>
      <c r="AE1591" s="145"/>
      <c r="AF1591" s="145"/>
      <c r="AG1591" s="145"/>
      <c r="AH1591" s="145"/>
      <c r="AI1591" s="145"/>
      <c r="AJ1591" s="145"/>
      <c r="AK1591" s="145"/>
      <c r="AL1591" s="145"/>
      <c r="AM1591" s="321"/>
      <c r="AN1591" s="321"/>
      <c r="AO1591" s="321"/>
      <c r="AP1591" s="321"/>
      <c r="AQ1591" s="321"/>
      <c r="AR1591" s="321"/>
      <c r="AS1591" s="321"/>
      <c r="AT1591" s="321"/>
    </row>
    <row r="1592" spans="10:46">
      <c r="J1592" s="145"/>
      <c r="K1592" s="145"/>
      <c r="L1592" s="145"/>
      <c r="M1592" s="145"/>
      <c r="N1592" s="145"/>
      <c r="O1592" s="145"/>
      <c r="P1592" s="145"/>
      <c r="Q1592" s="145"/>
      <c r="R1592" s="145"/>
      <c r="S1592" s="145"/>
      <c r="T1592" s="145"/>
      <c r="U1592" s="145"/>
      <c r="V1592" s="145"/>
      <c r="W1592" s="145"/>
      <c r="X1592" s="145"/>
      <c r="Y1592" s="145"/>
      <c r="Z1592" s="145"/>
      <c r="AA1592" s="145"/>
      <c r="AB1592" s="145"/>
      <c r="AC1592" s="145"/>
      <c r="AD1592" s="145"/>
      <c r="AE1592" s="145"/>
      <c r="AF1592" s="145"/>
      <c r="AG1592" s="145"/>
      <c r="AH1592" s="145"/>
      <c r="AI1592" s="145"/>
      <c r="AJ1592" s="145"/>
      <c r="AK1592" s="145"/>
      <c r="AL1592" s="145"/>
      <c r="AM1592" s="321"/>
      <c r="AN1592" s="321"/>
      <c r="AO1592" s="321"/>
      <c r="AP1592" s="321"/>
      <c r="AQ1592" s="321"/>
      <c r="AR1592" s="321"/>
      <c r="AS1592" s="321"/>
      <c r="AT1592" s="321"/>
    </row>
    <row r="1593" spans="10:46">
      <c r="J1593" s="145"/>
      <c r="K1593" s="145"/>
      <c r="L1593" s="145"/>
      <c r="M1593" s="145"/>
      <c r="N1593" s="145"/>
      <c r="O1593" s="145"/>
      <c r="P1593" s="145"/>
      <c r="Q1593" s="145"/>
      <c r="R1593" s="145"/>
      <c r="S1593" s="145"/>
      <c r="T1593" s="145"/>
      <c r="U1593" s="145"/>
      <c r="V1593" s="145"/>
      <c r="W1593" s="145"/>
      <c r="X1593" s="145"/>
      <c r="Y1593" s="145"/>
      <c r="Z1593" s="145"/>
      <c r="AA1593" s="145"/>
      <c r="AB1593" s="145"/>
      <c r="AC1593" s="145"/>
      <c r="AD1593" s="145"/>
      <c r="AE1593" s="145"/>
      <c r="AF1593" s="145"/>
      <c r="AG1593" s="145"/>
      <c r="AH1593" s="145"/>
      <c r="AI1593" s="145"/>
      <c r="AJ1593" s="145"/>
      <c r="AK1593" s="145"/>
      <c r="AL1593" s="145"/>
      <c r="AM1593" s="321"/>
      <c r="AN1593" s="321"/>
      <c r="AO1593" s="321"/>
      <c r="AP1593" s="321"/>
      <c r="AQ1593" s="321"/>
      <c r="AR1593" s="321"/>
      <c r="AS1593" s="321"/>
      <c r="AT1593" s="321"/>
    </row>
    <row r="1594" spans="10:46">
      <c r="J1594" s="145"/>
      <c r="K1594" s="145"/>
      <c r="L1594" s="145"/>
      <c r="M1594" s="145"/>
      <c r="N1594" s="145"/>
      <c r="O1594" s="145"/>
      <c r="P1594" s="145"/>
      <c r="Q1594" s="145"/>
      <c r="R1594" s="145"/>
      <c r="S1594" s="145"/>
      <c r="T1594" s="145"/>
      <c r="U1594" s="145"/>
      <c r="V1594" s="145"/>
      <c r="W1594" s="145"/>
      <c r="X1594" s="145"/>
      <c r="Y1594" s="145"/>
      <c r="Z1594" s="145"/>
      <c r="AA1594" s="145"/>
      <c r="AB1594" s="145"/>
      <c r="AC1594" s="145"/>
      <c r="AD1594" s="145"/>
      <c r="AE1594" s="145"/>
      <c r="AF1594" s="145"/>
      <c r="AG1594" s="145"/>
      <c r="AH1594" s="145"/>
      <c r="AI1594" s="145"/>
      <c r="AJ1594" s="145"/>
      <c r="AK1594" s="145"/>
      <c r="AL1594" s="145"/>
      <c r="AM1594" s="321"/>
      <c r="AN1594" s="321"/>
      <c r="AO1594" s="321"/>
      <c r="AP1594" s="321"/>
      <c r="AQ1594" s="321"/>
      <c r="AR1594" s="321"/>
      <c r="AS1594" s="321"/>
      <c r="AT1594" s="321"/>
    </row>
    <row r="1595" spans="10:46">
      <c r="J1595" s="145"/>
      <c r="K1595" s="145"/>
      <c r="L1595" s="145"/>
      <c r="M1595" s="145"/>
      <c r="N1595" s="145"/>
      <c r="O1595" s="145"/>
      <c r="P1595" s="145"/>
      <c r="Q1595" s="145"/>
      <c r="R1595" s="145"/>
      <c r="S1595" s="145"/>
      <c r="T1595" s="145"/>
      <c r="U1595" s="145"/>
      <c r="V1595" s="145"/>
      <c r="W1595" s="145"/>
      <c r="X1595" s="145"/>
      <c r="Y1595" s="145"/>
      <c r="Z1595" s="145"/>
      <c r="AA1595" s="145"/>
      <c r="AB1595" s="145"/>
      <c r="AC1595" s="145"/>
      <c r="AD1595" s="145"/>
      <c r="AE1595" s="145"/>
      <c r="AF1595" s="145"/>
      <c r="AG1595" s="145"/>
      <c r="AH1595" s="145"/>
      <c r="AI1595" s="145"/>
      <c r="AJ1595" s="145"/>
      <c r="AK1595" s="145"/>
      <c r="AL1595" s="145"/>
      <c r="AM1595" s="321"/>
      <c r="AN1595" s="321"/>
      <c r="AO1595" s="321"/>
      <c r="AP1595" s="321"/>
      <c r="AQ1595" s="321"/>
      <c r="AR1595" s="321"/>
      <c r="AS1595" s="321"/>
      <c r="AT1595" s="321"/>
    </row>
    <row r="1596" spans="10:46">
      <c r="J1596" s="145"/>
      <c r="K1596" s="145"/>
      <c r="L1596" s="145"/>
      <c r="M1596" s="145"/>
      <c r="N1596" s="145"/>
      <c r="O1596" s="145"/>
      <c r="P1596" s="145"/>
      <c r="Q1596" s="145"/>
      <c r="R1596" s="145"/>
      <c r="S1596" s="145"/>
      <c r="T1596" s="145"/>
      <c r="U1596" s="145"/>
      <c r="V1596" s="145"/>
      <c r="W1596" s="145"/>
      <c r="X1596" s="145"/>
      <c r="Y1596" s="145"/>
      <c r="Z1596" s="145"/>
      <c r="AA1596" s="145"/>
      <c r="AB1596" s="145"/>
      <c r="AC1596" s="145"/>
      <c r="AD1596" s="145"/>
      <c r="AE1596" s="145"/>
      <c r="AF1596" s="145"/>
      <c r="AG1596" s="145"/>
      <c r="AH1596" s="145"/>
      <c r="AI1596" s="145"/>
      <c r="AJ1596" s="145"/>
      <c r="AK1596" s="145"/>
      <c r="AL1596" s="145"/>
      <c r="AM1596" s="321"/>
      <c r="AN1596" s="321"/>
      <c r="AO1596" s="321"/>
      <c r="AP1596" s="321"/>
      <c r="AQ1596" s="321"/>
      <c r="AR1596" s="321"/>
      <c r="AS1596" s="321"/>
      <c r="AT1596" s="321"/>
    </row>
    <row r="1597" spans="10:46">
      <c r="J1597" s="145"/>
      <c r="K1597" s="145"/>
      <c r="L1597" s="145"/>
      <c r="M1597" s="145"/>
      <c r="N1597" s="145"/>
      <c r="O1597" s="145"/>
      <c r="P1597" s="145"/>
      <c r="Q1597" s="145"/>
      <c r="R1597" s="145"/>
      <c r="S1597" s="145"/>
      <c r="T1597" s="145"/>
      <c r="U1597" s="145"/>
      <c r="V1597" s="145"/>
      <c r="W1597" s="145"/>
      <c r="X1597" s="145"/>
      <c r="Y1597" s="145"/>
      <c r="Z1597" s="145"/>
      <c r="AA1597" s="145"/>
      <c r="AB1597" s="145"/>
      <c r="AC1597" s="145"/>
      <c r="AD1597" s="145"/>
      <c r="AE1597" s="145"/>
      <c r="AF1597" s="145"/>
      <c r="AG1597" s="145"/>
      <c r="AH1597" s="145"/>
      <c r="AI1597" s="145"/>
      <c r="AJ1597" s="145"/>
      <c r="AK1597" s="145"/>
      <c r="AL1597" s="145"/>
      <c r="AM1597" s="321"/>
      <c r="AN1597" s="321"/>
      <c r="AO1597" s="321"/>
      <c r="AP1597" s="321"/>
      <c r="AQ1597" s="321"/>
      <c r="AR1597" s="321"/>
      <c r="AS1597" s="321"/>
      <c r="AT1597" s="321"/>
    </row>
    <row r="1598" spans="10:46">
      <c r="J1598" s="145"/>
      <c r="K1598" s="145"/>
      <c r="L1598" s="145"/>
      <c r="M1598" s="145"/>
      <c r="N1598" s="145"/>
      <c r="O1598" s="145"/>
      <c r="P1598" s="145"/>
      <c r="Q1598" s="145"/>
      <c r="R1598" s="145"/>
      <c r="S1598" s="145"/>
      <c r="T1598" s="145"/>
      <c r="U1598" s="145"/>
      <c r="V1598" s="145"/>
      <c r="W1598" s="145"/>
      <c r="X1598" s="145"/>
      <c r="Y1598" s="145"/>
      <c r="Z1598" s="145"/>
      <c r="AA1598" s="145"/>
      <c r="AB1598" s="145"/>
      <c r="AC1598" s="145"/>
      <c r="AD1598" s="145"/>
      <c r="AE1598" s="145"/>
      <c r="AF1598" s="145"/>
      <c r="AG1598" s="145"/>
      <c r="AH1598" s="145"/>
      <c r="AI1598" s="145"/>
      <c r="AJ1598" s="145"/>
      <c r="AK1598" s="145"/>
      <c r="AL1598" s="145"/>
      <c r="AM1598" s="321"/>
      <c r="AN1598" s="321"/>
      <c r="AO1598" s="321"/>
      <c r="AP1598" s="321"/>
      <c r="AQ1598" s="321"/>
      <c r="AR1598" s="321"/>
      <c r="AS1598" s="321"/>
      <c r="AT1598" s="321"/>
    </row>
    <row r="1599" spans="10:46">
      <c r="J1599" s="145"/>
      <c r="K1599" s="145"/>
      <c r="L1599" s="145"/>
      <c r="M1599" s="145"/>
      <c r="N1599" s="145"/>
      <c r="O1599" s="145"/>
      <c r="P1599" s="145"/>
      <c r="Q1599" s="145"/>
      <c r="R1599" s="145"/>
      <c r="S1599" s="145"/>
      <c r="T1599" s="145"/>
      <c r="U1599" s="145"/>
      <c r="V1599" s="145"/>
      <c r="W1599" s="145"/>
      <c r="X1599" s="145"/>
      <c r="Y1599" s="145"/>
      <c r="Z1599" s="145"/>
      <c r="AA1599" s="145"/>
      <c r="AB1599" s="145"/>
      <c r="AC1599" s="145"/>
      <c r="AD1599" s="145"/>
      <c r="AE1599" s="145"/>
      <c r="AF1599" s="145"/>
      <c r="AG1599" s="145"/>
      <c r="AH1599" s="145"/>
      <c r="AI1599" s="145"/>
      <c r="AJ1599" s="145"/>
      <c r="AK1599" s="145"/>
      <c r="AL1599" s="145"/>
      <c r="AM1599" s="321"/>
      <c r="AN1599" s="321"/>
      <c r="AO1599" s="321"/>
      <c r="AP1599" s="321"/>
      <c r="AQ1599" s="321"/>
      <c r="AR1599" s="321"/>
      <c r="AS1599" s="321"/>
      <c r="AT1599" s="321"/>
    </row>
    <row r="1600" spans="10:46">
      <c r="J1600" s="145"/>
      <c r="K1600" s="145"/>
      <c r="L1600" s="145"/>
      <c r="M1600" s="145"/>
      <c r="N1600" s="145"/>
      <c r="O1600" s="145"/>
      <c r="P1600" s="145"/>
      <c r="Q1600" s="145"/>
      <c r="R1600" s="145"/>
      <c r="S1600" s="145"/>
      <c r="T1600" s="145"/>
      <c r="U1600" s="145"/>
      <c r="V1600" s="145"/>
      <c r="W1600" s="145"/>
      <c r="X1600" s="145"/>
      <c r="Y1600" s="145"/>
      <c r="Z1600" s="145"/>
      <c r="AA1600" s="145"/>
      <c r="AB1600" s="145"/>
      <c r="AC1600" s="145"/>
      <c r="AD1600" s="145"/>
      <c r="AE1600" s="145"/>
      <c r="AF1600" s="145"/>
      <c r="AG1600" s="145"/>
      <c r="AH1600" s="145"/>
      <c r="AI1600" s="145"/>
      <c r="AJ1600" s="145"/>
      <c r="AK1600" s="145"/>
      <c r="AL1600" s="145"/>
      <c r="AM1600" s="321"/>
      <c r="AN1600" s="321"/>
      <c r="AO1600" s="321"/>
      <c r="AP1600" s="321"/>
      <c r="AQ1600" s="321"/>
      <c r="AR1600" s="321"/>
      <c r="AS1600" s="321"/>
      <c r="AT1600" s="321"/>
    </row>
    <row r="1601" spans="10:46">
      <c r="J1601" s="145"/>
      <c r="K1601" s="145"/>
      <c r="L1601" s="145"/>
      <c r="M1601" s="145"/>
      <c r="N1601" s="145"/>
      <c r="O1601" s="145"/>
      <c r="P1601" s="145"/>
      <c r="Q1601" s="145"/>
      <c r="R1601" s="145"/>
      <c r="S1601" s="145"/>
      <c r="T1601" s="145"/>
      <c r="U1601" s="145"/>
      <c r="V1601" s="145"/>
      <c r="W1601" s="145"/>
      <c r="X1601" s="145"/>
      <c r="Y1601" s="145"/>
      <c r="Z1601" s="145"/>
      <c r="AA1601" s="145"/>
      <c r="AB1601" s="145"/>
      <c r="AC1601" s="145"/>
      <c r="AD1601" s="145"/>
      <c r="AE1601" s="145"/>
      <c r="AF1601" s="145"/>
      <c r="AG1601" s="145"/>
      <c r="AH1601" s="145"/>
      <c r="AI1601" s="145"/>
      <c r="AJ1601" s="145"/>
      <c r="AK1601" s="145"/>
      <c r="AL1601" s="145"/>
      <c r="AM1601" s="321"/>
      <c r="AN1601" s="321"/>
      <c r="AO1601" s="321"/>
      <c r="AP1601" s="321"/>
      <c r="AQ1601" s="321"/>
      <c r="AR1601" s="321"/>
      <c r="AS1601" s="321"/>
      <c r="AT1601" s="321"/>
    </row>
    <row r="1602" spans="10:46">
      <c r="J1602" s="145"/>
      <c r="K1602" s="145"/>
      <c r="L1602" s="145"/>
      <c r="M1602" s="145"/>
      <c r="N1602" s="145"/>
      <c r="O1602" s="145"/>
      <c r="P1602" s="145"/>
      <c r="Q1602" s="145"/>
      <c r="R1602" s="145"/>
      <c r="S1602" s="145"/>
      <c r="T1602" s="145"/>
      <c r="U1602" s="145"/>
      <c r="V1602" s="145"/>
      <c r="W1602" s="145"/>
      <c r="X1602" s="145"/>
      <c r="Y1602" s="145"/>
      <c r="Z1602" s="145"/>
      <c r="AA1602" s="145"/>
      <c r="AB1602" s="145"/>
      <c r="AC1602" s="145"/>
      <c r="AD1602" s="145"/>
      <c r="AE1602" s="145"/>
      <c r="AF1602" s="145"/>
      <c r="AG1602" s="145"/>
      <c r="AH1602" s="145"/>
      <c r="AI1602" s="145"/>
      <c r="AJ1602" s="145"/>
      <c r="AK1602" s="145"/>
      <c r="AL1602" s="145"/>
      <c r="AM1602" s="321"/>
      <c r="AN1602" s="321"/>
      <c r="AO1602" s="321"/>
      <c r="AP1602" s="321"/>
      <c r="AQ1602" s="321"/>
      <c r="AR1602" s="321"/>
      <c r="AS1602" s="321"/>
      <c r="AT1602" s="321"/>
    </row>
    <row r="1603" spans="10:46">
      <c r="J1603" s="145"/>
      <c r="K1603" s="145"/>
      <c r="L1603" s="145"/>
      <c r="M1603" s="145"/>
      <c r="N1603" s="145"/>
      <c r="O1603" s="145"/>
      <c r="P1603" s="145"/>
      <c r="Q1603" s="145"/>
      <c r="R1603" s="145"/>
      <c r="S1603" s="145"/>
      <c r="T1603" s="145"/>
      <c r="U1603" s="145"/>
      <c r="V1603" s="145"/>
      <c r="W1603" s="145"/>
      <c r="X1603" s="145"/>
      <c r="Y1603" s="145"/>
      <c r="Z1603" s="145"/>
      <c r="AA1603" s="145"/>
      <c r="AB1603" s="145"/>
      <c r="AC1603" s="145"/>
      <c r="AD1603" s="145"/>
      <c r="AE1603" s="145"/>
      <c r="AF1603" s="145"/>
      <c r="AG1603" s="145"/>
      <c r="AH1603" s="145"/>
      <c r="AI1603" s="145"/>
      <c r="AJ1603" s="145"/>
      <c r="AK1603" s="145"/>
      <c r="AL1603" s="145"/>
      <c r="AM1603" s="321"/>
      <c r="AN1603" s="321"/>
      <c r="AO1603" s="321"/>
      <c r="AP1603" s="321"/>
      <c r="AQ1603" s="321"/>
      <c r="AR1603" s="321"/>
      <c r="AS1603" s="321"/>
      <c r="AT1603" s="321"/>
    </row>
    <row r="1604" spans="10:46">
      <c r="J1604" s="145"/>
      <c r="K1604" s="145"/>
      <c r="L1604" s="145"/>
      <c r="M1604" s="145"/>
      <c r="N1604" s="145"/>
      <c r="O1604" s="145"/>
      <c r="P1604" s="145"/>
      <c r="Q1604" s="145"/>
      <c r="R1604" s="145"/>
      <c r="S1604" s="145"/>
      <c r="T1604" s="145"/>
      <c r="U1604" s="145"/>
      <c r="V1604" s="145"/>
      <c r="W1604" s="145"/>
      <c r="X1604" s="145"/>
      <c r="Y1604" s="145"/>
      <c r="Z1604" s="145"/>
      <c r="AA1604" s="145"/>
      <c r="AB1604" s="145"/>
      <c r="AC1604" s="145"/>
      <c r="AD1604" s="145"/>
      <c r="AE1604" s="145"/>
      <c r="AF1604" s="145"/>
      <c r="AG1604" s="145"/>
      <c r="AH1604" s="145"/>
      <c r="AI1604" s="145"/>
      <c r="AJ1604" s="145"/>
      <c r="AK1604" s="145"/>
      <c r="AL1604" s="145"/>
      <c r="AM1604" s="321"/>
      <c r="AN1604" s="321"/>
      <c r="AO1604" s="321"/>
      <c r="AP1604" s="321"/>
      <c r="AQ1604" s="321"/>
      <c r="AR1604" s="321"/>
      <c r="AS1604" s="321"/>
      <c r="AT1604" s="321"/>
    </row>
    <row r="1605" spans="10:46">
      <c r="J1605" s="145"/>
      <c r="K1605" s="145"/>
      <c r="L1605" s="145"/>
      <c r="M1605" s="145"/>
      <c r="N1605" s="145"/>
      <c r="O1605" s="145"/>
      <c r="P1605" s="145"/>
      <c r="Q1605" s="145"/>
      <c r="R1605" s="145"/>
      <c r="S1605" s="145"/>
      <c r="T1605" s="145"/>
      <c r="U1605" s="145"/>
      <c r="V1605" s="145"/>
      <c r="W1605" s="145"/>
      <c r="X1605" s="145"/>
      <c r="Y1605" s="145"/>
      <c r="Z1605" s="145"/>
      <c r="AA1605" s="145"/>
      <c r="AB1605" s="145"/>
      <c r="AC1605" s="145"/>
      <c r="AD1605" s="145"/>
      <c r="AE1605" s="145"/>
      <c r="AF1605" s="145"/>
      <c r="AG1605" s="145"/>
      <c r="AH1605" s="145"/>
      <c r="AI1605" s="145"/>
      <c r="AJ1605" s="145"/>
      <c r="AK1605" s="145"/>
      <c r="AL1605" s="145"/>
      <c r="AM1605" s="321"/>
      <c r="AN1605" s="321"/>
      <c r="AO1605" s="321"/>
      <c r="AP1605" s="321"/>
      <c r="AQ1605" s="321"/>
      <c r="AR1605" s="321"/>
      <c r="AS1605" s="321"/>
      <c r="AT1605" s="321"/>
    </row>
    <row r="1606" spans="10:46">
      <c r="J1606" s="145"/>
      <c r="K1606" s="145"/>
      <c r="L1606" s="145"/>
      <c r="M1606" s="145"/>
      <c r="N1606" s="145"/>
      <c r="O1606" s="145"/>
      <c r="P1606" s="145"/>
      <c r="Q1606" s="145"/>
      <c r="R1606" s="145"/>
      <c r="S1606" s="145"/>
      <c r="T1606" s="145"/>
      <c r="U1606" s="145"/>
      <c r="V1606" s="145"/>
      <c r="W1606" s="145"/>
      <c r="X1606" s="145"/>
      <c r="Y1606" s="145"/>
      <c r="Z1606" s="145"/>
      <c r="AA1606" s="145"/>
      <c r="AB1606" s="145"/>
      <c r="AC1606" s="145"/>
      <c r="AD1606" s="145"/>
      <c r="AE1606" s="145"/>
      <c r="AF1606" s="145"/>
      <c r="AG1606" s="145"/>
      <c r="AH1606" s="145"/>
      <c r="AI1606" s="145"/>
      <c r="AJ1606" s="145"/>
      <c r="AK1606" s="145"/>
      <c r="AL1606" s="145"/>
      <c r="AM1606" s="321"/>
      <c r="AN1606" s="321"/>
      <c r="AO1606" s="321"/>
      <c r="AP1606" s="321"/>
      <c r="AQ1606" s="321"/>
      <c r="AR1606" s="321"/>
      <c r="AS1606" s="321"/>
      <c r="AT1606" s="321"/>
    </row>
    <row r="1607" spans="10:46">
      <c r="J1607" s="145"/>
      <c r="K1607" s="145"/>
      <c r="L1607" s="145"/>
      <c r="M1607" s="145"/>
      <c r="N1607" s="145"/>
      <c r="O1607" s="145"/>
      <c r="P1607" s="145"/>
      <c r="Q1607" s="145"/>
      <c r="R1607" s="145"/>
      <c r="S1607" s="145"/>
      <c r="T1607" s="145"/>
      <c r="U1607" s="145"/>
      <c r="V1607" s="145"/>
      <c r="W1607" s="145"/>
      <c r="X1607" s="145"/>
      <c r="Y1607" s="145"/>
      <c r="Z1607" s="145"/>
      <c r="AA1607" s="145"/>
      <c r="AB1607" s="145"/>
      <c r="AC1607" s="145"/>
      <c r="AD1607" s="145"/>
      <c r="AE1607" s="145"/>
      <c r="AF1607" s="145"/>
      <c r="AG1607" s="145"/>
      <c r="AH1607" s="145"/>
      <c r="AI1607" s="145"/>
      <c r="AJ1607" s="145"/>
      <c r="AK1607" s="145"/>
      <c r="AL1607" s="145"/>
      <c r="AM1607" s="321"/>
      <c r="AN1607" s="321"/>
      <c r="AO1607" s="321"/>
      <c r="AP1607" s="321"/>
      <c r="AQ1607" s="321"/>
      <c r="AR1607" s="321"/>
      <c r="AS1607" s="321"/>
      <c r="AT1607" s="321"/>
    </row>
    <row r="1608" spans="10:46">
      <c r="J1608" s="145"/>
      <c r="K1608" s="145"/>
      <c r="L1608" s="145"/>
      <c r="M1608" s="145"/>
      <c r="N1608" s="145"/>
      <c r="O1608" s="145"/>
      <c r="P1608" s="145"/>
      <c r="Q1608" s="145"/>
      <c r="R1608" s="145"/>
      <c r="S1608" s="145"/>
      <c r="T1608" s="145"/>
      <c r="U1608" s="145"/>
      <c r="V1608" s="145"/>
      <c r="W1608" s="145"/>
      <c r="X1608" s="145"/>
      <c r="Y1608" s="145"/>
      <c r="Z1608" s="145"/>
      <c r="AA1608" s="145"/>
      <c r="AB1608" s="145"/>
      <c r="AC1608" s="145"/>
      <c r="AD1608" s="145"/>
      <c r="AE1608" s="145"/>
      <c r="AF1608" s="145"/>
      <c r="AG1608" s="145"/>
      <c r="AH1608" s="145"/>
      <c r="AI1608" s="145"/>
      <c r="AJ1608" s="145"/>
      <c r="AK1608" s="145"/>
      <c r="AL1608" s="145"/>
      <c r="AM1608" s="321"/>
      <c r="AN1608" s="321"/>
      <c r="AO1608" s="321"/>
      <c r="AP1608" s="321"/>
      <c r="AQ1608" s="321"/>
      <c r="AR1608" s="321"/>
      <c r="AS1608" s="321"/>
      <c r="AT1608" s="321"/>
    </row>
    <row r="1609" spans="10:46">
      <c r="J1609" s="145"/>
      <c r="K1609" s="145"/>
      <c r="L1609" s="145"/>
      <c r="M1609" s="145"/>
      <c r="N1609" s="145"/>
      <c r="O1609" s="145"/>
      <c r="P1609" s="145"/>
      <c r="Q1609" s="145"/>
      <c r="R1609" s="145"/>
      <c r="S1609" s="145"/>
      <c r="T1609" s="145"/>
      <c r="U1609" s="145"/>
      <c r="V1609" s="145"/>
      <c r="W1609" s="145"/>
      <c r="X1609" s="145"/>
      <c r="Y1609" s="145"/>
      <c r="Z1609" s="145"/>
      <c r="AA1609" s="145"/>
      <c r="AB1609" s="145"/>
      <c r="AC1609" s="145"/>
      <c r="AD1609" s="145"/>
      <c r="AE1609" s="145"/>
      <c r="AF1609" s="145"/>
      <c r="AG1609" s="145"/>
      <c r="AH1609" s="145"/>
      <c r="AI1609" s="145"/>
      <c r="AJ1609" s="145"/>
      <c r="AK1609" s="145"/>
      <c r="AL1609" s="145"/>
      <c r="AM1609" s="321"/>
      <c r="AN1609" s="321"/>
      <c r="AO1609" s="321"/>
      <c r="AP1609" s="321"/>
      <c r="AQ1609" s="321"/>
      <c r="AR1609" s="321"/>
      <c r="AS1609" s="321"/>
      <c r="AT1609" s="321"/>
    </row>
    <row r="1610" spans="10:46">
      <c r="J1610" s="145"/>
      <c r="K1610" s="145"/>
      <c r="L1610" s="145"/>
      <c r="M1610" s="145"/>
      <c r="N1610" s="145"/>
      <c r="O1610" s="145"/>
      <c r="P1610" s="145"/>
      <c r="Q1610" s="145"/>
      <c r="R1610" s="145"/>
      <c r="S1610" s="145"/>
      <c r="T1610" s="145"/>
      <c r="U1610" s="145"/>
      <c r="V1610" s="145"/>
      <c r="W1610" s="145"/>
      <c r="X1610" s="145"/>
      <c r="Y1610" s="145"/>
      <c r="Z1610" s="145"/>
      <c r="AA1610" s="145"/>
      <c r="AB1610" s="145"/>
      <c r="AC1610" s="145"/>
      <c r="AD1610" s="145"/>
      <c r="AE1610" s="145"/>
      <c r="AF1610" s="145"/>
      <c r="AG1610" s="145"/>
      <c r="AH1610" s="145"/>
      <c r="AI1610" s="145"/>
      <c r="AJ1610" s="145"/>
      <c r="AK1610" s="145"/>
      <c r="AL1610" s="145"/>
      <c r="AM1610" s="321"/>
      <c r="AN1610" s="321"/>
      <c r="AO1610" s="321"/>
      <c r="AP1610" s="321"/>
      <c r="AQ1610" s="321"/>
      <c r="AR1610" s="321"/>
      <c r="AS1610" s="321"/>
      <c r="AT1610" s="321"/>
    </row>
    <row r="1611" spans="10:46">
      <c r="J1611" s="145"/>
      <c r="K1611" s="145"/>
      <c r="L1611" s="145"/>
      <c r="M1611" s="145"/>
      <c r="N1611" s="145"/>
      <c r="O1611" s="145"/>
      <c r="P1611" s="145"/>
      <c r="Q1611" s="145"/>
      <c r="R1611" s="145"/>
      <c r="S1611" s="145"/>
      <c r="T1611" s="145"/>
      <c r="U1611" s="145"/>
      <c r="V1611" s="145"/>
      <c r="W1611" s="145"/>
      <c r="X1611" s="145"/>
      <c r="Y1611" s="145"/>
      <c r="Z1611" s="145"/>
      <c r="AA1611" s="145"/>
      <c r="AB1611" s="145"/>
      <c r="AC1611" s="145"/>
      <c r="AD1611" s="145"/>
      <c r="AE1611" s="145"/>
      <c r="AF1611" s="145"/>
      <c r="AG1611" s="145"/>
      <c r="AH1611" s="145"/>
      <c r="AI1611" s="145"/>
      <c r="AJ1611" s="145"/>
      <c r="AK1611" s="145"/>
      <c r="AL1611" s="145"/>
      <c r="AM1611" s="321"/>
      <c r="AN1611" s="321"/>
      <c r="AO1611" s="321"/>
      <c r="AP1611" s="321"/>
      <c r="AQ1611" s="321"/>
      <c r="AR1611" s="321"/>
      <c r="AS1611" s="321"/>
      <c r="AT1611" s="321"/>
    </row>
    <row r="1612" spans="10:46">
      <c r="J1612" s="145"/>
      <c r="K1612" s="145"/>
      <c r="L1612" s="145"/>
      <c r="M1612" s="145"/>
      <c r="N1612" s="145"/>
      <c r="O1612" s="145"/>
      <c r="P1612" s="145"/>
      <c r="Q1612" s="145"/>
      <c r="R1612" s="145"/>
      <c r="S1612" s="145"/>
      <c r="T1612" s="145"/>
      <c r="U1612" s="145"/>
      <c r="V1612" s="145"/>
      <c r="W1612" s="145"/>
      <c r="X1612" s="145"/>
      <c r="Y1612" s="145"/>
      <c r="Z1612" s="145"/>
      <c r="AA1612" s="145"/>
      <c r="AB1612" s="145"/>
      <c r="AC1612" s="145"/>
      <c r="AD1612" s="145"/>
      <c r="AE1612" s="145"/>
      <c r="AF1612" s="145"/>
      <c r="AG1612" s="145"/>
      <c r="AH1612" s="145"/>
      <c r="AI1612" s="145"/>
      <c r="AJ1612" s="145"/>
      <c r="AK1612" s="145"/>
      <c r="AL1612" s="145"/>
      <c r="AM1612" s="321"/>
      <c r="AN1612" s="321"/>
      <c r="AO1612" s="321"/>
      <c r="AP1612" s="321"/>
      <c r="AQ1612" s="321"/>
      <c r="AR1612" s="321"/>
      <c r="AS1612" s="321"/>
      <c r="AT1612" s="321"/>
    </row>
    <row r="1613" spans="10:46">
      <c r="J1613" s="145"/>
      <c r="K1613" s="145"/>
      <c r="L1613" s="145"/>
      <c r="M1613" s="145"/>
      <c r="N1613" s="145"/>
      <c r="O1613" s="145"/>
      <c r="P1613" s="145"/>
      <c r="Q1613" s="145"/>
      <c r="R1613" s="145"/>
      <c r="S1613" s="145"/>
      <c r="T1613" s="145"/>
      <c r="U1613" s="145"/>
      <c r="V1613" s="145"/>
      <c r="W1613" s="145"/>
      <c r="X1613" s="145"/>
      <c r="Y1613" s="145"/>
      <c r="Z1613" s="145"/>
      <c r="AA1613" s="145"/>
      <c r="AB1613" s="145"/>
      <c r="AC1613" s="145"/>
      <c r="AD1613" s="145"/>
      <c r="AE1613" s="145"/>
      <c r="AF1613" s="145"/>
      <c r="AG1613" s="145"/>
      <c r="AH1613" s="145"/>
      <c r="AI1613" s="145"/>
      <c r="AJ1613" s="145"/>
      <c r="AK1613" s="145"/>
      <c r="AL1613" s="145"/>
      <c r="AM1613" s="321"/>
      <c r="AN1613" s="321"/>
      <c r="AO1613" s="321"/>
      <c r="AP1613" s="321"/>
      <c r="AQ1613" s="321"/>
      <c r="AR1613" s="321"/>
      <c r="AS1613" s="321"/>
      <c r="AT1613" s="321"/>
    </row>
    <row r="1614" spans="10:46">
      <c r="J1614" s="145"/>
      <c r="K1614" s="145"/>
      <c r="L1614" s="145"/>
      <c r="M1614" s="145"/>
      <c r="N1614" s="145"/>
      <c r="O1614" s="145"/>
      <c r="P1614" s="145"/>
      <c r="Q1614" s="145"/>
      <c r="R1614" s="145"/>
      <c r="S1614" s="145"/>
      <c r="T1614" s="145"/>
      <c r="U1614" s="145"/>
      <c r="V1614" s="145"/>
      <c r="W1614" s="145"/>
      <c r="X1614" s="145"/>
      <c r="Y1614" s="145"/>
      <c r="Z1614" s="145"/>
      <c r="AA1614" s="145"/>
      <c r="AB1614" s="145"/>
      <c r="AC1614" s="145"/>
      <c r="AD1614" s="145"/>
      <c r="AE1614" s="145"/>
      <c r="AF1614" s="145"/>
      <c r="AG1614" s="145"/>
      <c r="AH1614" s="145"/>
      <c r="AI1614" s="145"/>
      <c r="AJ1614" s="145"/>
      <c r="AK1614" s="145"/>
      <c r="AL1614" s="145"/>
      <c r="AM1614" s="321"/>
      <c r="AN1614" s="321"/>
      <c r="AO1614" s="321"/>
      <c r="AP1614" s="321"/>
      <c r="AQ1614" s="321"/>
      <c r="AR1614" s="321"/>
      <c r="AS1614" s="321"/>
      <c r="AT1614" s="321"/>
    </row>
    <row r="1615" spans="10:46">
      <c r="J1615" s="145"/>
      <c r="K1615" s="145"/>
      <c r="L1615" s="145"/>
      <c r="M1615" s="145"/>
      <c r="N1615" s="145"/>
      <c r="O1615" s="145"/>
      <c r="P1615" s="145"/>
      <c r="Q1615" s="145"/>
      <c r="R1615" s="145"/>
      <c r="S1615" s="145"/>
      <c r="T1615" s="145"/>
      <c r="U1615" s="145"/>
      <c r="V1615" s="145"/>
      <c r="W1615" s="145"/>
      <c r="X1615" s="145"/>
      <c r="Y1615" s="145"/>
      <c r="Z1615" s="145"/>
      <c r="AA1615" s="145"/>
      <c r="AB1615" s="145"/>
      <c r="AC1615" s="145"/>
      <c r="AD1615" s="145"/>
      <c r="AE1615" s="145"/>
      <c r="AF1615" s="145"/>
      <c r="AG1615" s="145"/>
      <c r="AH1615" s="145"/>
      <c r="AI1615" s="145"/>
      <c r="AJ1615" s="145"/>
      <c r="AK1615" s="145"/>
      <c r="AL1615" s="145"/>
      <c r="AM1615" s="321"/>
      <c r="AN1615" s="321"/>
      <c r="AO1615" s="321"/>
      <c r="AP1615" s="321"/>
      <c r="AQ1615" s="321"/>
      <c r="AR1615" s="321"/>
      <c r="AS1615" s="321"/>
      <c r="AT1615" s="321"/>
    </row>
    <row r="1616" spans="10:46">
      <c r="J1616" s="145"/>
      <c r="K1616" s="145"/>
      <c r="L1616" s="145"/>
      <c r="M1616" s="145"/>
      <c r="N1616" s="145"/>
      <c r="O1616" s="145"/>
      <c r="P1616" s="145"/>
      <c r="Q1616" s="145"/>
      <c r="R1616" s="145"/>
      <c r="S1616" s="145"/>
      <c r="T1616" s="145"/>
      <c r="U1616" s="145"/>
      <c r="V1616" s="145"/>
      <c r="W1616" s="145"/>
      <c r="X1616" s="145"/>
      <c r="Y1616" s="145"/>
      <c r="Z1616" s="145"/>
      <c r="AA1616" s="145"/>
      <c r="AB1616" s="145"/>
      <c r="AC1616" s="145"/>
      <c r="AD1616" s="145"/>
      <c r="AE1616" s="145"/>
      <c r="AF1616" s="145"/>
      <c r="AG1616" s="145"/>
      <c r="AH1616" s="145"/>
      <c r="AI1616" s="145"/>
      <c r="AJ1616" s="145"/>
      <c r="AK1616" s="145"/>
      <c r="AL1616" s="145"/>
      <c r="AM1616" s="321"/>
      <c r="AN1616" s="321"/>
      <c r="AO1616" s="321"/>
      <c r="AP1616" s="321"/>
      <c r="AQ1616" s="321"/>
      <c r="AR1616" s="321"/>
      <c r="AS1616" s="321"/>
      <c r="AT1616" s="321"/>
    </row>
    <row r="1617" spans="10:46">
      <c r="J1617" s="145"/>
      <c r="K1617" s="145"/>
      <c r="L1617" s="145"/>
      <c r="M1617" s="145"/>
      <c r="N1617" s="145"/>
      <c r="O1617" s="145"/>
      <c r="P1617" s="145"/>
      <c r="Q1617" s="145"/>
      <c r="R1617" s="145"/>
      <c r="S1617" s="145"/>
      <c r="T1617" s="145"/>
      <c r="U1617" s="145"/>
      <c r="V1617" s="145"/>
      <c r="W1617" s="145"/>
      <c r="X1617" s="145"/>
      <c r="Y1617" s="145"/>
      <c r="Z1617" s="145"/>
      <c r="AA1617" s="145"/>
      <c r="AB1617" s="145"/>
      <c r="AC1617" s="145"/>
      <c r="AD1617" s="145"/>
      <c r="AE1617" s="145"/>
      <c r="AF1617" s="145"/>
      <c r="AG1617" s="145"/>
      <c r="AH1617" s="145"/>
      <c r="AI1617" s="145"/>
      <c r="AJ1617" s="145"/>
      <c r="AK1617" s="145"/>
      <c r="AL1617" s="145"/>
      <c r="AM1617" s="321"/>
      <c r="AN1617" s="321"/>
      <c r="AO1617" s="321"/>
      <c r="AP1617" s="321"/>
      <c r="AQ1617" s="321"/>
      <c r="AR1617" s="321"/>
      <c r="AS1617" s="321"/>
      <c r="AT1617" s="321"/>
    </row>
    <row r="1618" spans="10:46">
      <c r="J1618" s="145"/>
      <c r="K1618" s="145"/>
      <c r="L1618" s="145"/>
      <c r="M1618" s="145"/>
      <c r="N1618" s="145"/>
      <c r="O1618" s="145"/>
      <c r="P1618" s="145"/>
      <c r="Q1618" s="145"/>
      <c r="R1618" s="145"/>
      <c r="S1618" s="145"/>
      <c r="T1618" s="145"/>
      <c r="U1618" s="145"/>
      <c r="V1618" s="145"/>
      <c r="W1618" s="145"/>
      <c r="X1618" s="145"/>
      <c r="Y1618" s="145"/>
      <c r="Z1618" s="145"/>
      <c r="AA1618" s="145"/>
      <c r="AB1618" s="145"/>
      <c r="AC1618" s="145"/>
      <c r="AD1618" s="145"/>
      <c r="AE1618" s="145"/>
      <c r="AF1618" s="145"/>
      <c r="AG1618" s="145"/>
      <c r="AH1618" s="145"/>
      <c r="AI1618" s="145"/>
      <c r="AJ1618" s="145"/>
      <c r="AK1618" s="145"/>
      <c r="AL1618" s="145"/>
      <c r="AM1618" s="321"/>
      <c r="AN1618" s="321"/>
      <c r="AO1618" s="321"/>
      <c r="AP1618" s="321"/>
      <c r="AQ1618" s="321"/>
      <c r="AR1618" s="321"/>
      <c r="AS1618" s="321"/>
      <c r="AT1618" s="321"/>
    </row>
    <row r="1619" spans="10:46">
      <c r="J1619" s="145"/>
      <c r="K1619" s="145"/>
      <c r="L1619" s="145"/>
      <c r="M1619" s="145"/>
      <c r="N1619" s="145"/>
      <c r="O1619" s="145"/>
      <c r="P1619" s="145"/>
      <c r="Q1619" s="145"/>
      <c r="R1619" s="145"/>
      <c r="S1619" s="145"/>
      <c r="T1619" s="145"/>
      <c r="U1619" s="145"/>
      <c r="V1619" s="145"/>
      <c r="W1619" s="145"/>
      <c r="X1619" s="145"/>
      <c r="Y1619" s="145"/>
      <c r="Z1619" s="145"/>
      <c r="AA1619" s="145"/>
      <c r="AB1619" s="145"/>
      <c r="AC1619" s="145"/>
      <c r="AD1619" s="145"/>
      <c r="AE1619" s="145"/>
      <c r="AF1619" s="145"/>
      <c r="AG1619" s="145"/>
      <c r="AH1619" s="145"/>
      <c r="AI1619" s="145"/>
      <c r="AJ1619" s="145"/>
      <c r="AK1619" s="145"/>
      <c r="AL1619" s="145"/>
      <c r="AM1619" s="321"/>
      <c r="AN1619" s="321"/>
      <c r="AO1619" s="321"/>
      <c r="AP1619" s="321"/>
      <c r="AQ1619" s="321"/>
      <c r="AR1619" s="321"/>
      <c r="AS1619" s="321"/>
      <c r="AT1619" s="321"/>
    </row>
    <row r="1620" spans="10:46">
      <c r="J1620" s="145"/>
      <c r="K1620" s="145"/>
      <c r="L1620" s="145"/>
      <c r="M1620" s="145"/>
      <c r="N1620" s="145"/>
      <c r="O1620" s="145"/>
      <c r="P1620" s="145"/>
      <c r="Q1620" s="145"/>
      <c r="R1620" s="145"/>
      <c r="S1620" s="145"/>
      <c r="T1620" s="145"/>
      <c r="U1620" s="145"/>
      <c r="V1620" s="145"/>
      <c r="W1620" s="145"/>
      <c r="X1620" s="145"/>
      <c r="Y1620" s="145"/>
      <c r="Z1620" s="145"/>
      <c r="AA1620" s="145"/>
      <c r="AB1620" s="145"/>
      <c r="AC1620" s="145"/>
      <c r="AD1620" s="145"/>
      <c r="AE1620" s="145"/>
      <c r="AF1620" s="145"/>
      <c r="AG1620" s="145"/>
      <c r="AH1620" s="145"/>
      <c r="AI1620" s="145"/>
      <c r="AJ1620" s="145"/>
      <c r="AK1620" s="145"/>
      <c r="AL1620" s="145"/>
      <c r="AM1620" s="321"/>
      <c r="AN1620" s="321"/>
      <c r="AO1620" s="321"/>
      <c r="AP1620" s="321"/>
      <c r="AQ1620" s="321"/>
      <c r="AR1620" s="321"/>
      <c r="AS1620" s="321"/>
      <c r="AT1620" s="321"/>
    </row>
    <row r="1621" spans="10:46">
      <c r="J1621" s="145"/>
      <c r="K1621" s="145"/>
      <c r="L1621" s="145"/>
      <c r="M1621" s="145"/>
      <c r="N1621" s="145"/>
      <c r="O1621" s="145"/>
      <c r="P1621" s="145"/>
      <c r="Q1621" s="145"/>
      <c r="R1621" s="145"/>
      <c r="S1621" s="145"/>
      <c r="T1621" s="145"/>
      <c r="U1621" s="145"/>
      <c r="V1621" s="145"/>
      <c r="W1621" s="145"/>
      <c r="X1621" s="145"/>
      <c r="Y1621" s="145"/>
      <c r="Z1621" s="145"/>
      <c r="AA1621" s="145"/>
      <c r="AB1621" s="145"/>
      <c r="AC1621" s="145"/>
      <c r="AD1621" s="145"/>
      <c r="AE1621" s="145"/>
      <c r="AF1621" s="145"/>
      <c r="AG1621" s="145"/>
      <c r="AH1621" s="145"/>
      <c r="AI1621" s="145"/>
      <c r="AJ1621" s="145"/>
      <c r="AK1621" s="145"/>
      <c r="AL1621" s="145"/>
      <c r="AM1621" s="321"/>
      <c r="AN1621" s="321"/>
      <c r="AO1621" s="321"/>
      <c r="AP1621" s="321"/>
      <c r="AQ1621" s="321"/>
      <c r="AR1621" s="321"/>
      <c r="AS1621" s="321"/>
      <c r="AT1621" s="321"/>
    </row>
    <row r="1622" spans="10:46">
      <c r="J1622" s="145"/>
      <c r="K1622" s="145"/>
      <c r="L1622" s="145"/>
      <c r="M1622" s="145"/>
      <c r="N1622" s="145"/>
      <c r="O1622" s="145"/>
      <c r="P1622" s="145"/>
      <c r="Q1622" s="145"/>
      <c r="R1622" s="145"/>
      <c r="S1622" s="145"/>
      <c r="T1622" s="145"/>
      <c r="U1622" s="145"/>
      <c r="V1622" s="145"/>
      <c r="W1622" s="145"/>
      <c r="X1622" s="145"/>
      <c r="Y1622" s="145"/>
      <c r="Z1622" s="145"/>
      <c r="AA1622" s="145"/>
      <c r="AB1622" s="145"/>
      <c r="AC1622" s="145"/>
      <c r="AD1622" s="145"/>
      <c r="AE1622" s="145"/>
      <c r="AF1622" s="145"/>
      <c r="AG1622" s="145"/>
      <c r="AH1622" s="145"/>
      <c r="AI1622" s="145"/>
      <c r="AJ1622" s="145"/>
      <c r="AK1622" s="145"/>
      <c r="AL1622" s="145"/>
      <c r="AM1622" s="321"/>
      <c r="AN1622" s="321"/>
      <c r="AO1622" s="321"/>
      <c r="AP1622" s="321"/>
      <c r="AQ1622" s="321"/>
      <c r="AR1622" s="321"/>
      <c r="AS1622" s="321"/>
      <c r="AT1622" s="321"/>
    </row>
    <row r="1623" spans="10:46">
      <c r="J1623" s="145"/>
      <c r="K1623" s="145"/>
      <c r="L1623" s="145"/>
      <c r="M1623" s="145"/>
      <c r="N1623" s="145"/>
      <c r="O1623" s="145"/>
      <c r="P1623" s="145"/>
      <c r="Q1623" s="145"/>
      <c r="R1623" s="145"/>
      <c r="S1623" s="145"/>
      <c r="T1623" s="145"/>
      <c r="U1623" s="145"/>
      <c r="V1623" s="145"/>
      <c r="W1623" s="145"/>
      <c r="X1623" s="145"/>
      <c r="Y1623" s="145"/>
      <c r="Z1623" s="145"/>
      <c r="AA1623" s="145"/>
      <c r="AB1623" s="145"/>
      <c r="AC1623" s="145"/>
      <c r="AD1623" s="145"/>
      <c r="AE1623" s="145"/>
      <c r="AF1623" s="145"/>
      <c r="AG1623" s="145"/>
      <c r="AH1623" s="145"/>
      <c r="AI1623" s="145"/>
      <c r="AJ1623" s="145"/>
      <c r="AK1623" s="145"/>
      <c r="AL1623" s="145"/>
      <c r="AM1623" s="321"/>
      <c r="AN1623" s="321"/>
      <c r="AO1623" s="321"/>
      <c r="AP1623" s="321"/>
      <c r="AQ1623" s="321"/>
      <c r="AR1623" s="321"/>
      <c r="AS1623" s="321"/>
      <c r="AT1623" s="321"/>
    </row>
    <row r="1624" spans="10:46">
      <c r="J1624" s="145"/>
      <c r="K1624" s="145"/>
      <c r="L1624" s="145"/>
      <c r="M1624" s="145"/>
      <c r="N1624" s="145"/>
      <c r="O1624" s="145"/>
      <c r="P1624" s="145"/>
      <c r="Q1624" s="145"/>
      <c r="R1624" s="145"/>
      <c r="S1624" s="145"/>
      <c r="T1624" s="145"/>
      <c r="U1624" s="145"/>
      <c r="V1624" s="145"/>
      <c r="W1624" s="145"/>
      <c r="X1624" s="145"/>
      <c r="Y1624" s="145"/>
      <c r="Z1624" s="145"/>
      <c r="AA1624" s="145"/>
      <c r="AB1624" s="145"/>
      <c r="AC1624" s="145"/>
      <c r="AD1624" s="145"/>
      <c r="AE1624" s="145"/>
      <c r="AF1624" s="145"/>
      <c r="AG1624" s="145"/>
      <c r="AH1624" s="145"/>
      <c r="AI1624" s="145"/>
      <c r="AJ1624" s="145"/>
      <c r="AK1624" s="145"/>
      <c r="AL1624" s="145"/>
      <c r="AM1624" s="321"/>
      <c r="AN1624" s="321"/>
      <c r="AO1624" s="321"/>
      <c r="AP1624" s="321"/>
      <c r="AQ1624" s="321"/>
      <c r="AR1624" s="321"/>
      <c r="AS1624" s="321"/>
      <c r="AT1624" s="321"/>
    </row>
    <row r="1625" spans="10:46">
      <c r="J1625" s="145"/>
      <c r="K1625" s="145"/>
      <c r="L1625" s="145"/>
      <c r="M1625" s="145"/>
      <c r="N1625" s="145"/>
      <c r="O1625" s="145"/>
      <c r="P1625" s="145"/>
      <c r="Q1625" s="145"/>
      <c r="R1625" s="145"/>
      <c r="S1625" s="145"/>
      <c r="T1625" s="145"/>
      <c r="U1625" s="145"/>
      <c r="V1625" s="145"/>
      <c r="W1625" s="145"/>
      <c r="X1625" s="145"/>
      <c r="Y1625" s="145"/>
      <c r="Z1625" s="145"/>
      <c r="AA1625" s="145"/>
      <c r="AB1625" s="145"/>
      <c r="AC1625" s="145"/>
      <c r="AD1625" s="145"/>
      <c r="AE1625" s="145"/>
      <c r="AF1625" s="145"/>
      <c r="AG1625" s="145"/>
      <c r="AH1625" s="145"/>
      <c r="AI1625" s="145"/>
      <c r="AJ1625" s="145"/>
      <c r="AK1625" s="145"/>
      <c r="AL1625" s="145"/>
      <c r="AM1625" s="321"/>
      <c r="AN1625" s="321"/>
      <c r="AO1625" s="321"/>
      <c r="AP1625" s="321"/>
      <c r="AQ1625" s="321"/>
      <c r="AR1625" s="321"/>
      <c r="AS1625" s="321"/>
      <c r="AT1625" s="321"/>
    </row>
    <row r="1626" spans="10:46">
      <c r="J1626" s="145"/>
      <c r="K1626" s="145"/>
      <c r="L1626" s="145"/>
      <c r="M1626" s="145"/>
      <c r="N1626" s="145"/>
      <c r="O1626" s="145"/>
      <c r="P1626" s="145"/>
      <c r="Q1626" s="145"/>
      <c r="R1626" s="145"/>
      <c r="S1626" s="145"/>
      <c r="T1626" s="145"/>
      <c r="U1626" s="145"/>
      <c r="V1626" s="145"/>
      <c r="W1626" s="145"/>
      <c r="X1626" s="145"/>
      <c r="Y1626" s="145"/>
      <c r="Z1626" s="145"/>
      <c r="AA1626" s="145"/>
      <c r="AB1626" s="145"/>
      <c r="AC1626" s="145"/>
      <c r="AD1626" s="145"/>
      <c r="AE1626" s="145"/>
      <c r="AF1626" s="145"/>
      <c r="AG1626" s="145"/>
      <c r="AH1626" s="145"/>
      <c r="AI1626" s="145"/>
      <c r="AJ1626" s="145"/>
      <c r="AK1626" s="145"/>
      <c r="AL1626" s="145"/>
      <c r="AM1626" s="321"/>
      <c r="AN1626" s="321"/>
      <c r="AO1626" s="321"/>
      <c r="AP1626" s="321"/>
      <c r="AQ1626" s="321"/>
      <c r="AR1626" s="321"/>
      <c r="AS1626" s="321"/>
      <c r="AT1626" s="321"/>
    </row>
    <row r="1627" spans="10:46">
      <c r="J1627" s="145"/>
      <c r="K1627" s="145"/>
      <c r="L1627" s="145"/>
      <c r="M1627" s="145"/>
      <c r="N1627" s="145"/>
      <c r="O1627" s="145"/>
      <c r="P1627" s="145"/>
      <c r="Q1627" s="145"/>
      <c r="R1627" s="145"/>
      <c r="S1627" s="145"/>
      <c r="T1627" s="145"/>
      <c r="U1627" s="145"/>
      <c r="V1627" s="145"/>
      <c r="W1627" s="145"/>
      <c r="X1627" s="145"/>
      <c r="Y1627" s="145"/>
      <c r="Z1627" s="145"/>
      <c r="AA1627" s="145"/>
      <c r="AB1627" s="145"/>
      <c r="AC1627" s="145"/>
      <c r="AD1627" s="145"/>
      <c r="AE1627" s="145"/>
      <c r="AF1627" s="145"/>
      <c r="AG1627" s="145"/>
      <c r="AH1627" s="145"/>
      <c r="AI1627" s="145"/>
      <c r="AJ1627" s="145"/>
      <c r="AK1627" s="145"/>
      <c r="AL1627" s="145"/>
      <c r="AM1627" s="321"/>
      <c r="AN1627" s="321"/>
      <c r="AO1627" s="321"/>
      <c r="AP1627" s="321"/>
      <c r="AQ1627" s="321"/>
      <c r="AR1627" s="321"/>
      <c r="AS1627" s="321"/>
      <c r="AT1627" s="321"/>
    </row>
    <row r="1628" spans="10:46">
      <c r="J1628" s="145"/>
      <c r="K1628" s="145"/>
      <c r="L1628" s="145"/>
      <c r="M1628" s="145"/>
      <c r="N1628" s="145"/>
      <c r="O1628" s="145"/>
      <c r="P1628" s="145"/>
      <c r="Q1628" s="145"/>
      <c r="R1628" s="145"/>
      <c r="S1628" s="145"/>
      <c r="T1628" s="145"/>
      <c r="U1628" s="145"/>
      <c r="V1628" s="145"/>
      <c r="W1628" s="145"/>
      <c r="X1628" s="145"/>
      <c r="Y1628" s="145"/>
      <c r="Z1628" s="145"/>
      <c r="AA1628" s="145"/>
      <c r="AB1628" s="145"/>
      <c r="AC1628" s="145"/>
      <c r="AD1628" s="145"/>
      <c r="AE1628" s="145"/>
      <c r="AF1628" s="145"/>
      <c r="AG1628" s="145"/>
      <c r="AH1628" s="145"/>
      <c r="AI1628" s="145"/>
      <c r="AJ1628" s="145"/>
      <c r="AK1628" s="145"/>
      <c r="AL1628" s="145"/>
      <c r="AM1628" s="321"/>
      <c r="AN1628" s="321"/>
      <c r="AO1628" s="321"/>
      <c r="AP1628" s="321"/>
      <c r="AQ1628" s="321"/>
      <c r="AR1628" s="321"/>
      <c r="AS1628" s="321"/>
      <c r="AT1628" s="321"/>
    </row>
    <row r="1629" spans="10:46">
      <c r="J1629" s="145"/>
      <c r="K1629" s="145"/>
      <c r="L1629" s="145"/>
      <c r="M1629" s="145"/>
      <c r="N1629" s="145"/>
      <c r="O1629" s="145"/>
      <c r="P1629" s="145"/>
      <c r="Q1629" s="145"/>
      <c r="R1629" s="145"/>
      <c r="S1629" s="145"/>
      <c r="T1629" s="145"/>
      <c r="U1629" s="145"/>
      <c r="V1629" s="145"/>
      <c r="W1629" s="145"/>
      <c r="X1629" s="145"/>
      <c r="Y1629" s="145"/>
      <c r="Z1629" s="145"/>
      <c r="AA1629" s="145"/>
      <c r="AB1629" s="145"/>
      <c r="AC1629" s="145"/>
      <c r="AD1629" s="145"/>
      <c r="AE1629" s="145"/>
      <c r="AF1629" s="145"/>
      <c r="AG1629" s="145"/>
      <c r="AH1629" s="145"/>
      <c r="AI1629" s="145"/>
      <c r="AJ1629" s="145"/>
      <c r="AK1629" s="145"/>
      <c r="AL1629" s="145"/>
      <c r="AM1629" s="321"/>
      <c r="AN1629" s="321"/>
      <c r="AO1629" s="321"/>
      <c r="AP1629" s="321"/>
      <c r="AQ1629" s="321"/>
      <c r="AR1629" s="321"/>
      <c r="AS1629" s="321"/>
      <c r="AT1629" s="321"/>
    </row>
    <row r="1630" spans="10:46">
      <c r="J1630" s="145"/>
      <c r="K1630" s="145"/>
      <c r="L1630" s="145"/>
      <c r="M1630" s="145"/>
      <c r="N1630" s="145"/>
      <c r="O1630" s="145"/>
      <c r="P1630" s="145"/>
      <c r="Q1630" s="145"/>
      <c r="R1630" s="145"/>
      <c r="S1630" s="145"/>
      <c r="T1630" s="145"/>
      <c r="U1630" s="145"/>
      <c r="V1630" s="145"/>
      <c r="W1630" s="145"/>
      <c r="X1630" s="145"/>
      <c r="Y1630" s="145"/>
      <c r="Z1630" s="145"/>
      <c r="AA1630" s="145"/>
      <c r="AB1630" s="145"/>
      <c r="AC1630" s="145"/>
      <c r="AD1630" s="145"/>
      <c r="AE1630" s="145"/>
      <c r="AF1630" s="145"/>
      <c r="AG1630" s="145"/>
      <c r="AH1630" s="145"/>
      <c r="AI1630" s="145"/>
      <c r="AJ1630" s="145"/>
      <c r="AK1630" s="145"/>
      <c r="AL1630" s="145"/>
      <c r="AM1630" s="321"/>
      <c r="AN1630" s="321"/>
      <c r="AO1630" s="321"/>
      <c r="AP1630" s="321"/>
      <c r="AQ1630" s="321"/>
      <c r="AR1630" s="321"/>
      <c r="AS1630" s="321"/>
      <c r="AT1630" s="321"/>
    </row>
    <row r="1631" spans="10:46">
      <c r="J1631" s="145"/>
      <c r="K1631" s="145"/>
      <c r="L1631" s="145"/>
      <c r="M1631" s="145"/>
      <c r="N1631" s="145"/>
      <c r="O1631" s="145"/>
      <c r="P1631" s="145"/>
      <c r="Q1631" s="145"/>
      <c r="R1631" s="145"/>
      <c r="S1631" s="145"/>
      <c r="T1631" s="145"/>
      <c r="U1631" s="145"/>
      <c r="V1631" s="145"/>
      <c r="W1631" s="145"/>
      <c r="X1631" s="145"/>
      <c r="Y1631" s="145"/>
      <c r="Z1631" s="145"/>
      <c r="AA1631" s="145"/>
      <c r="AB1631" s="145"/>
      <c r="AC1631" s="145"/>
      <c r="AD1631" s="145"/>
      <c r="AE1631" s="145"/>
      <c r="AF1631" s="145"/>
      <c r="AG1631" s="145"/>
      <c r="AH1631" s="145"/>
      <c r="AI1631" s="145"/>
      <c r="AJ1631" s="145"/>
      <c r="AK1631" s="145"/>
      <c r="AL1631" s="145"/>
      <c r="AM1631" s="321"/>
      <c r="AN1631" s="321"/>
      <c r="AO1631" s="321"/>
      <c r="AP1631" s="321"/>
      <c r="AQ1631" s="321"/>
      <c r="AR1631" s="321"/>
      <c r="AS1631" s="321"/>
      <c r="AT1631" s="321"/>
    </row>
    <row r="1632" spans="10:46">
      <c r="J1632" s="145"/>
      <c r="K1632" s="145"/>
      <c r="L1632" s="145"/>
      <c r="M1632" s="145"/>
      <c r="N1632" s="145"/>
      <c r="O1632" s="145"/>
      <c r="P1632" s="145"/>
      <c r="Q1632" s="145"/>
      <c r="R1632" s="145"/>
      <c r="S1632" s="145"/>
      <c r="T1632" s="145"/>
      <c r="U1632" s="145"/>
      <c r="V1632" s="145"/>
      <c r="W1632" s="145"/>
      <c r="X1632" s="145"/>
      <c r="Y1632" s="145"/>
      <c r="Z1632" s="145"/>
      <c r="AA1632" s="145"/>
      <c r="AB1632" s="145"/>
      <c r="AC1632" s="145"/>
      <c r="AD1632" s="145"/>
      <c r="AE1632" s="145"/>
      <c r="AF1632" s="145"/>
      <c r="AG1632" s="145"/>
      <c r="AH1632" s="145"/>
      <c r="AI1632" s="145"/>
      <c r="AJ1632" s="145"/>
      <c r="AK1632" s="145"/>
      <c r="AL1632" s="145"/>
      <c r="AM1632" s="321"/>
      <c r="AN1632" s="321"/>
      <c r="AO1632" s="321"/>
      <c r="AP1632" s="321"/>
      <c r="AQ1632" s="321"/>
      <c r="AR1632" s="321"/>
      <c r="AS1632" s="321"/>
      <c r="AT1632" s="321"/>
    </row>
    <row r="1633" spans="10:46">
      <c r="J1633" s="145"/>
      <c r="K1633" s="145"/>
      <c r="L1633" s="145"/>
      <c r="M1633" s="145"/>
      <c r="N1633" s="145"/>
      <c r="O1633" s="145"/>
      <c r="P1633" s="145"/>
      <c r="Q1633" s="145"/>
      <c r="R1633" s="145"/>
      <c r="S1633" s="145"/>
      <c r="T1633" s="145"/>
      <c r="U1633" s="145"/>
      <c r="V1633" s="145"/>
      <c r="W1633" s="145"/>
      <c r="X1633" s="145"/>
      <c r="Y1633" s="145"/>
      <c r="Z1633" s="145"/>
      <c r="AA1633" s="145"/>
      <c r="AB1633" s="145"/>
      <c r="AC1633" s="145"/>
      <c r="AD1633" s="145"/>
      <c r="AE1633" s="145"/>
      <c r="AF1633" s="145"/>
      <c r="AG1633" s="145"/>
      <c r="AH1633" s="145"/>
      <c r="AI1633" s="145"/>
      <c r="AJ1633" s="145"/>
      <c r="AK1633" s="145"/>
      <c r="AL1633" s="145"/>
      <c r="AM1633" s="321"/>
      <c r="AN1633" s="321"/>
      <c r="AO1633" s="321"/>
      <c r="AP1633" s="321"/>
      <c r="AQ1633" s="321"/>
      <c r="AR1633" s="321"/>
      <c r="AS1633" s="321"/>
      <c r="AT1633" s="321"/>
    </row>
    <row r="1634" spans="10:46">
      <c r="J1634" s="145"/>
      <c r="K1634" s="145"/>
      <c r="L1634" s="145"/>
      <c r="M1634" s="145"/>
      <c r="N1634" s="145"/>
      <c r="O1634" s="145"/>
      <c r="P1634" s="145"/>
      <c r="Q1634" s="145"/>
      <c r="R1634" s="145"/>
      <c r="S1634" s="145"/>
      <c r="T1634" s="145"/>
      <c r="U1634" s="145"/>
      <c r="V1634" s="145"/>
      <c r="W1634" s="145"/>
      <c r="X1634" s="145"/>
      <c r="Y1634" s="145"/>
      <c r="Z1634" s="145"/>
      <c r="AA1634" s="145"/>
      <c r="AB1634" s="145"/>
      <c r="AC1634" s="145"/>
      <c r="AD1634" s="145"/>
      <c r="AE1634" s="145"/>
      <c r="AF1634" s="145"/>
      <c r="AG1634" s="145"/>
      <c r="AH1634" s="145"/>
      <c r="AI1634" s="145"/>
      <c r="AJ1634" s="145"/>
      <c r="AK1634" s="145"/>
      <c r="AL1634" s="145"/>
      <c r="AM1634" s="321"/>
      <c r="AN1634" s="321"/>
      <c r="AO1634" s="321"/>
      <c r="AP1634" s="321"/>
      <c r="AQ1634" s="321"/>
      <c r="AR1634" s="321"/>
      <c r="AS1634" s="321"/>
      <c r="AT1634" s="321"/>
    </row>
    <row r="1635" spans="10:46">
      <c r="J1635" s="145"/>
      <c r="K1635" s="145"/>
      <c r="L1635" s="145"/>
      <c r="M1635" s="145"/>
      <c r="N1635" s="145"/>
      <c r="O1635" s="145"/>
      <c r="P1635" s="145"/>
      <c r="Q1635" s="145"/>
      <c r="R1635" s="145"/>
      <c r="S1635" s="145"/>
      <c r="T1635" s="145"/>
      <c r="U1635" s="145"/>
      <c r="V1635" s="145"/>
      <c r="W1635" s="145"/>
      <c r="X1635" s="145"/>
      <c r="Y1635" s="145"/>
      <c r="Z1635" s="145"/>
      <c r="AA1635" s="145"/>
      <c r="AB1635" s="145"/>
      <c r="AC1635" s="145"/>
      <c r="AD1635" s="145"/>
      <c r="AE1635" s="145"/>
      <c r="AF1635" s="145"/>
      <c r="AG1635" s="145"/>
      <c r="AH1635" s="145"/>
      <c r="AI1635" s="145"/>
      <c r="AJ1635" s="145"/>
      <c r="AK1635" s="145"/>
      <c r="AL1635" s="145"/>
      <c r="AM1635" s="321"/>
      <c r="AN1635" s="321"/>
      <c r="AO1635" s="321"/>
      <c r="AP1635" s="321"/>
      <c r="AQ1635" s="321"/>
      <c r="AR1635" s="321"/>
      <c r="AS1635" s="321"/>
      <c r="AT1635" s="321"/>
    </row>
    <row r="1636" spans="10:46">
      <c r="J1636" s="145"/>
      <c r="K1636" s="145"/>
      <c r="L1636" s="145"/>
      <c r="M1636" s="145"/>
      <c r="N1636" s="145"/>
      <c r="O1636" s="145"/>
      <c r="P1636" s="145"/>
      <c r="Q1636" s="145"/>
      <c r="R1636" s="145"/>
      <c r="S1636" s="145"/>
      <c r="T1636" s="145"/>
      <c r="U1636" s="145"/>
      <c r="V1636" s="145"/>
      <c r="W1636" s="145"/>
      <c r="X1636" s="145"/>
      <c r="Y1636" s="145"/>
      <c r="Z1636" s="145"/>
      <c r="AA1636" s="145"/>
      <c r="AB1636" s="145"/>
      <c r="AC1636" s="145"/>
      <c r="AD1636" s="145"/>
      <c r="AE1636" s="145"/>
      <c r="AF1636" s="145"/>
      <c r="AG1636" s="145"/>
      <c r="AH1636" s="145"/>
      <c r="AI1636" s="145"/>
      <c r="AJ1636" s="145"/>
      <c r="AK1636" s="145"/>
      <c r="AL1636" s="145"/>
      <c r="AM1636" s="321"/>
      <c r="AN1636" s="321"/>
      <c r="AO1636" s="321"/>
      <c r="AP1636" s="321"/>
      <c r="AQ1636" s="321"/>
      <c r="AR1636" s="321"/>
      <c r="AS1636" s="321"/>
      <c r="AT1636" s="321"/>
    </row>
    <row r="1637" spans="10:46">
      <c r="J1637" s="145"/>
      <c r="K1637" s="145"/>
      <c r="L1637" s="145"/>
      <c r="M1637" s="145"/>
      <c r="N1637" s="145"/>
      <c r="O1637" s="145"/>
      <c r="P1637" s="145"/>
      <c r="Q1637" s="145"/>
      <c r="R1637" s="145"/>
      <c r="S1637" s="145"/>
      <c r="T1637" s="145"/>
      <c r="U1637" s="145"/>
      <c r="V1637" s="145"/>
      <c r="W1637" s="145"/>
      <c r="X1637" s="145"/>
      <c r="Y1637" s="145"/>
      <c r="Z1637" s="145"/>
      <c r="AA1637" s="145"/>
      <c r="AB1637" s="145"/>
      <c r="AC1637" s="145"/>
      <c r="AD1637" s="145"/>
      <c r="AE1637" s="145"/>
      <c r="AF1637" s="145"/>
      <c r="AG1637" s="145"/>
      <c r="AH1637" s="145"/>
      <c r="AI1637" s="145"/>
      <c r="AJ1637" s="145"/>
      <c r="AK1637" s="145"/>
      <c r="AL1637" s="145"/>
      <c r="AM1637" s="321"/>
      <c r="AN1637" s="321"/>
      <c r="AO1637" s="321"/>
      <c r="AP1637" s="321"/>
      <c r="AQ1637" s="321"/>
      <c r="AR1637" s="321"/>
      <c r="AS1637" s="321"/>
      <c r="AT1637" s="321"/>
    </row>
    <row r="1638" spans="10:46">
      <c r="J1638" s="145"/>
      <c r="K1638" s="145"/>
      <c r="L1638" s="145"/>
      <c r="M1638" s="145"/>
      <c r="N1638" s="145"/>
      <c r="O1638" s="145"/>
      <c r="P1638" s="145"/>
      <c r="Q1638" s="145"/>
      <c r="R1638" s="145"/>
      <c r="S1638" s="145"/>
      <c r="T1638" s="145"/>
      <c r="U1638" s="145"/>
      <c r="V1638" s="145"/>
      <c r="W1638" s="145"/>
      <c r="X1638" s="145"/>
      <c r="Y1638" s="145"/>
      <c r="Z1638" s="145"/>
      <c r="AA1638" s="145"/>
      <c r="AB1638" s="145"/>
      <c r="AC1638" s="145"/>
      <c r="AD1638" s="145"/>
      <c r="AE1638" s="145"/>
      <c r="AF1638" s="145"/>
      <c r="AG1638" s="145"/>
      <c r="AH1638" s="145"/>
      <c r="AI1638" s="145"/>
      <c r="AJ1638" s="145"/>
      <c r="AK1638" s="145"/>
      <c r="AL1638" s="145"/>
      <c r="AM1638" s="321"/>
      <c r="AN1638" s="321"/>
      <c r="AO1638" s="321"/>
      <c r="AP1638" s="321"/>
      <c r="AQ1638" s="321"/>
      <c r="AR1638" s="321"/>
      <c r="AS1638" s="321"/>
      <c r="AT1638" s="321"/>
    </row>
    <row r="1639" spans="10:46">
      <c r="J1639" s="145"/>
      <c r="K1639" s="145"/>
      <c r="L1639" s="145"/>
      <c r="M1639" s="145"/>
      <c r="N1639" s="145"/>
      <c r="O1639" s="145"/>
      <c r="P1639" s="145"/>
      <c r="Q1639" s="145"/>
      <c r="R1639" s="145"/>
      <c r="S1639" s="145"/>
      <c r="T1639" s="145"/>
      <c r="U1639" s="145"/>
      <c r="V1639" s="145"/>
      <c r="W1639" s="145"/>
      <c r="X1639" s="145"/>
      <c r="Y1639" s="145"/>
      <c r="Z1639" s="145"/>
      <c r="AA1639" s="145"/>
      <c r="AB1639" s="145"/>
      <c r="AC1639" s="145"/>
      <c r="AD1639" s="145"/>
      <c r="AE1639" s="145"/>
      <c r="AF1639" s="145"/>
      <c r="AG1639" s="145"/>
      <c r="AH1639" s="145"/>
      <c r="AI1639" s="145"/>
      <c r="AJ1639" s="145"/>
      <c r="AK1639" s="145"/>
      <c r="AL1639" s="145"/>
      <c r="AM1639" s="321"/>
      <c r="AN1639" s="321"/>
      <c r="AO1639" s="321"/>
      <c r="AP1639" s="321"/>
      <c r="AQ1639" s="321"/>
      <c r="AR1639" s="321"/>
      <c r="AS1639" s="321"/>
      <c r="AT1639" s="321"/>
    </row>
    <row r="1640" spans="10:46">
      <c r="J1640" s="145"/>
      <c r="K1640" s="145"/>
      <c r="L1640" s="145"/>
      <c r="M1640" s="145"/>
      <c r="N1640" s="145"/>
      <c r="O1640" s="145"/>
      <c r="P1640" s="145"/>
      <c r="Q1640" s="145"/>
      <c r="R1640" s="145"/>
      <c r="S1640" s="145"/>
      <c r="T1640" s="145"/>
      <c r="U1640" s="145"/>
      <c r="V1640" s="145"/>
      <c r="W1640" s="145"/>
      <c r="X1640" s="145"/>
      <c r="Y1640" s="145"/>
      <c r="Z1640" s="145"/>
      <c r="AA1640" s="145"/>
      <c r="AB1640" s="145"/>
      <c r="AC1640" s="145"/>
      <c r="AD1640" s="145"/>
      <c r="AE1640" s="145"/>
      <c r="AF1640" s="145"/>
      <c r="AG1640" s="145"/>
      <c r="AH1640" s="145"/>
      <c r="AI1640" s="145"/>
      <c r="AJ1640" s="145"/>
      <c r="AK1640" s="145"/>
      <c r="AL1640" s="145"/>
      <c r="AM1640" s="321"/>
      <c r="AN1640" s="321"/>
      <c r="AO1640" s="321"/>
      <c r="AP1640" s="321"/>
      <c r="AQ1640" s="321"/>
      <c r="AR1640" s="321"/>
      <c r="AS1640" s="321"/>
      <c r="AT1640" s="321"/>
    </row>
    <row r="1641" spans="10:46">
      <c r="J1641" s="145"/>
      <c r="K1641" s="145"/>
      <c r="L1641" s="145"/>
      <c r="M1641" s="145"/>
      <c r="N1641" s="145"/>
      <c r="O1641" s="145"/>
      <c r="P1641" s="145"/>
      <c r="Q1641" s="145"/>
      <c r="R1641" s="145"/>
      <c r="S1641" s="145"/>
      <c r="T1641" s="145"/>
      <c r="U1641" s="145"/>
      <c r="V1641" s="145"/>
      <c r="W1641" s="145"/>
      <c r="X1641" s="145"/>
      <c r="Y1641" s="145"/>
      <c r="Z1641" s="145"/>
      <c r="AA1641" s="145"/>
      <c r="AB1641" s="145"/>
      <c r="AC1641" s="145"/>
      <c r="AD1641" s="145"/>
      <c r="AE1641" s="145"/>
      <c r="AF1641" s="145"/>
      <c r="AG1641" s="145"/>
      <c r="AH1641" s="145"/>
      <c r="AI1641" s="145"/>
      <c r="AJ1641" s="145"/>
      <c r="AK1641" s="145"/>
      <c r="AL1641" s="145"/>
      <c r="AM1641" s="321"/>
      <c r="AN1641" s="321"/>
      <c r="AO1641" s="321"/>
      <c r="AP1641" s="321"/>
      <c r="AQ1641" s="321"/>
      <c r="AR1641" s="321"/>
      <c r="AS1641" s="321"/>
      <c r="AT1641" s="321"/>
    </row>
    <row r="1642" spans="10:46">
      <c r="J1642" s="145"/>
      <c r="K1642" s="145"/>
      <c r="L1642" s="145"/>
      <c r="M1642" s="145"/>
      <c r="N1642" s="145"/>
      <c r="O1642" s="145"/>
      <c r="P1642" s="145"/>
      <c r="Q1642" s="145"/>
      <c r="R1642" s="145"/>
      <c r="S1642" s="145"/>
      <c r="T1642" s="145"/>
      <c r="U1642" s="145"/>
      <c r="V1642" s="145"/>
      <c r="W1642" s="145"/>
      <c r="X1642" s="145"/>
      <c r="Y1642" s="145"/>
      <c r="Z1642" s="145"/>
      <c r="AA1642" s="145"/>
      <c r="AB1642" s="145"/>
      <c r="AC1642" s="145"/>
      <c r="AD1642" s="145"/>
      <c r="AE1642" s="145"/>
      <c r="AF1642" s="145"/>
      <c r="AG1642" s="145"/>
      <c r="AH1642" s="145"/>
      <c r="AI1642" s="145"/>
      <c r="AJ1642" s="145"/>
      <c r="AK1642" s="145"/>
      <c r="AL1642" s="145"/>
      <c r="AM1642" s="321"/>
      <c r="AN1642" s="321"/>
      <c r="AO1642" s="321"/>
      <c r="AP1642" s="321"/>
      <c r="AQ1642" s="321"/>
      <c r="AR1642" s="321"/>
      <c r="AS1642" s="321"/>
      <c r="AT1642" s="321"/>
    </row>
    <row r="1643" spans="10:46">
      <c r="J1643" s="145"/>
      <c r="K1643" s="145"/>
      <c r="L1643" s="145"/>
      <c r="M1643" s="145"/>
      <c r="N1643" s="145"/>
      <c r="O1643" s="145"/>
      <c r="P1643" s="145"/>
      <c r="Q1643" s="145"/>
      <c r="R1643" s="145"/>
      <c r="S1643" s="145"/>
      <c r="T1643" s="145"/>
      <c r="U1643" s="145"/>
      <c r="V1643" s="145"/>
      <c r="W1643" s="145"/>
      <c r="X1643" s="145"/>
      <c r="Y1643" s="145"/>
      <c r="Z1643" s="145"/>
      <c r="AA1643" s="145"/>
      <c r="AB1643" s="145"/>
      <c r="AC1643" s="145"/>
      <c r="AD1643" s="145"/>
      <c r="AE1643" s="145"/>
      <c r="AF1643" s="145"/>
      <c r="AG1643" s="145"/>
      <c r="AH1643" s="145"/>
      <c r="AI1643" s="145"/>
      <c r="AJ1643" s="145"/>
      <c r="AK1643" s="145"/>
      <c r="AL1643" s="145"/>
      <c r="AM1643" s="321"/>
      <c r="AN1643" s="321"/>
      <c r="AO1643" s="321"/>
      <c r="AP1643" s="321"/>
      <c r="AQ1643" s="321"/>
      <c r="AR1643" s="321"/>
      <c r="AS1643" s="321"/>
      <c r="AT1643" s="321"/>
    </row>
    <row r="1644" spans="10:46">
      <c r="J1644" s="145"/>
      <c r="K1644" s="145"/>
      <c r="L1644" s="145"/>
      <c r="M1644" s="145"/>
      <c r="N1644" s="145"/>
      <c r="O1644" s="145"/>
      <c r="P1644" s="145"/>
      <c r="Q1644" s="145"/>
      <c r="R1644" s="145"/>
      <c r="S1644" s="145"/>
      <c r="T1644" s="145"/>
      <c r="U1644" s="145"/>
      <c r="V1644" s="145"/>
      <c r="W1644" s="145"/>
      <c r="X1644" s="145"/>
      <c r="Y1644" s="145"/>
      <c r="Z1644" s="145"/>
      <c r="AA1644" s="145"/>
      <c r="AB1644" s="145"/>
      <c r="AC1644" s="145"/>
      <c r="AD1644" s="145"/>
      <c r="AE1644" s="145"/>
      <c r="AF1644" s="145"/>
      <c r="AG1644" s="145"/>
      <c r="AH1644" s="145"/>
      <c r="AI1644" s="145"/>
      <c r="AJ1644" s="145"/>
      <c r="AK1644" s="145"/>
      <c r="AL1644" s="145"/>
      <c r="AM1644" s="321"/>
      <c r="AN1644" s="321"/>
      <c r="AO1644" s="321"/>
      <c r="AP1644" s="321"/>
      <c r="AQ1644" s="321"/>
      <c r="AR1644" s="321"/>
      <c r="AS1644" s="321"/>
      <c r="AT1644" s="321"/>
    </row>
    <row r="1645" spans="10:46">
      <c r="J1645" s="145"/>
      <c r="K1645" s="145"/>
      <c r="L1645" s="145"/>
      <c r="M1645" s="145"/>
      <c r="N1645" s="145"/>
      <c r="O1645" s="145"/>
      <c r="P1645" s="145"/>
      <c r="Q1645" s="145"/>
      <c r="R1645" s="145"/>
      <c r="S1645" s="145"/>
      <c r="T1645" s="145"/>
      <c r="U1645" s="145"/>
      <c r="V1645" s="145"/>
      <c r="W1645" s="145"/>
      <c r="X1645" s="145"/>
      <c r="Y1645" s="145"/>
      <c r="Z1645" s="145"/>
      <c r="AA1645" s="145"/>
      <c r="AB1645" s="145"/>
      <c r="AC1645" s="145"/>
      <c r="AD1645" s="145"/>
      <c r="AE1645" s="145"/>
      <c r="AF1645" s="145"/>
      <c r="AG1645" s="145"/>
      <c r="AH1645" s="145"/>
      <c r="AI1645" s="145"/>
      <c r="AJ1645" s="145"/>
      <c r="AK1645" s="145"/>
      <c r="AL1645" s="145"/>
      <c r="AM1645" s="321"/>
      <c r="AN1645" s="321"/>
      <c r="AO1645" s="321"/>
      <c r="AP1645" s="321"/>
      <c r="AQ1645" s="321"/>
      <c r="AR1645" s="321"/>
      <c r="AS1645" s="321"/>
      <c r="AT1645" s="321"/>
    </row>
    <row r="1646" spans="10:46">
      <c r="J1646" s="145"/>
      <c r="K1646" s="145"/>
      <c r="L1646" s="145"/>
      <c r="M1646" s="145"/>
      <c r="N1646" s="145"/>
      <c r="O1646" s="145"/>
      <c r="P1646" s="145"/>
      <c r="Q1646" s="145"/>
      <c r="R1646" s="145"/>
      <c r="S1646" s="145"/>
      <c r="T1646" s="145"/>
      <c r="U1646" s="145"/>
      <c r="V1646" s="145"/>
      <c r="W1646" s="145"/>
      <c r="X1646" s="145"/>
      <c r="Y1646" s="145"/>
      <c r="Z1646" s="145"/>
      <c r="AA1646" s="145"/>
      <c r="AB1646" s="145"/>
      <c r="AC1646" s="145"/>
      <c r="AD1646" s="145"/>
      <c r="AE1646" s="145"/>
      <c r="AF1646" s="145"/>
      <c r="AG1646" s="145"/>
      <c r="AH1646" s="145"/>
      <c r="AI1646" s="145"/>
      <c r="AJ1646" s="145"/>
      <c r="AK1646" s="145"/>
      <c r="AL1646" s="145"/>
      <c r="AM1646" s="321"/>
      <c r="AN1646" s="321"/>
      <c r="AO1646" s="321"/>
      <c r="AP1646" s="321"/>
      <c r="AQ1646" s="321"/>
      <c r="AR1646" s="321"/>
      <c r="AS1646" s="321"/>
      <c r="AT1646" s="321"/>
    </row>
    <row r="1647" spans="10:46">
      <c r="J1647" s="145"/>
      <c r="K1647" s="145"/>
      <c r="L1647" s="145"/>
      <c r="M1647" s="145"/>
      <c r="N1647" s="145"/>
      <c r="O1647" s="145"/>
      <c r="P1647" s="145"/>
      <c r="Q1647" s="145"/>
      <c r="R1647" s="145"/>
      <c r="S1647" s="145"/>
      <c r="T1647" s="145"/>
      <c r="U1647" s="145"/>
      <c r="V1647" s="145"/>
      <c r="W1647" s="145"/>
      <c r="X1647" s="145"/>
      <c r="Y1647" s="145"/>
      <c r="Z1647" s="145"/>
      <c r="AA1647" s="145"/>
      <c r="AB1647" s="145"/>
      <c r="AC1647" s="145"/>
      <c r="AD1647" s="145"/>
      <c r="AE1647" s="145"/>
      <c r="AF1647" s="145"/>
      <c r="AG1647" s="145"/>
      <c r="AH1647" s="145"/>
      <c r="AI1647" s="145"/>
      <c r="AJ1647" s="145"/>
      <c r="AK1647" s="145"/>
      <c r="AL1647" s="145"/>
      <c r="AM1647" s="321"/>
      <c r="AN1647" s="321"/>
      <c r="AO1647" s="321"/>
      <c r="AP1647" s="321"/>
      <c r="AQ1647" s="321"/>
      <c r="AR1647" s="321"/>
      <c r="AS1647" s="321"/>
      <c r="AT1647" s="321"/>
    </row>
    <row r="1648" spans="10:46">
      <c r="J1648" s="145"/>
      <c r="K1648" s="145"/>
      <c r="L1648" s="145"/>
      <c r="M1648" s="145"/>
      <c r="N1648" s="145"/>
      <c r="O1648" s="145"/>
      <c r="P1648" s="145"/>
      <c r="Q1648" s="145"/>
      <c r="R1648" s="145"/>
      <c r="S1648" s="145"/>
      <c r="T1648" s="145"/>
      <c r="U1648" s="145"/>
      <c r="V1648" s="145"/>
      <c r="W1648" s="145"/>
      <c r="X1648" s="145"/>
      <c r="Y1648" s="145"/>
      <c r="Z1648" s="145"/>
      <c r="AA1648" s="145"/>
      <c r="AB1648" s="145"/>
      <c r="AC1648" s="145"/>
      <c r="AD1648" s="145"/>
      <c r="AE1648" s="145"/>
      <c r="AF1648" s="145"/>
      <c r="AG1648" s="145"/>
      <c r="AH1648" s="145"/>
      <c r="AI1648" s="145"/>
      <c r="AJ1648" s="145"/>
      <c r="AK1648" s="145"/>
      <c r="AL1648" s="145"/>
      <c r="AM1648" s="321"/>
      <c r="AN1648" s="321"/>
      <c r="AO1648" s="321"/>
      <c r="AP1648" s="321"/>
      <c r="AQ1648" s="321"/>
      <c r="AR1648" s="321"/>
      <c r="AS1648" s="321"/>
      <c r="AT1648" s="321"/>
    </row>
    <row r="1649" spans="10:46">
      <c r="J1649" s="145"/>
      <c r="K1649" s="145"/>
      <c r="L1649" s="145"/>
      <c r="M1649" s="145"/>
      <c r="N1649" s="145"/>
      <c r="O1649" s="145"/>
      <c r="P1649" s="145"/>
      <c r="Q1649" s="145"/>
      <c r="R1649" s="145"/>
      <c r="S1649" s="145"/>
      <c r="T1649" s="145"/>
      <c r="U1649" s="145"/>
      <c r="V1649" s="145"/>
      <c r="W1649" s="145"/>
      <c r="X1649" s="145"/>
      <c r="Y1649" s="145"/>
      <c r="Z1649" s="145"/>
      <c r="AA1649" s="145"/>
      <c r="AB1649" s="145"/>
      <c r="AC1649" s="145"/>
      <c r="AD1649" s="145"/>
      <c r="AE1649" s="145"/>
      <c r="AF1649" s="145"/>
      <c r="AG1649" s="145"/>
      <c r="AH1649" s="145"/>
      <c r="AI1649" s="145"/>
      <c r="AJ1649" s="145"/>
      <c r="AK1649" s="145"/>
      <c r="AL1649" s="145"/>
      <c r="AM1649" s="321"/>
      <c r="AN1649" s="321"/>
      <c r="AO1649" s="321"/>
      <c r="AP1649" s="321"/>
      <c r="AQ1649" s="321"/>
      <c r="AR1649" s="321"/>
      <c r="AS1649" s="321"/>
      <c r="AT1649" s="321"/>
    </row>
    <row r="1650" spans="10:46">
      <c r="J1650" s="145"/>
      <c r="K1650" s="145"/>
      <c r="L1650" s="145"/>
      <c r="M1650" s="145"/>
      <c r="N1650" s="145"/>
      <c r="O1650" s="145"/>
      <c r="P1650" s="145"/>
      <c r="Q1650" s="145"/>
      <c r="R1650" s="145"/>
      <c r="S1650" s="145"/>
      <c r="T1650" s="145"/>
      <c r="U1650" s="145"/>
      <c r="V1650" s="145"/>
      <c r="W1650" s="145"/>
      <c r="X1650" s="145"/>
      <c r="Y1650" s="145"/>
      <c r="Z1650" s="145"/>
      <c r="AA1650" s="145"/>
      <c r="AB1650" s="145"/>
      <c r="AC1650" s="145"/>
      <c r="AD1650" s="145"/>
      <c r="AE1650" s="145"/>
      <c r="AF1650" s="145"/>
      <c r="AG1650" s="145"/>
      <c r="AH1650" s="145"/>
      <c r="AI1650" s="145"/>
      <c r="AJ1650" s="145"/>
      <c r="AK1650" s="145"/>
      <c r="AL1650" s="145"/>
      <c r="AM1650" s="321"/>
      <c r="AN1650" s="321"/>
      <c r="AO1650" s="321"/>
      <c r="AP1650" s="321"/>
      <c r="AQ1650" s="321"/>
      <c r="AR1650" s="321"/>
      <c r="AS1650" s="321"/>
      <c r="AT1650" s="321"/>
    </row>
    <row r="1651" spans="10:46">
      <c r="J1651" s="145"/>
      <c r="K1651" s="145"/>
      <c r="L1651" s="145"/>
      <c r="M1651" s="145"/>
      <c r="N1651" s="145"/>
      <c r="O1651" s="145"/>
      <c r="P1651" s="145"/>
      <c r="Q1651" s="145"/>
      <c r="R1651" s="145"/>
      <c r="S1651" s="145"/>
      <c r="T1651" s="145"/>
      <c r="U1651" s="145"/>
      <c r="V1651" s="145"/>
      <c r="W1651" s="145"/>
      <c r="X1651" s="145"/>
      <c r="Y1651" s="145"/>
      <c r="Z1651" s="145"/>
      <c r="AA1651" s="145"/>
      <c r="AB1651" s="145"/>
      <c r="AC1651" s="145"/>
      <c r="AD1651" s="145"/>
      <c r="AE1651" s="145"/>
      <c r="AF1651" s="145"/>
      <c r="AG1651" s="145"/>
      <c r="AH1651" s="145"/>
      <c r="AI1651" s="145"/>
      <c r="AJ1651" s="145"/>
      <c r="AK1651" s="145"/>
      <c r="AL1651" s="145"/>
      <c r="AM1651" s="321"/>
      <c r="AN1651" s="321"/>
      <c r="AO1651" s="321"/>
      <c r="AP1651" s="321"/>
      <c r="AQ1651" s="321"/>
      <c r="AR1651" s="321"/>
      <c r="AS1651" s="321"/>
      <c r="AT1651" s="321"/>
    </row>
    <row r="1652" spans="10:46">
      <c r="J1652" s="145"/>
      <c r="K1652" s="145"/>
      <c r="L1652" s="145"/>
      <c r="M1652" s="145"/>
      <c r="N1652" s="145"/>
      <c r="O1652" s="145"/>
      <c r="P1652" s="145"/>
      <c r="Q1652" s="145"/>
      <c r="R1652" s="145"/>
      <c r="S1652" s="145"/>
      <c r="T1652" s="145"/>
      <c r="U1652" s="145"/>
      <c r="V1652" s="145"/>
      <c r="W1652" s="145"/>
      <c r="X1652" s="145"/>
      <c r="Y1652" s="145"/>
      <c r="Z1652" s="145"/>
      <c r="AA1652" s="145"/>
      <c r="AB1652" s="145"/>
      <c r="AC1652" s="145"/>
      <c r="AD1652" s="145"/>
      <c r="AE1652" s="145"/>
      <c r="AF1652" s="145"/>
      <c r="AG1652" s="145"/>
      <c r="AH1652" s="145"/>
      <c r="AI1652" s="145"/>
      <c r="AJ1652" s="145"/>
      <c r="AK1652" s="145"/>
      <c r="AL1652" s="145"/>
      <c r="AM1652" s="321"/>
      <c r="AN1652" s="321"/>
      <c r="AO1652" s="321"/>
      <c r="AP1652" s="321"/>
      <c r="AQ1652" s="321"/>
      <c r="AR1652" s="321"/>
      <c r="AS1652" s="321"/>
      <c r="AT1652" s="321"/>
    </row>
    <row r="1653" spans="10:46">
      <c r="J1653" s="145"/>
      <c r="K1653" s="145"/>
      <c r="L1653" s="145"/>
      <c r="M1653" s="145"/>
      <c r="N1653" s="145"/>
      <c r="O1653" s="145"/>
      <c r="P1653" s="145"/>
      <c r="Q1653" s="145"/>
      <c r="R1653" s="145"/>
      <c r="S1653" s="145"/>
      <c r="T1653" s="145"/>
      <c r="U1653" s="145"/>
      <c r="V1653" s="145"/>
      <c r="W1653" s="145"/>
      <c r="X1653" s="145"/>
      <c r="Y1653" s="145"/>
      <c r="Z1653" s="145"/>
      <c r="AA1653" s="145"/>
      <c r="AB1653" s="145"/>
      <c r="AC1653" s="145"/>
      <c r="AD1653" s="145"/>
      <c r="AE1653" s="145"/>
      <c r="AF1653" s="145"/>
      <c r="AG1653" s="145"/>
      <c r="AH1653" s="145"/>
      <c r="AI1653" s="145"/>
      <c r="AJ1653" s="145"/>
      <c r="AK1653" s="145"/>
      <c r="AL1653" s="145"/>
      <c r="AM1653" s="321"/>
      <c r="AN1653" s="321"/>
      <c r="AO1653" s="321"/>
      <c r="AP1653" s="321"/>
      <c r="AQ1653" s="321"/>
      <c r="AR1653" s="321"/>
      <c r="AS1653" s="321"/>
      <c r="AT1653" s="321"/>
    </row>
    <row r="1654" spans="10:46">
      <c r="J1654" s="145"/>
      <c r="K1654" s="145"/>
      <c r="L1654" s="145"/>
      <c r="M1654" s="145"/>
      <c r="N1654" s="145"/>
      <c r="O1654" s="145"/>
      <c r="P1654" s="145"/>
      <c r="Q1654" s="145"/>
      <c r="R1654" s="145"/>
      <c r="S1654" s="145"/>
      <c r="T1654" s="145"/>
      <c r="U1654" s="145"/>
      <c r="V1654" s="145"/>
      <c r="W1654" s="145"/>
      <c r="X1654" s="145"/>
      <c r="Y1654" s="145"/>
      <c r="Z1654" s="145"/>
      <c r="AA1654" s="145"/>
      <c r="AB1654" s="145"/>
      <c r="AC1654" s="145"/>
      <c r="AD1654" s="145"/>
      <c r="AE1654" s="145"/>
      <c r="AF1654" s="145"/>
      <c r="AG1654" s="145"/>
      <c r="AH1654" s="145"/>
      <c r="AI1654" s="145"/>
      <c r="AJ1654" s="145"/>
      <c r="AK1654" s="145"/>
      <c r="AL1654" s="145"/>
      <c r="AM1654" s="321"/>
      <c r="AN1654" s="321"/>
      <c r="AO1654" s="321"/>
      <c r="AP1654" s="321"/>
      <c r="AQ1654" s="321"/>
      <c r="AR1654" s="321"/>
      <c r="AS1654" s="321"/>
      <c r="AT1654" s="321"/>
    </row>
    <row r="1655" spans="10:46">
      <c r="J1655" s="145"/>
      <c r="K1655" s="145"/>
      <c r="L1655" s="145"/>
      <c r="M1655" s="145"/>
      <c r="N1655" s="145"/>
      <c r="O1655" s="145"/>
      <c r="P1655" s="145"/>
      <c r="Q1655" s="145"/>
      <c r="R1655" s="145"/>
      <c r="S1655" s="145"/>
      <c r="T1655" s="145"/>
      <c r="U1655" s="145"/>
      <c r="V1655" s="145"/>
      <c r="W1655" s="145"/>
      <c r="X1655" s="145"/>
      <c r="Y1655" s="145"/>
      <c r="Z1655" s="145"/>
      <c r="AA1655" s="145"/>
      <c r="AB1655" s="145"/>
      <c r="AC1655" s="145"/>
      <c r="AD1655" s="145"/>
      <c r="AE1655" s="145"/>
      <c r="AF1655" s="145"/>
      <c r="AG1655" s="145"/>
      <c r="AH1655" s="145"/>
      <c r="AI1655" s="145"/>
      <c r="AJ1655" s="145"/>
      <c r="AK1655" s="145"/>
      <c r="AL1655" s="145"/>
      <c r="AM1655" s="321"/>
      <c r="AN1655" s="321"/>
      <c r="AO1655" s="321"/>
      <c r="AP1655" s="321"/>
      <c r="AQ1655" s="321"/>
      <c r="AR1655" s="321"/>
      <c r="AS1655" s="321"/>
      <c r="AT1655" s="321"/>
    </row>
    <row r="1656" spans="10:46">
      <c r="J1656" s="145"/>
      <c r="K1656" s="145"/>
      <c r="L1656" s="145"/>
      <c r="M1656" s="145"/>
      <c r="N1656" s="145"/>
      <c r="O1656" s="145"/>
      <c r="P1656" s="145"/>
      <c r="Q1656" s="145"/>
      <c r="R1656" s="145"/>
      <c r="S1656" s="145"/>
      <c r="T1656" s="145"/>
      <c r="U1656" s="145"/>
      <c r="V1656" s="145"/>
      <c r="W1656" s="145"/>
      <c r="X1656" s="145"/>
      <c r="Y1656" s="145"/>
      <c r="Z1656" s="145"/>
      <c r="AA1656" s="145"/>
      <c r="AB1656" s="145"/>
      <c r="AC1656" s="145"/>
      <c r="AD1656" s="145"/>
      <c r="AE1656" s="145"/>
      <c r="AF1656" s="145"/>
      <c r="AG1656" s="145"/>
      <c r="AH1656" s="145"/>
      <c r="AI1656" s="145"/>
      <c r="AJ1656" s="145"/>
      <c r="AK1656" s="145"/>
      <c r="AL1656" s="145"/>
      <c r="AM1656" s="321"/>
      <c r="AN1656" s="321"/>
      <c r="AO1656" s="321"/>
      <c r="AP1656" s="321"/>
      <c r="AQ1656" s="321"/>
      <c r="AR1656" s="321"/>
      <c r="AS1656" s="321"/>
      <c r="AT1656" s="321"/>
    </row>
    <row r="1657" spans="10:46">
      <c r="J1657" s="145"/>
      <c r="K1657" s="145"/>
      <c r="L1657" s="145"/>
      <c r="M1657" s="145"/>
      <c r="N1657" s="145"/>
      <c r="O1657" s="145"/>
      <c r="P1657" s="145"/>
      <c r="Q1657" s="145"/>
      <c r="R1657" s="145"/>
      <c r="S1657" s="145"/>
      <c r="T1657" s="145"/>
      <c r="U1657" s="145"/>
      <c r="V1657" s="145"/>
      <c r="W1657" s="145"/>
      <c r="X1657" s="145"/>
      <c r="Y1657" s="145"/>
      <c r="Z1657" s="145"/>
      <c r="AA1657" s="145"/>
      <c r="AB1657" s="145"/>
      <c r="AC1657" s="145"/>
      <c r="AD1657" s="145"/>
      <c r="AE1657" s="145"/>
      <c r="AF1657" s="145"/>
      <c r="AG1657" s="145"/>
      <c r="AH1657" s="145"/>
      <c r="AI1657" s="145"/>
      <c r="AJ1657" s="145"/>
      <c r="AK1657" s="145"/>
      <c r="AL1657" s="145"/>
      <c r="AM1657" s="321"/>
      <c r="AN1657" s="321"/>
      <c r="AO1657" s="321"/>
      <c r="AP1657" s="321"/>
      <c r="AQ1657" s="321"/>
      <c r="AR1657" s="321"/>
      <c r="AS1657" s="321"/>
      <c r="AT1657" s="321"/>
    </row>
    <row r="1658" spans="10:46">
      <c r="J1658" s="145"/>
      <c r="K1658" s="145"/>
      <c r="L1658" s="145"/>
      <c r="M1658" s="145"/>
      <c r="N1658" s="145"/>
      <c r="O1658" s="145"/>
      <c r="P1658" s="145"/>
      <c r="Q1658" s="145"/>
      <c r="R1658" s="145"/>
      <c r="S1658" s="145"/>
      <c r="T1658" s="145"/>
      <c r="U1658" s="145"/>
      <c r="V1658" s="145"/>
      <c r="W1658" s="145"/>
      <c r="X1658" s="145"/>
      <c r="Y1658" s="145"/>
      <c r="Z1658" s="145"/>
      <c r="AA1658" s="145"/>
      <c r="AB1658" s="145"/>
      <c r="AC1658" s="145"/>
      <c r="AD1658" s="145"/>
      <c r="AE1658" s="145"/>
      <c r="AF1658" s="145"/>
      <c r="AG1658" s="145"/>
      <c r="AH1658" s="145"/>
      <c r="AI1658" s="145"/>
      <c r="AJ1658" s="145"/>
      <c r="AK1658" s="145"/>
      <c r="AL1658" s="145"/>
      <c r="AM1658" s="321"/>
      <c r="AN1658" s="321"/>
      <c r="AO1658" s="321"/>
      <c r="AP1658" s="321"/>
      <c r="AQ1658" s="321"/>
      <c r="AR1658" s="321"/>
      <c r="AS1658" s="321"/>
      <c r="AT1658" s="321"/>
    </row>
    <row r="1659" spans="10:46">
      <c r="J1659" s="145"/>
      <c r="K1659" s="145"/>
      <c r="L1659" s="145"/>
      <c r="M1659" s="145"/>
      <c r="N1659" s="145"/>
      <c r="O1659" s="145"/>
      <c r="P1659" s="145"/>
      <c r="Q1659" s="145"/>
      <c r="R1659" s="145"/>
      <c r="S1659" s="145"/>
      <c r="T1659" s="145"/>
      <c r="U1659" s="145"/>
      <c r="V1659" s="145"/>
      <c r="W1659" s="145"/>
      <c r="X1659" s="145"/>
      <c r="Y1659" s="145"/>
      <c r="Z1659" s="145"/>
      <c r="AA1659" s="145"/>
      <c r="AB1659" s="145"/>
      <c r="AC1659" s="145"/>
      <c r="AD1659" s="145"/>
      <c r="AE1659" s="145"/>
      <c r="AF1659" s="145"/>
      <c r="AG1659" s="145"/>
      <c r="AH1659" s="145"/>
      <c r="AI1659" s="145"/>
      <c r="AJ1659" s="145"/>
      <c r="AK1659" s="145"/>
      <c r="AL1659" s="145"/>
      <c r="AM1659" s="321"/>
      <c r="AN1659" s="321"/>
      <c r="AO1659" s="321"/>
      <c r="AP1659" s="321"/>
      <c r="AQ1659" s="321"/>
      <c r="AR1659" s="321"/>
      <c r="AS1659" s="321"/>
      <c r="AT1659" s="321"/>
    </row>
    <row r="1660" spans="10:46">
      <c r="J1660" s="145"/>
      <c r="K1660" s="145"/>
      <c r="L1660" s="145"/>
      <c r="M1660" s="145"/>
      <c r="N1660" s="145"/>
      <c r="O1660" s="145"/>
      <c r="P1660" s="145"/>
      <c r="Q1660" s="145"/>
      <c r="R1660" s="145"/>
      <c r="S1660" s="145"/>
      <c r="T1660" s="145"/>
      <c r="U1660" s="145"/>
      <c r="V1660" s="145"/>
      <c r="W1660" s="145"/>
      <c r="X1660" s="145"/>
      <c r="Y1660" s="145"/>
      <c r="Z1660" s="145"/>
      <c r="AA1660" s="145"/>
      <c r="AB1660" s="145"/>
      <c r="AC1660" s="145"/>
      <c r="AD1660" s="145"/>
      <c r="AE1660" s="145"/>
      <c r="AF1660" s="145"/>
      <c r="AG1660" s="145"/>
      <c r="AH1660" s="145"/>
      <c r="AI1660" s="145"/>
      <c r="AJ1660" s="145"/>
      <c r="AK1660" s="145"/>
      <c r="AL1660" s="145"/>
      <c r="AM1660" s="321"/>
      <c r="AN1660" s="321"/>
      <c r="AO1660" s="321"/>
      <c r="AP1660" s="321"/>
      <c r="AQ1660" s="321"/>
      <c r="AR1660" s="321"/>
      <c r="AS1660" s="321"/>
      <c r="AT1660" s="321"/>
    </row>
    <row r="1661" spans="10:46">
      <c r="J1661" s="145"/>
      <c r="K1661" s="145"/>
      <c r="L1661" s="145"/>
      <c r="M1661" s="145"/>
      <c r="N1661" s="145"/>
      <c r="O1661" s="145"/>
      <c r="P1661" s="145"/>
      <c r="Q1661" s="145"/>
      <c r="R1661" s="145"/>
      <c r="S1661" s="145"/>
      <c r="T1661" s="145"/>
      <c r="U1661" s="145"/>
      <c r="V1661" s="145"/>
      <c r="W1661" s="145"/>
      <c r="X1661" s="145"/>
      <c r="Y1661" s="145"/>
      <c r="Z1661" s="145"/>
      <c r="AA1661" s="145"/>
      <c r="AB1661" s="145"/>
      <c r="AC1661" s="145"/>
      <c r="AD1661" s="145"/>
      <c r="AE1661" s="145"/>
      <c r="AF1661" s="145"/>
      <c r="AG1661" s="145"/>
      <c r="AH1661" s="145"/>
      <c r="AI1661" s="145"/>
      <c r="AJ1661" s="145"/>
      <c r="AK1661" s="145"/>
      <c r="AL1661" s="145"/>
      <c r="AM1661" s="321"/>
      <c r="AN1661" s="321"/>
      <c r="AO1661" s="321"/>
      <c r="AP1661" s="321"/>
      <c r="AQ1661" s="321"/>
      <c r="AR1661" s="321"/>
      <c r="AS1661" s="321"/>
      <c r="AT1661" s="321"/>
    </row>
    <row r="1662" spans="10:46">
      <c r="J1662" s="145"/>
      <c r="K1662" s="145"/>
      <c r="L1662" s="145"/>
      <c r="M1662" s="145"/>
      <c r="N1662" s="145"/>
      <c r="O1662" s="145"/>
      <c r="P1662" s="145"/>
      <c r="Q1662" s="145"/>
      <c r="R1662" s="145"/>
      <c r="S1662" s="145"/>
      <c r="T1662" s="145"/>
      <c r="U1662" s="145"/>
      <c r="V1662" s="145"/>
      <c r="W1662" s="145"/>
      <c r="X1662" s="145"/>
      <c r="Y1662" s="145"/>
      <c r="Z1662" s="145"/>
      <c r="AA1662" s="145"/>
      <c r="AB1662" s="145"/>
      <c r="AC1662" s="145"/>
      <c r="AD1662" s="145"/>
      <c r="AE1662" s="145"/>
      <c r="AF1662" s="145"/>
      <c r="AG1662" s="145"/>
      <c r="AH1662" s="145"/>
      <c r="AI1662" s="145"/>
      <c r="AJ1662" s="145"/>
      <c r="AK1662" s="145"/>
      <c r="AL1662" s="145"/>
      <c r="AM1662" s="321"/>
      <c r="AN1662" s="321"/>
      <c r="AO1662" s="321"/>
      <c r="AP1662" s="321"/>
      <c r="AQ1662" s="321"/>
      <c r="AR1662" s="321"/>
      <c r="AS1662" s="321"/>
      <c r="AT1662" s="321"/>
    </row>
    <row r="1663" spans="10:46">
      <c r="J1663" s="145"/>
      <c r="K1663" s="145"/>
      <c r="L1663" s="145"/>
      <c r="M1663" s="145"/>
      <c r="N1663" s="145"/>
      <c r="O1663" s="145"/>
      <c r="P1663" s="145"/>
      <c r="Q1663" s="145"/>
      <c r="R1663" s="145"/>
      <c r="S1663" s="145"/>
      <c r="T1663" s="145"/>
      <c r="U1663" s="145"/>
      <c r="V1663" s="145"/>
      <c r="W1663" s="145"/>
      <c r="X1663" s="145"/>
      <c r="Y1663" s="145"/>
      <c r="Z1663" s="145"/>
      <c r="AA1663" s="145"/>
      <c r="AB1663" s="145"/>
      <c r="AC1663" s="145"/>
      <c r="AD1663" s="145"/>
      <c r="AE1663" s="145"/>
      <c r="AF1663" s="145"/>
      <c r="AG1663" s="145"/>
      <c r="AH1663" s="145"/>
      <c r="AI1663" s="145"/>
      <c r="AJ1663" s="145"/>
      <c r="AK1663" s="145"/>
      <c r="AL1663" s="145"/>
      <c r="AM1663" s="321"/>
      <c r="AN1663" s="321"/>
      <c r="AO1663" s="321"/>
      <c r="AP1663" s="321"/>
      <c r="AQ1663" s="321"/>
      <c r="AR1663" s="321"/>
      <c r="AS1663" s="321"/>
      <c r="AT1663" s="321"/>
    </row>
    <row r="1664" spans="10:46">
      <c r="J1664" s="145"/>
      <c r="K1664" s="145"/>
      <c r="L1664" s="145"/>
      <c r="M1664" s="145"/>
      <c r="N1664" s="145"/>
      <c r="O1664" s="145"/>
      <c r="P1664" s="145"/>
      <c r="Q1664" s="145"/>
      <c r="R1664" s="145"/>
      <c r="S1664" s="145"/>
      <c r="T1664" s="145"/>
      <c r="U1664" s="145"/>
      <c r="V1664" s="145"/>
      <c r="W1664" s="145"/>
      <c r="X1664" s="145"/>
      <c r="Y1664" s="145"/>
      <c r="Z1664" s="145"/>
      <c r="AA1664" s="145"/>
      <c r="AB1664" s="145"/>
      <c r="AC1664" s="145"/>
      <c r="AD1664" s="145"/>
      <c r="AE1664" s="145"/>
      <c r="AF1664" s="145"/>
      <c r="AG1664" s="145"/>
      <c r="AH1664" s="145"/>
      <c r="AI1664" s="145"/>
      <c r="AJ1664" s="145"/>
      <c r="AK1664" s="145"/>
      <c r="AL1664" s="145"/>
      <c r="AM1664" s="321"/>
      <c r="AN1664" s="321"/>
      <c r="AO1664" s="321"/>
      <c r="AP1664" s="321"/>
      <c r="AQ1664" s="321"/>
      <c r="AR1664" s="321"/>
      <c r="AS1664" s="321"/>
      <c r="AT1664" s="321"/>
    </row>
    <row r="1665" spans="10:46">
      <c r="J1665" s="145"/>
      <c r="K1665" s="145"/>
      <c r="L1665" s="145"/>
      <c r="M1665" s="145"/>
      <c r="N1665" s="145"/>
      <c r="O1665" s="145"/>
      <c r="P1665" s="145"/>
      <c r="Q1665" s="145"/>
      <c r="R1665" s="145"/>
      <c r="S1665" s="145"/>
      <c r="T1665" s="145"/>
      <c r="U1665" s="145"/>
      <c r="V1665" s="145"/>
      <c r="W1665" s="145"/>
      <c r="X1665" s="145"/>
      <c r="Y1665" s="145"/>
      <c r="Z1665" s="145"/>
      <c r="AA1665" s="145"/>
      <c r="AB1665" s="145"/>
      <c r="AC1665" s="145"/>
      <c r="AD1665" s="145"/>
      <c r="AE1665" s="145"/>
      <c r="AF1665" s="145"/>
      <c r="AG1665" s="145"/>
      <c r="AH1665" s="145"/>
      <c r="AI1665" s="145"/>
      <c r="AJ1665" s="145"/>
      <c r="AK1665" s="145"/>
      <c r="AL1665" s="145"/>
      <c r="AM1665" s="321"/>
      <c r="AN1665" s="321"/>
      <c r="AO1665" s="321"/>
      <c r="AP1665" s="321"/>
      <c r="AQ1665" s="321"/>
      <c r="AR1665" s="321"/>
      <c r="AS1665" s="321"/>
      <c r="AT1665" s="321"/>
    </row>
    <row r="1666" spans="10:46">
      <c r="J1666" s="145"/>
      <c r="K1666" s="145"/>
      <c r="L1666" s="145"/>
      <c r="M1666" s="145"/>
      <c r="N1666" s="145"/>
      <c r="O1666" s="145"/>
      <c r="P1666" s="145"/>
      <c r="Q1666" s="145"/>
      <c r="R1666" s="145"/>
      <c r="S1666" s="145"/>
      <c r="T1666" s="145"/>
      <c r="U1666" s="145"/>
      <c r="V1666" s="145"/>
      <c r="W1666" s="145"/>
      <c r="X1666" s="145"/>
      <c r="Y1666" s="145"/>
      <c r="Z1666" s="145"/>
      <c r="AA1666" s="145"/>
      <c r="AB1666" s="145"/>
      <c r="AC1666" s="145"/>
      <c r="AD1666" s="145"/>
      <c r="AE1666" s="145"/>
      <c r="AF1666" s="145"/>
      <c r="AG1666" s="145"/>
      <c r="AH1666" s="145"/>
      <c r="AI1666" s="145"/>
      <c r="AJ1666" s="145"/>
      <c r="AK1666" s="145"/>
      <c r="AL1666" s="145"/>
      <c r="AM1666" s="321"/>
      <c r="AN1666" s="321"/>
      <c r="AO1666" s="321"/>
      <c r="AP1666" s="321"/>
      <c r="AQ1666" s="321"/>
      <c r="AR1666" s="321"/>
      <c r="AS1666" s="321"/>
      <c r="AT1666" s="321"/>
    </row>
    <row r="1667" spans="10:46">
      <c r="J1667" s="145"/>
      <c r="K1667" s="145"/>
      <c r="L1667" s="145"/>
      <c r="M1667" s="145"/>
      <c r="N1667" s="145"/>
      <c r="O1667" s="145"/>
      <c r="P1667" s="145"/>
      <c r="Q1667" s="145"/>
      <c r="R1667" s="145"/>
      <c r="S1667" s="145"/>
      <c r="T1667" s="145"/>
      <c r="U1667" s="145"/>
      <c r="V1667" s="145"/>
      <c r="W1667" s="145"/>
      <c r="X1667" s="145"/>
      <c r="Y1667" s="145"/>
      <c r="Z1667" s="145"/>
      <c r="AA1667" s="145"/>
      <c r="AB1667" s="145"/>
      <c r="AC1667" s="145"/>
      <c r="AD1667" s="145"/>
      <c r="AE1667" s="145"/>
      <c r="AF1667" s="145"/>
      <c r="AG1667" s="145"/>
      <c r="AH1667" s="145"/>
      <c r="AI1667" s="145"/>
      <c r="AJ1667" s="145"/>
      <c r="AK1667" s="145"/>
      <c r="AL1667" s="145"/>
      <c r="AM1667" s="321"/>
      <c r="AN1667" s="321"/>
      <c r="AO1667" s="321"/>
      <c r="AP1667" s="321"/>
      <c r="AQ1667" s="321"/>
      <c r="AR1667" s="321"/>
      <c r="AS1667" s="321"/>
      <c r="AT1667" s="321"/>
    </row>
    <row r="1668" spans="10:46">
      <c r="J1668" s="145"/>
      <c r="K1668" s="145"/>
      <c r="L1668" s="145"/>
      <c r="M1668" s="145"/>
      <c r="N1668" s="145"/>
      <c r="O1668" s="145"/>
      <c r="P1668" s="145"/>
      <c r="Q1668" s="145"/>
      <c r="R1668" s="145"/>
      <c r="S1668" s="145"/>
      <c r="T1668" s="145"/>
      <c r="U1668" s="145"/>
      <c r="V1668" s="145"/>
      <c r="W1668" s="145"/>
      <c r="X1668" s="145"/>
      <c r="Y1668" s="145"/>
      <c r="Z1668" s="145"/>
      <c r="AA1668" s="145"/>
      <c r="AB1668" s="145"/>
      <c r="AC1668" s="145"/>
      <c r="AD1668" s="145"/>
      <c r="AE1668" s="145"/>
      <c r="AF1668" s="145"/>
      <c r="AG1668" s="145"/>
      <c r="AH1668" s="145"/>
      <c r="AI1668" s="145"/>
      <c r="AJ1668" s="145"/>
      <c r="AK1668" s="145"/>
      <c r="AL1668" s="145"/>
      <c r="AM1668" s="321"/>
      <c r="AN1668" s="321"/>
      <c r="AO1668" s="321"/>
      <c r="AP1668" s="321"/>
      <c r="AQ1668" s="321"/>
      <c r="AR1668" s="321"/>
      <c r="AS1668" s="321"/>
      <c r="AT1668" s="321"/>
    </row>
    <row r="1669" spans="10:46">
      <c r="J1669" s="145"/>
      <c r="K1669" s="145"/>
      <c r="L1669" s="145"/>
      <c r="M1669" s="145"/>
      <c r="N1669" s="145"/>
      <c r="O1669" s="145"/>
      <c r="P1669" s="145"/>
      <c r="Q1669" s="145"/>
      <c r="R1669" s="145"/>
      <c r="S1669" s="145"/>
      <c r="T1669" s="145"/>
      <c r="U1669" s="145"/>
      <c r="V1669" s="145"/>
      <c r="W1669" s="145"/>
      <c r="X1669" s="145"/>
      <c r="Y1669" s="145"/>
      <c r="Z1669" s="145"/>
      <c r="AA1669" s="145"/>
      <c r="AB1669" s="145"/>
      <c r="AC1669" s="145"/>
      <c r="AD1669" s="145"/>
      <c r="AE1669" s="145"/>
      <c r="AF1669" s="145"/>
      <c r="AG1669" s="145"/>
      <c r="AH1669" s="145"/>
      <c r="AI1669" s="145"/>
      <c r="AJ1669" s="145"/>
      <c r="AK1669" s="145"/>
      <c r="AL1669" s="145"/>
      <c r="AM1669" s="321"/>
      <c r="AN1669" s="321"/>
      <c r="AO1669" s="321"/>
      <c r="AP1669" s="321"/>
      <c r="AQ1669" s="321"/>
      <c r="AR1669" s="321"/>
      <c r="AS1669" s="321"/>
      <c r="AT1669" s="321"/>
    </row>
    <row r="1670" spans="10:46">
      <c r="J1670" s="145"/>
      <c r="K1670" s="145"/>
      <c r="L1670" s="145"/>
      <c r="M1670" s="145"/>
      <c r="N1670" s="145"/>
      <c r="O1670" s="145"/>
      <c r="P1670" s="145"/>
      <c r="Q1670" s="145"/>
      <c r="R1670" s="145"/>
      <c r="S1670" s="145"/>
      <c r="T1670" s="145"/>
      <c r="U1670" s="145"/>
      <c r="V1670" s="145"/>
      <c r="W1670" s="145"/>
      <c r="X1670" s="145"/>
      <c r="Y1670" s="145"/>
      <c r="Z1670" s="145"/>
      <c r="AA1670" s="145"/>
      <c r="AB1670" s="145"/>
      <c r="AC1670" s="145"/>
      <c r="AD1670" s="145"/>
      <c r="AE1670" s="145"/>
      <c r="AF1670" s="145"/>
      <c r="AG1670" s="145"/>
      <c r="AH1670" s="145"/>
      <c r="AI1670" s="145"/>
      <c r="AJ1670" s="145"/>
      <c r="AK1670" s="145"/>
      <c r="AL1670" s="145"/>
      <c r="AM1670" s="321"/>
      <c r="AN1670" s="321"/>
      <c r="AO1670" s="321"/>
      <c r="AP1670" s="321"/>
      <c r="AQ1670" s="321"/>
      <c r="AR1670" s="321"/>
      <c r="AS1670" s="321"/>
      <c r="AT1670" s="321"/>
    </row>
    <row r="1671" spans="10:46">
      <c r="J1671" s="145"/>
      <c r="K1671" s="145"/>
      <c r="L1671" s="145"/>
      <c r="M1671" s="145"/>
      <c r="N1671" s="145"/>
      <c r="O1671" s="145"/>
      <c r="P1671" s="145"/>
      <c r="Q1671" s="145"/>
      <c r="R1671" s="145"/>
      <c r="S1671" s="145"/>
      <c r="T1671" s="145"/>
      <c r="U1671" s="145"/>
      <c r="V1671" s="145"/>
      <c r="W1671" s="145"/>
      <c r="X1671" s="145"/>
      <c r="Y1671" s="145"/>
      <c r="Z1671" s="145"/>
      <c r="AA1671" s="145"/>
      <c r="AB1671" s="145"/>
      <c r="AC1671" s="145"/>
      <c r="AD1671" s="145"/>
      <c r="AE1671" s="145"/>
      <c r="AF1671" s="145"/>
      <c r="AG1671" s="145"/>
      <c r="AH1671" s="145"/>
      <c r="AI1671" s="145"/>
      <c r="AJ1671" s="145"/>
      <c r="AK1671" s="145"/>
      <c r="AL1671" s="145"/>
      <c r="AM1671" s="321"/>
      <c r="AN1671" s="321"/>
      <c r="AO1671" s="321"/>
      <c r="AP1671" s="321"/>
      <c r="AQ1671" s="321"/>
      <c r="AR1671" s="321"/>
      <c r="AS1671" s="321"/>
      <c r="AT1671" s="321"/>
    </row>
    <row r="1672" spans="10:46">
      <c r="J1672" s="145"/>
      <c r="K1672" s="145"/>
      <c r="L1672" s="145"/>
      <c r="M1672" s="145"/>
      <c r="N1672" s="145"/>
      <c r="O1672" s="145"/>
      <c r="P1672" s="145"/>
      <c r="Q1672" s="145"/>
      <c r="R1672" s="145"/>
      <c r="S1672" s="145"/>
      <c r="T1672" s="145"/>
      <c r="U1672" s="145"/>
      <c r="V1672" s="145"/>
      <c r="W1672" s="145"/>
      <c r="X1672" s="145"/>
      <c r="Y1672" s="145"/>
      <c r="Z1672" s="145"/>
      <c r="AA1672" s="145"/>
      <c r="AB1672" s="145"/>
      <c r="AC1672" s="145"/>
      <c r="AD1672" s="145"/>
      <c r="AE1672" s="145"/>
      <c r="AF1672" s="145"/>
      <c r="AG1672" s="145"/>
      <c r="AH1672" s="145"/>
      <c r="AI1672" s="145"/>
      <c r="AJ1672" s="145"/>
      <c r="AK1672" s="145"/>
      <c r="AL1672" s="145"/>
      <c r="AM1672" s="321"/>
      <c r="AN1672" s="321"/>
      <c r="AO1672" s="321"/>
      <c r="AP1672" s="321"/>
      <c r="AQ1672" s="321"/>
      <c r="AR1672" s="321"/>
      <c r="AS1672" s="321"/>
      <c r="AT1672" s="321"/>
    </row>
    <row r="1673" spans="10:46">
      <c r="J1673" s="145"/>
      <c r="K1673" s="145"/>
      <c r="L1673" s="145"/>
      <c r="M1673" s="145"/>
      <c r="N1673" s="145"/>
      <c r="O1673" s="145"/>
      <c r="P1673" s="145"/>
      <c r="Q1673" s="145"/>
      <c r="R1673" s="145"/>
      <c r="S1673" s="145"/>
      <c r="T1673" s="145"/>
      <c r="U1673" s="145"/>
      <c r="V1673" s="145"/>
      <c r="W1673" s="145"/>
      <c r="X1673" s="145"/>
      <c r="Y1673" s="145"/>
      <c r="Z1673" s="145"/>
      <c r="AA1673" s="145"/>
      <c r="AB1673" s="145"/>
      <c r="AC1673" s="145"/>
      <c r="AD1673" s="145"/>
      <c r="AE1673" s="145"/>
      <c r="AF1673" s="145"/>
      <c r="AG1673" s="145"/>
      <c r="AH1673" s="145"/>
      <c r="AI1673" s="145"/>
      <c r="AJ1673" s="145"/>
      <c r="AK1673" s="145"/>
      <c r="AL1673" s="145"/>
      <c r="AM1673" s="321"/>
      <c r="AN1673" s="321"/>
      <c r="AO1673" s="321"/>
      <c r="AP1673" s="321"/>
      <c r="AQ1673" s="321"/>
      <c r="AR1673" s="321"/>
      <c r="AS1673" s="321"/>
      <c r="AT1673" s="321"/>
    </row>
    <row r="1674" spans="10:46">
      <c r="J1674" s="145"/>
      <c r="K1674" s="145"/>
      <c r="L1674" s="145"/>
      <c r="M1674" s="145"/>
      <c r="N1674" s="145"/>
      <c r="O1674" s="145"/>
      <c r="P1674" s="145"/>
      <c r="Q1674" s="145"/>
      <c r="R1674" s="145"/>
      <c r="S1674" s="145"/>
      <c r="T1674" s="145"/>
      <c r="U1674" s="145"/>
      <c r="V1674" s="145"/>
      <c r="W1674" s="145"/>
      <c r="X1674" s="145"/>
      <c r="Y1674" s="145"/>
      <c r="Z1674" s="145"/>
      <c r="AA1674" s="145"/>
      <c r="AB1674" s="145"/>
      <c r="AC1674" s="145"/>
      <c r="AD1674" s="145"/>
      <c r="AE1674" s="145"/>
      <c r="AF1674" s="145"/>
      <c r="AG1674" s="145"/>
      <c r="AH1674" s="145"/>
      <c r="AI1674" s="145"/>
      <c r="AJ1674" s="145"/>
      <c r="AK1674" s="145"/>
      <c r="AL1674" s="145"/>
      <c r="AM1674" s="321"/>
      <c r="AN1674" s="321"/>
      <c r="AO1674" s="321"/>
      <c r="AP1674" s="321"/>
      <c r="AQ1674" s="321"/>
      <c r="AR1674" s="321"/>
      <c r="AS1674" s="321"/>
      <c r="AT1674" s="321"/>
    </row>
    <row r="1675" spans="10:46">
      <c r="J1675" s="145"/>
      <c r="K1675" s="145"/>
      <c r="L1675" s="145"/>
      <c r="M1675" s="145"/>
      <c r="N1675" s="145"/>
      <c r="O1675" s="145"/>
      <c r="P1675" s="145"/>
      <c r="Q1675" s="145"/>
      <c r="R1675" s="145"/>
      <c r="S1675" s="145"/>
      <c r="T1675" s="145"/>
      <c r="U1675" s="145"/>
      <c r="V1675" s="145"/>
      <c r="W1675" s="145"/>
      <c r="X1675" s="145"/>
      <c r="Y1675" s="145"/>
      <c r="Z1675" s="145"/>
      <c r="AA1675" s="145"/>
      <c r="AB1675" s="145"/>
      <c r="AC1675" s="145"/>
      <c r="AD1675" s="145"/>
      <c r="AE1675" s="145"/>
      <c r="AF1675" s="145"/>
      <c r="AG1675" s="145"/>
      <c r="AH1675" s="145"/>
      <c r="AI1675" s="145"/>
      <c r="AJ1675" s="145"/>
      <c r="AK1675" s="145"/>
      <c r="AL1675" s="145"/>
      <c r="AM1675" s="321"/>
      <c r="AN1675" s="321"/>
      <c r="AO1675" s="321"/>
      <c r="AP1675" s="321"/>
      <c r="AQ1675" s="321"/>
      <c r="AR1675" s="321"/>
      <c r="AS1675" s="321"/>
      <c r="AT1675" s="321"/>
    </row>
    <row r="1676" spans="10:46">
      <c r="J1676" s="145"/>
      <c r="K1676" s="145"/>
      <c r="L1676" s="145"/>
      <c r="M1676" s="145"/>
      <c r="N1676" s="145"/>
      <c r="O1676" s="145"/>
      <c r="P1676" s="145"/>
      <c r="Q1676" s="145"/>
      <c r="R1676" s="145"/>
      <c r="S1676" s="145"/>
      <c r="T1676" s="145"/>
      <c r="U1676" s="145"/>
      <c r="V1676" s="145"/>
      <c r="W1676" s="145"/>
      <c r="X1676" s="145"/>
      <c r="Y1676" s="145"/>
      <c r="Z1676" s="145"/>
      <c r="AA1676" s="145"/>
      <c r="AB1676" s="145"/>
      <c r="AC1676" s="145"/>
      <c r="AD1676" s="145"/>
      <c r="AE1676" s="145"/>
      <c r="AF1676" s="145"/>
      <c r="AG1676" s="145"/>
      <c r="AH1676" s="145"/>
      <c r="AI1676" s="145"/>
      <c r="AJ1676" s="145"/>
      <c r="AK1676" s="145"/>
      <c r="AL1676" s="145"/>
      <c r="AM1676" s="321"/>
      <c r="AN1676" s="321"/>
      <c r="AO1676" s="321"/>
      <c r="AP1676" s="321"/>
      <c r="AQ1676" s="321"/>
      <c r="AR1676" s="321"/>
      <c r="AS1676" s="321"/>
      <c r="AT1676" s="321"/>
    </row>
    <row r="1677" spans="10:46">
      <c r="J1677" s="145"/>
      <c r="K1677" s="145"/>
      <c r="L1677" s="145"/>
      <c r="M1677" s="145"/>
      <c r="N1677" s="145"/>
      <c r="O1677" s="145"/>
      <c r="P1677" s="145"/>
      <c r="Q1677" s="145"/>
      <c r="R1677" s="145"/>
      <c r="S1677" s="145"/>
      <c r="T1677" s="145"/>
      <c r="U1677" s="145"/>
      <c r="V1677" s="145"/>
      <c r="W1677" s="145"/>
      <c r="X1677" s="145"/>
      <c r="Y1677" s="145"/>
      <c r="Z1677" s="145"/>
      <c r="AA1677" s="145"/>
      <c r="AB1677" s="145"/>
      <c r="AC1677" s="145"/>
      <c r="AD1677" s="145"/>
      <c r="AE1677" s="145"/>
      <c r="AF1677" s="145"/>
      <c r="AG1677" s="145"/>
      <c r="AH1677" s="145"/>
      <c r="AI1677" s="145"/>
      <c r="AJ1677" s="145"/>
      <c r="AK1677" s="145"/>
      <c r="AL1677" s="145"/>
      <c r="AM1677" s="321"/>
      <c r="AN1677" s="321"/>
      <c r="AO1677" s="321"/>
      <c r="AP1677" s="321"/>
      <c r="AQ1677" s="321"/>
      <c r="AR1677" s="321"/>
      <c r="AS1677" s="321"/>
      <c r="AT1677" s="321"/>
    </row>
    <row r="1678" spans="10:46">
      <c r="J1678" s="145"/>
      <c r="K1678" s="145"/>
      <c r="L1678" s="145"/>
      <c r="M1678" s="145"/>
      <c r="N1678" s="145"/>
      <c r="O1678" s="145"/>
      <c r="P1678" s="145"/>
      <c r="Q1678" s="145"/>
      <c r="R1678" s="145"/>
      <c r="S1678" s="145"/>
      <c r="T1678" s="145"/>
      <c r="U1678" s="145"/>
      <c r="V1678" s="145"/>
      <c r="W1678" s="145"/>
      <c r="X1678" s="145"/>
      <c r="Y1678" s="145"/>
      <c r="Z1678" s="145"/>
      <c r="AA1678" s="145"/>
      <c r="AB1678" s="145"/>
      <c r="AC1678" s="145"/>
      <c r="AD1678" s="145"/>
      <c r="AE1678" s="145"/>
      <c r="AF1678" s="145"/>
      <c r="AG1678" s="145"/>
      <c r="AH1678" s="145"/>
      <c r="AI1678" s="145"/>
      <c r="AJ1678" s="145"/>
      <c r="AK1678" s="145"/>
      <c r="AL1678" s="145"/>
      <c r="AM1678" s="321"/>
      <c r="AN1678" s="321"/>
      <c r="AO1678" s="321"/>
      <c r="AP1678" s="321"/>
      <c r="AQ1678" s="321"/>
      <c r="AR1678" s="321"/>
      <c r="AS1678" s="321"/>
      <c r="AT1678" s="321"/>
    </row>
    <row r="1679" spans="10:46">
      <c r="J1679" s="145"/>
      <c r="K1679" s="145"/>
      <c r="L1679" s="145"/>
      <c r="M1679" s="145"/>
      <c r="N1679" s="145"/>
      <c r="O1679" s="145"/>
      <c r="P1679" s="145"/>
      <c r="Q1679" s="145"/>
      <c r="R1679" s="145"/>
      <c r="S1679" s="145"/>
      <c r="T1679" s="145"/>
      <c r="U1679" s="145"/>
      <c r="V1679" s="145"/>
      <c r="W1679" s="145"/>
      <c r="X1679" s="145"/>
      <c r="Y1679" s="145"/>
      <c r="Z1679" s="145"/>
      <c r="AA1679" s="145"/>
      <c r="AB1679" s="145"/>
      <c r="AC1679" s="145"/>
      <c r="AD1679" s="145"/>
      <c r="AE1679" s="145"/>
      <c r="AF1679" s="145"/>
      <c r="AG1679" s="145"/>
      <c r="AH1679" s="145"/>
      <c r="AI1679" s="145"/>
      <c r="AJ1679" s="145"/>
      <c r="AK1679" s="145"/>
      <c r="AL1679" s="145"/>
      <c r="AM1679" s="321"/>
      <c r="AN1679" s="321"/>
      <c r="AO1679" s="321"/>
      <c r="AP1679" s="321"/>
      <c r="AQ1679" s="321"/>
      <c r="AR1679" s="321"/>
      <c r="AS1679" s="321"/>
      <c r="AT1679" s="321"/>
    </row>
    <row r="1680" spans="10:46">
      <c r="J1680" s="145"/>
      <c r="K1680" s="145"/>
      <c r="L1680" s="145"/>
      <c r="M1680" s="145"/>
      <c r="N1680" s="145"/>
      <c r="O1680" s="145"/>
      <c r="P1680" s="145"/>
      <c r="Q1680" s="145"/>
      <c r="R1680" s="145"/>
      <c r="S1680" s="145"/>
      <c r="T1680" s="145"/>
      <c r="U1680" s="145"/>
      <c r="V1680" s="145"/>
      <c r="W1680" s="145"/>
      <c r="X1680" s="145"/>
      <c r="Y1680" s="145"/>
      <c r="Z1680" s="145"/>
      <c r="AA1680" s="145"/>
      <c r="AB1680" s="145"/>
      <c r="AC1680" s="145"/>
      <c r="AD1680" s="145"/>
      <c r="AE1680" s="145"/>
      <c r="AF1680" s="145"/>
      <c r="AG1680" s="145"/>
      <c r="AH1680" s="145"/>
      <c r="AI1680" s="145"/>
      <c r="AJ1680" s="145"/>
      <c r="AK1680" s="145"/>
      <c r="AL1680" s="145"/>
      <c r="AM1680" s="321"/>
      <c r="AN1680" s="321"/>
      <c r="AO1680" s="321"/>
      <c r="AP1680" s="321"/>
      <c r="AQ1680" s="321"/>
      <c r="AR1680" s="321"/>
      <c r="AS1680" s="321"/>
      <c r="AT1680" s="321"/>
    </row>
    <row r="1681" spans="10:46">
      <c r="J1681" s="145"/>
      <c r="K1681" s="145"/>
      <c r="L1681" s="145"/>
      <c r="M1681" s="145"/>
      <c r="N1681" s="145"/>
      <c r="O1681" s="145"/>
      <c r="P1681" s="145"/>
      <c r="Q1681" s="145"/>
      <c r="R1681" s="145"/>
      <c r="S1681" s="145"/>
      <c r="T1681" s="145"/>
      <c r="U1681" s="145"/>
      <c r="V1681" s="145"/>
      <c r="W1681" s="145"/>
      <c r="X1681" s="145"/>
      <c r="Y1681" s="145"/>
      <c r="Z1681" s="145"/>
      <c r="AA1681" s="145"/>
      <c r="AB1681" s="145"/>
      <c r="AC1681" s="145"/>
      <c r="AD1681" s="145"/>
      <c r="AE1681" s="145"/>
      <c r="AF1681" s="145"/>
      <c r="AG1681" s="145"/>
      <c r="AH1681" s="145"/>
      <c r="AI1681" s="145"/>
      <c r="AJ1681" s="145"/>
      <c r="AK1681" s="145"/>
      <c r="AL1681" s="145"/>
      <c r="AM1681" s="321"/>
      <c r="AN1681" s="321"/>
      <c r="AO1681" s="321"/>
      <c r="AP1681" s="321"/>
      <c r="AQ1681" s="321"/>
      <c r="AR1681" s="321"/>
      <c r="AS1681" s="321"/>
      <c r="AT1681" s="321"/>
    </row>
    <row r="1682" spans="10:46">
      <c r="J1682" s="145"/>
      <c r="K1682" s="145"/>
      <c r="L1682" s="145"/>
      <c r="M1682" s="145"/>
      <c r="N1682" s="145"/>
      <c r="O1682" s="145"/>
      <c r="P1682" s="145"/>
      <c r="Q1682" s="145"/>
      <c r="R1682" s="145"/>
      <c r="S1682" s="145"/>
      <c r="T1682" s="145"/>
      <c r="U1682" s="145"/>
      <c r="V1682" s="145"/>
      <c r="W1682" s="145"/>
      <c r="X1682" s="145"/>
      <c r="Y1682" s="145"/>
      <c r="Z1682" s="145"/>
      <c r="AA1682" s="145"/>
      <c r="AB1682" s="145"/>
      <c r="AC1682" s="145"/>
      <c r="AD1682" s="145"/>
      <c r="AE1682" s="145"/>
      <c r="AF1682" s="145"/>
      <c r="AG1682" s="145"/>
      <c r="AH1682" s="145"/>
      <c r="AI1682" s="145"/>
      <c r="AJ1682" s="145"/>
      <c r="AK1682" s="145"/>
      <c r="AL1682" s="145"/>
      <c r="AM1682" s="321"/>
      <c r="AN1682" s="321"/>
      <c r="AO1682" s="321"/>
      <c r="AP1682" s="321"/>
      <c r="AQ1682" s="321"/>
      <c r="AR1682" s="321"/>
      <c r="AS1682" s="321"/>
      <c r="AT1682" s="321"/>
    </row>
    <row r="1683" spans="10:46">
      <c r="J1683" s="145"/>
      <c r="K1683" s="145"/>
      <c r="L1683" s="145"/>
      <c r="M1683" s="145"/>
      <c r="N1683" s="145"/>
      <c r="O1683" s="145"/>
      <c r="P1683" s="145"/>
      <c r="Q1683" s="145"/>
      <c r="R1683" s="145"/>
      <c r="S1683" s="145"/>
      <c r="T1683" s="145"/>
      <c r="U1683" s="145"/>
      <c r="V1683" s="145"/>
      <c r="W1683" s="145"/>
      <c r="X1683" s="145"/>
      <c r="Y1683" s="145"/>
      <c r="Z1683" s="145"/>
      <c r="AA1683" s="145"/>
      <c r="AB1683" s="145"/>
      <c r="AC1683" s="145"/>
      <c r="AD1683" s="145"/>
      <c r="AE1683" s="145"/>
      <c r="AF1683" s="145"/>
      <c r="AG1683" s="145"/>
      <c r="AH1683" s="145"/>
      <c r="AI1683" s="145"/>
      <c r="AJ1683" s="145"/>
      <c r="AK1683" s="145"/>
      <c r="AL1683" s="145"/>
      <c r="AM1683" s="321"/>
      <c r="AN1683" s="321"/>
      <c r="AO1683" s="321"/>
      <c r="AP1683" s="321"/>
      <c r="AQ1683" s="321"/>
      <c r="AR1683" s="321"/>
      <c r="AS1683" s="321"/>
      <c r="AT1683" s="321"/>
    </row>
    <row r="1684" spans="10:46">
      <c r="J1684" s="145"/>
      <c r="K1684" s="145"/>
      <c r="L1684" s="145"/>
      <c r="M1684" s="145"/>
      <c r="N1684" s="145"/>
      <c r="O1684" s="145"/>
      <c r="P1684" s="145"/>
      <c r="Q1684" s="145"/>
      <c r="R1684" s="145"/>
      <c r="S1684" s="145"/>
      <c r="T1684" s="145"/>
      <c r="U1684" s="145"/>
      <c r="V1684" s="145"/>
      <c r="W1684" s="145"/>
      <c r="X1684" s="145"/>
      <c r="Y1684" s="145"/>
      <c r="Z1684" s="145"/>
      <c r="AA1684" s="145"/>
      <c r="AB1684" s="145"/>
      <c r="AC1684" s="145"/>
      <c r="AD1684" s="145"/>
      <c r="AE1684" s="145"/>
      <c r="AF1684" s="145"/>
      <c r="AG1684" s="145"/>
      <c r="AH1684" s="145"/>
      <c r="AI1684" s="145"/>
      <c r="AJ1684" s="145"/>
      <c r="AK1684" s="145"/>
      <c r="AL1684" s="145"/>
      <c r="AM1684" s="321"/>
      <c r="AN1684" s="321"/>
      <c r="AO1684" s="321"/>
      <c r="AP1684" s="321"/>
      <c r="AQ1684" s="321"/>
      <c r="AR1684" s="321"/>
      <c r="AS1684" s="321"/>
      <c r="AT1684" s="321"/>
    </row>
    <row r="1685" spans="10:46">
      <c r="J1685" s="145"/>
      <c r="K1685" s="145"/>
      <c r="L1685" s="145"/>
      <c r="M1685" s="145"/>
      <c r="N1685" s="145"/>
      <c r="O1685" s="145"/>
      <c r="P1685" s="145"/>
      <c r="Q1685" s="145"/>
      <c r="R1685" s="145"/>
      <c r="S1685" s="145"/>
      <c r="T1685" s="145"/>
      <c r="U1685" s="145"/>
      <c r="V1685" s="145"/>
      <c r="W1685" s="145"/>
      <c r="X1685" s="145"/>
      <c r="Y1685" s="145"/>
      <c r="Z1685" s="145"/>
      <c r="AA1685" s="145"/>
      <c r="AB1685" s="145"/>
      <c r="AC1685" s="145"/>
      <c r="AD1685" s="145"/>
      <c r="AE1685" s="145"/>
      <c r="AF1685" s="145"/>
      <c r="AG1685" s="145"/>
      <c r="AH1685" s="145"/>
      <c r="AI1685" s="145"/>
      <c r="AJ1685" s="145"/>
      <c r="AK1685" s="145"/>
      <c r="AL1685" s="145"/>
      <c r="AM1685" s="321"/>
      <c r="AN1685" s="321"/>
      <c r="AO1685" s="321"/>
      <c r="AP1685" s="321"/>
      <c r="AQ1685" s="321"/>
      <c r="AR1685" s="321"/>
      <c r="AS1685" s="321"/>
      <c r="AT1685" s="321"/>
    </row>
    <row r="1686" spans="10:46">
      <c r="J1686" s="145"/>
      <c r="K1686" s="145"/>
      <c r="L1686" s="145"/>
      <c r="M1686" s="145"/>
      <c r="N1686" s="145"/>
      <c r="O1686" s="145"/>
      <c r="P1686" s="145"/>
      <c r="Q1686" s="145"/>
      <c r="R1686" s="145"/>
      <c r="S1686" s="145"/>
      <c r="T1686" s="145"/>
      <c r="U1686" s="145"/>
      <c r="V1686" s="145"/>
      <c r="W1686" s="145"/>
      <c r="X1686" s="145"/>
      <c r="Y1686" s="145"/>
      <c r="Z1686" s="145"/>
      <c r="AA1686" s="145"/>
      <c r="AB1686" s="145"/>
      <c r="AC1686" s="145"/>
      <c r="AD1686" s="145"/>
      <c r="AE1686" s="145"/>
      <c r="AF1686" s="145"/>
      <c r="AG1686" s="145"/>
      <c r="AH1686" s="145"/>
      <c r="AI1686" s="145"/>
      <c r="AJ1686" s="145"/>
      <c r="AK1686" s="145"/>
      <c r="AL1686" s="145"/>
      <c r="AM1686" s="321"/>
      <c r="AN1686" s="321"/>
      <c r="AO1686" s="321"/>
      <c r="AP1686" s="321"/>
      <c r="AQ1686" s="321"/>
      <c r="AR1686" s="321"/>
      <c r="AS1686" s="321"/>
      <c r="AT1686" s="321"/>
    </row>
    <row r="1687" spans="10:46">
      <c r="J1687" s="145"/>
      <c r="K1687" s="145"/>
      <c r="L1687" s="145"/>
      <c r="M1687" s="145"/>
      <c r="N1687" s="145"/>
      <c r="O1687" s="145"/>
      <c r="P1687" s="145"/>
      <c r="Q1687" s="145"/>
      <c r="R1687" s="145"/>
      <c r="S1687" s="145"/>
      <c r="T1687" s="145"/>
      <c r="U1687" s="145"/>
      <c r="V1687" s="145"/>
      <c r="W1687" s="145"/>
      <c r="X1687" s="145"/>
      <c r="Y1687" s="145"/>
      <c r="Z1687" s="145"/>
      <c r="AA1687" s="145"/>
      <c r="AB1687" s="145"/>
      <c r="AC1687" s="145"/>
      <c r="AD1687" s="145"/>
      <c r="AE1687" s="145"/>
      <c r="AF1687" s="145"/>
      <c r="AG1687" s="145"/>
      <c r="AH1687" s="145"/>
      <c r="AI1687" s="145"/>
      <c r="AJ1687" s="145"/>
      <c r="AK1687" s="145"/>
      <c r="AL1687" s="145"/>
      <c r="AM1687" s="321"/>
      <c r="AN1687" s="321"/>
      <c r="AO1687" s="321"/>
      <c r="AP1687" s="321"/>
      <c r="AQ1687" s="321"/>
      <c r="AR1687" s="321"/>
      <c r="AS1687" s="321"/>
      <c r="AT1687" s="321"/>
    </row>
    <row r="1688" spans="10:46">
      <c r="J1688" s="145"/>
      <c r="K1688" s="145"/>
      <c r="L1688" s="145"/>
      <c r="M1688" s="145"/>
      <c r="N1688" s="145"/>
      <c r="O1688" s="145"/>
      <c r="P1688" s="145"/>
      <c r="Q1688" s="145"/>
      <c r="R1688" s="145"/>
      <c r="S1688" s="145"/>
      <c r="T1688" s="145"/>
      <c r="U1688" s="145"/>
      <c r="V1688" s="145"/>
      <c r="W1688" s="145"/>
      <c r="X1688" s="145"/>
      <c r="Y1688" s="145"/>
      <c r="Z1688" s="145"/>
      <c r="AA1688" s="145"/>
      <c r="AB1688" s="145"/>
      <c r="AC1688" s="145"/>
      <c r="AD1688" s="145"/>
      <c r="AE1688" s="145"/>
      <c r="AF1688" s="145"/>
      <c r="AG1688" s="145"/>
      <c r="AH1688" s="145"/>
      <c r="AI1688" s="145"/>
      <c r="AJ1688" s="145"/>
      <c r="AK1688" s="145"/>
      <c r="AL1688" s="145"/>
      <c r="AM1688" s="321"/>
      <c r="AN1688" s="321"/>
      <c r="AO1688" s="321"/>
      <c r="AP1688" s="321"/>
      <c r="AQ1688" s="321"/>
      <c r="AR1688" s="321"/>
      <c r="AS1688" s="321"/>
      <c r="AT1688" s="321"/>
    </row>
    <row r="1689" spans="10:46">
      <c r="J1689" s="145"/>
      <c r="K1689" s="145"/>
      <c r="L1689" s="145"/>
      <c r="M1689" s="145"/>
      <c r="N1689" s="145"/>
      <c r="O1689" s="145"/>
      <c r="P1689" s="145"/>
      <c r="Q1689" s="145"/>
      <c r="R1689" s="145"/>
      <c r="S1689" s="145"/>
      <c r="T1689" s="145"/>
      <c r="U1689" s="145"/>
      <c r="V1689" s="145"/>
      <c r="W1689" s="145"/>
      <c r="X1689" s="145"/>
      <c r="Y1689" s="145"/>
      <c r="Z1689" s="145"/>
      <c r="AA1689" s="145"/>
      <c r="AB1689" s="145"/>
      <c r="AC1689" s="145"/>
      <c r="AD1689" s="145"/>
      <c r="AE1689" s="145"/>
      <c r="AF1689" s="145"/>
      <c r="AG1689" s="145"/>
      <c r="AH1689" s="145"/>
      <c r="AI1689" s="145"/>
      <c r="AJ1689" s="145"/>
      <c r="AK1689" s="145"/>
      <c r="AL1689" s="145"/>
      <c r="AM1689" s="321"/>
      <c r="AN1689" s="321"/>
      <c r="AO1689" s="321"/>
      <c r="AP1689" s="321"/>
      <c r="AQ1689" s="321"/>
      <c r="AR1689" s="321"/>
      <c r="AS1689" s="321"/>
      <c r="AT1689" s="321"/>
    </row>
    <row r="1690" spans="10:46">
      <c r="J1690" s="145"/>
      <c r="K1690" s="145"/>
      <c r="L1690" s="145"/>
      <c r="M1690" s="145"/>
      <c r="N1690" s="145"/>
      <c r="O1690" s="145"/>
      <c r="P1690" s="145"/>
      <c r="Q1690" s="145"/>
      <c r="R1690" s="145"/>
      <c r="S1690" s="145"/>
      <c r="T1690" s="145"/>
      <c r="U1690" s="145"/>
      <c r="V1690" s="145"/>
      <c r="W1690" s="145"/>
      <c r="X1690" s="145"/>
      <c r="Y1690" s="145"/>
      <c r="Z1690" s="145"/>
      <c r="AA1690" s="145"/>
      <c r="AB1690" s="145"/>
      <c r="AC1690" s="145"/>
      <c r="AD1690" s="145"/>
      <c r="AE1690" s="145"/>
      <c r="AF1690" s="145"/>
      <c r="AG1690" s="145"/>
      <c r="AH1690" s="145"/>
      <c r="AI1690" s="145"/>
      <c r="AJ1690" s="145"/>
      <c r="AK1690" s="145"/>
      <c r="AL1690" s="145"/>
      <c r="AM1690" s="321"/>
      <c r="AN1690" s="321"/>
      <c r="AO1690" s="321"/>
      <c r="AP1690" s="321"/>
      <c r="AQ1690" s="321"/>
      <c r="AR1690" s="321"/>
      <c r="AS1690" s="321"/>
      <c r="AT1690" s="321"/>
    </row>
    <row r="1691" spans="10:46">
      <c r="J1691" s="145"/>
      <c r="K1691" s="145"/>
      <c r="L1691" s="145"/>
      <c r="M1691" s="145"/>
      <c r="N1691" s="145"/>
      <c r="O1691" s="145"/>
      <c r="P1691" s="145"/>
      <c r="Q1691" s="145"/>
      <c r="R1691" s="145"/>
      <c r="S1691" s="145"/>
      <c r="T1691" s="145"/>
      <c r="U1691" s="145"/>
      <c r="V1691" s="145"/>
      <c r="W1691" s="145"/>
      <c r="X1691" s="145"/>
      <c r="Y1691" s="145"/>
      <c r="Z1691" s="145"/>
      <c r="AA1691" s="145"/>
      <c r="AB1691" s="145"/>
      <c r="AC1691" s="145"/>
      <c r="AD1691" s="145"/>
      <c r="AE1691" s="145"/>
      <c r="AF1691" s="145"/>
      <c r="AG1691" s="145"/>
      <c r="AH1691" s="145"/>
      <c r="AI1691" s="145"/>
      <c r="AJ1691" s="145"/>
      <c r="AK1691" s="145"/>
      <c r="AL1691" s="145"/>
      <c r="AM1691" s="321"/>
      <c r="AN1691" s="321"/>
      <c r="AO1691" s="321"/>
      <c r="AP1691" s="321"/>
      <c r="AQ1691" s="321"/>
      <c r="AR1691" s="321"/>
      <c r="AS1691" s="321"/>
      <c r="AT1691" s="321"/>
    </row>
    <row r="1692" spans="10:46">
      <c r="J1692" s="145"/>
      <c r="K1692" s="145"/>
      <c r="L1692" s="145"/>
      <c r="M1692" s="145"/>
      <c r="N1692" s="145"/>
      <c r="O1692" s="145"/>
      <c r="P1692" s="145"/>
      <c r="Q1692" s="145"/>
      <c r="R1692" s="145"/>
      <c r="S1692" s="145"/>
      <c r="T1692" s="145"/>
      <c r="U1692" s="145"/>
      <c r="V1692" s="145"/>
      <c r="W1692" s="145"/>
      <c r="X1692" s="145"/>
      <c r="Y1692" s="145"/>
      <c r="Z1692" s="145"/>
      <c r="AA1692" s="145"/>
      <c r="AB1692" s="145"/>
      <c r="AC1692" s="145"/>
      <c r="AD1692" s="145"/>
      <c r="AE1692" s="145"/>
      <c r="AF1692" s="145"/>
      <c r="AG1692" s="145"/>
      <c r="AH1692" s="145"/>
      <c r="AI1692" s="145"/>
      <c r="AJ1692" s="145"/>
      <c r="AK1692" s="145"/>
      <c r="AL1692" s="145"/>
      <c r="AM1692" s="321"/>
      <c r="AN1692" s="321"/>
      <c r="AO1692" s="321"/>
      <c r="AP1692" s="321"/>
      <c r="AQ1692" s="321"/>
      <c r="AR1692" s="321"/>
      <c r="AS1692" s="321"/>
      <c r="AT1692" s="321"/>
    </row>
    <row r="1693" spans="10:46">
      <c r="J1693" s="145"/>
      <c r="K1693" s="145"/>
      <c r="L1693" s="145"/>
      <c r="M1693" s="145"/>
      <c r="N1693" s="145"/>
      <c r="O1693" s="145"/>
      <c r="P1693" s="145"/>
      <c r="Q1693" s="145"/>
      <c r="R1693" s="145"/>
      <c r="S1693" s="145"/>
      <c r="T1693" s="145"/>
      <c r="U1693" s="145"/>
      <c r="V1693" s="145"/>
      <c r="W1693" s="145"/>
      <c r="X1693" s="145"/>
      <c r="Y1693" s="145"/>
      <c r="Z1693" s="145"/>
      <c r="AA1693" s="145"/>
      <c r="AB1693" s="145"/>
      <c r="AC1693" s="145"/>
      <c r="AD1693" s="145"/>
      <c r="AE1693" s="145"/>
      <c r="AF1693" s="145"/>
      <c r="AG1693" s="145"/>
      <c r="AH1693" s="145"/>
      <c r="AI1693" s="145"/>
      <c r="AJ1693" s="145"/>
      <c r="AK1693" s="145"/>
      <c r="AL1693" s="145"/>
      <c r="AM1693" s="321"/>
      <c r="AN1693" s="321"/>
      <c r="AO1693" s="321"/>
      <c r="AP1693" s="321"/>
      <c r="AQ1693" s="321"/>
      <c r="AR1693" s="321"/>
      <c r="AS1693" s="321"/>
      <c r="AT1693" s="321"/>
    </row>
    <row r="1694" spans="10:46">
      <c r="J1694" s="145"/>
      <c r="K1694" s="145"/>
      <c r="L1694" s="145"/>
      <c r="M1694" s="145"/>
      <c r="N1694" s="145"/>
      <c r="O1694" s="145"/>
      <c r="P1694" s="145"/>
      <c r="Q1694" s="145"/>
      <c r="R1694" s="145"/>
      <c r="S1694" s="145"/>
      <c r="T1694" s="145"/>
      <c r="U1694" s="145"/>
      <c r="V1694" s="145"/>
      <c r="W1694" s="145"/>
      <c r="X1694" s="145"/>
      <c r="Y1694" s="145"/>
      <c r="Z1694" s="145"/>
      <c r="AA1694" s="145"/>
      <c r="AB1694" s="145"/>
      <c r="AC1694" s="145"/>
      <c r="AD1694" s="145"/>
      <c r="AE1694" s="145"/>
      <c r="AF1694" s="145"/>
      <c r="AG1694" s="145"/>
      <c r="AH1694" s="145"/>
      <c r="AI1694" s="145"/>
      <c r="AJ1694" s="145"/>
      <c r="AK1694" s="145"/>
      <c r="AL1694" s="145"/>
      <c r="AM1694" s="321"/>
      <c r="AN1694" s="321"/>
      <c r="AO1694" s="321"/>
      <c r="AP1694" s="321"/>
      <c r="AQ1694" s="321"/>
      <c r="AR1694" s="321"/>
      <c r="AS1694" s="321"/>
      <c r="AT1694" s="321"/>
    </row>
    <row r="1695" spans="10:46">
      <c r="J1695" s="145"/>
      <c r="K1695" s="145"/>
      <c r="L1695" s="145"/>
      <c r="M1695" s="145"/>
      <c r="N1695" s="145"/>
      <c r="O1695" s="145"/>
      <c r="P1695" s="145"/>
      <c r="Q1695" s="145"/>
      <c r="R1695" s="145"/>
      <c r="S1695" s="145"/>
      <c r="T1695" s="145"/>
      <c r="U1695" s="145"/>
      <c r="V1695" s="145"/>
      <c r="W1695" s="145"/>
      <c r="X1695" s="145"/>
      <c r="Y1695" s="145"/>
      <c r="Z1695" s="145"/>
      <c r="AA1695" s="145"/>
      <c r="AB1695" s="145"/>
      <c r="AC1695" s="145"/>
      <c r="AD1695" s="145"/>
      <c r="AE1695" s="145"/>
      <c r="AF1695" s="145"/>
      <c r="AG1695" s="145"/>
      <c r="AH1695" s="145"/>
      <c r="AI1695" s="145"/>
      <c r="AJ1695" s="145"/>
      <c r="AK1695" s="145"/>
      <c r="AL1695" s="145"/>
      <c r="AM1695" s="321"/>
      <c r="AN1695" s="321"/>
      <c r="AO1695" s="321"/>
      <c r="AP1695" s="321"/>
      <c r="AQ1695" s="321"/>
      <c r="AR1695" s="321"/>
      <c r="AS1695" s="321"/>
      <c r="AT1695" s="321"/>
    </row>
    <row r="1696" spans="10:46">
      <c r="J1696" s="145"/>
      <c r="K1696" s="145"/>
      <c r="L1696" s="145"/>
      <c r="M1696" s="145"/>
      <c r="N1696" s="145"/>
      <c r="O1696" s="145"/>
      <c r="P1696" s="145"/>
      <c r="Q1696" s="145"/>
      <c r="R1696" s="145"/>
      <c r="S1696" s="145"/>
      <c r="T1696" s="145"/>
      <c r="U1696" s="145"/>
      <c r="V1696" s="145"/>
      <c r="W1696" s="145"/>
      <c r="X1696" s="145"/>
      <c r="Y1696" s="145"/>
      <c r="Z1696" s="145"/>
      <c r="AA1696" s="145"/>
      <c r="AB1696" s="145"/>
      <c r="AC1696" s="145"/>
      <c r="AD1696" s="145"/>
      <c r="AE1696" s="145"/>
      <c r="AF1696" s="145"/>
      <c r="AG1696" s="145"/>
      <c r="AH1696" s="145"/>
      <c r="AI1696" s="145"/>
      <c r="AJ1696" s="145"/>
      <c r="AK1696" s="145"/>
      <c r="AL1696" s="145"/>
      <c r="AM1696" s="321"/>
      <c r="AN1696" s="321"/>
      <c r="AO1696" s="321"/>
      <c r="AP1696" s="321"/>
      <c r="AQ1696" s="321"/>
      <c r="AR1696" s="321"/>
      <c r="AS1696" s="321"/>
      <c r="AT1696" s="321"/>
    </row>
    <row r="1697" spans="10:46">
      <c r="J1697" s="145"/>
      <c r="K1697" s="145"/>
      <c r="L1697" s="145"/>
      <c r="M1697" s="145"/>
      <c r="N1697" s="145"/>
      <c r="O1697" s="145"/>
      <c r="P1697" s="145"/>
      <c r="Q1697" s="145"/>
      <c r="R1697" s="145"/>
      <c r="S1697" s="145"/>
      <c r="T1697" s="145"/>
      <c r="U1697" s="145"/>
      <c r="V1697" s="145"/>
      <c r="W1697" s="145"/>
      <c r="X1697" s="145"/>
      <c r="Y1697" s="145"/>
      <c r="Z1697" s="145"/>
      <c r="AA1697" s="145"/>
      <c r="AB1697" s="145"/>
      <c r="AC1697" s="145"/>
      <c r="AD1697" s="145"/>
      <c r="AE1697" s="145"/>
      <c r="AF1697" s="145"/>
      <c r="AG1697" s="145"/>
      <c r="AH1697" s="145"/>
      <c r="AI1697" s="145"/>
      <c r="AJ1697" s="145"/>
      <c r="AK1697" s="145"/>
      <c r="AL1697" s="145"/>
      <c r="AM1697" s="321"/>
      <c r="AN1697" s="321"/>
      <c r="AO1697" s="321"/>
      <c r="AP1697" s="321"/>
      <c r="AQ1697" s="321"/>
      <c r="AR1697" s="321"/>
      <c r="AS1697" s="321"/>
      <c r="AT1697" s="321"/>
    </row>
    <row r="1698" spans="10:46">
      <c r="J1698" s="145"/>
      <c r="K1698" s="145"/>
      <c r="L1698" s="145"/>
      <c r="M1698" s="145"/>
      <c r="N1698" s="145"/>
      <c r="O1698" s="145"/>
      <c r="P1698" s="145"/>
      <c r="Q1698" s="145"/>
      <c r="R1698" s="145"/>
      <c r="S1698" s="145"/>
      <c r="T1698" s="145"/>
      <c r="U1698" s="145"/>
      <c r="V1698" s="145"/>
      <c r="W1698" s="145"/>
      <c r="X1698" s="145"/>
      <c r="Y1698" s="145"/>
      <c r="Z1698" s="145"/>
      <c r="AA1698" s="145"/>
      <c r="AB1698" s="145"/>
      <c r="AC1698" s="145"/>
      <c r="AD1698" s="145"/>
      <c r="AE1698" s="145"/>
      <c r="AF1698" s="145"/>
      <c r="AG1698" s="145"/>
      <c r="AH1698" s="145"/>
      <c r="AI1698" s="145"/>
      <c r="AJ1698" s="145"/>
      <c r="AK1698" s="145"/>
      <c r="AL1698" s="145"/>
      <c r="AM1698" s="321"/>
      <c r="AN1698" s="321"/>
      <c r="AO1698" s="321"/>
      <c r="AP1698" s="321"/>
      <c r="AQ1698" s="321"/>
      <c r="AR1698" s="321"/>
      <c r="AS1698" s="321"/>
      <c r="AT1698" s="321"/>
    </row>
    <row r="1699" spans="10:46">
      <c r="J1699" s="145"/>
      <c r="K1699" s="145"/>
      <c r="L1699" s="145"/>
      <c r="M1699" s="145"/>
      <c r="N1699" s="145"/>
      <c r="O1699" s="145"/>
      <c r="P1699" s="145"/>
      <c r="Q1699" s="145"/>
      <c r="R1699" s="145"/>
      <c r="S1699" s="145"/>
      <c r="T1699" s="145"/>
      <c r="U1699" s="145"/>
      <c r="V1699" s="145"/>
      <c r="W1699" s="145"/>
      <c r="X1699" s="145"/>
      <c r="Y1699" s="145"/>
      <c r="Z1699" s="145"/>
      <c r="AA1699" s="145"/>
      <c r="AB1699" s="145"/>
      <c r="AC1699" s="145"/>
      <c r="AD1699" s="145"/>
      <c r="AE1699" s="145"/>
      <c r="AF1699" s="145"/>
      <c r="AG1699" s="145"/>
      <c r="AH1699" s="145"/>
      <c r="AI1699" s="145"/>
      <c r="AJ1699" s="145"/>
      <c r="AK1699" s="145"/>
      <c r="AL1699" s="145"/>
      <c r="AM1699" s="321"/>
      <c r="AN1699" s="321"/>
      <c r="AO1699" s="321"/>
      <c r="AP1699" s="321"/>
      <c r="AQ1699" s="321"/>
      <c r="AR1699" s="321"/>
      <c r="AS1699" s="321"/>
      <c r="AT1699" s="321"/>
    </row>
    <row r="1700" spans="10:46">
      <c r="J1700" s="145"/>
      <c r="K1700" s="145"/>
      <c r="L1700" s="145"/>
      <c r="M1700" s="145"/>
      <c r="N1700" s="145"/>
      <c r="O1700" s="145"/>
      <c r="P1700" s="145"/>
      <c r="Q1700" s="145"/>
      <c r="R1700" s="145"/>
      <c r="S1700" s="145"/>
      <c r="T1700" s="145"/>
      <c r="U1700" s="145"/>
      <c r="V1700" s="145"/>
      <c r="W1700" s="145"/>
      <c r="X1700" s="145"/>
      <c r="Y1700" s="145"/>
      <c r="Z1700" s="145"/>
      <c r="AA1700" s="145"/>
      <c r="AB1700" s="145"/>
      <c r="AC1700" s="145"/>
      <c r="AD1700" s="145"/>
      <c r="AE1700" s="145"/>
      <c r="AF1700" s="145"/>
      <c r="AG1700" s="145"/>
      <c r="AH1700" s="145"/>
      <c r="AI1700" s="145"/>
      <c r="AJ1700" s="145"/>
      <c r="AK1700" s="145"/>
      <c r="AL1700" s="145"/>
      <c r="AM1700" s="321"/>
      <c r="AN1700" s="321"/>
      <c r="AO1700" s="321"/>
      <c r="AP1700" s="321"/>
      <c r="AQ1700" s="321"/>
      <c r="AR1700" s="321"/>
      <c r="AS1700" s="321"/>
      <c r="AT1700" s="321"/>
    </row>
    <row r="1701" spans="10:46">
      <c r="J1701" s="145"/>
      <c r="K1701" s="145"/>
      <c r="L1701" s="145"/>
      <c r="M1701" s="145"/>
      <c r="N1701" s="145"/>
      <c r="O1701" s="145"/>
      <c r="P1701" s="145"/>
      <c r="Q1701" s="145"/>
      <c r="R1701" s="145"/>
      <c r="S1701" s="145"/>
      <c r="T1701" s="145"/>
      <c r="U1701" s="145"/>
      <c r="V1701" s="145"/>
      <c r="W1701" s="145"/>
      <c r="X1701" s="145"/>
      <c r="Y1701" s="145"/>
      <c r="Z1701" s="145"/>
      <c r="AA1701" s="145"/>
      <c r="AB1701" s="145"/>
      <c r="AC1701" s="145"/>
      <c r="AD1701" s="145"/>
      <c r="AE1701" s="145"/>
      <c r="AF1701" s="145"/>
      <c r="AG1701" s="145"/>
      <c r="AH1701" s="145"/>
      <c r="AI1701" s="145"/>
      <c r="AJ1701" s="145"/>
      <c r="AK1701" s="145"/>
      <c r="AL1701" s="145"/>
      <c r="AM1701" s="321"/>
      <c r="AN1701" s="321"/>
      <c r="AO1701" s="321"/>
      <c r="AP1701" s="321"/>
      <c r="AQ1701" s="321"/>
      <c r="AR1701" s="321"/>
      <c r="AS1701" s="321"/>
      <c r="AT1701" s="321"/>
    </row>
    <row r="1702" spans="10:46">
      <c r="J1702" s="145"/>
      <c r="K1702" s="145"/>
      <c r="L1702" s="145"/>
      <c r="M1702" s="145"/>
      <c r="N1702" s="145"/>
      <c r="O1702" s="145"/>
      <c r="P1702" s="145"/>
      <c r="Q1702" s="145"/>
      <c r="R1702" s="145"/>
      <c r="S1702" s="145"/>
      <c r="T1702" s="145"/>
      <c r="U1702" s="145"/>
      <c r="V1702" s="145"/>
      <c r="W1702" s="145"/>
      <c r="X1702" s="145"/>
      <c r="Y1702" s="145"/>
      <c r="Z1702" s="145"/>
      <c r="AA1702" s="145"/>
      <c r="AB1702" s="145"/>
      <c r="AC1702" s="145"/>
      <c r="AD1702" s="145"/>
      <c r="AE1702" s="145"/>
      <c r="AF1702" s="145"/>
      <c r="AG1702" s="145"/>
      <c r="AH1702" s="145"/>
      <c r="AI1702" s="145"/>
      <c r="AJ1702" s="145"/>
      <c r="AK1702" s="145"/>
      <c r="AL1702" s="145"/>
      <c r="AM1702" s="321"/>
      <c r="AN1702" s="321"/>
      <c r="AO1702" s="321"/>
      <c r="AP1702" s="321"/>
      <c r="AQ1702" s="321"/>
      <c r="AR1702" s="321"/>
      <c r="AS1702" s="321"/>
      <c r="AT1702" s="321"/>
    </row>
    <row r="1703" spans="10:46">
      <c r="J1703" s="145"/>
      <c r="K1703" s="145"/>
      <c r="L1703" s="145"/>
      <c r="M1703" s="145"/>
      <c r="N1703" s="145"/>
      <c r="O1703" s="145"/>
      <c r="P1703" s="145"/>
      <c r="Q1703" s="145"/>
      <c r="R1703" s="145"/>
      <c r="S1703" s="145"/>
      <c r="T1703" s="145"/>
      <c r="U1703" s="145"/>
      <c r="V1703" s="145"/>
      <c r="W1703" s="145"/>
      <c r="X1703" s="145"/>
      <c r="Y1703" s="145"/>
      <c r="Z1703" s="145"/>
      <c r="AA1703" s="145"/>
      <c r="AB1703" s="145"/>
      <c r="AC1703" s="145"/>
      <c r="AD1703" s="145"/>
      <c r="AE1703" s="145"/>
      <c r="AF1703" s="145"/>
      <c r="AG1703" s="145"/>
      <c r="AH1703" s="145"/>
      <c r="AI1703" s="145"/>
      <c r="AJ1703" s="145"/>
      <c r="AK1703" s="145"/>
      <c r="AL1703" s="145"/>
      <c r="AM1703" s="321"/>
      <c r="AN1703" s="321"/>
      <c r="AO1703" s="321"/>
      <c r="AP1703" s="321"/>
      <c r="AQ1703" s="321"/>
      <c r="AR1703" s="321"/>
      <c r="AS1703" s="321"/>
      <c r="AT1703" s="321"/>
    </row>
    <row r="1704" spans="10:46">
      <c r="J1704" s="145"/>
      <c r="K1704" s="145"/>
      <c r="L1704" s="145"/>
      <c r="M1704" s="145"/>
      <c r="N1704" s="145"/>
      <c r="O1704" s="145"/>
      <c r="P1704" s="145"/>
      <c r="Q1704" s="145"/>
      <c r="R1704" s="145"/>
      <c r="S1704" s="145"/>
      <c r="T1704" s="145"/>
      <c r="U1704" s="145"/>
      <c r="V1704" s="145"/>
      <c r="W1704" s="145"/>
      <c r="X1704" s="145"/>
      <c r="Y1704" s="145"/>
      <c r="Z1704" s="145"/>
      <c r="AA1704" s="145"/>
      <c r="AB1704" s="145"/>
      <c r="AC1704" s="145"/>
      <c r="AD1704" s="145"/>
      <c r="AE1704" s="145"/>
      <c r="AF1704" s="145"/>
      <c r="AG1704" s="145"/>
      <c r="AH1704" s="145"/>
      <c r="AI1704" s="145"/>
      <c r="AJ1704" s="145"/>
      <c r="AK1704" s="145"/>
      <c r="AL1704" s="145"/>
      <c r="AM1704" s="321"/>
      <c r="AN1704" s="321"/>
      <c r="AO1704" s="321"/>
      <c r="AP1704" s="321"/>
      <c r="AQ1704" s="321"/>
      <c r="AR1704" s="321"/>
      <c r="AS1704" s="321"/>
      <c r="AT1704" s="321"/>
    </row>
    <row r="1705" spans="10:46">
      <c r="J1705" s="145"/>
      <c r="K1705" s="145"/>
      <c r="L1705" s="145"/>
      <c r="M1705" s="145"/>
      <c r="N1705" s="145"/>
      <c r="O1705" s="145"/>
      <c r="P1705" s="145"/>
      <c r="Q1705" s="145"/>
      <c r="R1705" s="145"/>
      <c r="S1705" s="145"/>
      <c r="T1705" s="145"/>
      <c r="U1705" s="145"/>
      <c r="V1705" s="145"/>
      <c r="W1705" s="145"/>
      <c r="X1705" s="145"/>
      <c r="Y1705" s="145"/>
      <c r="Z1705" s="145"/>
      <c r="AA1705" s="145"/>
      <c r="AB1705" s="145"/>
      <c r="AC1705" s="145"/>
      <c r="AD1705" s="145"/>
      <c r="AE1705" s="145"/>
      <c r="AF1705" s="145"/>
      <c r="AG1705" s="145"/>
      <c r="AH1705" s="145"/>
      <c r="AI1705" s="145"/>
      <c r="AJ1705" s="145"/>
      <c r="AK1705" s="145"/>
      <c r="AL1705" s="145"/>
      <c r="AM1705" s="321"/>
      <c r="AN1705" s="321"/>
      <c r="AO1705" s="321"/>
      <c r="AP1705" s="321"/>
      <c r="AQ1705" s="321"/>
      <c r="AR1705" s="321"/>
      <c r="AS1705" s="321"/>
      <c r="AT1705" s="321"/>
    </row>
    <row r="1706" spans="10:46">
      <c r="J1706" s="145"/>
      <c r="K1706" s="145"/>
      <c r="L1706" s="145"/>
      <c r="M1706" s="145"/>
      <c r="N1706" s="145"/>
      <c r="O1706" s="145"/>
      <c r="P1706" s="145"/>
      <c r="Q1706" s="145"/>
      <c r="R1706" s="145"/>
      <c r="S1706" s="145"/>
      <c r="T1706" s="145"/>
      <c r="U1706" s="145"/>
      <c r="V1706" s="145"/>
      <c r="W1706" s="145"/>
      <c r="X1706" s="145"/>
      <c r="Y1706" s="145"/>
      <c r="Z1706" s="145"/>
      <c r="AA1706" s="145"/>
      <c r="AB1706" s="145"/>
      <c r="AC1706" s="145"/>
      <c r="AD1706" s="145"/>
      <c r="AE1706" s="145"/>
      <c r="AF1706" s="145"/>
      <c r="AG1706" s="145"/>
      <c r="AH1706" s="145"/>
      <c r="AI1706" s="145"/>
      <c r="AJ1706" s="145"/>
      <c r="AK1706" s="145"/>
      <c r="AL1706" s="145"/>
      <c r="AM1706" s="321"/>
      <c r="AN1706" s="321"/>
      <c r="AO1706" s="321"/>
      <c r="AP1706" s="321"/>
      <c r="AQ1706" s="321"/>
      <c r="AR1706" s="321"/>
      <c r="AS1706" s="321"/>
      <c r="AT1706" s="321"/>
    </row>
    <row r="1707" spans="10:46">
      <c r="J1707" s="145"/>
      <c r="K1707" s="145"/>
      <c r="L1707" s="145"/>
      <c r="M1707" s="145"/>
      <c r="N1707" s="145"/>
      <c r="O1707" s="145"/>
      <c r="P1707" s="145"/>
      <c r="Q1707" s="145"/>
      <c r="R1707" s="145"/>
      <c r="S1707" s="145"/>
      <c r="T1707" s="145"/>
      <c r="U1707" s="145"/>
      <c r="V1707" s="145"/>
      <c r="W1707" s="145"/>
      <c r="X1707" s="145"/>
      <c r="Y1707" s="145"/>
      <c r="Z1707" s="145"/>
      <c r="AA1707" s="145"/>
      <c r="AB1707" s="145"/>
      <c r="AC1707" s="145"/>
      <c r="AD1707" s="145"/>
      <c r="AE1707" s="145"/>
      <c r="AF1707" s="145"/>
      <c r="AG1707" s="145"/>
      <c r="AH1707" s="145"/>
      <c r="AI1707" s="145"/>
      <c r="AJ1707" s="145"/>
      <c r="AK1707" s="145"/>
      <c r="AL1707" s="145"/>
      <c r="AM1707" s="321"/>
      <c r="AN1707" s="321"/>
      <c r="AO1707" s="321"/>
      <c r="AP1707" s="321"/>
      <c r="AQ1707" s="321"/>
      <c r="AR1707" s="321"/>
      <c r="AS1707" s="321"/>
      <c r="AT1707" s="321"/>
    </row>
    <row r="1708" spans="10:46">
      <c r="J1708" s="145"/>
      <c r="K1708" s="145"/>
      <c r="L1708" s="145"/>
      <c r="M1708" s="145"/>
      <c r="N1708" s="145"/>
      <c r="O1708" s="145"/>
      <c r="P1708" s="145"/>
      <c r="Q1708" s="145"/>
      <c r="R1708" s="145"/>
      <c r="S1708" s="145"/>
      <c r="T1708" s="145"/>
      <c r="U1708" s="145"/>
      <c r="V1708" s="145"/>
      <c r="W1708" s="145"/>
      <c r="X1708" s="145"/>
      <c r="Y1708" s="145"/>
      <c r="Z1708" s="145"/>
      <c r="AA1708" s="145"/>
      <c r="AB1708" s="145"/>
      <c r="AC1708" s="145"/>
      <c r="AD1708" s="145"/>
      <c r="AE1708" s="145"/>
      <c r="AF1708" s="145"/>
      <c r="AG1708" s="145"/>
      <c r="AH1708" s="145"/>
      <c r="AI1708" s="145"/>
      <c r="AJ1708" s="145"/>
      <c r="AK1708" s="145"/>
      <c r="AL1708" s="145"/>
      <c r="AM1708" s="321"/>
      <c r="AN1708" s="321"/>
      <c r="AO1708" s="321"/>
      <c r="AP1708" s="321"/>
      <c r="AQ1708" s="321"/>
      <c r="AR1708" s="321"/>
      <c r="AS1708" s="321"/>
      <c r="AT1708" s="321"/>
    </row>
    <row r="1709" spans="10:46">
      <c r="J1709" s="145"/>
      <c r="K1709" s="145"/>
      <c r="L1709" s="145"/>
      <c r="M1709" s="145"/>
      <c r="N1709" s="145"/>
      <c r="O1709" s="145"/>
      <c r="P1709" s="145"/>
      <c r="Q1709" s="145"/>
      <c r="R1709" s="145"/>
      <c r="S1709" s="145"/>
      <c r="T1709" s="145"/>
      <c r="U1709" s="145"/>
      <c r="V1709" s="145"/>
      <c r="W1709" s="145"/>
      <c r="X1709" s="145"/>
      <c r="Y1709" s="145"/>
      <c r="Z1709" s="145"/>
      <c r="AA1709" s="145"/>
      <c r="AB1709" s="145"/>
      <c r="AC1709" s="145"/>
      <c r="AD1709" s="145"/>
      <c r="AE1709" s="145"/>
      <c r="AF1709" s="145"/>
      <c r="AG1709" s="145"/>
      <c r="AH1709" s="145"/>
      <c r="AI1709" s="145"/>
      <c r="AJ1709" s="145"/>
      <c r="AK1709" s="145"/>
      <c r="AL1709" s="145"/>
      <c r="AM1709" s="321"/>
      <c r="AN1709" s="321"/>
      <c r="AO1709" s="321"/>
      <c r="AP1709" s="321"/>
      <c r="AQ1709" s="321"/>
      <c r="AR1709" s="321"/>
      <c r="AS1709" s="321"/>
      <c r="AT1709" s="321"/>
    </row>
    <row r="1710" spans="10:46">
      <c r="J1710" s="145"/>
      <c r="K1710" s="145"/>
      <c r="L1710" s="145"/>
      <c r="M1710" s="145"/>
      <c r="N1710" s="145"/>
      <c r="O1710" s="145"/>
      <c r="P1710" s="145"/>
      <c r="Q1710" s="145"/>
      <c r="R1710" s="145"/>
      <c r="S1710" s="145"/>
      <c r="T1710" s="145"/>
      <c r="U1710" s="145"/>
      <c r="V1710" s="145"/>
      <c r="W1710" s="145"/>
      <c r="X1710" s="145"/>
      <c r="Y1710" s="145"/>
      <c r="Z1710" s="145"/>
      <c r="AA1710" s="145"/>
      <c r="AB1710" s="145"/>
      <c r="AC1710" s="145"/>
      <c r="AD1710" s="145"/>
      <c r="AE1710" s="145"/>
      <c r="AF1710" s="145"/>
      <c r="AG1710" s="145"/>
      <c r="AH1710" s="145"/>
      <c r="AI1710" s="145"/>
      <c r="AJ1710" s="145"/>
      <c r="AK1710" s="145"/>
      <c r="AL1710" s="145"/>
      <c r="AM1710" s="321"/>
      <c r="AN1710" s="321"/>
      <c r="AO1710" s="321"/>
      <c r="AP1710" s="321"/>
      <c r="AQ1710" s="321"/>
      <c r="AR1710" s="321"/>
      <c r="AS1710" s="321"/>
      <c r="AT1710" s="321"/>
    </row>
    <row r="1711" spans="10:46">
      <c r="J1711" s="145"/>
      <c r="K1711" s="145"/>
      <c r="L1711" s="145"/>
      <c r="M1711" s="145"/>
      <c r="N1711" s="145"/>
      <c r="O1711" s="145"/>
      <c r="P1711" s="145"/>
      <c r="Q1711" s="145"/>
      <c r="R1711" s="145"/>
      <c r="S1711" s="145"/>
      <c r="T1711" s="145"/>
      <c r="U1711" s="145"/>
      <c r="V1711" s="145"/>
      <c r="W1711" s="145"/>
      <c r="X1711" s="145"/>
      <c r="Y1711" s="145"/>
      <c r="Z1711" s="145"/>
      <c r="AA1711" s="145"/>
      <c r="AB1711" s="145"/>
      <c r="AC1711" s="145"/>
      <c r="AD1711" s="145"/>
      <c r="AE1711" s="145"/>
      <c r="AF1711" s="145"/>
      <c r="AG1711" s="145"/>
      <c r="AH1711" s="145"/>
      <c r="AI1711" s="145"/>
      <c r="AJ1711" s="145"/>
      <c r="AK1711" s="145"/>
      <c r="AL1711" s="145"/>
      <c r="AM1711" s="321"/>
      <c r="AN1711" s="321"/>
      <c r="AO1711" s="321"/>
      <c r="AP1711" s="321"/>
      <c r="AQ1711" s="321"/>
      <c r="AR1711" s="321"/>
      <c r="AS1711" s="321"/>
      <c r="AT1711" s="321"/>
    </row>
    <row r="1712" spans="10:46">
      <c r="J1712" s="145"/>
      <c r="K1712" s="145"/>
      <c r="L1712" s="145"/>
      <c r="M1712" s="145"/>
      <c r="N1712" s="145"/>
      <c r="O1712" s="145"/>
      <c r="P1712" s="145"/>
      <c r="Q1712" s="145"/>
      <c r="R1712" s="145"/>
      <c r="S1712" s="145"/>
      <c r="T1712" s="145"/>
      <c r="U1712" s="145"/>
      <c r="V1712" s="145"/>
      <c r="W1712" s="145"/>
      <c r="X1712" s="145"/>
      <c r="Y1712" s="145"/>
      <c r="Z1712" s="145"/>
      <c r="AA1712" s="145"/>
      <c r="AB1712" s="145"/>
      <c r="AC1712" s="145"/>
      <c r="AD1712" s="145"/>
      <c r="AE1712" s="145"/>
      <c r="AF1712" s="145"/>
      <c r="AG1712" s="145"/>
      <c r="AH1712" s="145"/>
      <c r="AI1712" s="145"/>
      <c r="AJ1712" s="145"/>
      <c r="AK1712" s="145"/>
      <c r="AL1712" s="145"/>
      <c r="AM1712" s="321"/>
      <c r="AN1712" s="321"/>
      <c r="AO1712" s="321"/>
      <c r="AP1712" s="321"/>
      <c r="AQ1712" s="321"/>
      <c r="AR1712" s="321"/>
      <c r="AS1712" s="321"/>
      <c r="AT1712" s="321"/>
    </row>
    <row r="1713" spans="10:46">
      <c r="J1713" s="145"/>
      <c r="K1713" s="145"/>
      <c r="L1713" s="145"/>
      <c r="M1713" s="145"/>
      <c r="N1713" s="145"/>
      <c r="O1713" s="145"/>
      <c r="P1713" s="145"/>
      <c r="Q1713" s="145"/>
      <c r="R1713" s="145"/>
      <c r="S1713" s="145"/>
      <c r="T1713" s="145"/>
      <c r="U1713" s="145"/>
      <c r="V1713" s="145"/>
      <c r="W1713" s="145"/>
      <c r="X1713" s="145"/>
      <c r="Y1713" s="145"/>
      <c r="Z1713" s="145"/>
      <c r="AA1713" s="145"/>
      <c r="AB1713" s="145"/>
      <c r="AC1713" s="145"/>
      <c r="AD1713" s="145"/>
      <c r="AE1713" s="145"/>
      <c r="AF1713" s="145"/>
      <c r="AG1713" s="145"/>
      <c r="AH1713" s="145"/>
      <c r="AI1713" s="145"/>
      <c r="AJ1713" s="145"/>
      <c r="AK1713" s="145"/>
      <c r="AL1713" s="145"/>
      <c r="AM1713" s="321"/>
      <c r="AN1713" s="321"/>
      <c r="AO1713" s="321"/>
      <c r="AP1713" s="321"/>
      <c r="AQ1713" s="321"/>
      <c r="AR1713" s="321"/>
      <c r="AS1713" s="321"/>
      <c r="AT1713" s="321"/>
    </row>
    <row r="1714" spans="10:46">
      <c r="J1714" s="145"/>
      <c r="K1714" s="145"/>
      <c r="L1714" s="145"/>
      <c r="M1714" s="145"/>
      <c r="N1714" s="145"/>
      <c r="O1714" s="145"/>
      <c r="P1714" s="145"/>
      <c r="Q1714" s="145"/>
      <c r="R1714" s="145"/>
      <c r="S1714" s="145"/>
      <c r="T1714" s="145"/>
      <c r="U1714" s="145"/>
      <c r="V1714" s="145"/>
      <c r="W1714" s="145"/>
      <c r="X1714" s="145"/>
      <c r="Y1714" s="145"/>
      <c r="Z1714" s="145"/>
      <c r="AA1714" s="145"/>
      <c r="AB1714" s="145"/>
      <c r="AC1714" s="145"/>
      <c r="AD1714" s="145"/>
      <c r="AE1714" s="145"/>
      <c r="AF1714" s="145"/>
      <c r="AG1714" s="145"/>
      <c r="AH1714" s="145"/>
      <c r="AI1714" s="145"/>
      <c r="AJ1714" s="145"/>
      <c r="AK1714" s="145"/>
      <c r="AL1714" s="145"/>
      <c r="AM1714" s="321"/>
      <c r="AN1714" s="321"/>
      <c r="AO1714" s="321"/>
      <c r="AP1714" s="321"/>
      <c r="AQ1714" s="321"/>
      <c r="AR1714" s="321"/>
      <c r="AS1714" s="321"/>
      <c r="AT1714" s="321"/>
    </row>
    <row r="1715" spans="10:46">
      <c r="J1715" s="145"/>
      <c r="K1715" s="145"/>
      <c r="L1715" s="145"/>
      <c r="M1715" s="145"/>
      <c r="N1715" s="145"/>
      <c r="O1715" s="145"/>
      <c r="P1715" s="145"/>
      <c r="Q1715" s="145"/>
      <c r="R1715" s="145"/>
      <c r="S1715" s="145"/>
      <c r="T1715" s="145"/>
      <c r="U1715" s="145"/>
      <c r="V1715" s="145"/>
      <c r="W1715" s="145"/>
      <c r="X1715" s="145"/>
      <c r="Y1715" s="145"/>
      <c r="Z1715" s="145"/>
      <c r="AA1715" s="145"/>
      <c r="AB1715" s="145"/>
      <c r="AC1715" s="145"/>
      <c r="AD1715" s="145"/>
      <c r="AE1715" s="145"/>
      <c r="AF1715" s="145"/>
      <c r="AG1715" s="145"/>
      <c r="AH1715" s="145"/>
      <c r="AI1715" s="145"/>
      <c r="AJ1715" s="145"/>
      <c r="AK1715" s="145"/>
      <c r="AL1715" s="145"/>
      <c r="AM1715" s="321"/>
      <c r="AN1715" s="321"/>
      <c r="AO1715" s="321"/>
      <c r="AP1715" s="321"/>
      <c r="AQ1715" s="321"/>
      <c r="AR1715" s="321"/>
      <c r="AS1715" s="321"/>
      <c r="AT1715" s="321"/>
    </row>
    <row r="1716" spans="10:46">
      <c r="J1716" s="145"/>
      <c r="K1716" s="145"/>
      <c r="L1716" s="145"/>
      <c r="M1716" s="145"/>
      <c r="N1716" s="145"/>
      <c r="O1716" s="145"/>
      <c r="P1716" s="145"/>
      <c r="Q1716" s="145"/>
      <c r="R1716" s="145"/>
      <c r="S1716" s="145"/>
      <c r="T1716" s="145"/>
      <c r="U1716" s="145"/>
      <c r="V1716" s="145"/>
      <c r="W1716" s="145"/>
      <c r="X1716" s="145"/>
      <c r="Y1716" s="145"/>
      <c r="Z1716" s="145"/>
      <c r="AA1716" s="145"/>
      <c r="AB1716" s="145"/>
      <c r="AC1716" s="145"/>
      <c r="AD1716" s="145"/>
      <c r="AE1716" s="145"/>
      <c r="AF1716" s="145"/>
      <c r="AG1716" s="145"/>
      <c r="AH1716" s="145"/>
      <c r="AI1716" s="145"/>
      <c r="AJ1716" s="145"/>
      <c r="AK1716" s="145"/>
      <c r="AL1716" s="145"/>
      <c r="AM1716" s="321"/>
      <c r="AN1716" s="321"/>
      <c r="AO1716" s="321"/>
      <c r="AP1716" s="321"/>
      <c r="AQ1716" s="321"/>
      <c r="AR1716" s="321"/>
      <c r="AS1716" s="321"/>
      <c r="AT1716" s="321"/>
    </row>
    <row r="1717" spans="10:46">
      <c r="J1717" s="145"/>
      <c r="K1717" s="145"/>
      <c r="L1717" s="145"/>
      <c r="M1717" s="145"/>
      <c r="N1717" s="145"/>
      <c r="O1717" s="145"/>
      <c r="P1717" s="145"/>
      <c r="Q1717" s="145"/>
      <c r="R1717" s="145"/>
      <c r="S1717" s="145"/>
      <c r="T1717" s="145"/>
      <c r="U1717" s="145"/>
      <c r="V1717" s="145"/>
      <c r="W1717" s="145"/>
      <c r="X1717" s="145"/>
      <c r="Y1717" s="145"/>
      <c r="Z1717" s="145"/>
      <c r="AA1717" s="145"/>
      <c r="AB1717" s="145"/>
      <c r="AC1717" s="145"/>
      <c r="AD1717" s="145"/>
      <c r="AE1717" s="145"/>
      <c r="AF1717" s="145"/>
      <c r="AG1717" s="145"/>
      <c r="AH1717" s="145"/>
      <c r="AI1717" s="145"/>
      <c r="AJ1717" s="145"/>
      <c r="AK1717" s="145"/>
      <c r="AL1717" s="145"/>
      <c r="AM1717" s="321"/>
      <c r="AN1717" s="321"/>
      <c r="AO1717" s="321"/>
      <c r="AP1717" s="321"/>
      <c r="AQ1717" s="321"/>
      <c r="AR1717" s="321"/>
      <c r="AS1717" s="321"/>
      <c r="AT1717" s="321"/>
    </row>
    <row r="1718" spans="10:46">
      <c r="J1718" s="145"/>
      <c r="K1718" s="145"/>
      <c r="L1718" s="145"/>
      <c r="M1718" s="145"/>
      <c r="N1718" s="145"/>
      <c r="O1718" s="145"/>
      <c r="P1718" s="145"/>
      <c r="Q1718" s="145"/>
      <c r="R1718" s="145"/>
      <c r="S1718" s="145"/>
      <c r="T1718" s="145"/>
      <c r="U1718" s="145"/>
      <c r="V1718" s="145"/>
      <c r="W1718" s="145"/>
      <c r="X1718" s="145"/>
      <c r="Y1718" s="145"/>
      <c r="Z1718" s="145"/>
      <c r="AA1718" s="145"/>
      <c r="AB1718" s="145"/>
      <c r="AC1718" s="145"/>
      <c r="AD1718" s="145"/>
      <c r="AE1718" s="145"/>
      <c r="AF1718" s="145"/>
      <c r="AG1718" s="145"/>
      <c r="AH1718" s="145"/>
      <c r="AI1718" s="145"/>
      <c r="AJ1718" s="145"/>
      <c r="AK1718" s="145"/>
      <c r="AL1718" s="145"/>
      <c r="AM1718" s="321"/>
      <c r="AN1718" s="321"/>
      <c r="AO1718" s="321"/>
      <c r="AP1718" s="321"/>
      <c r="AQ1718" s="321"/>
      <c r="AR1718" s="321"/>
      <c r="AS1718" s="321"/>
      <c r="AT1718" s="321"/>
    </row>
    <row r="1719" spans="10:46">
      <c r="J1719" s="145"/>
      <c r="K1719" s="145"/>
      <c r="L1719" s="145"/>
      <c r="M1719" s="145"/>
      <c r="N1719" s="145"/>
      <c r="O1719" s="145"/>
      <c r="P1719" s="145"/>
      <c r="Q1719" s="145"/>
      <c r="R1719" s="145"/>
      <c r="S1719" s="145"/>
      <c r="T1719" s="145"/>
      <c r="U1719" s="145"/>
      <c r="V1719" s="145"/>
      <c r="W1719" s="145"/>
      <c r="X1719" s="145"/>
      <c r="Y1719" s="145"/>
      <c r="Z1719" s="145"/>
      <c r="AA1719" s="145"/>
      <c r="AB1719" s="145"/>
      <c r="AC1719" s="145"/>
      <c r="AD1719" s="145"/>
      <c r="AE1719" s="145"/>
      <c r="AF1719" s="145"/>
      <c r="AG1719" s="145"/>
      <c r="AH1719" s="145"/>
      <c r="AI1719" s="145"/>
      <c r="AJ1719" s="145"/>
      <c r="AK1719" s="145"/>
      <c r="AL1719" s="145"/>
      <c r="AM1719" s="321"/>
      <c r="AN1719" s="321"/>
      <c r="AO1719" s="321"/>
      <c r="AP1719" s="321"/>
      <c r="AQ1719" s="321"/>
      <c r="AR1719" s="321"/>
      <c r="AS1719" s="321"/>
      <c r="AT1719" s="321"/>
    </row>
    <row r="1720" spans="10:46">
      <c r="J1720" s="145"/>
      <c r="K1720" s="145"/>
      <c r="L1720" s="145"/>
      <c r="M1720" s="145"/>
      <c r="N1720" s="145"/>
      <c r="O1720" s="145"/>
      <c r="P1720" s="145"/>
      <c r="Q1720" s="145"/>
      <c r="R1720" s="145"/>
      <c r="S1720" s="145"/>
      <c r="T1720" s="145"/>
      <c r="U1720" s="145"/>
      <c r="V1720" s="145"/>
      <c r="W1720" s="145"/>
      <c r="X1720" s="145"/>
      <c r="Y1720" s="145"/>
      <c r="Z1720" s="145"/>
      <c r="AA1720" s="145"/>
      <c r="AB1720" s="145"/>
      <c r="AC1720" s="145"/>
      <c r="AD1720" s="145"/>
      <c r="AE1720" s="145"/>
      <c r="AF1720" s="145"/>
      <c r="AG1720" s="145"/>
      <c r="AH1720" s="145"/>
      <c r="AI1720" s="145"/>
      <c r="AJ1720" s="145"/>
      <c r="AK1720" s="145"/>
      <c r="AL1720" s="145"/>
      <c r="AM1720" s="321"/>
      <c r="AN1720" s="321"/>
      <c r="AO1720" s="321"/>
      <c r="AP1720" s="321"/>
      <c r="AQ1720" s="321"/>
      <c r="AR1720" s="321"/>
      <c r="AS1720" s="321"/>
      <c r="AT1720" s="321"/>
    </row>
    <row r="1721" spans="10:46">
      <c r="J1721" s="145"/>
      <c r="K1721" s="145"/>
      <c r="L1721" s="145"/>
      <c r="M1721" s="145"/>
      <c r="N1721" s="145"/>
      <c r="O1721" s="145"/>
      <c r="P1721" s="145"/>
      <c r="Q1721" s="145"/>
      <c r="R1721" s="145"/>
      <c r="S1721" s="145"/>
      <c r="T1721" s="145"/>
      <c r="U1721" s="145"/>
      <c r="V1721" s="145"/>
      <c r="W1721" s="145"/>
      <c r="X1721" s="145"/>
      <c r="Y1721" s="145"/>
      <c r="Z1721" s="145"/>
      <c r="AA1721" s="145"/>
      <c r="AB1721" s="145"/>
      <c r="AC1721" s="145"/>
      <c r="AD1721" s="145"/>
      <c r="AE1721" s="145"/>
      <c r="AF1721" s="145"/>
      <c r="AG1721" s="145"/>
      <c r="AH1721" s="145"/>
      <c r="AI1721" s="145"/>
      <c r="AJ1721" s="145"/>
      <c r="AK1721" s="145"/>
      <c r="AL1721" s="145"/>
      <c r="AM1721" s="321"/>
      <c r="AN1721" s="321"/>
      <c r="AO1721" s="321"/>
      <c r="AP1721" s="321"/>
      <c r="AQ1721" s="321"/>
      <c r="AR1721" s="321"/>
      <c r="AS1721" s="321"/>
      <c r="AT1721" s="321"/>
    </row>
    <row r="1722" spans="10:46">
      <c r="J1722" s="145"/>
      <c r="K1722" s="145"/>
      <c r="L1722" s="145"/>
      <c r="M1722" s="145"/>
      <c r="N1722" s="145"/>
      <c r="O1722" s="145"/>
      <c r="P1722" s="145"/>
      <c r="Q1722" s="145"/>
      <c r="R1722" s="145"/>
      <c r="S1722" s="145"/>
      <c r="T1722" s="145"/>
      <c r="U1722" s="145"/>
      <c r="V1722" s="145"/>
      <c r="W1722" s="145"/>
      <c r="X1722" s="145"/>
      <c r="Y1722" s="145"/>
      <c r="Z1722" s="145"/>
      <c r="AA1722" s="145"/>
      <c r="AB1722" s="145"/>
      <c r="AC1722" s="145"/>
      <c r="AD1722" s="145"/>
      <c r="AE1722" s="145"/>
      <c r="AF1722" s="145"/>
      <c r="AG1722" s="145"/>
      <c r="AH1722" s="145"/>
      <c r="AI1722" s="145"/>
      <c r="AJ1722" s="145"/>
      <c r="AK1722" s="145"/>
      <c r="AL1722" s="145"/>
      <c r="AM1722" s="321"/>
      <c r="AN1722" s="321"/>
      <c r="AO1722" s="321"/>
      <c r="AP1722" s="321"/>
      <c r="AQ1722" s="321"/>
      <c r="AR1722" s="321"/>
      <c r="AS1722" s="321"/>
      <c r="AT1722" s="321"/>
    </row>
    <row r="1723" spans="10:46">
      <c r="J1723" s="145"/>
      <c r="K1723" s="145"/>
      <c r="L1723" s="145"/>
      <c r="M1723" s="145"/>
      <c r="N1723" s="145"/>
      <c r="O1723" s="145"/>
      <c r="P1723" s="145"/>
      <c r="Q1723" s="145"/>
      <c r="R1723" s="145"/>
      <c r="S1723" s="145"/>
      <c r="T1723" s="145"/>
      <c r="U1723" s="145"/>
      <c r="V1723" s="145"/>
      <c r="W1723" s="145"/>
      <c r="X1723" s="145"/>
      <c r="Y1723" s="145"/>
      <c r="Z1723" s="145"/>
      <c r="AA1723" s="145"/>
      <c r="AB1723" s="145"/>
      <c r="AC1723" s="145"/>
      <c r="AD1723" s="145"/>
      <c r="AE1723" s="145"/>
      <c r="AF1723" s="145"/>
      <c r="AG1723" s="145"/>
      <c r="AH1723" s="145"/>
      <c r="AI1723" s="145"/>
      <c r="AJ1723" s="145"/>
      <c r="AK1723" s="145"/>
      <c r="AL1723" s="145"/>
      <c r="AM1723" s="321"/>
      <c r="AN1723" s="321"/>
      <c r="AO1723" s="321"/>
      <c r="AP1723" s="321"/>
      <c r="AQ1723" s="321"/>
      <c r="AR1723" s="321"/>
      <c r="AS1723" s="321"/>
      <c r="AT1723" s="321"/>
    </row>
    <row r="1724" spans="10:46">
      <c r="J1724" s="145"/>
      <c r="K1724" s="145"/>
      <c r="L1724" s="145"/>
      <c r="M1724" s="145"/>
      <c r="N1724" s="145"/>
      <c r="O1724" s="145"/>
      <c r="P1724" s="145"/>
      <c r="Q1724" s="145"/>
      <c r="R1724" s="145"/>
      <c r="S1724" s="145"/>
      <c r="T1724" s="145"/>
      <c r="U1724" s="145"/>
      <c r="V1724" s="145"/>
      <c r="W1724" s="145"/>
      <c r="X1724" s="145"/>
      <c r="Y1724" s="145"/>
      <c r="Z1724" s="145"/>
      <c r="AA1724" s="145"/>
      <c r="AB1724" s="145"/>
      <c r="AC1724" s="145"/>
      <c r="AD1724" s="145"/>
      <c r="AE1724" s="145"/>
      <c r="AF1724" s="145"/>
      <c r="AG1724" s="145"/>
      <c r="AH1724" s="145"/>
      <c r="AI1724" s="145"/>
      <c r="AJ1724" s="145"/>
      <c r="AK1724" s="145"/>
      <c r="AL1724" s="145"/>
      <c r="AM1724" s="321"/>
      <c r="AN1724" s="321"/>
      <c r="AO1724" s="321"/>
      <c r="AP1724" s="321"/>
      <c r="AQ1724" s="321"/>
      <c r="AR1724" s="321"/>
      <c r="AS1724" s="321"/>
      <c r="AT1724" s="321"/>
    </row>
    <row r="1725" spans="10:46">
      <c r="J1725" s="145"/>
      <c r="K1725" s="145"/>
      <c r="L1725" s="145"/>
      <c r="M1725" s="145"/>
      <c r="N1725" s="145"/>
      <c r="O1725" s="145"/>
      <c r="P1725" s="145"/>
      <c r="Q1725" s="145"/>
      <c r="R1725" s="145"/>
      <c r="S1725" s="145"/>
      <c r="T1725" s="145"/>
      <c r="U1725" s="145"/>
      <c r="V1725" s="145"/>
      <c r="W1725" s="145"/>
      <c r="X1725" s="145"/>
      <c r="Y1725" s="145"/>
      <c r="Z1725" s="145"/>
      <c r="AA1725" s="145"/>
      <c r="AB1725" s="145"/>
      <c r="AC1725" s="145"/>
      <c r="AD1725" s="145"/>
      <c r="AE1725" s="145"/>
      <c r="AF1725" s="145"/>
      <c r="AG1725" s="145"/>
      <c r="AH1725" s="145"/>
      <c r="AI1725" s="145"/>
      <c r="AJ1725" s="145"/>
      <c r="AK1725" s="145"/>
      <c r="AL1725" s="145"/>
      <c r="AM1725" s="321"/>
      <c r="AN1725" s="321"/>
      <c r="AO1725" s="321"/>
      <c r="AP1725" s="321"/>
      <c r="AQ1725" s="321"/>
      <c r="AR1725" s="321"/>
      <c r="AS1725" s="321"/>
      <c r="AT1725" s="321"/>
    </row>
    <row r="1726" spans="10:46">
      <c r="J1726" s="145"/>
      <c r="K1726" s="145"/>
      <c r="L1726" s="145"/>
      <c r="M1726" s="145"/>
      <c r="N1726" s="145"/>
      <c r="O1726" s="145"/>
      <c r="P1726" s="145"/>
      <c r="Q1726" s="145"/>
      <c r="R1726" s="145"/>
      <c r="S1726" s="145"/>
      <c r="T1726" s="145"/>
      <c r="U1726" s="145"/>
      <c r="V1726" s="145"/>
      <c r="W1726" s="145"/>
      <c r="X1726" s="145"/>
      <c r="Y1726" s="145"/>
      <c r="Z1726" s="145"/>
      <c r="AA1726" s="145"/>
      <c r="AB1726" s="145"/>
      <c r="AC1726" s="145"/>
      <c r="AD1726" s="145"/>
      <c r="AE1726" s="145"/>
      <c r="AF1726" s="145"/>
      <c r="AG1726" s="145"/>
      <c r="AH1726" s="145"/>
      <c r="AI1726" s="145"/>
      <c r="AJ1726" s="145"/>
      <c r="AK1726" s="145"/>
      <c r="AL1726" s="145"/>
      <c r="AM1726" s="321"/>
      <c r="AN1726" s="321"/>
      <c r="AO1726" s="321"/>
      <c r="AP1726" s="321"/>
      <c r="AQ1726" s="321"/>
      <c r="AR1726" s="321"/>
      <c r="AS1726" s="321"/>
      <c r="AT1726" s="321"/>
    </row>
    <row r="1727" spans="10:46">
      <c r="J1727" s="145"/>
      <c r="K1727" s="145"/>
      <c r="L1727" s="145"/>
      <c r="M1727" s="145"/>
      <c r="N1727" s="145"/>
      <c r="O1727" s="145"/>
      <c r="P1727" s="145"/>
      <c r="Q1727" s="145"/>
      <c r="R1727" s="145"/>
      <c r="S1727" s="145"/>
      <c r="T1727" s="145"/>
      <c r="U1727" s="145"/>
      <c r="V1727" s="145"/>
      <c r="W1727" s="145"/>
      <c r="X1727" s="145"/>
      <c r="Y1727" s="145"/>
      <c r="Z1727" s="145"/>
      <c r="AA1727" s="145"/>
      <c r="AB1727" s="145"/>
      <c r="AC1727" s="145"/>
      <c r="AD1727" s="145"/>
      <c r="AE1727" s="145"/>
      <c r="AF1727" s="145"/>
      <c r="AG1727" s="145"/>
      <c r="AH1727" s="145"/>
      <c r="AI1727" s="145"/>
      <c r="AJ1727" s="145"/>
      <c r="AK1727" s="145"/>
      <c r="AL1727" s="145"/>
      <c r="AM1727" s="321"/>
      <c r="AN1727" s="321"/>
      <c r="AO1727" s="321"/>
      <c r="AP1727" s="321"/>
      <c r="AQ1727" s="321"/>
      <c r="AR1727" s="321"/>
      <c r="AS1727" s="321"/>
      <c r="AT1727" s="321"/>
    </row>
    <row r="1728" spans="10:46">
      <c r="J1728" s="145"/>
      <c r="K1728" s="145"/>
      <c r="L1728" s="145"/>
      <c r="M1728" s="145"/>
      <c r="N1728" s="145"/>
      <c r="O1728" s="145"/>
      <c r="P1728" s="145"/>
      <c r="Q1728" s="145"/>
      <c r="R1728" s="145"/>
      <c r="S1728" s="145"/>
      <c r="T1728" s="145"/>
      <c r="U1728" s="145"/>
      <c r="V1728" s="145"/>
      <c r="W1728" s="145"/>
      <c r="X1728" s="145"/>
      <c r="Y1728" s="145"/>
      <c r="Z1728" s="145"/>
      <c r="AA1728" s="145"/>
      <c r="AB1728" s="145"/>
      <c r="AC1728" s="145"/>
      <c r="AD1728" s="145"/>
      <c r="AE1728" s="145"/>
      <c r="AF1728" s="145"/>
      <c r="AG1728" s="145"/>
      <c r="AH1728" s="145"/>
      <c r="AI1728" s="145"/>
      <c r="AJ1728" s="145"/>
      <c r="AK1728" s="145"/>
      <c r="AL1728" s="145"/>
      <c r="AM1728" s="321"/>
      <c r="AN1728" s="321"/>
      <c r="AO1728" s="321"/>
      <c r="AP1728" s="321"/>
      <c r="AQ1728" s="321"/>
      <c r="AR1728" s="321"/>
      <c r="AS1728" s="321"/>
      <c r="AT1728" s="321"/>
    </row>
    <row r="1729" spans="10:46">
      <c r="J1729" s="145"/>
      <c r="K1729" s="145"/>
      <c r="L1729" s="145"/>
      <c r="M1729" s="145"/>
      <c r="N1729" s="145"/>
      <c r="O1729" s="145"/>
      <c r="P1729" s="145"/>
      <c r="Q1729" s="145"/>
      <c r="R1729" s="145"/>
      <c r="S1729" s="145"/>
      <c r="T1729" s="145"/>
      <c r="U1729" s="145"/>
      <c r="V1729" s="145"/>
      <c r="W1729" s="145"/>
      <c r="X1729" s="145"/>
      <c r="Y1729" s="145"/>
      <c r="Z1729" s="145"/>
      <c r="AA1729" s="145"/>
      <c r="AB1729" s="145"/>
      <c r="AC1729" s="145"/>
      <c r="AD1729" s="145"/>
      <c r="AE1729" s="145"/>
      <c r="AF1729" s="145"/>
      <c r="AG1729" s="145"/>
      <c r="AH1729" s="145"/>
      <c r="AI1729" s="145"/>
      <c r="AJ1729" s="145"/>
      <c r="AK1729" s="145"/>
      <c r="AL1729" s="145"/>
      <c r="AM1729" s="321"/>
      <c r="AN1729" s="321"/>
      <c r="AO1729" s="321"/>
      <c r="AP1729" s="321"/>
      <c r="AQ1729" s="321"/>
      <c r="AR1729" s="321"/>
      <c r="AS1729" s="321"/>
      <c r="AT1729" s="321"/>
    </row>
    <row r="1730" spans="10:46">
      <c r="J1730" s="145"/>
      <c r="K1730" s="145"/>
      <c r="L1730" s="145"/>
      <c r="M1730" s="145"/>
      <c r="N1730" s="145"/>
      <c r="O1730" s="145"/>
      <c r="P1730" s="145"/>
      <c r="Q1730" s="145"/>
      <c r="R1730" s="145"/>
      <c r="S1730" s="145"/>
      <c r="T1730" s="145"/>
      <c r="U1730" s="145"/>
      <c r="V1730" s="145"/>
      <c r="W1730" s="145"/>
      <c r="X1730" s="145"/>
      <c r="Y1730" s="145"/>
      <c r="Z1730" s="145"/>
      <c r="AA1730" s="145"/>
      <c r="AB1730" s="145"/>
      <c r="AC1730" s="145"/>
      <c r="AD1730" s="145"/>
      <c r="AE1730" s="145"/>
      <c r="AF1730" s="145"/>
      <c r="AG1730" s="145"/>
      <c r="AH1730" s="145"/>
      <c r="AI1730" s="145"/>
      <c r="AJ1730" s="145"/>
      <c r="AK1730" s="145"/>
      <c r="AL1730" s="145"/>
      <c r="AM1730" s="321"/>
      <c r="AN1730" s="321"/>
      <c r="AO1730" s="321"/>
      <c r="AP1730" s="321"/>
      <c r="AQ1730" s="321"/>
      <c r="AR1730" s="321"/>
      <c r="AS1730" s="321"/>
      <c r="AT1730" s="321"/>
    </row>
    <row r="1731" spans="10:46">
      <c r="J1731" s="145"/>
      <c r="K1731" s="145"/>
      <c r="L1731" s="145"/>
      <c r="M1731" s="145"/>
      <c r="N1731" s="145"/>
      <c r="O1731" s="145"/>
      <c r="P1731" s="145"/>
      <c r="Q1731" s="145"/>
      <c r="R1731" s="145"/>
      <c r="S1731" s="145"/>
      <c r="T1731" s="145"/>
      <c r="U1731" s="145"/>
      <c r="V1731" s="145"/>
      <c r="W1731" s="145"/>
      <c r="X1731" s="145"/>
      <c r="Y1731" s="145"/>
      <c r="Z1731" s="145"/>
      <c r="AA1731" s="145"/>
      <c r="AB1731" s="145"/>
      <c r="AC1731" s="145"/>
      <c r="AD1731" s="145"/>
      <c r="AE1731" s="145"/>
      <c r="AF1731" s="145"/>
      <c r="AG1731" s="145"/>
      <c r="AH1731" s="145"/>
      <c r="AI1731" s="145"/>
      <c r="AJ1731" s="145"/>
      <c r="AK1731" s="145"/>
      <c r="AL1731" s="145"/>
      <c r="AM1731" s="321"/>
      <c r="AN1731" s="321"/>
      <c r="AO1731" s="321"/>
      <c r="AP1731" s="321"/>
      <c r="AQ1731" s="321"/>
      <c r="AR1731" s="321"/>
      <c r="AS1731" s="321"/>
      <c r="AT1731" s="321"/>
    </row>
    <row r="1732" spans="10:46">
      <c r="J1732" s="145"/>
      <c r="K1732" s="145"/>
      <c r="L1732" s="145"/>
      <c r="M1732" s="145"/>
      <c r="N1732" s="145"/>
      <c r="O1732" s="145"/>
      <c r="P1732" s="145"/>
      <c r="Q1732" s="145"/>
      <c r="R1732" s="145"/>
      <c r="S1732" s="145"/>
      <c r="T1732" s="145"/>
      <c r="U1732" s="145"/>
      <c r="V1732" s="145"/>
      <c r="W1732" s="145"/>
      <c r="X1732" s="145"/>
      <c r="Y1732" s="145"/>
      <c r="Z1732" s="145"/>
      <c r="AA1732" s="145"/>
      <c r="AB1732" s="145"/>
      <c r="AC1732" s="145"/>
      <c r="AD1732" s="145"/>
      <c r="AE1732" s="145"/>
      <c r="AF1732" s="145"/>
      <c r="AG1732" s="145"/>
      <c r="AH1732" s="145"/>
      <c r="AI1732" s="145"/>
      <c r="AJ1732" s="145"/>
      <c r="AK1732" s="145"/>
      <c r="AL1732" s="145"/>
      <c r="AM1732" s="321"/>
      <c r="AN1732" s="321"/>
      <c r="AO1732" s="321"/>
      <c r="AP1732" s="321"/>
      <c r="AQ1732" s="321"/>
      <c r="AR1732" s="321"/>
      <c r="AS1732" s="321"/>
      <c r="AT1732" s="321"/>
    </row>
    <row r="1733" spans="10:46">
      <c r="J1733" s="145"/>
      <c r="K1733" s="145"/>
      <c r="L1733" s="145"/>
      <c r="M1733" s="145"/>
      <c r="N1733" s="145"/>
      <c r="O1733" s="145"/>
      <c r="P1733" s="145"/>
      <c r="Q1733" s="145"/>
      <c r="R1733" s="145"/>
      <c r="S1733" s="145"/>
      <c r="T1733" s="145"/>
      <c r="U1733" s="145"/>
      <c r="V1733" s="145"/>
      <c r="W1733" s="145"/>
      <c r="X1733" s="145"/>
      <c r="Y1733" s="145"/>
      <c r="Z1733" s="145"/>
      <c r="AA1733" s="145"/>
      <c r="AB1733" s="145"/>
      <c r="AC1733" s="145"/>
      <c r="AD1733" s="145"/>
      <c r="AE1733" s="145"/>
      <c r="AF1733" s="145"/>
      <c r="AG1733" s="145"/>
      <c r="AH1733" s="145"/>
      <c r="AI1733" s="145"/>
      <c r="AJ1733" s="145"/>
      <c r="AK1733" s="145"/>
      <c r="AL1733" s="145"/>
      <c r="AM1733" s="321"/>
      <c r="AN1733" s="321"/>
      <c r="AO1733" s="321"/>
      <c r="AP1733" s="321"/>
      <c r="AQ1733" s="321"/>
      <c r="AR1733" s="321"/>
      <c r="AS1733" s="321"/>
      <c r="AT1733" s="321"/>
    </row>
    <row r="1734" spans="10:46">
      <c r="J1734" s="145"/>
      <c r="K1734" s="145"/>
      <c r="L1734" s="145"/>
      <c r="M1734" s="145"/>
      <c r="N1734" s="145"/>
      <c r="O1734" s="145"/>
      <c r="P1734" s="145"/>
      <c r="Q1734" s="145"/>
      <c r="R1734" s="145"/>
      <c r="S1734" s="145"/>
      <c r="T1734" s="145"/>
      <c r="U1734" s="145"/>
      <c r="V1734" s="145"/>
      <c r="W1734" s="145"/>
      <c r="X1734" s="145"/>
      <c r="Y1734" s="145"/>
      <c r="Z1734" s="145"/>
      <c r="AA1734" s="145"/>
      <c r="AB1734" s="145"/>
      <c r="AC1734" s="145"/>
      <c r="AD1734" s="145"/>
      <c r="AE1734" s="145"/>
      <c r="AF1734" s="145"/>
      <c r="AG1734" s="145"/>
      <c r="AH1734" s="145"/>
      <c r="AI1734" s="145"/>
      <c r="AJ1734" s="145"/>
      <c r="AK1734" s="145"/>
      <c r="AL1734" s="145"/>
      <c r="AM1734" s="321"/>
      <c r="AN1734" s="321"/>
      <c r="AO1734" s="321"/>
      <c r="AP1734" s="321"/>
      <c r="AQ1734" s="321"/>
      <c r="AR1734" s="321"/>
      <c r="AS1734" s="321"/>
      <c r="AT1734" s="321"/>
    </row>
    <row r="1735" spans="10:46">
      <c r="J1735" s="145"/>
      <c r="K1735" s="145"/>
      <c r="L1735" s="145"/>
      <c r="M1735" s="145"/>
      <c r="N1735" s="145"/>
      <c r="O1735" s="145"/>
      <c r="P1735" s="145"/>
      <c r="Q1735" s="145"/>
      <c r="R1735" s="145"/>
      <c r="S1735" s="145"/>
      <c r="T1735" s="145"/>
      <c r="U1735" s="145"/>
      <c r="V1735" s="145"/>
      <c r="W1735" s="145"/>
      <c r="X1735" s="145"/>
      <c r="Y1735" s="145"/>
      <c r="Z1735" s="145"/>
      <c r="AA1735" s="145"/>
      <c r="AB1735" s="145"/>
      <c r="AC1735" s="145"/>
      <c r="AD1735" s="145"/>
      <c r="AE1735" s="145"/>
      <c r="AF1735" s="145"/>
      <c r="AG1735" s="145"/>
      <c r="AH1735" s="145"/>
      <c r="AI1735" s="145"/>
      <c r="AJ1735" s="145"/>
      <c r="AK1735" s="145"/>
      <c r="AL1735" s="145"/>
      <c r="AM1735" s="321"/>
      <c r="AN1735" s="321"/>
      <c r="AO1735" s="321"/>
      <c r="AP1735" s="321"/>
      <c r="AQ1735" s="321"/>
      <c r="AR1735" s="321"/>
      <c r="AS1735" s="321"/>
      <c r="AT1735" s="321"/>
    </row>
    <row r="1736" spans="10:46">
      <c r="J1736" s="145"/>
      <c r="K1736" s="145"/>
      <c r="L1736" s="145"/>
      <c r="M1736" s="145"/>
      <c r="N1736" s="145"/>
      <c r="O1736" s="145"/>
      <c r="P1736" s="145"/>
      <c r="Q1736" s="145"/>
      <c r="R1736" s="145"/>
      <c r="S1736" s="145"/>
      <c r="T1736" s="145"/>
      <c r="U1736" s="145"/>
      <c r="V1736" s="145"/>
      <c r="W1736" s="145"/>
      <c r="X1736" s="145"/>
      <c r="Y1736" s="145"/>
      <c r="Z1736" s="145"/>
      <c r="AA1736" s="145"/>
      <c r="AB1736" s="145"/>
      <c r="AC1736" s="145"/>
      <c r="AD1736" s="145"/>
      <c r="AE1736" s="145"/>
      <c r="AF1736" s="145"/>
      <c r="AG1736" s="145"/>
      <c r="AH1736" s="145"/>
      <c r="AI1736" s="145"/>
      <c r="AJ1736" s="145"/>
      <c r="AK1736" s="145"/>
      <c r="AL1736" s="145"/>
      <c r="AM1736" s="321"/>
      <c r="AN1736" s="321"/>
      <c r="AO1736" s="321"/>
      <c r="AP1736" s="321"/>
      <c r="AQ1736" s="321"/>
      <c r="AR1736" s="321"/>
      <c r="AS1736" s="321"/>
      <c r="AT1736" s="321"/>
    </row>
    <row r="1737" spans="10:46">
      <c r="J1737" s="145"/>
      <c r="K1737" s="145"/>
      <c r="L1737" s="145"/>
      <c r="M1737" s="145"/>
      <c r="N1737" s="145"/>
      <c r="O1737" s="145"/>
      <c r="P1737" s="145"/>
      <c r="Q1737" s="145"/>
      <c r="R1737" s="145"/>
      <c r="S1737" s="145"/>
      <c r="T1737" s="145"/>
      <c r="U1737" s="145"/>
      <c r="V1737" s="145"/>
      <c r="W1737" s="145"/>
      <c r="X1737" s="145"/>
      <c r="Y1737" s="145"/>
      <c r="Z1737" s="145"/>
      <c r="AA1737" s="145"/>
      <c r="AB1737" s="145"/>
      <c r="AC1737" s="145"/>
      <c r="AD1737" s="145"/>
      <c r="AE1737" s="145"/>
      <c r="AF1737" s="145"/>
      <c r="AG1737" s="145"/>
      <c r="AH1737" s="145"/>
      <c r="AI1737" s="145"/>
      <c r="AJ1737" s="145"/>
      <c r="AK1737" s="145"/>
      <c r="AL1737" s="145"/>
      <c r="AM1737" s="321"/>
      <c r="AN1737" s="321"/>
      <c r="AO1737" s="321"/>
      <c r="AP1737" s="321"/>
      <c r="AQ1737" s="321"/>
      <c r="AR1737" s="321"/>
      <c r="AS1737" s="321"/>
      <c r="AT1737" s="321"/>
    </row>
    <row r="1738" spans="10:46">
      <c r="J1738" s="145"/>
      <c r="K1738" s="145"/>
      <c r="L1738" s="145"/>
      <c r="M1738" s="145"/>
      <c r="N1738" s="145"/>
      <c r="O1738" s="145"/>
      <c r="P1738" s="145"/>
      <c r="Q1738" s="145"/>
      <c r="R1738" s="145"/>
      <c r="S1738" s="145"/>
      <c r="T1738" s="145"/>
      <c r="U1738" s="145"/>
      <c r="V1738" s="145"/>
      <c r="W1738" s="145"/>
      <c r="X1738" s="145"/>
      <c r="Y1738" s="145"/>
      <c r="Z1738" s="145"/>
      <c r="AA1738" s="145"/>
      <c r="AB1738" s="145"/>
      <c r="AC1738" s="145"/>
      <c r="AD1738" s="145"/>
      <c r="AE1738" s="145"/>
      <c r="AF1738" s="145"/>
      <c r="AG1738" s="145"/>
      <c r="AH1738" s="145"/>
      <c r="AI1738" s="145"/>
      <c r="AJ1738" s="145"/>
      <c r="AK1738" s="145"/>
      <c r="AL1738" s="145"/>
      <c r="AM1738" s="321"/>
      <c r="AN1738" s="321"/>
      <c r="AO1738" s="321"/>
      <c r="AP1738" s="321"/>
      <c r="AQ1738" s="321"/>
      <c r="AR1738" s="321"/>
      <c r="AS1738" s="321"/>
      <c r="AT1738" s="321"/>
    </row>
    <row r="1739" spans="10:46">
      <c r="J1739" s="145"/>
      <c r="K1739" s="145"/>
      <c r="L1739" s="145"/>
      <c r="M1739" s="145"/>
      <c r="N1739" s="145"/>
      <c r="O1739" s="145"/>
      <c r="P1739" s="145"/>
      <c r="Q1739" s="145"/>
      <c r="R1739" s="145"/>
      <c r="S1739" s="145"/>
      <c r="T1739" s="145"/>
      <c r="U1739" s="145"/>
      <c r="V1739" s="145"/>
      <c r="W1739" s="145"/>
      <c r="X1739" s="145"/>
      <c r="Y1739" s="145"/>
      <c r="Z1739" s="145"/>
      <c r="AA1739" s="145"/>
      <c r="AB1739" s="145"/>
      <c r="AC1739" s="145"/>
      <c r="AD1739" s="145"/>
      <c r="AE1739" s="145"/>
      <c r="AF1739" s="145"/>
      <c r="AG1739" s="145"/>
      <c r="AH1739" s="145"/>
      <c r="AI1739" s="145"/>
      <c r="AJ1739" s="145"/>
      <c r="AK1739" s="145"/>
      <c r="AL1739" s="145"/>
      <c r="AM1739" s="321"/>
      <c r="AN1739" s="321"/>
      <c r="AO1739" s="321"/>
      <c r="AP1739" s="321"/>
      <c r="AQ1739" s="321"/>
      <c r="AR1739" s="321"/>
      <c r="AS1739" s="321"/>
      <c r="AT1739" s="321"/>
    </row>
    <row r="1740" spans="10:46">
      <c r="J1740" s="145"/>
      <c r="K1740" s="145"/>
      <c r="L1740" s="145"/>
      <c r="M1740" s="145"/>
      <c r="N1740" s="145"/>
      <c r="O1740" s="145"/>
      <c r="P1740" s="145"/>
      <c r="Q1740" s="145"/>
      <c r="R1740" s="145"/>
      <c r="S1740" s="145"/>
      <c r="T1740" s="145"/>
      <c r="U1740" s="145"/>
      <c r="V1740" s="145"/>
      <c r="W1740" s="145"/>
      <c r="X1740" s="145"/>
      <c r="Y1740" s="145"/>
      <c r="Z1740" s="145"/>
      <c r="AA1740" s="145"/>
      <c r="AB1740" s="145"/>
      <c r="AC1740" s="145"/>
      <c r="AD1740" s="145"/>
      <c r="AE1740" s="145"/>
      <c r="AF1740" s="145"/>
      <c r="AG1740" s="145"/>
      <c r="AH1740" s="145"/>
      <c r="AI1740" s="145"/>
      <c r="AJ1740" s="145"/>
      <c r="AK1740" s="145"/>
      <c r="AL1740" s="145"/>
      <c r="AM1740" s="321"/>
      <c r="AN1740" s="321"/>
      <c r="AO1740" s="321"/>
      <c r="AP1740" s="321"/>
      <c r="AQ1740" s="321"/>
      <c r="AR1740" s="321"/>
      <c r="AS1740" s="321"/>
      <c r="AT1740" s="321"/>
    </row>
    <row r="1741" spans="10:46">
      <c r="J1741" s="145"/>
      <c r="K1741" s="145"/>
      <c r="L1741" s="145"/>
      <c r="M1741" s="145"/>
      <c r="N1741" s="145"/>
      <c r="O1741" s="145"/>
      <c r="P1741" s="145"/>
      <c r="Q1741" s="145"/>
      <c r="R1741" s="145"/>
      <c r="S1741" s="145"/>
      <c r="T1741" s="145"/>
      <c r="U1741" s="145"/>
      <c r="V1741" s="145"/>
      <c r="W1741" s="145"/>
      <c r="X1741" s="145"/>
      <c r="Y1741" s="145"/>
      <c r="Z1741" s="145"/>
      <c r="AA1741" s="145"/>
      <c r="AB1741" s="145"/>
      <c r="AC1741" s="145"/>
      <c r="AD1741" s="145"/>
      <c r="AE1741" s="145"/>
      <c r="AF1741" s="145"/>
      <c r="AG1741" s="145"/>
      <c r="AH1741" s="145"/>
      <c r="AI1741" s="145"/>
      <c r="AJ1741" s="145"/>
      <c r="AK1741" s="145"/>
      <c r="AL1741" s="145"/>
      <c r="AM1741" s="321"/>
      <c r="AN1741" s="321"/>
      <c r="AO1741" s="321"/>
      <c r="AP1741" s="321"/>
      <c r="AQ1741" s="321"/>
      <c r="AR1741" s="321"/>
      <c r="AS1741" s="321"/>
      <c r="AT1741" s="321"/>
    </row>
    <row r="1742" spans="10:46">
      <c r="J1742" s="145"/>
      <c r="K1742" s="145"/>
      <c r="L1742" s="145"/>
      <c r="M1742" s="145"/>
      <c r="N1742" s="145"/>
      <c r="O1742" s="145"/>
      <c r="P1742" s="145"/>
      <c r="Q1742" s="145"/>
      <c r="R1742" s="145"/>
      <c r="S1742" s="145"/>
      <c r="T1742" s="145"/>
      <c r="U1742" s="145"/>
      <c r="V1742" s="145"/>
      <c r="W1742" s="145"/>
      <c r="X1742" s="145"/>
      <c r="Y1742" s="145"/>
      <c r="Z1742" s="145"/>
      <c r="AA1742" s="145"/>
      <c r="AB1742" s="145"/>
      <c r="AC1742" s="145"/>
      <c r="AD1742" s="145"/>
      <c r="AE1742" s="145"/>
      <c r="AF1742" s="145"/>
      <c r="AG1742" s="145"/>
      <c r="AH1742" s="145"/>
      <c r="AI1742" s="145"/>
      <c r="AJ1742" s="145"/>
      <c r="AK1742" s="145"/>
      <c r="AL1742" s="145"/>
      <c r="AM1742" s="321"/>
      <c r="AN1742" s="321"/>
      <c r="AO1742" s="321"/>
      <c r="AP1742" s="321"/>
      <c r="AQ1742" s="321"/>
      <c r="AR1742" s="321"/>
      <c r="AS1742" s="321"/>
      <c r="AT1742" s="321"/>
    </row>
    <row r="1743" spans="10:46">
      <c r="J1743" s="145"/>
      <c r="K1743" s="145"/>
      <c r="L1743" s="145"/>
      <c r="M1743" s="145"/>
      <c r="N1743" s="145"/>
      <c r="O1743" s="145"/>
      <c r="P1743" s="145"/>
      <c r="Q1743" s="145"/>
      <c r="R1743" s="145"/>
      <c r="S1743" s="145"/>
      <c r="T1743" s="145"/>
      <c r="U1743" s="145"/>
      <c r="V1743" s="145"/>
      <c r="W1743" s="145"/>
      <c r="X1743" s="145"/>
      <c r="Y1743" s="145"/>
      <c r="Z1743" s="145"/>
      <c r="AA1743" s="145"/>
      <c r="AB1743" s="145"/>
      <c r="AC1743" s="145"/>
      <c r="AD1743" s="145"/>
      <c r="AE1743" s="145"/>
      <c r="AF1743" s="145"/>
      <c r="AG1743" s="145"/>
      <c r="AH1743" s="145"/>
      <c r="AI1743" s="145"/>
      <c r="AJ1743" s="145"/>
      <c r="AK1743" s="145"/>
      <c r="AL1743" s="145"/>
      <c r="AM1743" s="321"/>
      <c r="AN1743" s="321"/>
      <c r="AO1743" s="321"/>
      <c r="AP1743" s="321"/>
      <c r="AQ1743" s="321"/>
      <c r="AR1743" s="321"/>
      <c r="AS1743" s="321"/>
      <c r="AT1743" s="321"/>
    </row>
    <row r="1744" spans="10:46">
      <c r="J1744" s="145"/>
      <c r="K1744" s="145"/>
      <c r="L1744" s="145"/>
      <c r="M1744" s="145"/>
      <c r="N1744" s="145"/>
      <c r="O1744" s="145"/>
      <c r="P1744" s="145"/>
      <c r="Q1744" s="145"/>
      <c r="R1744" s="145"/>
      <c r="S1744" s="145"/>
      <c r="T1744" s="145"/>
      <c r="U1744" s="145"/>
      <c r="V1744" s="145"/>
      <c r="W1744" s="145"/>
      <c r="X1744" s="145"/>
      <c r="Y1744" s="145"/>
      <c r="Z1744" s="145"/>
      <c r="AA1744" s="145"/>
      <c r="AB1744" s="145"/>
      <c r="AC1744" s="145"/>
      <c r="AD1744" s="145"/>
      <c r="AE1744" s="145"/>
      <c r="AF1744" s="145"/>
      <c r="AG1744" s="145"/>
      <c r="AH1744" s="145"/>
      <c r="AI1744" s="145"/>
      <c r="AJ1744" s="145"/>
      <c r="AK1744" s="145"/>
      <c r="AL1744" s="145"/>
      <c r="AM1744" s="321"/>
      <c r="AN1744" s="321"/>
      <c r="AO1744" s="321"/>
      <c r="AP1744" s="321"/>
      <c r="AQ1744" s="321"/>
      <c r="AR1744" s="321"/>
      <c r="AS1744" s="321"/>
      <c r="AT1744" s="321"/>
    </row>
    <row r="1745" spans="10:46">
      <c r="J1745" s="145"/>
      <c r="K1745" s="145"/>
      <c r="L1745" s="145"/>
      <c r="M1745" s="145"/>
      <c r="N1745" s="145"/>
      <c r="O1745" s="145"/>
      <c r="P1745" s="145"/>
      <c r="Q1745" s="145"/>
      <c r="R1745" s="145"/>
      <c r="S1745" s="145"/>
      <c r="T1745" s="145"/>
      <c r="U1745" s="145"/>
      <c r="V1745" s="145"/>
      <c r="W1745" s="145"/>
      <c r="X1745" s="145"/>
      <c r="Y1745" s="145"/>
      <c r="Z1745" s="145"/>
      <c r="AA1745" s="145"/>
      <c r="AB1745" s="145"/>
      <c r="AC1745" s="145"/>
      <c r="AD1745" s="145"/>
      <c r="AE1745" s="145"/>
      <c r="AF1745" s="145"/>
      <c r="AG1745" s="145"/>
      <c r="AH1745" s="145"/>
      <c r="AI1745" s="145"/>
      <c r="AJ1745" s="145"/>
      <c r="AK1745" s="145"/>
      <c r="AL1745" s="145"/>
      <c r="AM1745" s="321"/>
      <c r="AN1745" s="321"/>
      <c r="AO1745" s="321"/>
      <c r="AP1745" s="321"/>
      <c r="AQ1745" s="321"/>
      <c r="AR1745" s="321"/>
      <c r="AS1745" s="321"/>
      <c r="AT1745" s="321"/>
    </row>
    <row r="1746" spans="10:46">
      <c r="J1746" s="145"/>
      <c r="K1746" s="145"/>
      <c r="L1746" s="145"/>
      <c r="M1746" s="145"/>
      <c r="N1746" s="145"/>
      <c r="O1746" s="145"/>
      <c r="P1746" s="145"/>
      <c r="Q1746" s="145"/>
      <c r="R1746" s="145"/>
      <c r="S1746" s="145"/>
      <c r="T1746" s="145"/>
      <c r="U1746" s="145"/>
      <c r="V1746" s="145"/>
      <c r="W1746" s="145"/>
      <c r="X1746" s="145"/>
      <c r="Y1746" s="145"/>
      <c r="Z1746" s="145"/>
      <c r="AA1746" s="145"/>
      <c r="AB1746" s="145"/>
      <c r="AC1746" s="145"/>
      <c r="AD1746" s="145"/>
      <c r="AE1746" s="145"/>
      <c r="AF1746" s="145"/>
      <c r="AG1746" s="145"/>
      <c r="AH1746" s="145"/>
      <c r="AI1746" s="145"/>
      <c r="AJ1746" s="145"/>
      <c r="AK1746" s="145"/>
      <c r="AL1746" s="145"/>
      <c r="AM1746" s="321"/>
      <c r="AN1746" s="321"/>
      <c r="AO1746" s="321"/>
      <c r="AP1746" s="321"/>
      <c r="AQ1746" s="321"/>
      <c r="AR1746" s="321"/>
      <c r="AS1746" s="321"/>
      <c r="AT1746" s="321"/>
    </row>
    <row r="1747" spans="10:46">
      <c r="J1747" s="145"/>
      <c r="K1747" s="145"/>
      <c r="L1747" s="145"/>
      <c r="M1747" s="145"/>
      <c r="N1747" s="145"/>
      <c r="O1747" s="145"/>
      <c r="P1747" s="145"/>
      <c r="Q1747" s="145"/>
      <c r="R1747" s="145"/>
      <c r="S1747" s="145"/>
      <c r="T1747" s="145"/>
      <c r="U1747" s="145"/>
      <c r="V1747" s="145"/>
      <c r="W1747" s="145"/>
      <c r="X1747" s="145"/>
      <c r="Y1747" s="145"/>
      <c r="Z1747" s="145"/>
      <c r="AA1747" s="145"/>
      <c r="AB1747" s="145"/>
      <c r="AC1747" s="145"/>
      <c r="AD1747" s="145"/>
      <c r="AE1747" s="145"/>
      <c r="AF1747" s="145"/>
      <c r="AG1747" s="145"/>
      <c r="AH1747" s="145"/>
      <c r="AI1747" s="145"/>
      <c r="AJ1747" s="145"/>
      <c r="AK1747" s="145"/>
      <c r="AL1747" s="145"/>
      <c r="AM1747" s="321"/>
      <c r="AN1747" s="321"/>
      <c r="AO1747" s="321"/>
      <c r="AP1747" s="321"/>
      <c r="AQ1747" s="321"/>
      <c r="AR1747" s="321"/>
      <c r="AS1747" s="321"/>
      <c r="AT1747" s="321"/>
    </row>
    <row r="1748" spans="10:46">
      <c r="J1748" s="145"/>
      <c r="K1748" s="145"/>
      <c r="L1748" s="145"/>
      <c r="M1748" s="145"/>
      <c r="N1748" s="145"/>
      <c r="O1748" s="145"/>
      <c r="P1748" s="145"/>
      <c r="Q1748" s="145"/>
      <c r="R1748" s="145"/>
      <c r="S1748" s="145"/>
      <c r="T1748" s="145"/>
      <c r="U1748" s="145"/>
      <c r="V1748" s="145"/>
      <c r="W1748" s="145"/>
      <c r="X1748" s="145"/>
      <c r="Y1748" s="145"/>
      <c r="Z1748" s="145"/>
      <c r="AA1748" s="145"/>
      <c r="AB1748" s="145"/>
      <c r="AC1748" s="145"/>
      <c r="AD1748" s="145"/>
      <c r="AE1748" s="145"/>
      <c r="AF1748" s="145"/>
      <c r="AG1748" s="145"/>
      <c r="AH1748" s="145"/>
      <c r="AI1748" s="145"/>
      <c r="AJ1748" s="145"/>
      <c r="AK1748" s="145"/>
      <c r="AL1748" s="145"/>
      <c r="AM1748" s="321"/>
      <c r="AN1748" s="321"/>
      <c r="AO1748" s="321"/>
      <c r="AP1748" s="321"/>
      <c r="AQ1748" s="321"/>
      <c r="AR1748" s="321"/>
      <c r="AS1748" s="321"/>
      <c r="AT1748" s="321"/>
    </row>
    <row r="1749" spans="10:46">
      <c r="J1749" s="145"/>
      <c r="K1749" s="145"/>
      <c r="L1749" s="145"/>
      <c r="M1749" s="145"/>
      <c r="N1749" s="145"/>
      <c r="O1749" s="145"/>
      <c r="P1749" s="145"/>
      <c r="Q1749" s="145"/>
      <c r="R1749" s="145"/>
      <c r="S1749" s="145"/>
      <c r="T1749" s="145"/>
      <c r="U1749" s="145"/>
      <c r="V1749" s="145"/>
      <c r="W1749" s="145"/>
      <c r="X1749" s="145"/>
      <c r="Y1749" s="145"/>
      <c r="Z1749" s="145"/>
      <c r="AA1749" s="145"/>
      <c r="AB1749" s="145"/>
      <c r="AC1749" s="145"/>
      <c r="AD1749" s="145"/>
      <c r="AE1749" s="145"/>
      <c r="AF1749" s="145"/>
      <c r="AG1749" s="145"/>
      <c r="AH1749" s="145"/>
      <c r="AI1749" s="145"/>
      <c r="AJ1749" s="145"/>
      <c r="AK1749" s="145"/>
      <c r="AL1749" s="145"/>
      <c r="AM1749" s="321"/>
      <c r="AN1749" s="321"/>
      <c r="AO1749" s="321"/>
      <c r="AP1749" s="321"/>
      <c r="AQ1749" s="321"/>
      <c r="AR1749" s="321"/>
      <c r="AS1749" s="321"/>
      <c r="AT1749" s="321"/>
    </row>
    <row r="1750" spans="10:46">
      <c r="J1750" s="145"/>
      <c r="K1750" s="145"/>
      <c r="L1750" s="145"/>
      <c r="M1750" s="145"/>
      <c r="N1750" s="145"/>
      <c r="O1750" s="145"/>
      <c r="P1750" s="145"/>
      <c r="Q1750" s="145"/>
      <c r="R1750" s="145"/>
      <c r="S1750" s="145"/>
      <c r="T1750" s="145"/>
      <c r="U1750" s="145"/>
      <c r="V1750" s="145"/>
      <c r="W1750" s="145"/>
      <c r="X1750" s="145"/>
      <c r="Y1750" s="145"/>
      <c r="Z1750" s="145"/>
      <c r="AA1750" s="145"/>
      <c r="AB1750" s="145"/>
      <c r="AC1750" s="145"/>
      <c r="AD1750" s="145"/>
      <c r="AE1750" s="145"/>
      <c r="AF1750" s="145"/>
      <c r="AG1750" s="145"/>
      <c r="AH1750" s="145"/>
      <c r="AI1750" s="145"/>
      <c r="AJ1750" s="145"/>
      <c r="AK1750" s="145"/>
      <c r="AL1750" s="145"/>
      <c r="AM1750" s="321"/>
      <c r="AN1750" s="321"/>
      <c r="AO1750" s="321"/>
      <c r="AP1750" s="321"/>
      <c r="AQ1750" s="321"/>
      <c r="AR1750" s="321"/>
      <c r="AS1750" s="321"/>
      <c r="AT1750" s="321"/>
    </row>
    <row r="1751" spans="10:46">
      <c r="J1751" s="145"/>
      <c r="K1751" s="145"/>
      <c r="L1751" s="145"/>
      <c r="M1751" s="145"/>
      <c r="N1751" s="145"/>
      <c r="O1751" s="145"/>
      <c r="P1751" s="145"/>
      <c r="Q1751" s="145"/>
      <c r="R1751" s="145"/>
      <c r="S1751" s="145"/>
      <c r="T1751" s="145"/>
      <c r="U1751" s="145"/>
      <c r="V1751" s="145"/>
      <c r="W1751" s="145"/>
      <c r="X1751" s="145"/>
      <c r="Y1751" s="145"/>
      <c r="Z1751" s="145"/>
      <c r="AA1751" s="145"/>
      <c r="AB1751" s="145"/>
      <c r="AC1751" s="145"/>
      <c r="AD1751" s="145"/>
      <c r="AE1751" s="145"/>
      <c r="AF1751" s="145"/>
      <c r="AG1751" s="145"/>
      <c r="AH1751" s="145"/>
      <c r="AI1751" s="145"/>
      <c r="AJ1751" s="145"/>
      <c r="AK1751" s="145"/>
      <c r="AL1751" s="145"/>
      <c r="AM1751" s="321"/>
      <c r="AN1751" s="321"/>
      <c r="AO1751" s="321"/>
      <c r="AP1751" s="321"/>
      <c r="AQ1751" s="321"/>
      <c r="AR1751" s="321"/>
      <c r="AS1751" s="321"/>
      <c r="AT1751" s="321"/>
    </row>
    <row r="1752" spans="10:46">
      <c r="J1752" s="145"/>
      <c r="K1752" s="145"/>
      <c r="L1752" s="145"/>
      <c r="M1752" s="145"/>
      <c r="N1752" s="145"/>
      <c r="O1752" s="145"/>
      <c r="P1752" s="145"/>
      <c r="Q1752" s="145"/>
      <c r="R1752" s="145"/>
      <c r="S1752" s="145"/>
      <c r="T1752" s="145"/>
      <c r="U1752" s="145"/>
      <c r="V1752" s="145"/>
      <c r="W1752" s="145"/>
      <c r="X1752" s="145"/>
      <c r="Y1752" s="145"/>
      <c r="Z1752" s="145"/>
      <c r="AA1752" s="145"/>
      <c r="AB1752" s="145"/>
      <c r="AC1752" s="145"/>
      <c r="AD1752" s="145"/>
      <c r="AE1752" s="145"/>
      <c r="AF1752" s="145"/>
      <c r="AG1752" s="145"/>
      <c r="AH1752" s="145"/>
      <c r="AI1752" s="145"/>
      <c r="AJ1752" s="145"/>
      <c r="AK1752" s="145"/>
      <c r="AL1752" s="145"/>
      <c r="AM1752" s="321"/>
      <c r="AN1752" s="321"/>
      <c r="AO1752" s="321"/>
      <c r="AP1752" s="321"/>
      <c r="AQ1752" s="321"/>
      <c r="AR1752" s="321"/>
      <c r="AS1752" s="321"/>
      <c r="AT1752" s="321"/>
    </row>
    <row r="1753" spans="10:46">
      <c r="J1753" s="145"/>
      <c r="K1753" s="145"/>
      <c r="L1753" s="145"/>
      <c r="M1753" s="145"/>
      <c r="N1753" s="145"/>
      <c r="O1753" s="145"/>
      <c r="P1753" s="145"/>
      <c r="Q1753" s="145"/>
      <c r="R1753" s="145"/>
      <c r="S1753" s="145"/>
      <c r="T1753" s="145"/>
      <c r="U1753" s="145"/>
      <c r="V1753" s="145"/>
      <c r="W1753" s="145"/>
      <c r="X1753" s="145"/>
      <c r="Y1753" s="145"/>
      <c r="Z1753" s="145"/>
      <c r="AA1753" s="145"/>
      <c r="AB1753" s="145"/>
      <c r="AC1753" s="145"/>
      <c r="AD1753" s="145"/>
      <c r="AE1753" s="145"/>
      <c r="AF1753" s="145"/>
      <c r="AG1753" s="145"/>
      <c r="AH1753" s="145"/>
      <c r="AI1753" s="145"/>
      <c r="AJ1753" s="145"/>
      <c r="AK1753" s="145"/>
      <c r="AL1753" s="145"/>
      <c r="AM1753" s="321"/>
      <c r="AN1753" s="321"/>
      <c r="AO1753" s="321"/>
      <c r="AP1753" s="321"/>
      <c r="AQ1753" s="321"/>
      <c r="AR1753" s="321"/>
      <c r="AS1753" s="321"/>
      <c r="AT1753" s="321"/>
    </row>
    <row r="1754" spans="10:46">
      <c r="J1754" s="145"/>
      <c r="K1754" s="145"/>
      <c r="L1754" s="145"/>
      <c r="M1754" s="145"/>
      <c r="N1754" s="145"/>
      <c r="O1754" s="145"/>
      <c r="P1754" s="145"/>
      <c r="Q1754" s="145"/>
      <c r="R1754" s="145"/>
      <c r="S1754" s="145"/>
      <c r="T1754" s="145"/>
      <c r="U1754" s="145"/>
      <c r="V1754" s="145"/>
      <c r="W1754" s="145"/>
      <c r="X1754" s="145"/>
      <c r="Y1754" s="145"/>
      <c r="Z1754" s="145"/>
      <c r="AA1754" s="145"/>
      <c r="AB1754" s="145"/>
      <c r="AC1754" s="145"/>
      <c r="AD1754" s="145"/>
      <c r="AE1754" s="145"/>
      <c r="AF1754" s="145"/>
      <c r="AG1754" s="145"/>
      <c r="AH1754" s="145"/>
      <c r="AI1754" s="145"/>
      <c r="AJ1754" s="145"/>
      <c r="AK1754" s="145"/>
      <c r="AL1754" s="145"/>
      <c r="AM1754" s="321"/>
      <c r="AN1754" s="321"/>
      <c r="AO1754" s="321"/>
      <c r="AP1754" s="321"/>
      <c r="AQ1754" s="321"/>
      <c r="AR1754" s="321"/>
      <c r="AS1754" s="321"/>
      <c r="AT1754" s="321"/>
    </row>
    <row r="1755" spans="10:46">
      <c r="J1755" s="145"/>
      <c r="K1755" s="145"/>
      <c r="L1755" s="145"/>
      <c r="M1755" s="145"/>
      <c r="N1755" s="145"/>
      <c r="O1755" s="145"/>
      <c r="P1755" s="145"/>
      <c r="Q1755" s="145"/>
      <c r="R1755" s="145"/>
      <c r="S1755" s="145"/>
      <c r="T1755" s="145"/>
      <c r="U1755" s="145"/>
      <c r="V1755" s="145"/>
      <c r="W1755" s="145"/>
      <c r="X1755" s="145"/>
      <c r="Y1755" s="145"/>
      <c r="Z1755" s="145"/>
      <c r="AA1755" s="145"/>
      <c r="AB1755" s="145"/>
      <c r="AC1755" s="145"/>
      <c r="AD1755" s="145"/>
      <c r="AE1755" s="145"/>
      <c r="AF1755" s="145"/>
      <c r="AG1755" s="145"/>
      <c r="AH1755" s="145"/>
      <c r="AI1755" s="145"/>
      <c r="AJ1755" s="145"/>
      <c r="AK1755" s="145"/>
      <c r="AL1755" s="145"/>
      <c r="AM1755" s="321"/>
      <c r="AN1755" s="321"/>
      <c r="AO1755" s="321"/>
      <c r="AP1755" s="321"/>
      <c r="AQ1755" s="321"/>
      <c r="AR1755" s="321"/>
      <c r="AS1755" s="321"/>
      <c r="AT1755" s="321"/>
    </row>
    <row r="1756" spans="10:46">
      <c r="J1756" s="145"/>
      <c r="K1756" s="145"/>
      <c r="L1756" s="145"/>
      <c r="M1756" s="145"/>
      <c r="N1756" s="145"/>
      <c r="O1756" s="145"/>
      <c r="P1756" s="145"/>
      <c r="Q1756" s="145"/>
      <c r="R1756" s="145"/>
      <c r="S1756" s="145"/>
      <c r="T1756" s="145"/>
      <c r="U1756" s="145"/>
      <c r="V1756" s="145"/>
      <c r="W1756" s="145"/>
      <c r="X1756" s="145"/>
      <c r="Y1756" s="145"/>
      <c r="Z1756" s="145"/>
      <c r="AA1756" s="145"/>
      <c r="AB1756" s="145"/>
      <c r="AC1756" s="145"/>
      <c r="AD1756" s="145"/>
      <c r="AE1756" s="145"/>
      <c r="AF1756" s="145"/>
      <c r="AG1756" s="145"/>
      <c r="AH1756" s="145"/>
      <c r="AI1756" s="145"/>
      <c r="AJ1756" s="145"/>
      <c r="AK1756" s="145"/>
      <c r="AL1756" s="145"/>
      <c r="AM1756" s="321"/>
      <c r="AN1756" s="321"/>
      <c r="AO1756" s="321"/>
      <c r="AP1756" s="321"/>
      <c r="AQ1756" s="321"/>
      <c r="AR1756" s="321"/>
      <c r="AS1756" s="321"/>
      <c r="AT1756" s="321"/>
    </row>
    <row r="1757" spans="10:46">
      <c r="J1757" s="145"/>
      <c r="K1757" s="145"/>
      <c r="L1757" s="145"/>
      <c r="M1757" s="145"/>
      <c r="N1757" s="145"/>
      <c r="O1757" s="145"/>
      <c r="P1757" s="145"/>
      <c r="Q1757" s="145"/>
      <c r="R1757" s="145"/>
      <c r="S1757" s="145"/>
      <c r="T1757" s="145"/>
      <c r="U1757" s="145"/>
      <c r="V1757" s="145"/>
      <c r="W1757" s="145"/>
      <c r="X1757" s="145"/>
      <c r="Y1757" s="145"/>
      <c r="Z1757" s="145"/>
      <c r="AA1757" s="145"/>
      <c r="AB1757" s="145"/>
      <c r="AC1757" s="145"/>
      <c r="AD1757" s="145"/>
      <c r="AE1757" s="145"/>
      <c r="AF1757" s="145"/>
      <c r="AG1757" s="145"/>
      <c r="AH1757" s="145"/>
      <c r="AI1757" s="145"/>
      <c r="AJ1757" s="145"/>
      <c r="AK1757" s="145"/>
      <c r="AL1757" s="145"/>
      <c r="AM1757" s="321"/>
      <c r="AN1757" s="321"/>
      <c r="AO1757" s="321"/>
      <c r="AP1757" s="321"/>
      <c r="AQ1757" s="321"/>
      <c r="AR1757" s="321"/>
      <c r="AS1757" s="321"/>
      <c r="AT1757" s="321"/>
    </row>
    <row r="1758" spans="10:46">
      <c r="J1758" s="145"/>
      <c r="K1758" s="145"/>
      <c r="L1758" s="145"/>
      <c r="M1758" s="145"/>
      <c r="N1758" s="145"/>
      <c r="O1758" s="145"/>
      <c r="P1758" s="145"/>
      <c r="Q1758" s="145"/>
      <c r="R1758" s="145"/>
      <c r="S1758" s="145"/>
      <c r="T1758" s="145"/>
      <c r="U1758" s="145"/>
      <c r="V1758" s="145"/>
      <c r="W1758" s="145"/>
      <c r="X1758" s="145"/>
      <c r="Y1758" s="145"/>
      <c r="Z1758" s="145"/>
      <c r="AA1758" s="145"/>
      <c r="AB1758" s="145"/>
      <c r="AC1758" s="145"/>
      <c r="AD1758" s="145"/>
      <c r="AE1758" s="145"/>
      <c r="AF1758" s="145"/>
      <c r="AG1758" s="145"/>
      <c r="AH1758" s="145"/>
      <c r="AI1758" s="145"/>
      <c r="AJ1758" s="145"/>
      <c r="AK1758" s="145"/>
      <c r="AL1758" s="145"/>
      <c r="AM1758" s="321"/>
      <c r="AN1758" s="321"/>
      <c r="AO1758" s="321"/>
      <c r="AP1758" s="321"/>
      <c r="AQ1758" s="321"/>
      <c r="AR1758" s="321"/>
      <c r="AS1758" s="321"/>
      <c r="AT1758" s="321"/>
    </row>
    <row r="1759" spans="10:46">
      <c r="J1759" s="145"/>
      <c r="K1759" s="145"/>
      <c r="L1759" s="145"/>
      <c r="M1759" s="145"/>
      <c r="N1759" s="145"/>
      <c r="O1759" s="145"/>
      <c r="P1759" s="145"/>
      <c r="Q1759" s="145"/>
      <c r="R1759" s="145"/>
      <c r="S1759" s="145"/>
      <c r="T1759" s="145"/>
      <c r="U1759" s="145"/>
      <c r="V1759" s="145"/>
      <c r="W1759" s="145"/>
      <c r="X1759" s="145"/>
      <c r="Y1759" s="145"/>
      <c r="Z1759" s="145"/>
      <c r="AA1759" s="145"/>
      <c r="AB1759" s="145"/>
      <c r="AC1759" s="145"/>
      <c r="AD1759" s="145"/>
      <c r="AE1759" s="145"/>
      <c r="AF1759" s="145"/>
      <c r="AG1759" s="145"/>
      <c r="AH1759" s="145"/>
      <c r="AI1759" s="145"/>
      <c r="AJ1759" s="145"/>
      <c r="AK1759" s="145"/>
      <c r="AL1759" s="145"/>
      <c r="AM1759" s="321"/>
      <c r="AN1759" s="321"/>
      <c r="AO1759" s="321"/>
      <c r="AP1759" s="321"/>
      <c r="AQ1759" s="321"/>
      <c r="AR1759" s="321"/>
      <c r="AS1759" s="321"/>
      <c r="AT1759" s="321"/>
    </row>
    <row r="1760" spans="10:46">
      <c r="J1760" s="145"/>
      <c r="K1760" s="145"/>
      <c r="L1760" s="145"/>
      <c r="M1760" s="145"/>
      <c r="N1760" s="145"/>
      <c r="O1760" s="145"/>
      <c r="P1760" s="145"/>
      <c r="Q1760" s="145"/>
      <c r="R1760" s="145"/>
      <c r="S1760" s="145"/>
      <c r="T1760" s="145"/>
      <c r="U1760" s="145"/>
      <c r="V1760" s="145"/>
      <c r="W1760" s="145"/>
      <c r="X1760" s="145"/>
      <c r="Y1760" s="145"/>
      <c r="Z1760" s="145"/>
      <c r="AA1760" s="145"/>
      <c r="AB1760" s="145"/>
      <c r="AC1760" s="145"/>
      <c r="AD1760" s="145"/>
      <c r="AE1760" s="145"/>
      <c r="AF1760" s="145"/>
      <c r="AG1760" s="145"/>
      <c r="AH1760" s="145"/>
      <c r="AI1760" s="145"/>
      <c r="AJ1760" s="145"/>
      <c r="AK1760" s="145"/>
      <c r="AL1760" s="145"/>
      <c r="AM1760" s="321"/>
      <c r="AN1760" s="321"/>
      <c r="AO1760" s="321"/>
      <c r="AP1760" s="321"/>
      <c r="AQ1760" s="321"/>
      <c r="AR1760" s="321"/>
      <c r="AS1760" s="321"/>
      <c r="AT1760" s="321"/>
    </row>
    <row r="1761" spans="10:46">
      <c r="J1761" s="145"/>
      <c r="K1761" s="145"/>
      <c r="L1761" s="145"/>
      <c r="M1761" s="145"/>
      <c r="N1761" s="145"/>
      <c r="O1761" s="145"/>
      <c r="P1761" s="145"/>
      <c r="Q1761" s="145"/>
      <c r="R1761" s="145"/>
      <c r="S1761" s="145"/>
      <c r="T1761" s="145"/>
      <c r="U1761" s="145"/>
      <c r="V1761" s="145"/>
      <c r="W1761" s="145"/>
      <c r="X1761" s="145"/>
      <c r="Y1761" s="145"/>
      <c r="Z1761" s="145"/>
      <c r="AA1761" s="145"/>
      <c r="AB1761" s="145"/>
      <c r="AC1761" s="145"/>
      <c r="AD1761" s="145"/>
      <c r="AE1761" s="145"/>
      <c r="AF1761" s="145"/>
      <c r="AG1761" s="145"/>
      <c r="AH1761" s="145"/>
      <c r="AI1761" s="145"/>
      <c r="AJ1761" s="145"/>
      <c r="AK1761" s="145"/>
      <c r="AL1761" s="145"/>
      <c r="AM1761" s="321"/>
      <c r="AN1761" s="321"/>
      <c r="AO1761" s="321"/>
      <c r="AP1761" s="321"/>
      <c r="AQ1761" s="321"/>
      <c r="AR1761" s="321"/>
      <c r="AS1761" s="321"/>
      <c r="AT1761" s="321"/>
    </row>
    <row r="1762" spans="10:46">
      <c r="J1762" s="145"/>
      <c r="K1762" s="145"/>
      <c r="L1762" s="145"/>
      <c r="M1762" s="145"/>
      <c r="N1762" s="145"/>
      <c r="O1762" s="145"/>
      <c r="P1762" s="145"/>
      <c r="Q1762" s="145"/>
      <c r="R1762" s="145"/>
      <c r="S1762" s="145"/>
      <c r="T1762" s="145"/>
      <c r="U1762" s="145"/>
      <c r="V1762" s="145"/>
      <c r="W1762" s="145"/>
      <c r="X1762" s="145"/>
      <c r="Y1762" s="145"/>
      <c r="Z1762" s="145"/>
      <c r="AA1762" s="145"/>
      <c r="AB1762" s="145"/>
      <c r="AC1762" s="145"/>
      <c r="AD1762" s="145"/>
      <c r="AE1762" s="145"/>
      <c r="AF1762" s="145"/>
      <c r="AG1762" s="145"/>
      <c r="AH1762" s="145"/>
      <c r="AI1762" s="145"/>
      <c r="AJ1762" s="145"/>
      <c r="AK1762" s="145"/>
      <c r="AL1762" s="145"/>
      <c r="AM1762" s="321"/>
      <c r="AN1762" s="321"/>
      <c r="AO1762" s="321"/>
      <c r="AP1762" s="321"/>
      <c r="AQ1762" s="321"/>
      <c r="AR1762" s="321"/>
      <c r="AS1762" s="321"/>
      <c r="AT1762" s="321"/>
    </row>
    <row r="1763" spans="10:46">
      <c r="J1763" s="145"/>
      <c r="K1763" s="145"/>
      <c r="L1763" s="145"/>
      <c r="M1763" s="145"/>
      <c r="N1763" s="145"/>
      <c r="O1763" s="145"/>
      <c r="P1763" s="145"/>
      <c r="Q1763" s="145"/>
      <c r="R1763" s="145"/>
      <c r="S1763" s="145"/>
      <c r="T1763" s="145"/>
      <c r="U1763" s="145"/>
      <c r="V1763" s="145"/>
      <c r="W1763" s="145"/>
      <c r="X1763" s="145"/>
      <c r="Y1763" s="145"/>
      <c r="Z1763" s="145"/>
      <c r="AA1763" s="145"/>
      <c r="AB1763" s="145"/>
      <c r="AC1763" s="145"/>
      <c r="AD1763" s="145"/>
      <c r="AE1763" s="145"/>
      <c r="AF1763" s="145"/>
      <c r="AG1763" s="145"/>
      <c r="AH1763" s="145"/>
      <c r="AI1763" s="145"/>
      <c r="AJ1763" s="145"/>
      <c r="AK1763" s="145"/>
      <c r="AL1763" s="145"/>
      <c r="AM1763" s="321"/>
      <c r="AN1763" s="321"/>
      <c r="AO1763" s="321"/>
      <c r="AP1763" s="321"/>
      <c r="AQ1763" s="321"/>
      <c r="AR1763" s="321"/>
      <c r="AS1763" s="321"/>
      <c r="AT1763" s="321"/>
    </row>
    <row r="1764" spans="10:46">
      <c r="J1764" s="145"/>
      <c r="K1764" s="145"/>
      <c r="L1764" s="145"/>
      <c r="M1764" s="145"/>
      <c r="N1764" s="145"/>
      <c r="O1764" s="145"/>
      <c r="P1764" s="145"/>
      <c r="Q1764" s="145"/>
      <c r="R1764" s="145"/>
      <c r="S1764" s="145"/>
      <c r="T1764" s="145"/>
      <c r="U1764" s="145"/>
      <c r="V1764" s="145"/>
      <c r="W1764" s="145"/>
      <c r="X1764" s="145"/>
      <c r="Y1764" s="145"/>
      <c r="Z1764" s="145"/>
      <c r="AA1764" s="145"/>
      <c r="AB1764" s="145"/>
      <c r="AC1764" s="145"/>
      <c r="AD1764" s="145"/>
      <c r="AE1764" s="145"/>
      <c r="AF1764" s="145"/>
      <c r="AG1764" s="145"/>
      <c r="AH1764" s="145"/>
      <c r="AI1764" s="145"/>
      <c r="AJ1764" s="145"/>
      <c r="AK1764" s="145"/>
      <c r="AL1764" s="145"/>
      <c r="AM1764" s="321"/>
      <c r="AN1764" s="321"/>
      <c r="AO1764" s="321"/>
      <c r="AP1764" s="321"/>
      <c r="AQ1764" s="321"/>
      <c r="AR1764" s="321"/>
      <c r="AS1764" s="321"/>
      <c r="AT1764" s="321"/>
    </row>
    <row r="1765" spans="10:46">
      <c r="J1765" s="145"/>
      <c r="K1765" s="145"/>
      <c r="L1765" s="145"/>
      <c r="M1765" s="145"/>
      <c r="N1765" s="145"/>
      <c r="O1765" s="145"/>
      <c r="P1765" s="145"/>
      <c r="Q1765" s="145"/>
      <c r="R1765" s="145"/>
      <c r="S1765" s="145"/>
      <c r="T1765" s="145"/>
      <c r="U1765" s="145"/>
      <c r="V1765" s="145"/>
      <c r="W1765" s="145"/>
      <c r="X1765" s="145"/>
      <c r="Y1765" s="145"/>
      <c r="Z1765" s="145"/>
      <c r="AA1765" s="145"/>
      <c r="AB1765" s="145"/>
      <c r="AC1765" s="145"/>
      <c r="AD1765" s="145"/>
      <c r="AE1765" s="145"/>
      <c r="AF1765" s="145"/>
      <c r="AG1765" s="145"/>
      <c r="AH1765" s="145"/>
      <c r="AI1765" s="145"/>
      <c r="AJ1765" s="145"/>
      <c r="AK1765" s="145"/>
      <c r="AL1765" s="145"/>
      <c r="AM1765" s="321"/>
      <c r="AN1765" s="321"/>
      <c r="AO1765" s="321"/>
      <c r="AP1765" s="321"/>
      <c r="AQ1765" s="321"/>
      <c r="AR1765" s="321"/>
      <c r="AS1765" s="321"/>
      <c r="AT1765" s="321"/>
    </row>
    <row r="1766" spans="10:46">
      <c r="J1766" s="145"/>
      <c r="K1766" s="145"/>
      <c r="L1766" s="145"/>
      <c r="M1766" s="145"/>
      <c r="N1766" s="145"/>
      <c r="O1766" s="145"/>
      <c r="P1766" s="145"/>
      <c r="Q1766" s="145"/>
      <c r="R1766" s="145"/>
      <c r="S1766" s="145"/>
      <c r="T1766" s="145"/>
      <c r="U1766" s="145"/>
      <c r="V1766" s="145"/>
      <c r="W1766" s="145"/>
      <c r="X1766" s="145"/>
      <c r="Y1766" s="145"/>
      <c r="Z1766" s="145"/>
      <c r="AA1766" s="145"/>
      <c r="AB1766" s="145"/>
      <c r="AC1766" s="145"/>
      <c r="AD1766" s="145"/>
      <c r="AE1766" s="145"/>
      <c r="AF1766" s="145"/>
      <c r="AG1766" s="145"/>
      <c r="AH1766" s="145"/>
      <c r="AI1766" s="145"/>
      <c r="AJ1766" s="145"/>
      <c r="AK1766" s="145"/>
      <c r="AL1766" s="145"/>
      <c r="AM1766" s="321"/>
      <c r="AN1766" s="321"/>
      <c r="AO1766" s="321"/>
      <c r="AP1766" s="321"/>
      <c r="AQ1766" s="321"/>
      <c r="AR1766" s="321"/>
      <c r="AS1766" s="321"/>
      <c r="AT1766" s="321"/>
    </row>
    <row r="1767" spans="10:46">
      <c r="J1767" s="145"/>
      <c r="K1767" s="145"/>
      <c r="L1767" s="145"/>
      <c r="M1767" s="145"/>
      <c r="N1767" s="145"/>
      <c r="O1767" s="145"/>
      <c r="P1767" s="145"/>
      <c r="Q1767" s="145"/>
      <c r="R1767" s="145"/>
      <c r="S1767" s="145"/>
      <c r="T1767" s="145"/>
      <c r="U1767" s="145"/>
      <c r="V1767" s="145"/>
      <c r="W1767" s="145"/>
      <c r="X1767" s="145"/>
      <c r="Y1767" s="145"/>
      <c r="Z1767" s="145"/>
      <c r="AA1767" s="145"/>
      <c r="AB1767" s="145"/>
      <c r="AC1767" s="145"/>
      <c r="AD1767" s="145"/>
      <c r="AE1767" s="145"/>
      <c r="AF1767" s="145"/>
      <c r="AG1767" s="145"/>
      <c r="AH1767" s="145"/>
      <c r="AI1767" s="145"/>
      <c r="AJ1767" s="145"/>
      <c r="AK1767" s="145"/>
      <c r="AL1767" s="145"/>
      <c r="AM1767" s="321"/>
      <c r="AN1767" s="321"/>
      <c r="AO1767" s="321"/>
      <c r="AP1767" s="321"/>
      <c r="AQ1767" s="321"/>
      <c r="AR1767" s="321"/>
      <c r="AS1767" s="321"/>
      <c r="AT1767" s="321"/>
    </row>
    <row r="1768" spans="10:46">
      <c r="J1768" s="145"/>
      <c r="K1768" s="145"/>
      <c r="L1768" s="145"/>
      <c r="M1768" s="145"/>
      <c r="N1768" s="145"/>
      <c r="O1768" s="145"/>
      <c r="P1768" s="145"/>
      <c r="Q1768" s="145"/>
      <c r="R1768" s="145"/>
      <c r="S1768" s="145"/>
      <c r="T1768" s="145"/>
      <c r="U1768" s="145"/>
      <c r="V1768" s="145"/>
      <c r="W1768" s="145"/>
      <c r="X1768" s="145"/>
      <c r="Y1768" s="145"/>
      <c r="Z1768" s="145"/>
      <c r="AA1768" s="145"/>
      <c r="AB1768" s="145"/>
      <c r="AC1768" s="145"/>
      <c r="AD1768" s="145"/>
      <c r="AE1768" s="145"/>
      <c r="AF1768" s="145"/>
      <c r="AG1768" s="145"/>
      <c r="AH1768" s="145"/>
      <c r="AI1768" s="145"/>
      <c r="AJ1768" s="145"/>
      <c r="AK1768" s="145"/>
      <c r="AL1768" s="145"/>
      <c r="AM1768" s="321"/>
      <c r="AN1768" s="321"/>
      <c r="AO1768" s="321"/>
      <c r="AP1768" s="321"/>
      <c r="AQ1768" s="321"/>
      <c r="AR1768" s="321"/>
      <c r="AS1768" s="321"/>
      <c r="AT1768" s="321"/>
    </row>
    <row r="1769" spans="10:46">
      <c r="J1769" s="145"/>
      <c r="K1769" s="145"/>
      <c r="L1769" s="145"/>
      <c r="M1769" s="145"/>
      <c r="N1769" s="145"/>
      <c r="O1769" s="145"/>
      <c r="P1769" s="145"/>
      <c r="Q1769" s="145"/>
      <c r="R1769" s="145"/>
      <c r="S1769" s="145"/>
      <c r="T1769" s="145"/>
      <c r="U1769" s="145"/>
      <c r="V1769" s="145"/>
      <c r="W1769" s="145"/>
      <c r="X1769" s="145"/>
      <c r="Y1769" s="145"/>
      <c r="Z1769" s="145"/>
      <c r="AA1769" s="145"/>
      <c r="AB1769" s="145"/>
      <c r="AC1769" s="145"/>
      <c r="AD1769" s="145"/>
      <c r="AE1769" s="145"/>
      <c r="AF1769" s="145"/>
      <c r="AG1769" s="145"/>
      <c r="AH1769" s="145"/>
      <c r="AI1769" s="145"/>
      <c r="AJ1769" s="145"/>
      <c r="AK1769" s="145"/>
      <c r="AL1769" s="145"/>
      <c r="AM1769" s="321"/>
      <c r="AN1769" s="321"/>
      <c r="AO1769" s="321"/>
      <c r="AP1769" s="321"/>
      <c r="AQ1769" s="321"/>
      <c r="AR1769" s="321"/>
      <c r="AS1769" s="321"/>
      <c r="AT1769" s="321"/>
    </row>
    <row r="1770" spans="10:46">
      <c r="J1770" s="145"/>
      <c r="K1770" s="145"/>
      <c r="L1770" s="145"/>
      <c r="M1770" s="145"/>
      <c r="N1770" s="145"/>
      <c r="O1770" s="145"/>
      <c r="P1770" s="145"/>
      <c r="Q1770" s="145"/>
      <c r="R1770" s="145"/>
      <c r="S1770" s="145"/>
      <c r="T1770" s="145"/>
      <c r="U1770" s="145"/>
      <c r="V1770" s="145"/>
      <c r="W1770" s="145"/>
      <c r="X1770" s="145"/>
      <c r="Y1770" s="145"/>
      <c r="Z1770" s="145"/>
      <c r="AA1770" s="145"/>
      <c r="AB1770" s="145"/>
      <c r="AC1770" s="145"/>
      <c r="AD1770" s="145"/>
      <c r="AE1770" s="145"/>
      <c r="AF1770" s="145"/>
      <c r="AG1770" s="145"/>
      <c r="AH1770" s="145"/>
      <c r="AI1770" s="145"/>
      <c r="AJ1770" s="145"/>
      <c r="AK1770" s="145"/>
      <c r="AL1770" s="145"/>
      <c r="AM1770" s="321"/>
      <c r="AN1770" s="321"/>
      <c r="AO1770" s="321"/>
      <c r="AP1770" s="321"/>
      <c r="AQ1770" s="321"/>
      <c r="AR1770" s="321"/>
      <c r="AS1770" s="321"/>
      <c r="AT1770" s="321"/>
    </row>
    <row r="1771" spans="10:46">
      <c r="J1771" s="145"/>
      <c r="K1771" s="145"/>
      <c r="L1771" s="145"/>
      <c r="M1771" s="145"/>
      <c r="N1771" s="145"/>
      <c r="O1771" s="145"/>
      <c r="P1771" s="145"/>
      <c r="Q1771" s="145"/>
      <c r="R1771" s="145"/>
      <c r="S1771" s="145"/>
      <c r="T1771" s="145"/>
      <c r="U1771" s="145"/>
      <c r="V1771" s="145"/>
      <c r="W1771" s="145"/>
      <c r="X1771" s="145"/>
      <c r="Y1771" s="145"/>
      <c r="Z1771" s="145"/>
      <c r="AA1771" s="145"/>
      <c r="AB1771" s="145"/>
      <c r="AC1771" s="145"/>
      <c r="AD1771" s="145"/>
      <c r="AE1771" s="145"/>
      <c r="AF1771" s="145"/>
      <c r="AG1771" s="145"/>
      <c r="AH1771" s="145"/>
      <c r="AI1771" s="145"/>
      <c r="AJ1771" s="145"/>
      <c r="AK1771" s="145"/>
      <c r="AL1771" s="145"/>
      <c r="AM1771" s="321"/>
      <c r="AN1771" s="321"/>
      <c r="AO1771" s="321"/>
      <c r="AP1771" s="321"/>
      <c r="AQ1771" s="321"/>
      <c r="AR1771" s="321"/>
      <c r="AS1771" s="321"/>
      <c r="AT1771" s="321"/>
    </row>
    <row r="1772" spans="10:46">
      <c r="J1772" s="145"/>
      <c r="K1772" s="145"/>
      <c r="L1772" s="145"/>
      <c r="M1772" s="145"/>
      <c r="N1772" s="145"/>
      <c r="O1772" s="145"/>
      <c r="P1772" s="145"/>
      <c r="Q1772" s="145"/>
      <c r="R1772" s="145"/>
      <c r="S1772" s="145"/>
      <c r="T1772" s="145"/>
      <c r="U1772" s="145"/>
      <c r="V1772" s="145"/>
      <c r="W1772" s="145"/>
      <c r="X1772" s="145"/>
      <c r="Y1772" s="145"/>
      <c r="Z1772" s="145"/>
      <c r="AA1772" s="145"/>
      <c r="AB1772" s="145"/>
      <c r="AC1772" s="145"/>
      <c r="AD1772" s="145"/>
      <c r="AE1772" s="145"/>
      <c r="AF1772" s="145"/>
      <c r="AG1772" s="145"/>
      <c r="AH1772" s="145"/>
      <c r="AI1772" s="145"/>
      <c r="AJ1772" s="145"/>
      <c r="AK1772" s="145"/>
      <c r="AL1772" s="145"/>
      <c r="AM1772" s="321"/>
      <c r="AN1772" s="321"/>
      <c r="AO1772" s="321"/>
      <c r="AP1772" s="321"/>
      <c r="AQ1772" s="321"/>
      <c r="AR1772" s="321"/>
      <c r="AS1772" s="321"/>
      <c r="AT1772" s="321"/>
    </row>
    <row r="1773" spans="10:46">
      <c r="J1773" s="145"/>
      <c r="K1773" s="145"/>
      <c r="L1773" s="145"/>
      <c r="M1773" s="145"/>
      <c r="N1773" s="145"/>
      <c r="O1773" s="145"/>
      <c r="P1773" s="145"/>
      <c r="Q1773" s="145"/>
      <c r="R1773" s="145"/>
      <c r="S1773" s="145"/>
      <c r="T1773" s="145"/>
      <c r="U1773" s="145"/>
      <c r="V1773" s="145"/>
      <c r="W1773" s="145"/>
      <c r="X1773" s="145"/>
      <c r="Y1773" s="145"/>
      <c r="Z1773" s="145"/>
      <c r="AA1773" s="145"/>
      <c r="AB1773" s="145"/>
      <c r="AC1773" s="145"/>
      <c r="AD1773" s="145"/>
      <c r="AE1773" s="145"/>
      <c r="AF1773" s="145"/>
      <c r="AG1773" s="145"/>
      <c r="AH1773" s="145"/>
      <c r="AI1773" s="145"/>
      <c r="AJ1773" s="145"/>
      <c r="AK1773" s="145"/>
      <c r="AL1773" s="145"/>
      <c r="AM1773" s="321"/>
      <c r="AN1773" s="321"/>
      <c r="AO1773" s="321"/>
      <c r="AP1773" s="321"/>
      <c r="AQ1773" s="321"/>
      <c r="AR1773" s="321"/>
      <c r="AS1773" s="321"/>
      <c r="AT1773" s="321"/>
    </row>
    <row r="1774" spans="10:46">
      <c r="J1774" s="145"/>
      <c r="K1774" s="145"/>
      <c r="L1774" s="145"/>
      <c r="M1774" s="145"/>
      <c r="N1774" s="145"/>
      <c r="O1774" s="145"/>
      <c r="P1774" s="145"/>
      <c r="Q1774" s="145"/>
      <c r="R1774" s="145"/>
      <c r="S1774" s="145"/>
      <c r="T1774" s="145"/>
      <c r="U1774" s="145"/>
      <c r="V1774" s="145"/>
      <c r="W1774" s="145"/>
      <c r="X1774" s="145"/>
      <c r="Y1774" s="145"/>
      <c r="Z1774" s="145"/>
      <c r="AA1774" s="145"/>
      <c r="AB1774" s="145"/>
      <c r="AC1774" s="145"/>
      <c r="AD1774" s="145"/>
      <c r="AE1774" s="145"/>
      <c r="AF1774" s="145"/>
      <c r="AG1774" s="145"/>
      <c r="AH1774" s="145"/>
      <c r="AI1774" s="145"/>
      <c r="AJ1774" s="145"/>
      <c r="AK1774" s="145"/>
      <c r="AL1774" s="145"/>
      <c r="AM1774" s="321"/>
      <c r="AN1774" s="321"/>
      <c r="AO1774" s="321"/>
      <c r="AP1774" s="321"/>
      <c r="AQ1774" s="321"/>
      <c r="AR1774" s="321"/>
      <c r="AS1774" s="321"/>
      <c r="AT1774" s="321"/>
    </row>
    <row r="1775" spans="10:46">
      <c r="J1775" s="145"/>
      <c r="K1775" s="145"/>
      <c r="L1775" s="145"/>
      <c r="M1775" s="145"/>
      <c r="N1775" s="145"/>
      <c r="O1775" s="145"/>
      <c r="P1775" s="145"/>
      <c r="Q1775" s="145"/>
      <c r="R1775" s="145"/>
      <c r="S1775" s="145"/>
      <c r="T1775" s="145"/>
      <c r="U1775" s="145"/>
      <c r="V1775" s="145"/>
      <c r="W1775" s="145"/>
      <c r="X1775" s="145"/>
      <c r="Y1775" s="145"/>
      <c r="Z1775" s="145"/>
      <c r="AA1775" s="145"/>
      <c r="AB1775" s="145"/>
      <c r="AC1775" s="145"/>
      <c r="AD1775" s="145"/>
      <c r="AE1775" s="145"/>
      <c r="AF1775" s="145"/>
      <c r="AG1775" s="145"/>
      <c r="AH1775" s="145"/>
      <c r="AI1775" s="145"/>
      <c r="AJ1775" s="145"/>
      <c r="AK1775" s="145"/>
      <c r="AL1775" s="145"/>
      <c r="AM1775" s="321"/>
      <c r="AN1775" s="321"/>
      <c r="AO1775" s="321"/>
      <c r="AP1775" s="321"/>
      <c r="AQ1775" s="321"/>
      <c r="AR1775" s="321"/>
      <c r="AS1775" s="321"/>
      <c r="AT1775" s="321"/>
    </row>
    <row r="1776" spans="10:46">
      <c r="J1776" s="145"/>
      <c r="K1776" s="145"/>
      <c r="L1776" s="145"/>
      <c r="M1776" s="145"/>
      <c r="N1776" s="145"/>
      <c r="O1776" s="145"/>
      <c r="P1776" s="145"/>
      <c r="Q1776" s="145"/>
      <c r="R1776" s="145"/>
      <c r="S1776" s="145"/>
      <c r="T1776" s="145"/>
      <c r="U1776" s="145"/>
      <c r="V1776" s="145"/>
      <c r="W1776" s="145"/>
      <c r="X1776" s="145"/>
      <c r="Y1776" s="145"/>
      <c r="Z1776" s="145"/>
      <c r="AA1776" s="145"/>
      <c r="AB1776" s="145"/>
      <c r="AC1776" s="145"/>
      <c r="AD1776" s="145"/>
      <c r="AE1776" s="145"/>
      <c r="AF1776" s="145"/>
      <c r="AG1776" s="145"/>
      <c r="AH1776" s="145"/>
      <c r="AI1776" s="145"/>
      <c r="AJ1776" s="145"/>
      <c r="AK1776" s="145"/>
      <c r="AL1776" s="145"/>
      <c r="AM1776" s="321"/>
      <c r="AN1776" s="321"/>
      <c r="AO1776" s="321"/>
      <c r="AP1776" s="321"/>
      <c r="AQ1776" s="321"/>
      <c r="AR1776" s="321"/>
      <c r="AS1776" s="321"/>
      <c r="AT1776" s="321"/>
    </row>
    <row r="1777" spans="10:46">
      <c r="J1777" s="145"/>
      <c r="K1777" s="145"/>
      <c r="L1777" s="145"/>
      <c r="M1777" s="145"/>
      <c r="N1777" s="145"/>
      <c r="O1777" s="145"/>
      <c r="P1777" s="145"/>
      <c r="Q1777" s="145"/>
      <c r="R1777" s="145"/>
      <c r="S1777" s="145"/>
      <c r="T1777" s="145"/>
      <c r="U1777" s="145"/>
      <c r="V1777" s="145"/>
      <c r="W1777" s="145"/>
      <c r="X1777" s="145"/>
      <c r="Y1777" s="145"/>
      <c r="Z1777" s="145"/>
      <c r="AA1777" s="145"/>
      <c r="AB1777" s="145"/>
      <c r="AC1777" s="145"/>
      <c r="AD1777" s="145"/>
      <c r="AE1777" s="145"/>
      <c r="AF1777" s="145"/>
      <c r="AG1777" s="145"/>
      <c r="AH1777" s="145"/>
      <c r="AI1777" s="145"/>
      <c r="AJ1777" s="145"/>
      <c r="AK1777" s="145"/>
      <c r="AL1777" s="145"/>
      <c r="AM1777" s="321"/>
      <c r="AN1777" s="321"/>
      <c r="AO1777" s="321"/>
      <c r="AP1777" s="321"/>
      <c r="AQ1777" s="321"/>
      <c r="AR1777" s="321"/>
      <c r="AS1777" s="321"/>
      <c r="AT1777" s="321"/>
    </row>
    <row r="1778" spans="10:46">
      <c r="J1778" s="145"/>
      <c r="K1778" s="145"/>
      <c r="L1778" s="145"/>
      <c r="M1778" s="145"/>
      <c r="N1778" s="145"/>
      <c r="O1778" s="145"/>
      <c r="P1778" s="145"/>
      <c r="Q1778" s="145"/>
      <c r="R1778" s="145"/>
      <c r="S1778" s="145"/>
      <c r="T1778" s="145"/>
      <c r="U1778" s="145"/>
      <c r="V1778" s="145"/>
      <c r="W1778" s="145"/>
      <c r="X1778" s="145"/>
      <c r="Y1778" s="145"/>
      <c r="Z1778" s="145"/>
      <c r="AA1778" s="145"/>
      <c r="AB1778" s="145"/>
      <c r="AC1778" s="145"/>
      <c r="AD1778" s="145"/>
      <c r="AE1778" s="145"/>
      <c r="AF1778" s="145"/>
      <c r="AG1778" s="145"/>
      <c r="AH1778" s="145"/>
      <c r="AI1778" s="145"/>
      <c r="AJ1778" s="145"/>
      <c r="AK1778" s="145"/>
      <c r="AL1778" s="145"/>
      <c r="AM1778" s="321"/>
      <c r="AN1778" s="321"/>
      <c r="AO1778" s="321"/>
      <c r="AP1778" s="321"/>
      <c r="AQ1778" s="321"/>
      <c r="AR1778" s="321"/>
      <c r="AS1778" s="321"/>
      <c r="AT1778" s="321"/>
    </row>
    <row r="1779" spans="10:46">
      <c r="J1779" s="145"/>
      <c r="K1779" s="145"/>
      <c r="L1779" s="145"/>
      <c r="M1779" s="145"/>
      <c r="N1779" s="145"/>
      <c r="O1779" s="145"/>
      <c r="P1779" s="145"/>
      <c r="Q1779" s="145"/>
      <c r="R1779" s="145"/>
      <c r="S1779" s="145"/>
      <c r="T1779" s="145"/>
      <c r="U1779" s="145"/>
      <c r="V1779" s="145"/>
      <c r="W1779" s="145"/>
      <c r="X1779" s="145"/>
      <c r="Y1779" s="145"/>
      <c r="Z1779" s="145"/>
      <c r="AA1779" s="145"/>
      <c r="AB1779" s="145"/>
      <c r="AC1779" s="145"/>
      <c r="AD1779" s="145"/>
      <c r="AE1779" s="145"/>
      <c r="AF1779" s="145"/>
      <c r="AG1779" s="145"/>
      <c r="AH1779" s="145"/>
      <c r="AI1779" s="145"/>
      <c r="AJ1779" s="145"/>
      <c r="AK1779" s="145"/>
      <c r="AL1779" s="145"/>
      <c r="AM1779" s="321"/>
      <c r="AN1779" s="321"/>
      <c r="AO1779" s="321"/>
      <c r="AP1779" s="321"/>
      <c r="AQ1779" s="321"/>
      <c r="AR1779" s="321"/>
      <c r="AS1779" s="321"/>
      <c r="AT1779" s="321"/>
    </row>
    <row r="1780" spans="10:46">
      <c r="J1780" s="145"/>
      <c r="K1780" s="145"/>
      <c r="L1780" s="145"/>
      <c r="M1780" s="145"/>
      <c r="N1780" s="145"/>
      <c r="O1780" s="145"/>
      <c r="P1780" s="145"/>
      <c r="Q1780" s="145"/>
      <c r="R1780" s="145"/>
      <c r="S1780" s="145"/>
      <c r="T1780" s="145"/>
      <c r="U1780" s="145"/>
      <c r="V1780" s="145"/>
      <c r="W1780" s="145"/>
      <c r="X1780" s="145"/>
      <c r="Y1780" s="145"/>
      <c r="Z1780" s="145"/>
      <c r="AA1780" s="145"/>
      <c r="AB1780" s="145"/>
      <c r="AC1780" s="145"/>
      <c r="AD1780" s="145"/>
      <c r="AE1780" s="145"/>
      <c r="AF1780" s="145"/>
      <c r="AG1780" s="145"/>
      <c r="AH1780" s="145"/>
      <c r="AI1780" s="145"/>
      <c r="AJ1780" s="145"/>
      <c r="AK1780" s="145"/>
      <c r="AL1780" s="145"/>
      <c r="AM1780" s="321"/>
      <c r="AN1780" s="321"/>
      <c r="AO1780" s="321"/>
      <c r="AP1780" s="321"/>
      <c r="AQ1780" s="321"/>
      <c r="AR1780" s="321"/>
      <c r="AS1780" s="321"/>
      <c r="AT1780" s="321"/>
    </row>
    <row r="1781" spans="10:46">
      <c r="J1781" s="145"/>
      <c r="K1781" s="145"/>
      <c r="L1781" s="145"/>
      <c r="M1781" s="145"/>
      <c r="N1781" s="145"/>
      <c r="O1781" s="145"/>
      <c r="P1781" s="145"/>
      <c r="Q1781" s="145"/>
      <c r="R1781" s="145"/>
      <c r="S1781" s="145"/>
      <c r="T1781" s="145"/>
      <c r="U1781" s="145"/>
      <c r="V1781" s="145"/>
      <c r="W1781" s="145"/>
      <c r="X1781" s="145"/>
      <c r="Y1781" s="145"/>
      <c r="Z1781" s="145"/>
      <c r="AA1781" s="145"/>
      <c r="AB1781" s="145"/>
      <c r="AC1781" s="145"/>
      <c r="AD1781" s="145"/>
      <c r="AE1781" s="145"/>
      <c r="AF1781" s="145"/>
      <c r="AG1781" s="145"/>
      <c r="AH1781" s="145"/>
      <c r="AI1781" s="145"/>
      <c r="AJ1781" s="145"/>
      <c r="AK1781" s="145"/>
      <c r="AL1781" s="145"/>
      <c r="AM1781" s="321"/>
      <c r="AN1781" s="321"/>
      <c r="AO1781" s="321"/>
      <c r="AP1781" s="321"/>
      <c r="AQ1781" s="321"/>
      <c r="AR1781" s="321"/>
      <c r="AS1781" s="321"/>
      <c r="AT1781" s="321"/>
    </row>
    <row r="1782" spans="10:46">
      <c r="J1782" s="145"/>
      <c r="K1782" s="145"/>
      <c r="L1782" s="145"/>
      <c r="M1782" s="145"/>
      <c r="N1782" s="145"/>
      <c r="O1782" s="145"/>
      <c r="P1782" s="145"/>
      <c r="Q1782" s="145"/>
      <c r="R1782" s="145"/>
      <c r="S1782" s="145"/>
      <c r="T1782" s="145"/>
      <c r="U1782" s="145"/>
      <c r="V1782" s="145"/>
      <c r="W1782" s="145"/>
      <c r="X1782" s="145"/>
      <c r="Y1782" s="145"/>
      <c r="Z1782" s="145"/>
      <c r="AA1782" s="145"/>
      <c r="AB1782" s="145"/>
      <c r="AC1782" s="145"/>
      <c r="AD1782" s="145"/>
      <c r="AE1782" s="145"/>
      <c r="AF1782" s="145"/>
      <c r="AG1782" s="145"/>
      <c r="AH1782" s="145"/>
      <c r="AI1782" s="145"/>
      <c r="AJ1782" s="145"/>
      <c r="AK1782" s="145"/>
      <c r="AL1782" s="145"/>
      <c r="AM1782" s="321"/>
      <c r="AN1782" s="321"/>
      <c r="AO1782" s="321"/>
      <c r="AP1782" s="321"/>
      <c r="AQ1782" s="321"/>
      <c r="AR1782" s="321"/>
      <c r="AS1782" s="321"/>
      <c r="AT1782" s="321"/>
    </row>
    <row r="1783" spans="10:46">
      <c r="J1783" s="145"/>
      <c r="K1783" s="145"/>
      <c r="L1783" s="145"/>
      <c r="M1783" s="145"/>
      <c r="N1783" s="145"/>
      <c r="O1783" s="145"/>
      <c r="P1783" s="145"/>
      <c r="Q1783" s="145"/>
      <c r="R1783" s="145"/>
      <c r="S1783" s="145"/>
      <c r="T1783" s="145"/>
      <c r="U1783" s="145"/>
      <c r="V1783" s="145"/>
      <c r="W1783" s="145"/>
      <c r="X1783" s="145"/>
      <c r="Y1783" s="145"/>
      <c r="Z1783" s="145"/>
      <c r="AA1783" s="145"/>
      <c r="AB1783" s="145"/>
      <c r="AC1783" s="145"/>
      <c r="AD1783" s="145"/>
      <c r="AE1783" s="145"/>
      <c r="AF1783" s="145"/>
      <c r="AG1783" s="145"/>
      <c r="AH1783" s="145"/>
      <c r="AI1783" s="145"/>
      <c r="AJ1783" s="145"/>
      <c r="AK1783" s="145"/>
      <c r="AL1783" s="145"/>
      <c r="AM1783" s="321"/>
      <c r="AN1783" s="321"/>
      <c r="AO1783" s="321"/>
      <c r="AP1783" s="321"/>
      <c r="AQ1783" s="321"/>
      <c r="AR1783" s="321"/>
      <c r="AS1783" s="321"/>
      <c r="AT1783" s="321"/>
    </row>
    <row r="1784" spans="10:46">
      <c r="J1784" s="145"/>
      <c r="K1784" s="145"/>
      <c r="L1784" s="145"/>
      <c r="M1784" s="145"/>
      <c r="N1784" s="145"/>
      <c r="O1784" s="145"/>
      <c r="P1784" s="145"/>
      <c r="Q1784" s="145"/>
      <c r="R1784" s="145"/>
      <c r="S1784" s="145"/>
      <c r="T1784" s="145"/>
      <c r="U1784" s="145"/>
      <c r="V1784" s="145"/>
      <c r="W1784" s="145"/>
      <c r="X1784" s="145"/>
      <c r="Y1784" s="145"/>
      <c r="Z1784" s="145"/>
      <c r="AA1784" s="145"/>
      <c r="AB1784" s="145"/>
      <c r="AC1784" s="145"/>
      <c r="AD1784" s="145"/>
      <c r="AE1784" s="145"/>
      <c r="AF1784" s="145"/>
      <c r="AG1784" s="145"/>
      <c r="AH1784" s="145"/>
      <c r="AI1784" s="145"/>
      <c r="AJ1784" s="145"/>
      <c r="AK1784" s="145"/>
      <c r="AL1784" s="145"/>
      <c r="AM1784" s="321"/>
      <c r="AN1784" s="321"/>
      <c r="AO1784" s="321"/>
      <c r="AP1784" s="321"/>
      <c r="AQ1784" s="321"/>
      <c r="AR1784" s="321"/>
      <c r="AS1784" s="321"/>
      <c r="AT1784" s="321"/>
    </row>
    <row r="1785" spans="10:46">
      <c r="J1785" s="145"/>
      <c r="K1785" s="145"/>
      <c r="L1785" s="145"/>
      <c r="M1785" s="145"/>
      <c r="N1785" s="145"/>
      <c r="O1785" s="145"/>
      <c r="P1785" s="145"/>
      <c r="Q1785" s="145"/>
      <c r="R1785" s="145"/>
      <c r="S1785" s="145"/>
      <c r="T1785" s="145"/>
      <c r="U1785" s="145"/>
      <c r="V1785" s="145"/>
      <c r="W1785" s="145"/>
      <c r="X1785" s="145"/>
      <c r="Y1785" s="145"/>
      <c r="Z1785" s="145"/>
      <c r="AA1785" s="145"/>
      <c r="AB1785" s="145"/>
      <c r="AC1785" s="145"/>
      <c r="AD1785" s="145"/>
      <c r="AE1785" s="145"/>
      <c r="AF1785" s="145"/>
      <c r="AG1785" s="145"/>
      <c r="AH1785" s="145"/>
      <c r="AI1785" s="145"/>
      <c r="AJ1785" s="145"/>
      <c r="AK1785" s="145"/>
      <c r="AL1785" s="145"/>
      <c r="AM1785" s="321"/>
      <c r="AN1785" s="321"/>
      <c r="AO1785" s="321"/>
      <c r="AP1785" s="321"/>
      <c r="AQ1785" s="321"/>
      <c r="AR1785" s="321"/>
      <c r="AS1785" s="321"/>
      <c r="AT1785" s="321"/>
    </row>
    <row r="1786" spans="10:46">
      <c r="J1786" s="145"/>
      <c r="K1786" s="145"/>
      <c r="L1786" s="145"/>
      <c r="M1786" s="145"/>
      <c r="N1786" s="145"/>
      <c r="O1786" s="145"/>
      <c r="P1786" s="145"/>
      <c r="Q1786" s="145"/>
      <c r="R1786" s="145"/>
      <c r="S1786" s="145"/>
      <c r="T1786" s="145"/>
      <c r="U1786" s="145"/>
      <c r="V1786" s="145"/>
      <c r="W1786" s="145"/>
      <c r="X1786" s="145"/>
      <c r="Y1786" s="145"/>
      <c r="Z1786" s="145"/>
      <c r="AA1786" s="145"/>
      <c r="AB1786" s="145"/>
      <c r="AC1786" s="145"/>
      <c r="AD1786" s="145"/>
      <c r="AE1786" s="145"/>
      <c r="AF1786" s="145"/>
      <c r="AG1786" s="145"/>
      <c r="AH1786" s="145"/>
      <c r="AI1786" s="145"/>
      <c r="AJ1786" s="145"/>
      <c r="AK1786" s="145"/>
      <c r="AL1786" s="145"/>
      <c r="AM1786" s="321"/>
      <c r="AN1786" s="321"/>
      <c r="AO1786" s="321"/>
      <c r="AP1786" s="321"/>
      <c r="AQ1786" s="321"/>
      <c r="AR1786" s="321"/>
      <c r="AS1786" s="321"/>
      <c r="AT1786" s="321"/>
    </row>
    <row r="1787" spans="10:46">
      <c r="J1787" s="145"/>
      <c r="K1787" s="145"/>
      <c r="L1787" s="145"/>
      <c r="M1787" s="145"/>
      <c r="N1787" s="145"/>
      <c r="O1787" s="145"/>
      <c r="P1787" s="145"/>
      <c r="Q1787" s="145"/>
      <c r="R1787" s="145"/>
      <c r="S1787" s="145"/>
      <c r="T1787" s="145"/>
      <c r="U1787" s="145"/>
      <c r="V1787" s="145"/>
      <c r="W1787" s="145"/>
      <c r="X1787" s="145"/>
      <c r="Y1787" s="145"/>
      <c r="Z1787" s="145"/>
      <c r="AA1787" s="145"/>
      <c r="AB1787" s="145"/>
      <c r="AC1787" s="145"/>
      <c r="AD1787" s="145"/>
      <c r="AE1787" s="145"/>
      <c r="AF1787" s="145"/>
      <c r="AG1787" s="145"/>
      <c r="AH1787" s="145"/>
      <c r="AI1787" s="145"/>
      <c r="AJ1787" s="145"/>
      <c r="AK1787" s="145"/>
      <c r="AL1787" s="145"/>
      <c r="AM1787" s="321"/>
      <c r="AN1787" s="321"/>
      <c r="AO1787" s="321"/>
      <c r="AP1787" s="321"/>
      <c r="AQ1787" s="321"/>
      <c r="AR1787" s="321"/>
      <c r="AS1787" s="321"/>
      <c r="AT1787" s="321"/>
    </row>
    <row r="1788" spans="10:46">
      <c r="J1788" s="145"/>
      <c r="K1788" s="145"/>
      <c r="L1788" s="145"/>
      <c r="M1788" s="145"/>
      <c r="N1788" s="145"/>
      <c r="O1788" s="145"/>
      <c r="P1788" s="145"/>
      <c r="Q1788" s="145"/>
      <c r="R1788" s="145"/>
      <c r="S1788" s="145"/>
      <c r="T1788" s="145"/>
      <c r="U1788" s="145"/>
      <c r="V1788" s="145"/>
      <c r="W1788" s="145"/>
      <c r="X1788" s="145"/>
      <c r="Y1788" s="145"/>
      <c r="Z1788" s="145"/>
      <c r="AA1788" s="145"/>
      <c r="AB1788" s="145"/>
      <c r="AC1788" s="145"/>
      <c r="AD1788" s="145"/>
      <c r="AE1788" s="145"/>
      <c r="AF1788" s="145"/>
      <c r="AG1788" s="145"/>
      <c r="AH1788" s="145"/>
      <c r="AI1788" s="145"/>
      <c r="AJ1788" s="145"/>
      <c r="AK1788" s="145"/>
      <c r="AL1788" s="145"/>
      <c r="AM1788" s="321"/>
      <c r="AN1788" s="321"/>
      <c r="AO1788" s="321"/>
      <c r="AP1788" s="321"/>
      <c r="AQ1788" s="321"/>
      <c r="AR1788" s="321"/>
      <c r="AS1788" s="321"/>
      <c r="AT1788" s="321"/>
    </row>
    <row r="1789" spans="10:46">
      <c r="J1789" s="145"/>
      <c r="K1789" s="145"/>
      <c r="L1789" s="145"/>
      <c r="M1789" s="145"/>
      <c r="N1789" s="145"/>
      <c r="O1789" s="145"/>
      <c r="P1789" s="145"/>
      <c r="Q1789" s="145"/>
      <c r="R1789" s="145"/>
      <c r="S1789" s="145"/>
      <c r="T1789" s="145"/>
      <c r="U1789" s="145"/>
      <c r="V1789" s="145"/>
      <c r="W1789" s="145"/>
      <c r="X1789" s="145"/>
      <c r="Y1789" s="145"/>
      <c r="Z1789" s="145"/>
      <c r="AA1789" s="145"/>
      <c r="AB1789" s="145"/>
      <c r="AC1789" s="145"/>
      <c r="AD1789" s="145"/>
      <c r="AE1789" s="145"/>
      <c r="AF1789" s="145"/>
      <c r="AG1789" s="145"/>
      <c r="AH1789" s="145"/>
      <c r="AI1789" s="145"/>
      <c r="AJ1789" s="145"/>
      <c r="AK1789" s="145"/>
      <c r="AL1789" s="145"/>
      <c r="AM1789" s="321"/>
      <c r="AN1789" s="321"/>
      <c r="AO1789" s="321"/>
      <c r="AP1789" s="321"/>
      <c r="AQ1789" s="321"/>
      <c r="AR1789" s="321"/>
      <c r="AS1789" s="321"/>
      <c r="AT1789" s="321"/>
    </row>
    <row r="1790" spans="10:46">
      <c r="J1790" s="145"/>
      <c r="K1790" s="145"/>
      <c r="L1790" s="145"/>
      <c r="M1790" s="145"/>
      <c r="N1790" s="145"/>
      <c r="O1790" s="145"/>
      <c r="P1790" s="145"/>
      <c r="Q1790" s="145"/>
      <c r="R1790" s="145"/>
      <c r="S1790" s="145"/>
      <c r="T1790" s="145"/>
      <c r="U1790" s="145"/>
      <c r="V1790" s="145"/>
      <c r="W1790" s="145"/>
      <c r="X1790" s="145"/>
      <c r="Y1790" s="145"/>
      <c r="Z1790" s="145"/>
      <c r="AA1790" s="145"/>
      <c r="AB1790" s="145"/>
      <c r="AC1790" s="145"/>
      <c r="AD1790" s="145"/>
      <c r="AE1790" s="145"/>
      <c r="AF1790" s="145"/>
      <c r="AG1790" s="145"/>
      <c r="AH1790" s="145"/>
      <c r="AI1790" s="145"/>
      <c r="AJ1790" s="145"/>
      <c r="AK1790" s="145"/>
      <c r="AL1790" s="145"/>
      <c r="AM1790" s="321"/>
      <c r="AN1790" s="321"/>
      <c r="AO1790" s="321"/>
      <c r="AP1790" s="321"/>
      <c r="AQ1790" s="321"/>
      <c r="AR1790" s="321"/>
      <c r="AS1790" s="321"/>
      <c r="AT1790" s="321"/>
    </row>
    <row r="1791" spans="10:46">
      <c r="J1791" s="145"/>
      <c r="K1791" s="145"/>
      <c r="L1791" s="145"/>
      <c r="M1791" s="145"/>
      <c r="N1791" s="145"/>
      <c r="O1791" s="145"/>
      <c r="P1791" s="145"/>
      <c r="Q1791" s="145"/>
      <c r="R1791" s="145"/>
      <c r="S1791" s="145"/>
      <c r="T1791" s="145"/>
      <c r="U1791" s="145"/>
      <c r="V1791" s="145"/>
      <c r="W1791" s="145"/>
      <c r="X1791" s="145"/>
      <c r="Y1791" s="145"/>
      <c r="Z1791" s="145"/>
      <c r="AA1791" s="145"/>
      <c r="AB1791" s="145"/>
      <c r="AC1791" s="145"/>
      <c r="AD1791" s="145"/>
      <c r="AE1791" s="145"/>
      <c r="AF1791" s="145"/>
      <c r="AG1791" s="145"/>
      <c r="AH1791" s="145"/>
      <c r="AI1791" s="145"/>
      <c r="AJ1791" s="145"/>
      <c r="AK1791" s="145"/>
      <c r="AL1791" s="145"/>
      <c r="AM1791" s="321"/>
      <c r="AN1791" s="321"/>
      <c r="AO1791" s="321"/>
      <c r="AP1791" s="321"/>
      <c r="AQ1791" s="321"/>
      <c r="AR1791" s="321"/>
      <c r="AS1791" s="321"/>
      <c r="AT1791" s="321"/>
    </row>
    <row r="1792" spans="10:46">
      <c r="J1792" s="145"/>
      <c r="K1792" s="145"/>
      <c r="L1792" s="145"/>
      <c r="M1792" s="145"/>
      <c r="N1792" s="145"/>
      <c r="O1792" s="145"/>
      <c r="P1792" s="145"/>
      <c r="Q1792" s="145"/>
      <c r="R1792" s="145"/>
      <c r="S1792" s="145"/>
      <c r="T1792" s="145"/>
      <c r="U1792" s="145"/>
      <c r="V1792" s="145"/>
      <c r="W1792" s="145"/>
      <c r="X1792" s="145"/>
      <c r="Y1792" s="145"/>
      <c r="Z1792" s="145"/>
      <c r="AA1792" s="145"/>
      <c r="AB1792" s="145"/>
      <c r="AC1792" s="145"/>
      <c r="AD1792" s="145"/>
      <c r="AE1792" s="145"/>
      <c r="AF1792" s="145"/>
      <c r="AG1792" s="145"/>
      <c r="AH1792" s="145"/>
      <c r="AI1792" s="145"/>
      <c r="AJ1792" s="145"/>
      <c r="AK1792" s="145"/>
      <c r="AL1792" s="145"/>
      <c r="AM1792" s="321"/>
      <c r="AN1792" s="321"/>
      <c r="AO1792" s="321"/>
      <c r="AP1792" s="321"/>
      <c r="AQ1792" s="321"/>
      <c r="AR1792" s="321"/>
      <c r="AS1792" s="321"/>
      <c r="AT1792" s="321"/>
    </row>
    <row r="1793" spans="10:46">
      <c r="J1793" s="145"/>
      <c r="K1793" s="145"/>
      <c r="L1793" s="145"/>
      <c r="M1793" s="145"/>
      <c r="N1793" s="145"/>
      <c r="O1793" s="145"/>
      <c r="P1793" s="145"/>
      <c r="Q1793" s="145"/>
      <c r="R1793" s="145"/>
      <c r="S1793" s="145"/>
      <c r="T1793" s="145"/>
      <c r="U1793" s="145"/>
      <c r="V1793" s="145"/>
      <c r="W1793" s="145"/>
      <c r="X1793" s="145"/>
      <c r="Y1793" s="145"/>
      <c r="Z1793" s="145"/>
      <c r="AA1793" s="145"/>
      <c r="AB1793" s="145"/>
      <c r="AC1793" s="145"/>
      <c r="AD1793" s="145"/>
      <c r="AE1793" s="145"/>
      <c r="AF1793" s="145"/>
      <c r="AG1793" s="145"/>
      <c r="AH1793" s="145"/>
      <c r="AI1793" s="145"/>
      <c r="AJ1793" s="145"/>
      <c r="AK1793" s="145"/>
      <c r="AL1793" s="145"/>
      <c r="AM1793" s="321"/>
      <c r="AN1793" s="321"/>
      <c r="AO1793" s="321"/>
      <c r="AP1793" s="321"/>
      <c r="AQ1793" s="321"/>
      <c r="AR1793" s="321"/>
      <c r="AS1793" s="321"/>
      <c r="AT1793" s="321"/>
    </row>
    <row r="1794" spans="10:46">
      <c r="J1794" s="145"/>
      <c r="K1794" s="145"/>
      <c r="L1794" s="145"/>
      <c r="M1794" s="145"/>
      <c r="N1794" s="145"/>
      <c r="O1794" s="145"/>
      <c r="P1794" s="145"/>
      <c r="Q1794" s="145"/>
      <c r="R1794" s="145"/>
      <c r="S1794" s="145"/>
      <c r="T1794" s="145"/>
      <c r="U1794" s="145"/>
      <c r="V1794" s="145"/>
      <c r="W1794" s="145"/>
      <c r="X1794" s="145"/>
      <c r="Y1794" s="145"/>
      <c r="Z1794" s="145"/>
      <c r="AA1794" s="145"/>
      <c r="AB1794" s="145"/>
      <c r="AC1794" s="145"/>
      <c r="AD1794" s="145"/>
      <c r="AE1794" s="145"/>
      <c r="AF1794" s="145"/>
      <c r="AG1794" s="145"/>
      <c r="AH1794" s="145"/>
      <c r="AI1794" s="145"/>
      <c r="AJ1794" s="145"/>
      <c r="AK1794" s="145"/>
      <c r="AL1794" s="145"/>
      <c r="AM1794" s="321"/>
      <c r="AN1794" s="321"/>
      <c r="AO1794" s="321"/>
      <c r="AP1794" s="321"/>
      <c r="AQ1794" s="321"/>
      <c r="AR1794" s="321"/>
      <c r="AS1794" s="321"/>
      <c r="AT1794" s="321"/>
    </row>
    <row r="1795" spans="10:46">
      <c r="J1795" s="145"/>
      <c r="K1795" s="145"/>
      <c r="L1795" s="145"/>
      <c r="M1795" s="145"/>
      <c r="N1795" s="145"/>
      <c r="O1795" s="145"/>
      <c r="P1795" s="145"/>
      <c r="Q1795" s="145"/>
      <c r="R1795" s="145"/>
      <c r="S1795" s="145"/>
      <c r="T1795" s="145"/>
      <c r="U1795" s="145"/>
      <c r="V1795" s="145"/>
      <c r="W1795" s="145"/>
      <c r="X1795" s="145"/>
      <c r="Y1795" s="145"/>
      <c r="Z1795" s="145"/>
      <c r="AA1795" s="145"/>
      <c r="AB1795" s="145"/>
      <c r="AC1795" s="145"/>
      <c r="AD1795" s="145"/>
      <c r="AE1795" s="145"/>
      <c r="AF1795" s="145"/>
      <c r="AG1795" s="145"/>
      <c r="AH1795" s="145"/>
      <c r="AI1795" s="145"/>
      <c r="AJ1795" s="145"/>
      <c r="AK1795" s="145"/>
      <c r="AL1795" s="145"/>
      <c r="AM1795" s="321"/>
      <c r="AN1795" s="321"/>
      <c r="AO1795" s="321"/>
      <c r="AP1795" s="321"/>
      <c r="AQ1795" s="321"/>
      <c r="AR1795" s="321"/>
      <c r="AS1795" s="321"/>
      <c r="AT1795" s="321"/>
    </row>
    <row r="1796" spans="10:46">
      <c r="J1796" s="145"/>
      <c r="K1796" s="145"/>
      <c r="L1796" s="145"/>
      <c r="M1796" s="145"/>
      <c r="N1796" s="145"/>
      <c r="O1796" s="145"/>
      <c r="P1796" s="145"/>
      <c r="Q1796" s="145"/>
      <c r="R1796" s="145"/>
      <c r="S1796" s="145"/>
      <c r="T1796" s="145"/>
      <c r="U1796" s="145"/>
      <c r="V1796" s="145"/>
      <c r="W1796" s="145"/>
      <c r="X1796" s="145"/>
      <c r="Y1796" s="145"/>
      <c r="Z1796" s="145"/>
      <c r="AA1796" s="145"/>
      <c r="AB1796" s="145"/>
      <c r="AC1796" s="145"/>
      <c r="AD1796" s="145"/>
      <c r="AE1796" s="145"/>
      <c r="AF1796" s="145"/>
      <c r="AG1796" s="145"/>
      <c r="AH1796" s="145"/>
      <c r="AI1796" s="145"/>
      <c r="AJ1796" s="145"/>
      <c r="AK1796" s="145"/>
      <c r="AL1796" s="145"/>
      <c r="AM1796" s="321"/>
      <c r="AN1796" s="321"/>
      <c r="AO1796" s="321"/>
      <c r="AP1796" s="321"/>
      <c r="AQ1796" s="321"/>
      <c r="AR1796" s="321"/>
      <c r="AS1796" s="321"/>
      <c r="AT1796" s="321"/>
    </row>
    <row r="1797" spans="10:46">
      <c r="J1797" s="145"/>
      <c r="K1797" s="145"/>
      <c r="L1797" s="145"/>
      <c r="M1797" s="145"/>
      <c r="N1797" s="145"/>
      <c r="O1797" s="145"/>
      <c r="P1797" s="145"/>
      <c r="Q1797" s="145"/>
      <c r="R1797" s="145"/>
      <c r="S1797" s="145"/>
      <c r="T1797" s="145"/>
      <c r="U1797" s="145"/>
      <c r="V1797" s="145"/>
      <c r="W1797" s="145"/>
      <c r="X1797" s="145"/>
      <c r="Y1797" s="145"/>
      <c r="Z1797" s="145"/>
      <c r="AA1797" s="145"/>
      <c r="AB1797" s="145"/>
      <c r="AC1797" s="145"/>
      <c r="AD1797" s="145"/>
      <c r="AE1797" s="145"/>
      <c r="AF1797" s="145"/>
      <c r="AG1797" s="145"/>
      <c r="AH1797" s="145"/>
      <c r="AI1797" s="145"/>
      <c r="AJ1797" s="145"/>
      <c r="AK1797" s="145"/>
      <c r="AL1797" s="145"/>
      <c r="AM1797" s="321"/>
      <c r="AN1797" s="321"/>
      <c r="AO1797" s="321"/>
      <c r="AP1797" s="321"/>
      <c r="AQ1797" s="321"/>
      <c r="AR1797" s="321"/>
      <c r="AS1797" s="321"/>
      <c r="AT1797" s="321"/>
    </row>
    <row r="1798" spans="10:46">
      <c r="J1798" s="145"/>
      <c r="K1798" s="145"/>
      <c r="L1798" s="145"/>
      <c r="M1798" s="145"/>
      <c r="N1798" s="145"/>
      <c r="O1798" s="145"/>
      <c r="P1798" s="145"/>
      <c r="Q1798" s="145"/>
      <c r="R1798" s="145"/>
      <c r="S1798" s="145"/>
      <c r="T1798" s="145"/>
      <c r="U1798" s="145"/>
      <c r="V1798" s="145"/>
      <c r="W1798" s="145"/>
      <c r="X1798" s="145"/>
      <c r="Y1798" s="145"/>
      <c r="Z1798" s="145"/>
      <c r="AA1798" s="145"/>
      <c r="AB1798" s="145"/>
      <c r="AC1798" s="145"/>
      <c r="AD1798" s="145"/>
      <c r="AE1798" s="145"/>
      <c r="AF1798" s="145"/>
      <c r="AG1798" s="145"/>
      <c r="AH1798" s="145"/>
      <c r="AI1798" s="145"/>
      <c r="AJ1798" s="145"/>
      <c r="AK1798" s="145"/>
      <c r="AL1798" s="145"/>
      <c r="AM1798" s="321"/>
      <c r="AN1798" s="321"/>
      <c r="AO1798" s="321"/>
      <c r="AP1798" s="321"/>
      <c r="AQ1798" s="321"/>
      <c r="AR1798" s="321"/>
      <c r="AS1798" s="321"/>
      <c r="AT1798" s="321"/>
    </row>
    <row r="1799" spans="10:46">
      <c r="J1799" s="145"/>
      <c r="K1799" s="145"/>
      <c r="L1799" s="145"/>
      <c r="M1799" s="145"/>
      <c r="N1799" s="145"/>
      <c r="O1799" s="145"/>
      <c r="P1799" s="145"/>
      <c r="Q1799" s="145"/>
      <c r="R1799" s="145"/>
      <c r="S1799" s="145"/>
      <c r="T1799" s="145"/>
      <c r="U1799" s="145"/>
      <c r="V1799" s="145"/>
      <c r="W1799" s="145"/>
      <c r="X1799" s="145"/>
      <c r="Y1799" s="145"/>
      <c r="Z1799" s="145"/>
      <c r="AA1799" s="145"/>
      <c r="AB1799" s="145"/>
      <c r="AC1799" s="145"/>
      <c r="AD1799" s="145"/>
      <c r="AE1799" s="145"/>
      <c r="AF1799" s="145"/>
      <c r="AG1799" s="145"/>
      <c r="AH1799" s="145"/>
      <c r="AI1799" s="145"/>
      <c r="AJ1799" s="145"/>
      <c r="AK1799" s="145"/>
      <c r="AL1799" s="145"/>
      <c r="AM1799" s="321"/>
      <c r="AN1799" s="321"/>
      <c r="AO1799" s="321"/>
      <c r="AP1799" s="321"/>
      <c r="AQ1799" s="321"/>
      <c r="AR1799" s="321"/>
      <c r="AS1799" s="321"/>
      <c r="AT1799" s="321"/>
    </row>
    <row r="1800" spans="10:46">
      <c r="J1800" s="145"/>
      <c r="K1800" s="145"/>
      <c r="L1800" s="145"/>
      <c r="M1800" s="145"/>
      <c r="N1800" s="145"/>
      <c r="O1800" s="145"/>
      <c r="P1800" s="145"/>
      <c r="Q1800" s="145"/>
      <c r="R1800" s="145"/>
      <c r="S1800" s="145"/>
      <c r="T1800" s="145"/>
      <c r="U1800" s="145"/>
      <c r="V1800" s="145"/>
      <c r="W1800" s="145"/>
      <c r="X1800" s="145"/>
      <c r="Y1800" s="145"/>
      <c r="Z1800" s="145"/>
      <c r="AA1800" s="145"/>
      <c r="AB1800" s="145"/>
      <c r="AC1800" s="145"/>
      <c r="AD1800" s="145"/>
      <c r="AE1800" s="145"/>
      <c r="AF1800" s="145"/>
      <c r="AG1800" s="145"/>
      <c r="AH1800" s="145"/>
      <c r="AI1800" s="145"/>
      <c r="AJ1800" s="145"/>
      <c r="AK1800" s="145"/>
      <c r="AL1800" s="145"/>
      <c r="AM1800" s="321"/>
      <c r="AN1800" s="321"/>
      <c r="AO1800" s="321"/>
      <c r="AP1800" s="321"/>
      <c r="AQ1800" s="321"/>
      <c r="AR1800" s="321"/>
      <c r="AS1800" s="321"/>
      <c r="AT1800" s="321"/>
    </row>
    <row r="1801" spans="10:46">
      <c r="J1801" s="145"/>
      <c r="K1801" s="145"/>
      <c r="L1801" s="145"/>
      <c r="M1801" s="145"/>
      <c r="N1801" s="145"/>
      <c r="O1801" s="145"/>
      <c r="P1801" s="145"/>
      <c r="Q1801" s="145"/>
      <c r="R1801" s="145"/>
      <c r="S1801" s="145"/>
      <c r="T1801" s="145"/>
      <c r="U1801" s="145"/>
      <c r="V1801" s="145"/>
      <c r="W1801" s="145"/>
      <c r="X1801" s="145"/>
      <c r="Y1801" s="145"/>
      <c r="Z1801" s="145"/>
      <c r="AA1801" s="145"/>
      <c r="AB1801" s="145"/>
      <c r="AC1801" s="145"/>
      <c r="AD1801" s="145"/>
      <c r="AE1801" s="145"/>
      <c r="AF1801" s="145"/>
      <c r="AG1801" s="145"/>
      <c r="AH1801" s="145"/>
      <c r="AI1801" s="145"/>
      <c r="AJ1801" s="145"/>
      <c r="AK1801" s="145"/>
      <c r="AL1801" s="145"/>
      <c r="AM1801" s="321"/>
      <c r="AN1801" s="321"/>
      <c r="AO1801" s="321"/>
      <c r="AP1801" s="321"/>
      <c r="AQ1801" s="321"/>
      <c r="AR1801" s="321"/>
      <c r="AS1801" s="321"/>
      <c r="AT1801" s="321"/>
    </row>
    <row r="1802" spans="10:46">
      <c r="J1802" s="145"/>
      <c r="K1802" s="145"/>
      <c r="L1802" s="145"/>
      <c r="M1802" s="145"/>
      <c r="N1802" s="145"/>
      <c r="O1802" s="145"/>
      <c r="P1802" s="145"/>
      <c r="Q1802" s="145"/>
      <c r="R1802" s="145"/>
      <c r="S1802" s="145"/>
      <c r="T1802" s="145"/>
      <c r="U1802" s="145"/>
      <c r="V1802" s="145"/>
      <c r="W1802" s="145"/>
      <c r="X1802" s="145"/>
      <c r="Y1802" s="145"/>
      <c r="Z1802" s="145"/>
      <c r="AA1802" s="145"/>
      <c r="AB1802" s="145"/>
      <c r="AC1802" s="145"/>
      <c r="AD1802" s="145"/>
      <c r="AE1802" s="145"/>
      <c r="AF1802" s="145"/>
      <c r="AG1802" s="145"/>
      <c r="AH1802" s="145"/>
      <c r="AI1802" s="145"/>
      <c r="AJ1802" s="145"/>
      <c r="AK1802" s="145"/>
      <c r="AL1802" s="145"/>
      <c r="AM1802" s="321"/>
      <c r="AN1802" s="321"/>
      <c r="AO1802" s="321"/>
      <c r="AP1802" s="321"/>
      <c r="AQ1802" s="321"/>
      <c r="AR1802" s="321"/>
      <c r="AS1802" s="321"/>
      <c r="AT1802" s="321"/>
    </row>
    <row r="1803" spans="10:46">
      <c r="J1803" s="145"/>
      <c r="K1803" s="145"/>
      <c r="L1803" s="145"/>
      <c r="M1803" s="145"/>
      <c r="N1803" s="145"/>
      <c r="O1803" s="145"/>
      <c r="P1803" s="145"/>
      <c r="Q1803" s="145"/>
      <c r="R1803" s="145"/>
      <c r="S1803" s="145"/>
      <c r="T1803" s="145"/>
      <c r="U1803" s="145"/>
      <c r="V1803" s="145"/>
      <c r="W1803" s="145"/>
      <c r="X1803" s="145"/>
      <c r="Y1803" s="145"/>
      <c r="Z1803" s="145"/>
      <c r="AA1803" s="145"/>
      <c r="AB1803" s="145"/>
      <c r="AC1803" s="145"/>
      <c r="AD1803" s="145"/>
      <c r="AE1803" s="145"/>
      <c r="AF1803" s="145"/>
      <c r="AG1803" s="145"/>
      <c r="AH1803" s="145"/>
      <c r="AI1803" s="145"/>
      <c r="AJ1803" s="145"/>
      <c r="AK1803" s="145"/>
      <c r="AL1803" s="145"/>
      <c r="AM1803" s="321"/>
      <c r="AN1803" s="321"/>
      <c r="AO1803" s="321"/>
      <c r="AP1803" s="321"/>
      <c r="AQ1803" s="321"/>
      <c r="AR1803" s="321"/>
      <c r="AS1803" s="321"/>
      <c r="AT1803" s="321"/>
    </row>
    <row r="1804" spans="10:46">
      <c r="J1804" s="145"/>
      <c r="K1804" s="145"/>
      <c r="L1804" s="145"/>
      <c r="M1804" s="145"/>
      <c r="N1804" s="145"/>
      <c r="O1804" s="145"/>
      <c r="P1804" s="145"/>
      <c r="Q1804" s="145"/>
      <c r="R1804" s="145"/>
      <c r="S1804" s="145"/>
      <c r="T1804" s="145"/>
      <c r="U1804" s="145"/>
      <c r="V1804" s="145"/>
      <c r="W1804" s="145"/>
      <c r="X1804" s="145"/>
      <c r="Y1804" s="145"/>
      <c r="Z1804" s="145"/>
      <c r="AA1804" s="145"/>
      <c r="AB1804" s="145"/>
      <c r="AC1804" s="145"/>
      <c r="AD1804" s="145"/>
      <c r="AE1804" s="145"/>
      <c r="AF1804" s="145"/>
      <c r="AG1804" s="145"/>
      <c r="AH1804" s="145"/>
      <c r="AI1804" s="145"/>
      <c r="AJ1804" s="145"/>
      <c r="AK1804" s="145"/>
      <c r="AL1804" s="145"/>
      <c r="AM1804" s="321"/>
      <c r="AN1804" s="321"/>
      <c r="AO1804" s="321"/>
      <c r="AP1804" s="321"/>
      <c r="AQ1804" s="321"/>
      <c r="AR1804" s="321"/>
      <c r="AS1804" s="321"/>
      <c r="AT1804" s="321"/>
    </row>
    <row r="1805" spans="10:46">
      <c r="J1805" s="145"/>
      <c r="K1805" s="145"/>
      <c r="L1805" s="145"/>
      <c r="M1805" s="145"/>
      <c r="N1805" s="145"/>
      <c r="O1805" s="145"/>
      <c r="P1805" s="145"/>
      <c r="Q1805" s="145"/>
      <c r="R1805" s="145"/>
      <c r="S1805" s="145"/>
      <c r="T1805" s="145"/>
      <c r="U1805" s="145"/>
      <c r="V1805" s="145"/>
      <c r="W1805" s="145"/>
      <c r="X1805" s="145"/>
      <c r="Y1805" s="145"/>
      <c r="Z1805" s="145"/>
      <c r="AA1805" s="145"/>
      <c r="AB1805" s="145"/>
      <c r="AC1805" s="145"/>
      <c r="AD1805" s="145"/>
      <c r="AE1805" s="145"/>
      <c r="AF1805" s="145"/>
      <c r="AG1805" s="145"/>
      <c r="AH1805" s="145"/>
      <c r="AI1805" s="145"/>
      <c r="AJ1805" s="145"/>
      <c r="AK1805" s="145"/>
      <c r="AL1805" s="145"/>
      <c r="AM1805" s="321"/>
      <c r="AN1805" s="321"/>
      <c r="AO1805" s="321"/>
      <c r="AP1805" s="321"/>
      <c r="AQ1805" s="321"/>
      <c r="AR1805" s="321"/>
      <c r="AS1805" s="321"/>
      <c r="AT1805" s="321"/>
    </row>
    <row r="1806" spans="10:46">
      <c r="J1806" s="145"/>
      <c r="K1806" s="145"/>
      <c r="L1806" s="145"/>
      <c r="M1806" s="145"/>
      <c r="N1806" s="145"/>
      <c r="O1806" s="145"/>
      <c r="P1806" s="145"/>
      <c r="Q1806" s="145"/>
      <c r="R1806" s="145"/>
      <c r="S1806" s="145"/>
      <c r="T1806" s="145"/>
      <c r="U1806" s="145"/>
      <c r="V1806" s="145"/>
      <c r="W1806" s="145"/>
      <c r="X1806" s="145"/>
      <c r="Y1806" s="145"/>
      <c r="Z1806" s="145"/>
      <c r="AA1806" s="145"/>
      <c r="AB1806" s="145"/>
      <c r="AC1806" s="145"/>
      <c r="AD1806" s="145"/>
      <c r="AE1806" s="145"/>
      <c r="AF1806" s="145"/>
      <c r="AG1806" s="145"/>
      <c r="AH1806" s="145"/>
      <c r="AI1806" s="145"/>
      <c r="AJ1806" s="145"/>
      <c r="AK1806" s="145"/>
      <c r="AL1806" s="145"/>
      <c r="AM1806" s="321"/>
      <c r="AN1806" s="321"/>
      <c r="AO1806" s="321"/>
      <c r="AP1806" s="321"/>
      <c r="AQ1806" s="321"/>
      <c r="AR1806" s="321"/>
      <c r="AS1806" s="321"/>
      <c r="AT1806" s="321"/>
    </row>
    <row r="1807" spans="10:46">
      <c r="J1807" s="145"/>
      <c r="K1807" s="145"/>
      <c r="L1807" s="145"/>
      <c r="M1807" s="145"/>
      <c r="N1807" s="145"/>
      <c r="O1807" s="145"/>
      <c r="P1807" s="145"/>
      <c r="Q1807" s="145"/>
      <c r="R1807" s="145"/>
      <c r="S1807" s="145"/>
      <c r="T1807" s="145"/>
      <c r="U1807" s="145"/>
      <c r="V1807" s="145"/>
      <c r="W1807" s="145"/>
      <c r="X1807" s="145"/>
      <c r="Y1807" s="145"/>
      <c r="Z1807" s="145"/>
      <c r="AA1807" s="145"/>
      <c r="AB1807" s="145"/>
      <c r="AC1807" s="145"/>
      <c r="AD1807" s="145"/>
      <c r="AE1807" s="145"/>
      <c r="AF1807" s="145"/>
      <c r="AG1807" s="145"/>
      <c r="AH1807" s="145"/>
      <c r="AI1807" s="145"/>
      <c r="AJ1807" s="145"/>
      <c r="AK1807" s="145"/>
      <c r="AL1807" s="145"/>
      <c r="AM1807" s="321"/>
      <c r="AN1807" s="321"/>
      <c r="AO1807" s="321"/>
      <c r="AP1807" s="321"/>
      <c r="AQ1807" s="321"/>
      <c r="AR1807" s="321"/>
      <c r="AS1807" s="321"/>
      <c r="AT1807" s="321"/>
    </row>
    <row r="1808" spans="10:46">
      <c r="J1808" s="145"/>
      <c r="K1808" s="145"/>
      <c r="L1808" s="145"/>
      <c r="M1808" s="145"/>
      <c r="N1808" s="145"/>
      <c r="O1808" s="145"/>
      <c r="P1808" s="145"/>
      <c r="Q1808" s="145"/>
      <c r="R1808" s="145"/>
      <c r="S1808" s="145"/>
      <c r="T1808" s="145"/>
      <c r="U1808" s="145"/>
      <c r="V1808" s="145"/>
      <c r="W1808" s="145"/>
      <c r="X1808" s="145"/>
      <c r="Y1808" s="145"/>
      <c r="Z1808" s="145"/>
      <c r="AA1808" s="145"/>
      <c r="AB1808" s="145"/>
      <c r="AC1808" s="145"/>
      <c r="AD1808" s="145"/>
      <c r="AE1808" s="145"/>
      <c r="AF1808" s="145"/>
      <c r="AG1808" s="145"/>
      <c r="AH1808" s="145"/>
      <c r="AI1808" s="145"/>
      <c r="AJ1808" s="145"/>
      <c r="AK1808" s="145"/>
      <c r="AL1808" s="145"/>
      <c r="AM1808" s="321"/>
      <c r="AN1808" s="321"/>
      <c r="AO1808" s="321"/>
      <c r="AP1808" s="321"/>
      <c r="AQ1808" s="321"/>
      <c r="AR1808" s="321"/>
      <c r="AS1808" s="321"/>
      <c r="AT1808" s="321"/>
    </row>
    <row r="1809" spans="10:46">
      <c r="J1809" s="145"/>
      <c r="K1809" s="145"/>
      <c r="L1809" s="145"/>
      <c r="M1809" s="145"/>
      <c r="N1809" s="145"/>
      <c r="O1809" s="145"/>
      <c r="P1809" s="145"/>
      <c r="Q1809" s="145"/>
      <c r="R1809" s="145"/>
      <c r="S1809" s="145"/>
      <c r="T1809" s="145"/>
      <c r="U1809" s="145"/>
      <c r="V1809" s="145"/>
      <c r="W1809" s="145"/>
      <c r="X1809" s="145"/>
      <c r="Y1809" s="145"/>
      <c r="Z1809" s="145"/>
      <c r="AA1809" s="145"/>
      <c r="AB1809" s="145"/>
      <c r="AC1809" s="145"/>
      <c r="AD1809" s="145"/>
      <c r="AE1809" s="145"/>
      <c r="AF1809" s="145"/>
      <c r="AG1809" s="145"/>
      <c r="AH1809" s="145"/>
      <c r="AI1809" s="145"/>
      <c r="AJ1809" s="145"/>
      <c r="AK1809" s="145"/>
      <c r="AL1809" s="145"/>
      <c r="AM1809" s="321"/>
      <c r="AN1809" s="321"/>
      <c r="AO1809" s="321"/>
      <c r="AP1809" s="321"/>
      <c r="AQ1809" s="321"/>
      <c r="AR1809" s="321"/>
      <c r="AS1809" s="321"/>
      <c r="AT1809" s="321"/>
    </row>
    <row r="1810" spans="10:46">
      <c r="J1810" s="145"/>
      <c r="K1810" s="145"/>
      <c r="L1810" s="145"/>
      <c r="M1810" s="145"/>
      <c r="N1810" s="145"/>
      <c r="O1810" s="145"/>
      <c r="P1810" s="145"/>
      <c r="Q1810" s="145"/>
      <c r="R1810" s="145"/>
      <c r="S1810" s="145"/>
      <c r="T1810" s="145"/>
      <c r="U1810" s="145"/>
      <c r="V1810" s="145"/>
      <c r="W1810" s="145"/>
      <c r="X1810" s="145"/>
      <c r="Y1810" s="145"/>
      <c r="Z1810" s="145"/>
      <c r="AA1810" s="145"/>
      <c r="AB1810" s="145"/>
      <c r="AC1810" s="145"/>
      <c r="AD1810" s="145"/>
      <c r="AE1810" s="145"/>
      <c r="AF1810" s="145"/>
      <c r="AG1810" s="145"/>
      <c r="AH1810" s="145"/>
      <c r="AI1810" s="145"/>
      <c r="AJ1810" s="145"/>
      <c r="AK1810" s="145"/>
      <c r="AL1810" s="145"/>
      <c r="AM1810" s="321"/>
      <c r="AN1810" s="321"/>
      <c r="AO1810" s="321"/>
      <c r="AP1810" s="321"/>
      <c r="AQ1810" s="321"/>
      <c r="AR1810" s="321"/>
      <c r="AS1810" s="321"/>
      <c r="AT1810" s="321"/>
    </row>
    <row r="1811" spans="10:46">
      <c r="J1811" s="145"/>
      <c r="K1811" s="145"/>
      <c r="L1811" s="145"/>
      <c r="M1811" s="145"/>
      <c r="N1811" s="145"/>
      <c r="O1811" s="145"/>
      <c r="P1811" s="145"/>
      <c r="Q1811" s="145"/>
      <c r="R1811" s="145"/>
      <c r="S1811" s="145"/>
      <c r="T1811" s="145"/>
      <c r="U1811" s="145"/>
      <c r="V1811" s="145"/>
      <c r="W1811" s="145"/>
      <c r="X1811" s="145"/>
      <c r="Y1811" s="145"/>
      <c r="Z1811" s="145"/>
      <c r="AA1811" s="145"/>
      <c r="AB1811" s="145"/>
      <c r="AC1811" s="145"/>
      <c r="AD1811" s="145"/>
      <c r="AE1811" s="145"/>
      <c r="AF1811" s="145"/>
      <c r="AG1811" s="145"/>
      <c r="AH1811" s="145"/>
      <c r="AI1811" s="145"/>
      <c r="AJ1811" s="145"/>
      <c r="AK1811" s="145"/>
      <c r="AL1811" s="145"/>
      <c r="AM1811" s="321"/>
      <c r="AN1811" s="321"/>
      <c r="AO1811" s="321"/>
      <c r="AP1811" s="321"/>
      <c r="AQ1811" s="321"/>
      <c r="AR1811" s="321"/>
      <c r="AS1811" s="321"/>
      <c r="AT1811" s="321"/>
    </row>
    <row r="1812" spans="10:46">
      <c r="J1812" s="145"/>
      <c r="K1812" s="145"/>
      <c r="L1812" s="145"/>
      <c r="M1812" s="145"/>
      <c r="N1812" s="145"/>
      <c r="O1812" s="145"/>
      <c r="P1812" s="145"/>
      <c r="Q1812" s="145"/>
      <c r="R1812" s="145"/>
      <c r="S1812" s="145"/>
      <c r="T1812" s="145"/>
      <c r="U1812" s="145"/>
      <c r="V1812" s="145"/>
      <c r="W1812" s="145"/>
      <c r="X1812" s="145"/>
      <c r="Y1812" s="145"/>
      <c r="Z1812" s="145"/>
      <c r="AA1812" s="145"/>
      <c r="AB1812" s="145"/>
      <c r="AC1812" s="145"/>
      <c r="AD1812" s="145"/>
      <c r="AE1812" s="145"/>
      <c r="AF1812" s="145"/>
      <c r="AG1812" s="145"/>
      <c r="AH1812" s="145"/>
      <c r="AI1812" s="145"/>
      <c r="AJ1812" s="145"/>
      <c r="AK1812" s="145"/>
      <c r="AL1812" s="145"/>
      <c r="AM1812" s="321"/>
      <c r="AN1812" s="321"/>
      <c r="AO1812" s="321"/>
      <c r="AP1812" s="321"/>
      <c r="AQ1812" s="321"/>
      <c r="AR1812" s="321"/>
      <c r="AS1812" s="321"/>
      <c r="AT1812" s="321"/>
    </row>
    <row r="1813" spans="10:46">
      <c r="J1813" s="145"/>
      <c r="K1813" s="145"/>
      <c r="L1813" s="145"/>
      <c r="M1813" s="145"/>
      <c r="N1813" s="145"/>
      <c r="O1813" s="145"/>
      <c r="P1813" s="145"/>
      <c r="Q1813" s="145"/>
      <c r="R1813" s="145"/>
      <c r="S1813" s="145"/>
      <c r="T1813" s="145"/>
      <c r="U1813" s="145"/>
      <c r="V1813" s="145"/>
      <c r="W1813" s="145"/>
      <c r="X1813" s="145"/>
      <c r="Y1813" s="145"/>
      <c r="Z1813" s="145"/>
      <c r="AA1813" s="145"/>
      <c r="AB1813" s="145"/>
      <c r="AC1813" s="145"/>
      <c r="AD1813" s="145"/>
      <c r="AE1813" s="145"/>
      <c r="AF1813" s="145"/>
      <c r="AG1813" s="145"/>
      <c r="AH1813" s="145"/>
      <c r="AI1813" s="145"/>
      <c r="AJ1813" s="145"/>
      <c r="AK1813" s="145"/>
      <c r="AL1813" s="145"/>
      <c r="AM1813" s="321"/>
      <c r="AN1813" s="321"/>
      <c r="AO1813" s="321"/>
      <c r="AP1813" s="321"/>
      <c r="AQ1813" s="321"/>
      <c r="AR1813" s="321"/>
      <c r="AS1813" s="321"/>
      <c r="AT1813" s="321"/>
    </row>
    <row r="1814" spans="10:46">
      <c r="J1814" s="145"/>
      <c r="K1814" s="145"/>
      <c r="L1814" s="145"/>
      <c r="M1814" s="145"/>
      <c r="N1814" s="145"/>
      <c r="O1814" s="145"/>
      <c r="P1814" s="145"/>
      <c r="Q1814" s="145"/>
      <c r="R1814" s="145"/>
      <c r="S1814" s="145"/>
      <c r="T1814" s="145"/>
      <c r="U1814" s="145"/>
      <c r="V1814" s="145"/>
      <c r="W1814" s="145"/>
      <c r="X1814" s="145"/>
      <c r="Y1814" s="145"/>
      <c r="Z1814" s="145"/>
      <c r="AA1814" s="145"/>
      <c r="AB1814" s="145"/>
      <c r="AC1814" s="145"/>
      <c r="AD1814" s="145"/>
      <c r="AE1814" s="145"/>
      <c r="AF1814" s="145"/>
      <c r="AG1814" s="145"/>
      <c r="AH1814" s="145"/>
      <c r="AI1814" s="145"/>
      <c r="AJ1814" s="145"/>
      <c r="AK1814" s="145"/>
      <c r="AL1814" s="145"/>
      <c r="AM1814" s="321"/>
      <c r="AN1814" s="321"/>
      <c r="AO1814" s="321"/>
      <c r="AP1814" s="321"/>
      <c r="AQ1814" s="321"/>
      <c r="AR1814" s="321"/>
      <c r="AS1814" s="321"/>
      <c r="AT1814" s="321"/>
    </row>
    <row r="1815" spans="10:46">
      <c r="J1815" s="145"/>
      <c r="K1815" s="145"/>
      <c r="L1815" s="145"/>
      <c r="M1815" s="145"/>
      <c r="N1815" s="145"/>
      <c r="O1815" s="145"/>
      <c r="P1815" s="145"/>
      <c r="Q1815" s="145"/>
      <c r="R1815" s="145"/>
      <c r="S1815" s="145"/>
      <c r="T1815" s="145"/>
      <c r="U1815" s="145"/>
      <c r="V1815" s="145"/>
      <c r="W1815" s="145"/>
      <c r="X1815" s="145"/>
      <c r="Y1815" s="145"/>
      <c r="Z1815" s="145"/>
      <c r="AA1815" s="145"/>
      <c r="AB1815" s="145"/>
      <c r="AC1815" s="145"/>
      <c r="AD1815" s="145"/>
      <c r="AE1815" s="145"/>
      <c r="AF1815" s="145"/>
      <c r="AG1815" s="145"/>
      <c r="AH1815" s="145"/>
      <c r="AI1815" s="145"/>
      <c r="AJ1815" s="145"/>
      <c r="AK1815" s="145"/>
      <c r="AL1815" s="145"/>
      <c r="AM1815" s="321"/>
      <c r="AN1815" s="321"/>
      <c r="AO1815" s="321"/>
      <c r="AP1815" s="321"/>
      <c r="AQ1815" s="321"/>
      <c r="AR1815" s="321"/>
      <c r="AS1815" s="321"/>
      <c r="AT1815" s="321"/>
    </row>
    <row r="1816" spans="10:46">
      <c r="J1816" s="145"/>
      <c r="K1816" s="145"/>
      <c r="L1816" s="145"/>
      <c r="M1816" s="145"/>
      <c r="N1816" s="145"/>
      <c r="O1816" s="145"/>
      <c r="P1816" s="145"/>
      <c r="Q1816" s="145"/>
      <c r="R1816" s="145"/>
      <c r="S1816" s="145"/>
      <c r="T1816" s="145"/>
      <c r="U1816" s="145"/>
      <c r="V1816" s="145"/>
      <c r="W1816" s="145"/>
      <c r="X1816" s="145"/>
      <c r="Y1816" s="145"/>
      <c r="Z1816" s="145"/>
      <c r="AA1816" s="145"/>
      <c r="AB1816" s="145"/>
      <c r="AC1816" s="145"/>
      <c r="AD1816" s="145"/>
      <c r="AE1816" s="145"/>
      <c r="AF1816" s="145"/>
      <c r="AG1816" s="145"/>
      <c r="AH1816" s="145"/>
      <c r="AI1816" s="145"/>
      <c r="AJ1816" s="145"/>
      <c r="AK1816" s="145"/>
      <c r="AL1816" s="145"/>
      <c r="AM1816" s="321"/>
      <c r="AN1816" s="321"/>
      <c r="AO1816" s="321"/>
      <c r="AP1816" s="321"/>
      <c r="AQ1816" s="321"/>
      <c r="AR1816" s="321"/>
      <c r="AS1816" s="321"/>
      <c r="AT1816" s="321"/>
    </row>
    <row r="1817" spans="10:46">
      <c r="J1817" s="145"/>
      <c r="K1817" s="145"/>
      <c r="L1817" s="145"/>
      <c r="M1817" s="145"/>
      <c r="N1817" s="145"/>
      <c r="O1817" s="145"/>
      <c r="P1817" s="145"/>
      <c r="Q1817" s="145"/>
      <c r="R1817" s="145"/>
      <c r="S1817" s="145"/>
      <c r="T1817" s="145"/>
      <c r="U1817" s="145"/>
      <c r="V1817" s="145"/>
      <c r="W1817" s="145"/>
      <c r="X1817" s="145"/>
      <c r="Y1817" s="145"/>
      <c r="Z1817" s="145"/>
      <c r="AA1817" s="145"/>
      <c r="AB1817" s="145"/>
      <c r="AC1817" s="145"/>
      <c r="AD1817" s="145"/>
      <c r="AE1817" s="145"/>
      <c r="AF1817" s="145"/>
      <c r="AG1817" s="145"/>
      <c r="AH1817" s="145"/>
      <c r="AI1817" s="145"/>
      <c r="AJ1817" s="145"/>
      <c r="AK1817" s="145"/>
      <c r="AL1817" s="145"/>
      <c r="AM1817" s="321"/>
      <c r="AN1817" s="321"/>
      <c r="AO1817" s="321"/>
      <c r="AP1817" s="321"/>
      <c r="AQ1817" s="321"/>
      <c r="AR1817" s="321"/>
      <c r="AS1817" s="321"/>
      <c r="AT1817" s="321"/>
    </row>
    <row r="1818" spans="10:46">
      <c r="J1818" s="145"/>
      <c r="K1818" s="145"/>
      <c r="L1818" s="145"/>
      <c r="M1818" s="145"/>
      <c r="N1818" s="145"/>
      <c r="O1818" s="145"/>
      <c r="P1818" s="145"/>
      <c r="Q1818" s="145"/>
      <c r="R1818" s="145"/>
      <c r="S1818" s="145"/>
      <c r="T1818" s="145"/>
      <c r="U1818" s="145"/>
      <c r="V1818" s="145"/>
      <c r="W1818" s="145"/>
      <c r="X1818" s="145"/>
      <c r="Y1818" s="145"/>
      <c r="Z1818" s="145"/>
      <c r="AA1818" s="145"/>
      <c r="AB1818" s="145"/>
      <c r="AC1818" s="145"/>
      <c r="AD1818" s="145"/>
      <c r="AE1818" s="145"/>
      <c r="AF1818" s="145"/>
      <c r="AG1818" s="145"/>
      <c r="AH1818" s="145"/>
      <c r="AI1818" s="145"/>
      <c r="AJ1818" s="145"/>
      <c r="AK1818" s="145"/>
      <c r="AL1818" s="145"/>
      <c r="AM1818" s="321"/>
      <c r="AN1818" s="321"/>
      <c r="AO1818" s="321"/>
      <c r="AP1818" s="321"/>
      <c r="AQ1818" s="321"/>
      <c r="AR1818" s="321"/>
      <c r="AS1818" s="321"/>
      <c r="AT1818" s="321"/>
    </row>
    <row r="1819" spans="10:46">
      <c r="J1819" s="145"/>
      <c r="K1819" s="145"/>
      <c r="L1819" s="145"/>
      <c r="M1819" s="145"/>
      <c r="N1819" s="145"/>
      <c r="O1819" s="145"/>
      <c r="P1819" s="145"/>
      <c r="Q1819" s="145"/>
      <c r="R1819" s="145"/>
      <c r="S1819" s="145"/>
      <c r="T1819" s="145"/>
      <c r="U1819" s="145"/>
      <c r="V1819" s="145"/>
      <c r="W1819" s="145"/>
      <c r="X1819" s="145"/>
      <c r="Y1819" s="145"/>
      <c r="Z1819" s="145"/>
      <c r="AA1819" s="145"/>
      <c r="AB1819" s="145"/>
      <c r="AC1819" s="145"/>
      <c r="AD1819" s="145"/>
      <c r="AE1819" s="145"/>
      <c r="AF1819" s="145"/>
      <c r="AG1819" s="145"/>
      <c r="AH1819" s="145"/>
      <c r="AI1819" s="145"/>
      <c r="AJ1819" s="145"/>
      <c r="AK1819" s="145"/>
      <c r="AL1819" s="145"/>
      <c r="AM1819" s="321"/>
      <c r="AN1819" s="321"/>
      <c r="AO1819" s="321"/>
      <c r="AP1819" s="321"/>
      <c r="AQ1819" s="321"/>
      <c r="AR1819" s="321"/>
      <c r="AS1819" s="321"/>
      <c r="AT1819" s="321"/>
    </row>
    <row r="1820" spans="10:46">
      <c r="J1820" s="145"/>
      <c r="K1820" s="145"/>
      <c r="L1820" s="145"/>
      <c r="M1820" s="145"/>
      <c r="N1820" s="145"/>
      <c r="O1820" s="145"/>
      <c r="P1820" s="145"/>
      <c r="Q1820" s="145"/>
      <c r="R1820" s="145"/>
      <c r="S1820" s="145"/>
      <c r="T1820" s="145"/>
      <c r="U1820" s="145"/>
      <c r="V1820" s="145"/>
      <c r="W1820" s="145"/>
      <c r="X1820" s="145"/>
      <c r="Y1820" s="145"/>
      <c r="Z1820" s="145"/>
      <c r="AA1820" s="145"/>
      <c r="AB1820" s="145"/>
      <c r="AC1820" s="145"/>
      <c r="AD1820" s="145"/>
      <c r="AE1820" s="145"/>
      <c r="AF1820" s="145"/>
      <c r="AG1820" s="145"/>
      <c r="AH1820" s="145"/>
      <c r="AI1820" s="145"/>
      <c r="AJ1820" s="145"/>
      <c r="AK1820" s="145"/>
      <c r="AL1820" s="145"/>
      <c r="AM1820" s="321"/>
      <c r="AN1820" s="321"/>
      <c r="AO1820" s="321"/>
      <c r="AP1820" s="321"/>
      <c r="AQ1820" s="321"/>
      <c r="AR1820" s="321"/>
      <c r="AS1820" s="321"/>
      <c r="AT1820" s="321"/>
    </row>
    <row r="1821" spans="10:46">
      <c r="J1821" s="145"/>
      <c r="K1821" s="145"/>
      <c r="L1821" s="145"/>
      <c r="M1821" s="145"/>
      <c r="N1821" s="145"/>
      <c r="O1821" s="145"/>
      <c r="P1821" s="145"/>
      <c r="Q1821" s="145"/>
      <c r="R1821" s="145"/>
      <c r="S1821" s="145"/>
      <c r="T1821" s="145"/>
      <c r="U1821" s="145"/>
      <c r="V1821" s="145"/>
      <c r="W1821" s="145"/>
      <c r="X1821" s="145"/>
      <c r="Y1821" s="145"/>
      <c r="Z1821" s="145"/>
      <c r="AA1821" s="145"/>
      <c r="AB1821" s="145"/>
      <c r="AC1821" s="145"/>
      <c r="AD1821" s="145"/>
      <c r="AE1821" s="145"/>
      <c r="AF1821" s="145"/>
      <c r="AG1821" s="145"/>
      <c r="AH1821" s="145"/>
      <c r="AI1821" s="145"/>
      <c r="AJ1821" s="145"/>
      <c r="AK1821" s="145"/>
      <c r="AL1821" s="145"/>
      <c r="AM1821" s="321"/>
      <c r="AN1821" s="321"/>
      <c r="AO1821" s="321"/>
      <c r="AP1821" s="321"/>
      <c r="AQ1821" s="321"/>
      <c r="AR1821" s="321"/>
      <c r="AS1821" s="321"/>
      <c r="AT1821" s="321"/>
    </row>
    <row r="1822" spans="10:46">
      <c r="J1822" s="145"/>
      <c r="K1822" s="145"/>
      <c r="L1822" s="145"/>
      <c r="M1822" s="145"/>
      <c r="N1822" s="145"/>
      <c r="O1822" s="145"/>
      <c r="P1822" s="145"/>
      <c r="Q1822" s="145"/>
      <c r="R1822" s="145"/>
      <c r="S1822" s="145"/>
      <c r="T1822" s="145"/>
      <c r="U1822" s="145"/>
      <c r="V1822" s="145"/>
      <c r="W1822" s="145"/>
      <c r="X1822" s="145"/>
      <c r="Y1822" s="145"/>
      <c r="Z1822" s="145"/>
      <c r="AA1822" s="145"/>
      <c r="AB1822" s="145"/>
      <c r="AC1822" s="145"/>
      <c r="AD1822" s="145"/>
      <c r="AE1822" s="145"/>
      <c r="AF1822" s="145"/>
      <c r="AG1822" s="145"/>
      <c r="AH1822" s="145"/>
      <c r="AI1822" s="145"/>
      <c r="AJ1822" s="145"/>
      <c r="AK1822" s="145"/>
      <c r="AL1822" s="145"/>
      <c r="AM1822" s="321"/>
      <c r="AN1822" s="321"/>
      <c r="AO1822" s="321"/>
      <c r="AP1822" s="321"/>
      <c r="AQ1822" s="321"/>
      <c r="AR1822" s="321"/>
      <c r="AS1822" s="321"/>
      <c r="AT1822" s="321"/>
    </row>
    <row r="1823" spans="10:46">
      <c r="J1823" s="145"/>
      <c r="K1823" s="145"/>
      <c r="L1823" s="145"/>
      <c r="M1823" s="145"/>
      <c r="N1823" s="145"/>
      <c r="O1823" s="145"/>
      <c r="P1823" s="145"/>
      <c r="Q1823" s="145"/>
      <c r="R1823" s="145"/>
      <c r="S1823" s="145"/>
      <c r="T1823" s="145"/>
      <c r="U1823" s="145"/>
      <c r="V1823" s="145"/>
      <c r="W1823" s="145"/>
      <c r="X1823" s="145"/>
      <c r="Y1823" s="145"/>
      <c r="Z1823" s="145"/>
      <c r="AA1823" s="145"/>
      <c r="AB1823" s="145"/>
      <c r="AC1823" s="145"/>
      <c r="AD1823" s="145"/>
      <c r="AE1823" s="145"/>
      <c r="AF1823" s="145"/>
      <c r="AG1823" s="145"/>
      <c r="AH1823" s="145"/>
      <c r="AI1823" s="145"/>
      <c r="AJ1823" s="145"/>
      <c r="AK1823" s="145"/>
      <c r="AL1823" s="145"/>
      <c r="AM1823" s="321"/>
      <c r="AN1823" s="321"/>
      <c r="AO1823" s="321"/>
      <c r="AP1823" s="321"/>
      <c r="AQ1823" s="321"/>
      <c r="AR1823" s="321"/>
      <c r="AS1823" s="321"/>
      <c r="AT1823" s="321"/>
    </row>
    <row r="1824" spans="10:46">
      <c r="J1824" s="145"/>
      <c r="K1824" s="145"/>
      <c r="L1824" s="145"/>
      <c r="M1824" s="145"/>
      <c r="N1824" s="145"/>
      <c r="O1824" s="145"/>
      <c r="P1824" s="145"/>
      <c r="Q1824" s="145"/>
      <c r="R1824" s="145"/>
      <c r="S1824" s="145"/>
      <c r="T1824" s="145"/>
      <c r="U1824" s="145"/>
      <c r="V1824" s="145"/>
      <c r="W1824" s="145"/>
      <c r="X1824" s="145"/>
      <c r="Y1824" s="145"/>
      <c r="Z1824" s="145"/>
      <c r="AA1824" s="145"/>
      <c r="AB1824" s="145"/>
      <c r="AC1824" s="145"/>
      <c r="AD1824" s="145"/>
      <c r="AE1824" s="145"/>
      <c r="AF1824" s="145"/>
      <c r="AG1824" s="145"/>
      <c r="AH1824" s="145"/>
      <c r="AI1824" s="145"/>
      <c r="AJ1824" s="145"/>
      <c r="AK1824" s="145"/>
      <c r="AL1824" s="145"/>
      <c r="AM1824" s="321"/>
      <c r="AN1824" s="321"/>
      <c r="AO1824" s="321"/>
      <c r="AP1824" s="321"/>
      <c r="AQ1824" s="321"/>
      <c r="AR1824" s="321"/>
      <c r="AS1824" s="321"/>
      <c r="AT1824" s="321"/>
    </row>
    <row r="1825" spans="10:46">
      <c r="J1825" s="145"/>
      <c r="K1825" s="145"/>
      <c r="L1825" s="145"/>
      <c r="M1825" s="145"/>
      <c r="N1825" s="145"/>
      <c r="O1825" s="145"/>
      <c r="P1825" s="145"/>
      <c r="Q1825" s="145"/>
      <c r="R1825" s="145"/>
      <c r="S1825" s="145"/>
      <c r="T1825" s="145"/>
      <c r="U1825" s="145"/>
      <c r="V1825" s="145"/>
      <c r="W1825" s="145"/>
      <c r="X1825" s="145"/>
      <c r="Y1825" s="145"/>
      <c r="Z1825" s="145"/>
      <c r="AA1825" s="145"/>
      <c r="AB1825" s="145"/>
      <c r="AC1825" s="145"/>
      <c r="AD1825" s="145"/>
      <c r="AE1825" s="145"/>
      <c r="AF1825" s="145"/>
      <c r="AG1825" s="145"/>
      <c r="AH1825" s="145"/>
      <c r="AI1825" s="145"/>
      <c r="AJ1825" s="145"/>
      <c r="AK1825" s="145"/>
      <c r="AL1825" s="145"/>
      <c r="AM1825" s="321"/>
      <c r="AN1825" s="321"/>
      <c r="AO1825" s="321"/>
      <c r="AP1825" s="321"/>
      <c r="AQ1825" s="321"/>
      <c r="AR1825" s="321"/>
      <c r="AS1825" s="321"/>
      <c r="AT1825" s="321"/>
    </row>
    <row r="1826" spans="10:46">
      <c r="J1826" s="145"/>
      <c r="K1826" s="145"/>
      <c r="L1826" s="145"/>
      <c r="M1826" s="145"/>
      <c r="N1826" s="145"/>
      <c r="O1826" s="145"/>
      <c r="P1826" s="145"/>
      <c r="Q1826" s="145"/>
      <c r="R1826" s="145"/>
      <c r="S1826" s="145"/>
      <c r="T1826" s="145"/>
      <c r="U1826" s="145"/>
      <c r="V1826" s="145"/>
      <c r="W1826" s="145"/>
      <c r="X1826" s="145"/>
      <c r="Y1826" s="145"/>
      <c r="Z1826" s="145"/>
      <c r="AA1826" s="145"/>
      <c r="AB1826" s="145"/>
      <c r="AC1826" s="145"/>
      <c r="AD1826" s="145"/>
      <c r="AE1826" s="145"/>
      <c r="AF1826" s="145"/>
      <c r="AG1826" s="145"/>
      <c r="AH1826" s="145"/>
      <c r="AI1826" s="145"/>
      <c r="AJ1826" s="145"/>
      <c r="AK1826" s="145"/>
      <c r="AL1826" s="145"/>
      <c r="AM1826" s="321"/>
      <c r="AN1826" s="321"/>
      <c r="AO1826" s="321"/>
      <c r="AP1826" s="321"/>
      <c r="AQ1826" s="321"/>
      <c r="AR1826" s="321"/>
      <c r="AS1826" s="321"/>
      <c r="AT1826" s="321"/>
    </row>
    <row r="1827" spans="10:46">
      <c r="J1827" s="145"/>
      <c r="K1827" s="145"/>
      <c r="L1827" s="145"/>
      <c r="M1827" s="145"/>
      <c r="N1827" s="145"/>
      <c r="O1827" s="145"/>
      <c r="P1827" s="145"/>
      <c r="Q1827" s="145"/>
      <c r="R1827" s="145"/>
      <c r="S1827" s="145"/>
      <c r="T1827" s="145"/>
      <c r="U1827" s="145"/>
      <c r="V1827" s="145"/>
      <c r="W1827" s="145"/>
      <c r="X1827" s="145"/>
      <c r="Y1827" s="145"/>
      <c r="Z1827" s="145"/>
      <c r="AA1827" s="145"/>
      <c r="AB1827" s="145"/>
      <c r="AC1827" s="145"/>
      <c r="AD1827" s="145"/>
      <c r="AE1827" s="145"/>
      <c r="AF1827" s="145"/>
      <c r="AG1827" s="145"/>
      <c r="AH1827" s="145"/>
      <c r="AI1827" s="145"/>
      <c r="AJ1827" s="145"/>
      <c r="AK1827" s="145"/>
      <c r="AL1827" s="145"/>
      <c r="AM1827" s="321"/>
      <c r="AN1827" s="321"/>
      <c r="AO1827" s="321"/>
      <c r="AP1827" s="321"/>
      <c r="AQ1827" s="321"/>
      <c r="AR1827" s="321"/>
      <c r="AS1827" s="321"/>
      <c r="AT1827" s="321"/>
    </row>
    <row r="1828" spans="10:46">
      <c r="J1828" s="145"/>
      <c r="K1828" s="145"/>
      <c r="L1828" s="145"/>
      <c r="M1828" s="145"/>
      <c r="N1828" s="145"/>
      <c r="O1828" s="145"/>
      <c r="P1828" s="145"/>
      <c r="Q1828" s="145"/>
      <c r="R1828" s="145"/>
      <c r="S1828" s="145"/>
      <c r="T1828" s="145"/>
      <c r="U1828" s="145"/>
      <c r="V1828" s="145"/>
      <c r="W1828" s="145"/>
      <c r="X1828" s="145"/>
      <c r="Y1828" s="145"/>
      <c r="Z1828" s="145"/>
      <c r="AA1828" s="145"/>
      <c r="AB1828" s="145"/>
      <c r="AC1828" s="145"/>
      <c r="AD1828" s="145"/>
      <c r="AE1828" s="145"/>
      <c r="AF1828" s="145"/>
      <c r="AG1828" s="145"/>
      <c r="AH1828" s="145"/>
      <c r="AI1828" s="145"/>
      <c r="AJ1828" s="145"/>
      <c r="AK1828" s="145"/>
      <c r="AL1828" s="145"/>
      <c r="AM1828" s="321"/>
      <c r="AN1828" s="321"/>
      <c r="AO1828" s="321"/>
      <c r="AP1828" s="321"/>
      <c r="AQ1828" s="321"/>
      <c r="AR1828" s="321"/>
      <c r="AS1828" s="321"/>
      <c r="AT1828" s="321"/>
    </row>
    <row r="1829" spans="10:46">
      <c r="J1829" s="145"/>
      <c r="K1829" s="145"/>
      <c r="L1829" s="145"/>
      <c r="M1829" s="145"/>
      <c r="N1829" s="145"/>
      <c r="O1829" s="145"/>
      <c r="P1829" s="145"/>
      <c r="Q1829" s="145"/>
      <c r="R1829" s="145"/>
      <c r="S1829" s="145"/>
      <c r="T1829" s="145"/>
      <c r="U1829" s="145"/>
      <c r="V1829" s="145"/>
      <c r="W1829" s="145"/>
      <c r="X1829" s="145"/>
      <c r="Y1829" s="145"/>
      <c r="Z1829" s="145"/>
      <c r="AA1829" s="145"/>
      <c r="AB1829" s="145"/>
      <c r="AC1829" s="145"/>
      <c r="AD1829" s="145"/>
      <c r="AE1829" s="145"/>
      <c r="AF1829" s="145"/>
      <c r="AG1829" s="145"/>
      <c r="AH1829" s="145"/>
      <c r="AI1829" s="145"/>
      <c r="AJ1829" s="145"/>
      <c r="AK1829" s="145"/>
      <c r="AL1829" s="145"/>
      <c r="AM1829" s="321"/>
      <c r="AN1829" s="321"/>
      <c r="AO1829" s="321"/>
      <c r="AP1829" s="321"/>
      <c r="AQ1829" s="321"/>
      <c r="AR1829" s="321"/>
      <c r="AS1829" s="321"/>
      <c r="AT1829" s="321"/>
    </row>
    <row r="1830" spans="10:46">
      <c r="J1830" s="145"/>
      <c r="K1830" s="145"/>
      <c r="L1830" s="145"/>
      <c r="M1830" s="145"/>
      <c r="N1830" s="145"/>
      <c r="O1830" s="145"/>
      <c r="P1830" s="145"/>
      <c r="Q1830" s="145"/>
      <c r="R1830" s="145"/>
      <c r="S1830" s="145"/>
      <c r="T1830" s="145"/>
      <c r="U1830" s="145"/>
      <c r="V1830" s="145"/>
      <c r="W1830" s="145"/>
      <c r="X1830" s="145"/>
      <c r="Y1830" s="145"/>
      <c r="Z1830" s="145"/>
      <c r="AA1830" s="145"/>
      <c r="AB1830" s="145"/>
      <c r="AC1830" s="145"/>
      <c r="AD1830" s="145"/>
      <c r="AE1830" s="145"/>
      <c r="AF1830" s="145"/>
      <c r="AG1830" s="145"/>
      <c r="AH1830" s="145"/>
      <c r="AI1830" s="145"/>
      <c r="AJ1830" s="145"/>
      <c r="AK1830" s="145"/>
      <c r="AL1830" s="145"/>
      <c r="AM1830" s="321"/>
      <c r="AN1830" s="321"/>
      <c r="AO1830" s="321"/>
      <c r="AP1830" s="321"/>
      <c r="AQ1830" s="321"/>
      <c r="AR1830" s="321"/>
      <c r="AS1830" s="321"/>
      <c r="AT1830" s="321"/>
    </row>
    <row r="1831" spans="10:46">
      <c r="J1831" s="145"/>
      <c r="K1831" s="145"/>
      <c r="L1831" s="145"/>
      <c r="M1831" s="145"/>
      <c r="N1831" s="145"/>
      <c r="O1831" s="145"/>
      <c r="P1831" s="145"/>
      <c r="Q1831" s="145"/>
      <c r="R1831" s="145"/>
      <c r="S1831" s="145"/>
      <c r="T1831" s="145"/>
      <c r="U1831" s="145"/>
      <c r="V1831" s="145"/>
      <c r="W1831" s="145"/>
      <c r="X1831" s="145"/>
      <c r="Y1831" s="145"/>
      <c r="Z1831" s="145"/>
      <c r="AA1831" s="145"/>
      <c r="AB1831" s="145"/>
      <c r="AC1831" s="145"/>
      <c r="AD1831" s="145"/>
      <c r="AE1831" s="145"/>
      <c r="AF1831" s="145"/>
      <c r="AG1831" s="145"/>
      <c r="AH1831" s="145"/>
      <c r="AI1831" s="145"/>
      <c r="AJ1831" s="145"/>
      <c r="AK1831" s="145"/>
      <c r="AL1831" s="145"/>
      <c r="AM1831" s="321"/>
      <c r="AN1831" s="321"/>
      <c r="AO1831" s="321"/>
      <c r="AP1831" s="321"/>
      <c r="AQ1831" s="321"/>
      <c r="AR1831" s="321"/>
      <c r="AS1831" s="321"/>
      <c r="AT1831" s="321"/>
    </row>
    <row r="1832" spans="10:46">
      <c r="J1832" s="145"/>
      <c r="K1832" s="145"/>
      <c r="L1832" s="145"/>
      <c r="M1832" s="145"/>
      <c r="N1832" s="145"/>
      <c r="O1832" s="145"/>
      <c r="P1832" s="145"/>
      <c r="Q1832" s="145"/>
      <c r="R1832" s="145"/>
      <c r="S1832" s="145"/>
      <c r="T1832" s="145"/>
      <c r="U1832" s="145"/>
      <c r="V1832" s="145"/>
      <c r="W1832" s="145"/>
      <c r="X1832" s="145"/>
      <c r="Y1832" s="145"/>
      <c r="Z1832" s="145"/>
      <c r="AA1832" s="145"/>
      <c r="AB1832" s="145"/>
      <c r="AC1832" s="145"/>
      <c r="AD1832" s="145"/>
      <c r="AE1832" s="145"/>
      <c r="AF1832" s="145"/>
      <c r="AG1832" s="145"/>
      <c r="AH1832" s="145"/>
      <c r="AI1832" s="145"/>
      <c r="AJ1832" s="145"/>
      <c r="AK1832" s="145"/>
      <c r="AL1832" s="145"/>
      <c r="AM1832" s="321"/>
      <c r="AN1832" s="321"/>
      <c r="AO1832" s="321"/>
      <c r="AP1832" s="321"/>
      <c r="AQ1832" s="321"/>
      <c r="AR1832" s="321"/>
      <c r="AS1832" s="321"/>
      <c r="AT1832" s="321"/>
    </row>
    <row r="1833" spans="10:46">
      <c r="J1833" s="145"/>
      <c r="K1833" s="145"/>
      <c r="L1833" s="145"/>
      <c r="M1833" s="145"/>
      <c r="N1833" s="145"/>
      <c r="O1833" s="145"/>
      <c r="P1833" s="145"/>
      <c r="Q1833" s="145"/>
      <c r="R1833" s="145"/>
      <c r="S1833" s="145"/>
      <c r="T1833" s="145"/>
      <c r="U1833" s="145"/>
      <c r="V1833" s="145"/>
      <c r="W1833" s="145"/>
      <c r="X1833" s="145"/>
      <c r="Y1833" s="145"/>
      <c r="Z1833" s="145"/>
      <c r="AA1833" s="145"/>
      <c r="AB1833" s="145"/>
      <c r="AC1833" s="145"/>
      <c r="AD1833" s="145"/>
      <c r="AE1833" s="145"/>
      <c r="AF1833" s="145"/>
      <c r="AG1833" s="145"/>
      <c r="AH1833" s="145"/>
      <c r="AI1833" s="145"/>
      <c r="AJ1833" s="145"/>
      <c r="AK1833" s="145"/>
      <c r="AL1833" s="145"/>
      <c r="AM1833" s="321"/>
      <c r="AN1833" s="321"/>
      <c r="AO1833" s="321"/>
      <c r="AP1833" s="321"/>
      <c r="AQ1833" s="321"/>
      <c r="AR1833" s="321"/>
      <c r="AS1833" s="321"/>
      <c r="AT1833" s="321"/>
    </row>
    <row r="1834" spans="10:46">
      <c r="J1834" s="145"/>
      <c r="K1834" s="145"/>
      <c r="L1834" s="145"/>
      <c r="M1834" s="145"/>
      <c r="N1834" s="145"/>
      <c r="O1834" s="145"/>
      <c r="P1834" s="145"/>
      <c r="Q1834" s="145"/>
      <c r="R1834" s="145"/>
      <c r="S1834" s="145"/>
      <c r="T1834" s="145"/>
      <c r="U1834" s="145"/>
      <c r="V1834" s="145"/>
      <c r="W1834" s="145"/>
      <c r="X1834" s="145"/>
      <c r="Y1834" s="145"/>
      <c r="Z1834" s="145"/>
      <c r="AA1834" s="145"/>
      <c r="AB1834" s="145"/>
      <c r="AC1834" s="145"/>
      <c r="AD1834" s="145"/>
      <c r="AE1834" s="145"/>
      <c r="AF1834" s="145"/>
      <c r="AG1834" s="145"/>
      <c r="AH1834" s="145"/>
      <c r="AI1834" s="145"/>
      <c r="AJ1834" s="145"/>
      <c r="AK1834" s="145"/>
      <c r="AL1834" s="145"/>
      <c r="AM1834" s="321"/>
      <c r="AN1834" s="321"/>
      <c r="AO1834" s="321"/>
      <c r="AP1834" s="321"/>
      <c r="AQ1834" s="321"/>
      <c r="AR1834" s="321"/>
      <c r="AS1834" s="321"/>
      <c r="AT1834" s="321"/>
    </row>
    <row r="1835" spans="10:46">
      <c r="J1835" s="145"/>
      <c r="K1835" s="145"/>
      <c r="L1835" s="145"/>
      <c r="M1835" s="145"/>
      <c r="N1835" s="145"/>
      <c r="O1835" s="145"/>
      <c r="P1835" s="145"/>
      <c r="Q1835" s="145"/>
      <c r="R1835" s="145"/>
      <c r="S1835" s="145"/>
      <c r="T1835" s="145"/>
      <c r="U1835" s="145"/>
      <c r="V1835" s="145"/>
      <c r="W1835" s="145"/>
      <c r="X1835" s="145"/>
      <c r="Y1835" s="145"/>
      <c r="Z1835" s="145"/>
      <c r="AA1835" s="145"/>
      <c r="AB1835" s="145"/>
      <c r="AC1835" s="145"/>
      <c r="AD1835" s="145"/>
      <c r="AE1835" s="145"/>
      <c r="AF1835" s="145"/>
      <c r="AG1835" s="145"/>
      <c r="AH1835" s="145"/>
      <c r="AI1835" s="145"/>
      <c r="AJ1835" s="145"/>
      <c r="AK1835" s="145"/>
      <c r="AL1835" s="145"/>
      <c r="AM1835" s="321"/>
      <c r="AN1835" s="321"/>
      <c r="AO1835" s="321"/>
      <c r="AP1835" s="321"/>
      <c r="AQ1835" s="321"/>
      <c r="AR1835" s="321"/>
      <c r="AS1835" s="321"/>
      <c r="AT1835" s="321"/>
    </row>
    <row r="1836" spans="10:46">
      <c r="J1836" s="145"/>
      <c r="K1836" s="145"/>
      <c r="L1836" s="145"/>
      <c r="M1836" s="145"/>
      <c r="N1836" s="145"/>
      <c r="O1836" s="145"/>
      <c r="P1836" s="145"/>
      <c r="Q1836" s="145"/>
      <c r="R1836" s="145"/>
      <c r="S1836" s="145"/>
      <c r="T1836" s="145"/>
      <c r="U1836" s="145"/>
      <c r="V1836" s="145"/>
      <c r="W1836" s="145"/>
      <c r="X1836" s="145"/>
      <c r="Y1836" s="145"/>
      <c r="Z1836" s="145"/>
      <c r="AA1836" s="145"/>
      <c r="AB1836" s="145"/>
      <c r="AC1836" s="145"/>
      <c r="AD1836" s="145"/>
      <c r="AE1836" s="145"/>
      <c r="AF1836" s="145"/>
      <c r="AG1836" s="145"/>
      <c r="AH1836" s="145"/>
      <c r="AI1836" s="145"/>
      <c r="AJ1836" s="145"/>
      <c r="AK1836" s="145"/>
      <c r="AL1836" s="145"/>
      <c r="AM1836" s="321"/>
      <c r="AN1836" s="321"/>
      <c r="AO1836" s="321"/>
      <c r="AP1836" s="321"/>
      <c r="AQ1836" s="321"/>
      <c r="AR1836" s="321"/>
      <c r="AS1836" s="321"/>
      <c r="AT1836" s="321"/>
    </row>
    <row r="1837" spans="10:46">
      <c r="J1837" s="145"/>
      <c r="K1837" s="145"/>
      <c r="L1837" s="145"/>
      <c r="M1837" s="145"/>
      <c r="N1837" s="145"/>
      <c r="O1837" s="145"/>
      <c r="P1837" s="145"/>
      <c r="Q1837" s="145"/>
      <c r="R1837" s="145"/>
      <c r="S1837" s="145"/>
      <c r="T1837" s="145"/>
      <c r="U1837" s="145"/>
      <c r="V1837" s="145"/>
      <c r="W1837" s="145"/>
      <c r="X1837" s="145"/>
      <c r="Y1837" s="145"/>
      <c r="Z1837" s="145"/>
      <c r="AA1837" s="145"/>
      <c r="AB1837" s="145"/>
      <c r="AC1837" s="145"/>
      <c r="AD1837" s="145"/>
      <c r="AE1837" s="145"/>
      <c r="AF1837" s="145"/>
      <c r="AG1837" s="145"/>
      <c r="AH1837" s="145"/>
      <c r="AI1837" s="145"/>
      <c r="AJ1837" s="145"/>
      <c r="AK1837" s="145"/>
      <c r="AL1837" s="145"/>
      <c r="AM1837" s="321"/>
      <c r="AN1837" s="321"/>
      <c r="AO1837" s="321"/>
      <c r="AP1837" s="321"/>
      <c r="AQ1837" s="321"/>
      <c r="AR1837" s="321"/>
      <c r="AS1837" s="321"/>
      <c r="AT1837" s="321"/>
    </row>
    <row r="1838" spans="10:46">
      <c r="J1838" s="145"/>
      <c r="K1838" s="145"/>
      <c r="L1838" s="145"/>
      <c r="M1838" s="145"/>
      <c r="N1838" s="145"/>
      <c r="O1838" s="145"/>
      <c r="P1838" s="145"/>
      <c r="Q1838" s="145"/>
      <c r="R1838" s="145"/>
      <c r="S1838" s="145"/>
      <c r="T1838" s="145"/>
      <c r="U1838" s="145"/>
      <c r="V1838" s="145"/>
      <c r="W1838" s="145"/>
      <c r="X1838" s="145"/>
      <c r="Y1838" s="145"/>
      <c r="Z1838" s="145"/>
      <c r="AA1838" s="145"/>
      <c r="AB1838" s="145"/>
      <c r="AC1838" s="145"/>
      <c r="AD1838" s="145"/>
      <c r="AE1838" s="145"/>
      <c r="AF1838" s="145"/>
      <c r="AG1838" s="145"/>
      <c r="AH1838" s="145"/>
      <c r="AI1838" s="145"/>
      <c r="AJ1838" s="145"/>
      <c r="AK1838" s="145"/>
      <c r="AL1838" s="145"/>
      <c r="AM1838" s="321"/>
      <c r="AN1838" s="321"/>
      <c r="AO1838" s="321"/>
      <c r="AP1838" s="321"/>
      <c r="AQ1838" s="321"/>
      <c r="AR1838" s="321"/>
      <c r="AS1838" s="321"/>
      <c r="AT1838" s="321"/>
    </row>
    <row r="1839" spans="10:46">
      <c r="J1839" s="145"/>
      <c r="K1839" s="145"/>
      <c r="L1839" s="145"/>
      <c r="M1839" s="145"/>
      <c r="N1839" s="145"/>
      <c r="O1839" s="145"/>
      <c r="P1839" s="145"/>
      <c r="Q1839" s="145"/>
      <c r="R1839" s="145"/>
      <c r="S1839" s="145"/>
      <c r="T1839" s="145"/>
      <c r="U1839" s="145"/>
      <c r="V1839" s="145"/>
      <c r="W1839" s="145"/>
      <c r="X1839" s="145"/>
      <c r="Y1839" s="145"/>
      <c r="Z1839" s="145"/>
      <c r="AA1839" s="145"/>
      <c r="AB1839" s="145"/>
      <c r="AC1839" s="145"/>
      <c r="AD1839" s="145"/>
      <c r="AE1839" s="145"/>
      <c r="AF1839" s="145"/>
      <c r="AG1839" s="145"/>
      <c r="AH1839" s="145"/>
      <c r="AI1839" s="145"/>
      <c r="AJ1839" s="145"/>
      <c r="AK1839" s="145"/>
      <c r="AL1839" s="145"/>
      <c r="AM1839" s="321"/>
      <c r="AN1839" s="321"/>
      <c r="AO1839" s="321"/>
      <c r="AP1839" s="321"/>
      <c r="AQ1839" s="321"/>
      <c r="AR1839" s="321"/>
      <c r="AS1839" s="321"/>
      <c r="AT1839" s="321"/>
    </row>
    <row r="1840" spans="10:46">
      <c r="J1840" s="145"/>
      <c r="K1840" s="145"/>
      <c r="L1840" s="145"/>
      <c r="M1840" s="145"/>
      <c r="N1840" s="145"/>
      <c r="O1840" s="145"/>
      <c r="P1840" s="145"/>
      <c r="Q1840" s="145"/>
      <c r="R1840" s="145"/>
      <c r="S1840" s="145"/>
      <c r="T1840" s="145"/>
      <c r="U1840" s="145"/>
      <c r="V1840" s="145"/>
      <c r="W1840" s="145"/>
      <c r="X1840" s="145"/>
      <c r="Y1840" s="145"/>
      <c r="Z1840" s="145"/>
      <c r="AA1840" s="145"/>
      <c r="AB1840" s="145"/>
      <c r="AC1840" s="145"/>
      <c r="AD1840" s="145"/>
      <c r="AE1840" s="145"/>
      <c r="AF1840" s="145"/>
      <c r="AG1840" s="145"/>
      <c r="AH1840" s="145"/>
      <c r="AI1840" s="145"/>
      <c r="AJ1840" s="145"/>
      <c r="AK1840" s="145"/>
      <c r="AL1840" s="145"/>
      <c r="AM1840" s="321"/>
      <c r="AN1840" s="321"/>
      <c r="AO1840" s="321"/>
      <c r="AP1840" s="321"/>
      <c r="AQ1840" s="321"/>
      <c r="AR1840" s="321"/>
      <c r="AS1840" s="321"/>
      <c r="AT1840" s="321"/>
    </row>
    <row r="1841" spans="10:46">
      <c r="J1841" s="145"/>
      <c r="K1841" s="145"/>
      <c r="L1841" s="145"/>
      <c r="M1841" s="145"/>
      <c r="N1841" s="145"/>
      <c r="O1841" s="145"/>
      <c r="P1841" s="145"/>
      <c r="Q1841" s="145"/>
      <c r="R1841" s="145"/>
      <c r="S1841" s="145"/>
      <c r="T1841" s="145"/>
      <c r="U1841" s="145"/>
      <c r="V1841" s="145"/>
      <c r="W1841" s="145"/>
      <c r="X1841" s="145"/>
      <c r="Y1841" s="145"/>
      <c r="Z1841" s="145"/>
      <c r="AA1841" s="145"/>
      <c r="AB1841" s="145"/>
      <c r="AC1841" s="145"/>
      <c r="AD1841" s="145"/>
      <c r="AE1841" s="145"/>
      <c r="AF1841" s="145"/>
      <c r="AG1841" s="145"/>
      <c r="AH1841" s="145"/>
      <c r="AI1841" s="145"/>
      <c r="AJ1841" s="145"/>
      <c r="AK1841" s="145"/>
      <c r="AL1841" s="145"/>
      <c r="AM1841" s="321"/>
      <c r="AN1841" s="321"/>
      <c r="AO1841" s="321"/>
      <c r="AP1841" s="321"/>
      <c r="AQ1841" s="321"/>
      <c r="AR1841" s="321"/>
      <c r="AS1841" s="321"/>
      <c r="AT1841" s="321"/>
    </row>
    <row r="1842" spans="10:46">
      <c r="J1842" s="145"/>
      <c r="K1842" s="145"/>
      <c r="L1842" s="145"/>
      <c r="M1842" s="145"/>
      <c r="N1842" s="145"/>
      <c r="O1842" s="145"/>
      <c r="P1842" s="145"/>
      <c r="Q1842" s="145"/>
      <c r="R1842" s="145"/>
      <c r="S1842" s="145"/>
      <c r="T1842" s="145"/>
      <c r="U1842" s="145"/>
      <c r="V1842" s="145"/>
      <c r="W1842" s="145"/>
      <c r="X1842" s="145"/>
      <c r="Y1842" s="145"/>
      <c r="Z1842" s="145"/>
      <c r="AA1842" s="145"/>
      <c r="AB1842" s="145"/>
      <c r="AC1842" s="145"/>
      <c r="AD1842" s="145"/>
      <c r="AE1842" s="145"/>
      <c r="AF1842" s="145"/>
      <c r="AG1842" s="145"/>
      <c r="AH1842" s="145"/>
      <c r="AI1842" s="145"/>
      <c r="AJ1842" s="145"/>
      <c r="AK1842" s="145"/>
      <c r="AL1842" s="145"/>
      <c r="AM1842" s="321"/>
      <c r="AN1842" s="321"/>
      <c r="AO1842" s="321"/>
      <c r="AP1842" s="321"/>
      <c r="AQ1842" s="321"/>
      <c r="AR1842" s="321"/>
      <c r="AS1842" s="321"/>
      <c r="AT1842" s="321"/>
    </row>
    <row r="1843" spans="10:46">
      <c r="J1843" s="145"/>
      <c r="K1843" s="145"/>
      <c r="L1843" s="145"/>
      <c r="M1843" s="145"/>
      <c r="N1843" s="145"/>
      <c r="O1843" s="145"/>
      <c r="P1843" s="145"/>
      <c r="Q1843" s="145"/>
      <c r="R1843" s="145"/>
      <c r="S1843" s="145"/>
      <c r="T1843" s="145"/>
      <c r="U1843" s="145"/>
      <c r="V1843" s="145"/>
      <c r="W1843" s="145"/>
      <c r="X1843" s="145"/>
      <c r="Y1843" s="145"/>
      <c r="Z1843" s="145"/>
      <c r="AA1843" s="145"/>
      <c r="AB1843" s="145"/>
      <c r="AC1843" s="145"/>
      <c r="AD1843" s="145"/>
      <c r="AE1843" s="145"/>
      <c r="AF1843" s="145"/>
      <c r="AG1843" s="145"/>
      <c r="AH1843" s="145"/>
      <c r="AI1843" s="145"/>
      <c r="AJ1843" s="145"/>
      <c r="AK1843" s="145"/>
      <c r="AL1843" s="145"/>
      <c r="AM1843" s="321"/>
      <c r="AN1843" s="321"/>
      <c r="AO1843" s="321"/>
      <c r="AP1843" s="321"/>
      <c r="AQ1843" s="321"/>
      <c r="AR1843" s="321"/>
      <c r="AS1843" s="321"/>
      <c r="AT1843" s="321"/>
    </row>
    <row r="1844" spans="10:46">
      <c r="J1844" s="145"/>
      <c r="K1844" s="145"/>
      <c r="L1844" s="145"/>
      <c r="M1844" s="145"/>
      <c r="N1844" s="145"/>
      <c r="O1844" s="145"/>
      <c r="P1844" s="145"/>
      <c r="Q1844" s="145"/>
      <c r="R1844" s="145"/>
      <c r="S1844" s="145"/>
      <c r="T1844" s="145"/>
      <c r="U1844" s="145"/>
      <c r="V1844" s="145"/>
      <c r="W1844" s="145"/>
      <c r="X1844" s="145"/>
      <c r="Y1844" s="145"/>
      <c r="Z1844" s="145"/>
      <c r="AA1844" s="145"/>
      <c r="AB1844" s="145"/>
      <c r="AC1844" s="145"/>
      <c r="AD1844" s="145"/>
      <c r="AE1844" s="145"/>
      <c r="AF1844" s="145"/>
      <c r="AG1844" s="145"/>
      <c r="AH1844" s="145"/>
      <c r="AI1844" s="145"/>
      <c r="AJ1844" s="145"/>
      <c r="AK1844" s="145"/>
      <c r="AL1844" s="145"/>
      <c r="AM1844" s="321"/>
      <c r="AN1844" s="321"/>
      <c r="AO1844" s="321"/>
      <c r="AP1844" s="321"/>
      <c r="AQ1844" s="321"/>
      <c r="AR1844" s="321"/>
      <c r="AS1844" s="321"/>
      <c r="AT1844" s="321"/>
    </row>
    <row r="1845" spans="10:46">
      <c r="J1845" s="145"/>
      <c r="K1845" s="145"/>
      <c r="L1845" s="145"/>
      <c r="M1845" s="145"/>
      <c r="N1845" s="145"/>
      <c r="O1845" s="145"/>
      <c r="P1845" s="145"/>
      <c r="Q1845" s="145"/>
      <c r="R1845" s="145"/>
      <c r="S1845" s="145"/>
      <c r="T1845" s="145"/>
      <c r="U1845" s="145"/>
      <c r="V1845" s="145"/>
      <c r="W1845" s="145"/>
      <c r="X1845" s="145"/>
      <c r="Y1845" s="145"/>
      <c r="Z1845" s="145"/>
      <c r="AA1845" s="145"/>
      <c r="AB1845" s="145"/>
      <c r="AC1845" s="145"/>
      <c r="AD1845" s="145"/>
      <c r="AE1845" s="145"/>
      <c r="AF1845" s="145"/>
      <c r="AG1845" s="145"/>
      <c r="AH1845" s="145"/>
      <c r="AI1845" s="145"/>
      <c r="AJ1845" s="145"/>
      <c r="AK1845" s="145"/>
      <c r="AL1845" s="145"/>
      <c r="AM1845" s="321"/>
      <c r="AN1845" s="321"/>
      <c r="AO1845" s="321"/>
      <c r="AP1845" s="321"/>
      <c r="AQ1845" s="321"/>
      <c r="AR1845" s="321"/>
      <c r="AS1845" s="321"/>
      <c r="AT1845" s="321"/>
    </row>
    <row r="1846" spans="10:46">
      <c r="J1846" s="145"/>
      <c r="K1846" s="145"/>
      <c r="L1846" s="145"/>
      <c r="M1846" s="145"/>
      <c r="N1846" s="145"/>
      <c r="O1846" s="145"/>
      <c r="P1846" s="145"/>
      <c r="Q1846" s="145"/>
      <c r="R1846" s="145"/>
      <c r="S1846" s="145"/>
      <c r="T1846" s="145"/>
      <c r="U1846" s="145"/>
      <c r="V1846" s="145"/>
      <c r="W1846" s="145"/>
      <c r="X1846" s="145"/>
      <c r="Y1846" s="145"/>
      <c r="Z1846" s="145"/>
      <c r="AA1846" s="145"/>
      <c r="AB1846" s="145"/>
      <c r="AC1846" s="145"/>
      <c r="AD1846" s="145"/>
      <c r="AE1846" s="145"/>
      <c r="AF1846" s="145"/>
      <c r="AG1846" s="145"/>
      <c r="AH1846" s="145"/>
      <c r="AI1846" s="145"/>
      <c r="AJ1846" s="145"/>
      <c r="AK1846" s="145"/>
      <c r="AL1846" s="145"/>
      <c r="AM1846" s="321"/>
      <c r="AN1846" s="321"/>
      <c r="AO1846" s="321"/>
      <c r="AP1846" s="321"/>
      <c r="AQ1846" s="321"/>
      <c r="AR1846" s="321"/>
      <c r="AS1846" s="321"/>
      <c r="AT1846" s="321"/>
    </row>
    <row r="1847" spans="10:46">
      <c r="J1847" s="145"/>
      <c r="K1847" s="145"/>
      <c r="L1847" s="145"/>
      <c r="M1847" s="145"/>
      <c r="N1847" s="145"/>
      <c r="O1847" s="145"/>
      <c r="P1847" s="145"/>
      <c r="Q1847" s="145"/>
      <c r="R1847" s="145"/>
      <c r="S1847" s="145"/>
      <c r="T1847" s="145"/>
      <c r="U1847" s="145"/>
      <c r="V1847" s="145"/>
      <c r="W1847" s="145"/>
      <c r="X1847" s="145"/>
      <c r="Y1847" s="145"/>
      <c r="Z1847" s="145"/>
      <c r="AA1847" s="145"/>
      <c r="AB1847" s="145"/>
      <c r="AC1847" s="145"/>
      <c r="AD1847" s="145"/>
      <c r="AE1847" s="145"/>
      <c r="AF1847" s="145"/>
      <c r="AG1847" s="145"/>
      <c r="AH1847" s="145"/>
      <c r="AI1847" s="145"/>
      <c r="AJ1847" s="145"/>
      <c r="AK1847" s="145"/>
      <c r="AL1847" s="145"/>
      <c r="AM1847" s="321"/>
      <c r="AN1847" s="321"/>
      <c r="AO1847" s="321"/>
      <c r="AP1847" s="321"/>
      <c r="AQ1847" s="321"/>
      <c r="AR1847" s="321"/>
      <c r="AS1847" s="321"/>
      <c r="AT1847" s="321"/>
    </row>
    <row r="1848" spans="10:46">
      <c r="J1848" s="145"/>
      <c r="K1848" s="145"/>
      <c r="L1848" s="145"/>
      <c r="M1848" s="145"/>
      <c r="N1848" s="145"/>
      <c r="O1848" s="145"/>
      <c r="P1848" s="145"/>
      <c r="Q1848" s="145"/>
      <c r="R1848" s="145"/>
      <c r="S1848" s="145"/>
      <c r="T1848" s="145"/>
      <c r="U1848" s="145"/>
      <c r="V1848" s="145"/>
      <c r="W1848" s="145"/>
      <c r="X1848" s="145"/>
      <c r="Y1848" s="145"/>
      <c r="Z1848" s="145"/>
      <c r="AA1848" s="145"/>
      <c r="AB1848" s="145"/>
      <c r="AC1848" s="145"/>
      <c r="AD1848" s="145"/>
      <c r="AE1848" s="145"/>
      <c r="AF1848" s="145"/>
      <c r="AG1848" s="145"/>
      <c r="AH1848" s="145"/>
      <c r="AI1848" s="145"/>
      <c r="AJ1848" s="145"/>
      <c r="AK1848" s="145"/>
      <c r="AL1848" s="145"/>
      <c r="AM1848" s="321"/>
      <c r="AN1848" s="321"/>
      <c r="AO1848" s="321"/>
      <c r="AP1848" s="321"/>
      <c r="AQ1848" s="321"/>
      <c r="AR1848" s="321"/>
      <c r="AS1848" s="321"/>
      <c r="AT1848" s="321"/>
    </row>
  </sheetData>
  <mergeCells count="58">
    <mergeCell ref="A111:A130"/>
    <mergeCell ref="D287:D335"/>
    <mergeCell ref="E287:E335"/>
    <mergeCell ref="F287:F335"/>
    <mergeCell ref="F172:F228"/>
    <mergeCell ref="A229:A286"/>
    <mergeCell ref="B229:B286"/>
    <mergeCell ref="C229:C286"/>
    <mergeCell ref="D229:D286"/>
    <mergeCell ref="E229:E286"/>
    <mergeCell ref="F229:F286"/>
    <mergeCell ref="A172:A228"/>
    <mergeCell ref="B172:B228"/>
    <mergeCell ref="C172:C228"/>
    <mergeCell ref="D172:D228"/>
    <mergeCell ref="E172:E228"/>
    <mergeCell ref="A287:A335"/>
    <mergeCell ref="B287:B335"/>
    <mergeCell ref="C287:C335"/>
    <mergeCell ref="A153:A171"/>
    <mergeCell ref="B153:B171"/>
    <mergeCell ref="C153:C171"/>
    <mergeCell ref="A131:A152"/>
    <mergeCell ref="B131:B152"/>
    <mergeCell ref="C131:C152"/>
    <mergeCell ref="D131:D152"/>
    <mergeCell ref="E131:E152"/>
    <mergeCell ref="F74:F110"/>
    <mergeCell ref="D153:D171"/>
    <mergeCell ref="F153:F171"/>
    <mergeCell ref="D121:D130"/>
    <mergeCell ref="F121:F130"/>
    <mergeCell ref="F131:F152"/>
    <mergeCell ref="A44:A73"/>
    <mergeCell ref="AN74:AN75"/>
    <mergeCell ref="B111:B120"/>
    <mergeCell ref="C111:C120"/>
    <mergeCell ref="D111:D120"/>
    <mergeCell ref="E111:E130"/>
    <mergeCell ref="F111:F120"/>
    <mergeCell ref="B121:B130"/>
    <mergeCell ref="C121:C130"/>
    <mergeCell ref="A74:A110"/>
    <mergeCell ref="B74:B110"/>
    <mergeCell ref="C74:C110"/>
    <mergeCell ref="D74:D110"/>
    <mergeCell ref="E74:E110"/>
    <mergeCell ref="AN38:AN39"/>
    <mergeCell ref="B3:B37"/>
    <mergeCell ref="C3:C37"/>
    <mergeCell ref="D3:D37"/>
    <mergeCell ref="E3:E37"/>
    <mergeCell ref="F3:F37"/>
    <mergeCell ref="AN3:AN11"/>
    <mergeCell ref="B38:B73"/>
    <mergeCell ref="C38:C73"/>
    <mergeCell ref="D38:D73"/>
    <mergeCell ref="F38:F73"/>
  </mergeCells>
  <pageMargins left="0.39370078740157483" right="0.39370078740157483" top="0.39370078740157483" bottom="0.39370078740157483" header="0.31496062992125984" footer="0.31496062992125984"/>
  <pageSetup paperSize="9" scale="3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showGridLines="0" zoomScaleNormal="100" workbookViewId="0">
      <selection activeCell="N109" activeCellId="1" sqref="AA92 N109"/>
    </sheetView>
  </sheetViews>
  <sheetFormatPr defaultColWidth="9.140625" defaultRowHeight="15"/>
  <cols>
    <col min="1" max="1" width="13.7109375" style="143" customWidth="1"/>
    <col min="2" max="2" width="18.140625" style="143" customWidth="1"/>
    <col min="3" max="3" width="12" style="144" customWidth="1"/>
    <col min="4" max="4" width="19.28515625" style="144" customWidth="1"/>
    <col min="5" max="5" width="22.42578125" style="143" customWidth="1"/>
    <col min="6" max="7" width="11.7109375" style="144" customWidth="1"/>
    <col min="8" max="8" width="13.42578125" style="144" customWidth="1"/>
    <col min="9" max="16" width="11.7109375" style="144" customWidth="1"/>
    <col min="17" max="16384" width="9.140625" style="143"/>
  </cols>
  <sheetData>
    <row r="1" spans="1:16" s="154" customFormat="1" ht="51">
      <c r="A1" s="325" t="s">
        <v>1</v>
      </c>
      <c r="B1" s="325" t="s">
        <v>2</v>
      </c>
      <c r="C1" s="326" t="s">
        <v>3</v>
      </c>
      <c r="D1" s="327" t="s">
        <v>6</v>
      </c>
      <c r="E1" s="325" t="s">
        <v>7</v>
      </c>
      <c r="F1" s="328" t="s">
        <v>132</v>
      </c>
      <c r="G1" s="328" t="s">
        <v>133</v>
      </c>
      <c r="H1" s="328" t="s">
        <v>134</v>
      </c>
      <c r="I1" s="328" t="s">
        <v>135</v>
      </c>
      <c r="J1" s="328" t="s">
        <v>136</v>
      </c>
      <c r="K1" s="328" t="s">
        <v>137</v>
      </c>
      <c r="L1" s="328" t="s">
        <v>138</v>
      </c>
      <c r="M1" s="328" t="s">
        <v>139</v>
      </c>
      <c r="N1" s="328" t="s">
        <v>140</v>
      </c>
      <c r="O1" s="328" t="s">
        <v>141</v>
      </c>
      <c r="P1" s="328" t="s">
        <v>142</v>
      </c>
    </row>
    <row r="2" spans="1:16">
      <c r="A2" s="619" t="s">
        <v>14</v>
      </c>
      <c r="B2" s="619" t="s">
        <v>10</v>
      </c>
      <c r="C2" s="626">
        <v>8000</v>
      </c>
      <c r="D2" s="622" t="s">
        <v>143</v>
      </c>
      <c r="E2" s="329" t="s">
        <v>12</v>
      </c>
      <c r="F2" s="330">
        <f>1.59*$C$2*4</f>
        <v>50880</v>
      </c>
      <c r="G2" s="615">
        <f>83.69+0.24</f>
        <v>83.929999999999993</v>
      </c>
      <c r="H2" s="625">
        <f>G2/72</f>
        <v>1.1656944444444444</v>
      </c>
      <c r="I2" s="331">
        <f>F2/1658/16</f>
        <v>1.9179734620024125</v>
      </c>
      <c r="J2" s="331"/>
      <c r="K2" s="331"/>
      <c r="L2" s="331"/>
      <c r="M2" s="615">
        <v>0.5</v>
      </c>
      <c r="N2" s="332"/>
      <c r="O2" s="332"/>
      <c r="P2" s="615">
        <v>0.3</v>
      </c>
    </row>
    <row r="3" spans="1:16">
      <c r="A3" s="620"/>
      <c r="B3" s="620"/>
      <c r="C3" s="623"/>
      <c r="D3" s="623"/>
      <c r="E3" s="329" t="s">
        <v>18</v>
      </c>
      <c r="F3" s="330">
        <f>1.59*$C$2</f>
        <v>12720</v>
      </c>
      <c r="G3" s="617"/>
      <c r="H3" s="625"/>
      <c r="I3" s="331">
        <f>F3/765/16</f>
        <v>1.0392156862745099</v>
      </c>
      <c r="J3" s="331"/>
      <c r="K3" s="331"/>
      <c r="L3" s="331"/>
      <c r="M3" s="616"/>
      <c r="N3" s="332"/>
      <c r="O3" s="332"/>
      <c r="P3" s="616"/>
    </row>
    <row r="4" spans="1:16">
      <c r="A4" s="620"/>
      <c r="B4" s="620"/>
      <c r="C4" s="623"/>
      <c r="D4" s="623"/>
      <c r="E4" s="329" t="s">
        <v>20</v>
      </c>
      <c r="F4" s="330">
        <f>1.59*$C$2*2</f>
        <v>25440</v>
      </c>
      <c r="G4" s="333"/>
      <c r="H4" s="334"/>
      <c r="I4" s="334"/>
      <c r="J4" s="615">
        <v>0.25</v>
      </c>
      <c r="K4" s="335"/>
      <c r="L4" s="335"/>
      <c r="M4" s="616"/>
      <c r="N4" s="332"/>
      <c r="O4" s="332"/>
      <c r="P4" s="616"/>
    </row>
    <row r="5" spans="1:16">
      <c r="A5" s="620"/>
      <c r="B5" s="620"/>
      <c r="C5" s="623"/>
      <c r="D5" s="623"/>
      <c r="E5" s="329" t="s">
        <v>22</v>
      </c>
      <c r="F5" s="330">
        <f>1.59*$C$2*2</f>
        <v>25440</v>
      </c>
      <c r="G5" s="333"/>
      <c r="H5" s="334"/>
      <c r="I5" s="334"/>
      <c r="J5" s="616"/>
      <c r="K5" s="335"/>
      <c r="L5" s="335"/>
      <c r="M5" s="616"/>
      <c r="N5" s="332"/>
      <c r="O5" s="332"/>
      <c r="P5" s="616"/>
    </row>
    <row r="6" spans="1:16">
      <c r="A6" s="620"/>
      <c r="B6" s="620"/>
      <c r="C6" s="623"/>
      <c r="D6" s="624"/>
      <c r="E6" s="329" t="s">
        <v>25</v>
      </c>
      <c r="F6" s="330">
        <f>1.59*$C$2</f>
        <v>12720</v>
      </c>
      <c r="G6" s="333"/>
      <c r="H6" s="334"/>
      <c r="I6" s="334"/>
      <c r="J6" s="617"/>
      <c r="K6" s="335"/>
      <c r="L6" s="335"/>
      <c r="M6" s="617"/>
      <c r="N6" s="332"/>
      <c r="O6" s="332"/>
      <c r="P6" s="617"/>
    </row>
    <row r="7" spans="1:16">
      <c r="A7" s="618" t="s">
        <v>31</v>
      </c>
      <c r="B7" s="619" t="s">
        <v>32</v>
      </c>
      <c r="C7" s="621">
        <v>12000</v>
      </c>
      <c r="D7" s="622" t="s">
        <v>143</v>
      </c>
      <c r="E7" s="329" t="s">
        <v>33</v>
      </c>
      <c r="F7" s="330">
        <f>1.275*$C$7*2</f>
        <v>30599.999999999996</v>
      </c>
      <c r="G7" s="615">
        <v>116.51</v>
      </c>
      <c r="H7" s="625">
        <f>G7/72</f>
        <v>1.6181944444444445</v>
      </c>
      <c r="I7" s="331">
        <f>F7/4039/16</f>
        <v>0.47350829413221091</v>
      </c>
      <c r="J7" s="331"/>
      <c r="K7" s="331"/>
      <c r="L7" s="331"/>
      <c r="M7" s="615">
        <v>1</v>
      </c>
      <c r="N7" s="332"/>
      <c r="O7" s="332"/>
      <c r="P7" s="615">
        <v>0.5</v>
      </c>
    </row>
    <row r="8" spans="1:16">
      <c r="A8" s="618"/>
      <c r="B8" s="620"/>
      <c r="C8" s="621"/>
      <c r="D8" s="623"/>
      <c r="E8" s="329" t="s">
        <v>34</v>
      </c>
      <c r="F8" s="330">
        <f>1.275*$C$7*2</f>
        <v>30599.999999999996</v>
      </c>
      <c r="G8" s="617"/>
      <c r="H8" s="625"/>
      <c r="I8" s="331">
        <f>F8/765/16</f>
        <v>2.4999999999999996</v>
      </c>
      <c r="J8" s="331"/>
      <c r="K8" s="331"/>
      <c r="L8" s="331"/>
      <c r="M8" s="616"/>
      <c r="N8" s="332"/>
      <c r="O8" s="332"/>
      <c r="P8" s="616"/>
    </row>
    <row r="9" spans="1:16">
      <c r="A9" s="618"/>
      <c r="B9" s="620"/>
      <c r="C9" s="621"/>
      <c r="D9" s="623"/>
      <c r="E9" s="329" t="s">
        <v>20</v>
      </c>
      <c r="F9" s="330">
        <f>1.275*$C$7</f>
        <v>15299.999999999998</v>
      </c>
      <c r="G9" s="330"/>
      <c r="H9" s="330"/>
      <c r="I9" s="330"/>
      <c r="J9" s="615">
        <v>0.5</v>
      </c>
      <c r="K9" s="335"/>
      <c r="L9" s="335"/>
      <c r="M9" s="616"/>
      <c r="N9" s="332"/>
      <c r="O9" s="332"/>
      <c r="P9" s="616"/>
    </row>
    <row r="10" spans="1:16">
      <c r="A10" s="618"/>
      <c r="B10" s="620"/>
      <c r="C10" s="621"/>
      <c r="D10" s="623"/>
      <c r="E10" s="329" t="s">
        <v>22</v>
      </c>
      <c r="F10" s="330">
        <f>1.275*$C$7</f>
        <v>15299.999999999998</v>
      </c>
      <c r="G10" s="330"/>
      <c r="H10" s="330"/>
      <c r="I10" s="330"/>
      <c r="J10" s="616"/>
      <c r="K10" s="335"/>
      <c r="L10" s="335"/>
      <c r="M10" s="616"/>
      <c r="N10" s="332"/>
      <c r="O10" s="332"/>
      <c r="P10" s="616"/>
    </row>
    <row r="11" spans="1:16">
      <c r="A11" s="618"/>
      <c r="B11" s="620"/>
      <c r="C11" s="621"/>
      <c r="D11" s="623"/>
      <c r="E11" s="329" t="s">
        <v>144</v>
      </c>
      <c r="F11" s="330">
        <f>1.275*$C$7</f>
        <v>15299.999999999998</v>
      </c>
      <c r="G11" s="330"/>
      <c r="H11" s="330"/>
      <c r="I11" s="330"/>
      <c r="J11" s="616"/>
      <c r="K11" s="335"/>
      <c r="L11" s="335"/>
      <c r="M11" s="616"/>
      <c r="N11" s="332"/>
      <c r="O11" s="332"/>
      <c r="P11" s="616"/>
    </row>
    <row r="12" spans="1:16">
      <c r="A12" s="618"/>
      <c r="B12" s="620"/>
      <c r="C12" s="621"/>
      <c r="D12" s="624"/>
      <c r="E12" s="329" t="s">
        <v>25</v>
      </c>
      <c r="F12" s="330">
        <f>1.275*$C$7</f>
        <v>15299.999999999998</v>
      </c>
      <c r="G12" s="330"/>
      <c r="H12" s="330"/>
      <c r="I12" s="330"/>
      <c r="J12" s="617"/>
      <c r="K12" s="335"/>
      <c r="L12" s="335"/>
      <c r="M12" s="617"/>
      <c r="N12" s="332"/>
      <c r="O12" s="332"/>
      <c r="P12" s="617"/>
    </row>
    <row r="13" spans="1:16">
      <c r="A13" s="627" t="s">
        <v>38</v>
      </c>
      <c r="B13" s="628" t="s">
        <v>39</v>
      </c>
      <c r="C13" s="630">
        <f>50000/20</f>
        <v>2500</v>
      </c>
      <c r="D13" s="631" t="s">
        <v>40</v>
      </c>
      <c r="E13" s="228" t="s">
        <v>41</v>
      </c>
      <c r="F13" s="330">
        <f>1.59*$C$13</f>
        <v>3975</v>
      </c>
      <c r="G13" s="615">
        <v>39.83</v>
      </c>
      <c r="H13" s="625">
        <f>G13/72</f>
        <v>0.55319444444444443</v>
      </c>
      <c r="I13" s="331">
        <f>F13/3488/16</f>
        <v>7.1226347477064217E-2</v>
      </c>
      <c r="J13" s="331"/>
      <c r="K13" s="331"/>
      <c r="L13" s="331"/>
      <c r="M13" s="615">
        <v>0.25</v>
      </c>
      <c r="N13" s="332"/>
      <c r="O13" s="615">
        <v>1</v>
      </c>
      <c r="P13" s="615">
        <v>0.25</v>
      </c>
    </row>
    <row r="14" spans="1:16">
      <c r="A14" s="627"/>
      <c r="B14" s="629"/>
      <c r="C14" s="630"/>
      <c r="D14" s="632"/>
      <c r="E14" s="228" t="s">
        <v>34</v>
      </c>
      <c r="F14" s="330">
        <f>1.59*$C$13*2</f>
        <v>7950</v>
      </c>
      <c r="G14" s="617"/>
      <c r="H14" s="625"/>
      <c r="I14" s="331">
        <f>F14/765/16</f>
        <v>0.64950980392156865</v>
      </c>
      <c r="J14" s="331"/>
      <c r="K14" s="331"/>
      <c r="L14" s="331"/>
      <c r="M14" s="616"/>
      <c r="N14" s="332"/>
      <c r="O14" s="616"/>
      <c r="P14" s="616"/>
    </row>
    <row r="15" spans="1:16">
      <c r="A15" s="627"/>
      <c r="B15" s="629"/>
      <c r="C15" s="630"/>
      <c r="D15" s="632"/>
      <c r="E15" s="228" t="s">
        <v>20</v>
      </c>
      <c r="F15" s="330">
        <f>1.59*$C$13</f>
        <v>3975</v>
      </c>
      <c r="G15" s="330"/>
      <c r="H15" s="330"/>
      <c r="I15" s="330"/>
      <c r="J15" s="615">
        <v>0.15</v>
      </c>
      <c r="K15" s="335"/>
      <c r="L15" s="335"/>
      <c r="M15" s="616"/>
      <c r="N15" s="332"/>
      <c r="O15" s="616"/>
      <c r="P15" s="616"/>
    </row>
    <row r="16" spans="1:16">
      <c r="A16" s="627"/>
      <c r="B16" s="629"/>
      <c r="C16" s="630"/>
      <c r="D16" s="632"/>
      <c r="E16" s="228" t="s">
        <v>44</v>
      </c>
      <c r="F16" s="330">
        <f t="shared" ref="F16:F17" si="0">1.59*$C$13</f>
        <v>3975</v>
      </c>
      <c r="G16" s="330"/>
      <c r="H16" s="330"/>
      <c r="I16" s="330"/>
      <c r="J16" s="616"/>
      <c r="K16" s="335"/>
      <c r="L16" s="335"/>
      <c r="M16" s="616"/>
      <c r="N16" s="332"/>
      <c r="O16" s="616"/>
      <c r="P16" s="616"/>
    </row>
    <row r="17" spans="1:16">
      <c r="A17" s="627"/>
      <c r="B17" s="629"/>
      <c r="C17" s="630"/>
      <c r="D17" s="633"/>
      <c r="E17" s="228" t="s">
        <v>25</v>
      </c>
      <c r="F17" s="330">
        <f t="shared" si="0"/>
        <v>3975</v>
      </c>
      <c r="G17" s="330"/>
      <c r="H17" s="330"/>
      <c r="I17" s="330"/>
      <c r="J17" s="617"/>
      <c r="K17" s="335"/>
      <c r="L17" s="335"/>
      <c r="M17" s="617"/>
      <c r="N17" s="332"/>
      <c r="O17" s="617"/>
      <c r="P17" s="617"/>
    </row>
    <row r="18" spans="1:16">
      <c r="A18" s="627" t="s">
        <v>49</v>
      </c>
      <c r="B18" s="627" t="s">
        <v>50</v>
      </c>
      <c r="C18" s="630">
        <f>40000/20</f>
        <v>2000</v>
      </c>
      <c r="D18" s="634" t="s">
        <v>51</v>
      </c>
      <c r="E18" s="228" t="s">
        <v>52</v>
      </c>
      <c r="F18" s="330">
        <f>1.56*$C$18</f>
        <v>3120</v>
      </c>
      <c r="G18" s="335">
        <v>6.28</v>
      </c>
      <c r="H18" s="335">
        <f>G18/288</f>
        <v>2.1805555555555557E-2</v>
      </c>
      <c r="I18" s="335">
        <f>F18/2827/16</f>
        <v>6.8977714892111783E-2</v>
      </c>
      <c r="J18" s="335"/>
      <c r="K18" s="335"/>
      <c r="L18" s="335"/>
      <c r="M18" s="335"/>
      <c r="N18" s="335"/>
      <c r="O18" s="615">
        <v>1</v>
      </c>
      <c r="P18" s="615">
        <v>0.25</v>
      </c>
    </row>
    <row r="19" spans="1:16">
      <c r="A19" s="627"/>
      <c r="B19" s="627"/>
      <c r="C19" s="630"/>
      <c r="D19" s="632"/>
      <c r="E19" s="228" t="s">
        <v>25</v>
      </c>
      <c r="F19" s="330">
        <f t="shared" ref="F19:F20" si="1">1.56*$C$18</f>
        <v>3120</v>
      </c>
      <c r="G19" s="330"/>
      <c r="H19" s="330"/>
      <c r="I19" s="330"/>
      <c r="J19" s="335">
        <v>0.1</v>
      </c>
      <c r="K19" s="335"/>
      <c r="L19" s="335"/>
      <c r="M19" s="335"/>
      <c r="N19" s="335"/>
      <c r="O19" s="616"/>
      <c r="P19" s="616"/>
    </row>
    <row r="20" spans="1:16">
      <c r="A20" s="627"/>
      <c r="B20" s="627"/>
      <c r="C20" s="630"/>
      <c r="D20" s="633"/>
      <c r="E20" s="228" t="s">
        <v>145</v>
      </c>
      <c r="F20" s="330">
        <f t="shared" si="1"/>
        <v>3120</v>
      </c>
      <c r="G20" s="335">
        <v>7.3</v>
      </c>
      <c r="H20" s="335">
        <f>G20/168</f>
        <v>4.3452380952380951E-2</v>
      </c>
      <c r="I20" s="335"/>
      <c r="J20" s="335"/>
      <c r="K20" s="335"/>
      <c r="L20" s="335"/>
      <c r="M20" s="335"/>
      <c r="N20" s="335"/>
      <c r="O20" s="617"/>
      <c r="P20" s="616"/>
    </row>
    <row r="21" spans="1:16">
      <c r="A21" s="627" t="s">
        <v>53</v>
      </c>
      <c r="B21" s="627" t="s">
        <v>54</v>
      </c>
      <c r="C21" s="630">
        <f>20000/20</f>
        <v>1000</v>
      </c>
      <c r="D21" s="634" t="s">
        <v>51</v>
      </c>
      <c r="E21" s="228" t="s">
        <v>52</v>
      </c>
      <c r="F21" s="330">
        <f>1.09*$C$21</f>
        <v>1090</v>
      </c>
      <c r="G21" s="335">
        <v>2.19</v>
      </c>
      <c r="H21" s="335">
        <f>G21/288</f>
        <v>7.6041666666666662E-3</v>
      </c>
      <c r="I21" s="335">
        <f>F21/2827/16</f>
        <v>2.4097983728333924E-2</v>
      </c>
      <c r="J21" s="335"/>
      <c r="K21" s="335"/>
      <c r="L21" s="335"/>
      <c r="M21" s="335"/>
      <c r="N21" s="335"/>
      <c r="O21" s="615">
        <v>1</v>
      </c>
      <c r="P21" s="616"/>
    </row>
    <row r="22" spans="1:16">
      <c r="A22" s="627"/>
      <c r="B22" s="627"/>
      <c r="C22" s="630"/>
      <c r="D22" s="632"/>
      <c r="E22" s="228" t="s">
        <v>25</v>
      </c>
      <c r="F22" s="330">
        <f>1.09*$C$21</f>
        <v>1090</v>
      </c>
      <c r="G22" s="330"/>
      <c r="H22" s="330"/>
      <c r="I22" s="330"/>
      <c r="J22" s="335">
        <v>0.1</v>
      </c>
      <c r="K22" s="335"/>
      <c r="L22" s="335"/>
      <c r="M22" s="335"/>
      <c r="N22" s="335"/>
      <c r="O22" s="616"/>
      <c r="P22" s="616"/>
    </row>
    <row r="23" spans="1:16">
      <c r="A23" s="627"/>
      <c r="B23" s="627"/>
      <c r="C23" s="630"/>
      <c r="D23" s="633"/>
      <c r="E23" s="228" t="s">
        <v>145</v>
      </c>
      <c r="F23" s="330">
        <f>1.09*$C$21</f>
        <v>1090</v>
      </c>
      <c r="G23" s="335">
        <v>2.5499999999999998</v>
      </c>
      <c r="H23" s="335">
        <f>G23/168</f>
        <v>1.5178571428571427E-2</v>
      </c>
      <c r="I23" s="335"/>
      <c r="J23" s="335"/>
      <c r="K23" s="335"/>
      <c r="L23" s="335"/>
      <c r="M23" s="335"/>
      <c r="N23" s="335"/>
      <c r="O23" s="617"/>
      <c r="P23" s="617"/>
    </row>
    <row r="24" spans="1:16">
      <c r="A24" s="618" t="s">
        <v>56</v>
      </c>
      <c r="B24" s="635" t="s">
        <v>57</v>
      </c>
      <c r="C24" s="621">
        <v>9000</v>
      </c>
      <c r="D24" s="626" t="s">
        <v>58</v>
      </c>
      <c r="E24" s="329" t="s">
        <v>59</v>
      </c>
      <c r="F24" s="330">
        <f>1.56*$C$24</f>
        <v>14040</v>
      </c>
      <c r="G24" s="335">
        <v>43.02</v>
      </c>
      <c r="H24" s="335">
        <f>G24/72</f>
        <v>0.59750000000000003</v>
      </c>
      <c r="I24" s="335">
        <f>F24/2827/16</f>
        <v>0.31039971701450303</v>
      </c>
      <c r="J24" s="335"/>
      <c r="K24" s="335"/>
      <c r="L24" s="335"/>
      <c r="M24" s="335"/>
      <c r="N24" s="335"/>
      <c r="O24" s="615">
        <v>4</v>
      </c>
      <c r="P24" s="615">
        <v>0.25</v>
      </c>
    </row>
    <row r="25" spans="1:16">
      <c r="A25" s="618"/>
      <c r="B25" s="636"/>
      <c r="C25" s="621"/>
      <c r="D25" s="623"/>
      <c r="E25" s="329" t="s">
        <v>25</v>
      </c>
      <c r="F25" s="330">
        <f t="shared" ref="F25:F26" si="2">1.56*$C$24</f>
        <v>14040</v>
      </c>
      <c r="G25" s="330"/>
      <c r="H25" s="330"/>
      <c r="I25" s="330"/>
      <c r="J25" s="335">
        <v>0.15</v>
      </c>
      <c r="K25" s="335"/>
      <c r="L25" s="335"/>
      <c r="M25" s="335"/>
      <c r="N25" s="335"/>
      <c r="O25" s="616"/>
      <c r="P25" s="616"/>
    </row>
    <row r="26" spans="1:16">
      <c r="A26" s="618"/>
      <c r="B26" s="636"/>
      <c r="C26" s="626"/>
      <c r="D26" s="624"/>
      <c r="E26" s="336"/>
      <c r="F26" s="337">
        <f t="shared" si="2"/>
        <v>14040</v>
      </c>
      <c r="G26" s="337"/>
      <c r="H26" s="330"/>
      <c r="I26" s="337"/>
      <c r="J26" s="338"/>
      <c r="K26" s="338"/>
      <c r="L26" s="338"/>
      <c r="M26" s="338"/>
      <c r="N26" s="338"/>
      <c r="O26" s="617"/>
      <c r="P26" s="617"/>
    </row>
    <row r="27" spans="1:16">
      <c r="A27" s="627" t="s">
        <v>60</v>
      </c>
      <c r="B27" s="627" t="s">
        <v>61</v>
      </c>
      <c r="C27" s="630">
        <f>30000/20</f>
        <v>1500</v>
      </c>
      <c r="D27" s="634" t="s">
        <v>62</v>
      </c>
      <c r="E27" s="228" t="s">
        <v>63</v>
      </c>
      <c r="F27" s="330">
        <f>1.525*$C$27</f>
        <v>2287.5</v>
      </c>
      <c r="G27" s="335">
        <v>54.78</v>
      </c>
      <c r="H27" s="335">
        <f>G27/288</f>
        <v>0.19020833333333334</v>
      </c>
      <c r="I27" s="335">
        <f>F27/6610/16</f>
        <v>2.1629160363086233E-2</v>
      </c>
      <c r="J27" s="335"/>
      <c r="K27" s="335"/>
      <c r="L27" s="335"/>
      <c r="M27" s="335"/>
      <c r="N27" s="335"/>
      <c r="O27" s="615">
        <v>1</v>
      </c>
      <c r="P27" s="615">
        <v>0.15</v>
      </c>
    </row>
    <row r="28" spans="1:16">
      <c r="A28" s="627"/>
      <c r="B28" s="627"/>
      <c r="C28" s="630"/>
      <c r="D28" s="632"/>
      <c r="E28" s="228" t="s">
        <v>25</v>
      </c>
      <c r="F28" s="330">
        <f t="shared" ref="F28:F29" si="3">1.525*$C$27</f>
        <v>2287.5</v>
      </c>
      <c r="G28" s="330"/>
      <c r="H28" s="330"/>
      <c r="I28" s="330"/>
      <c r="J28" s="335">
        <v>0.1</v>
      </c>
      <c r="K28" s="335"/>
      <c r="L28" s="335"/>
      <c r="M28" s="335"/>
      <c r="N28" s="335"/>
      <c r="O28" s="616"/>
      <c r="P28" s="616"/>
    </row>
    <row r="29" spans="1:16">
      <c r="A29" s="627"/>
      <c r="B29" s="627"/>
      <c r="C29" s="630"/>
      <c r="D29" s="633"/>
      <c r="E29" s="228"/>
      <c r="F29" s="330">
        <f t="shared" si="3"/>
        <v>2287.5</v>
      </c>
      <c r="G29" s="330"/>
      <c r="H29" s="330"/>
      <c r="I29" s="330"/>
      <c r="J29" s="335"/>
      <c r="K29" s="335"/>
      <c r="L29" s="335"/>
      <c r="M29" s="335"/>
      <c r="N29" s="335"/>
      <c r="O29" s="617"/>
      <c r="P29" s="617"/>
    </row>
    <row r="30" spans="1:16">
      <c r="A30" s="628" t="s">
        <v>81</v>
      </c>
      <c r="B30" s="228"/>
      <c r="C30" s="330"/>
      <c r="D30" s="638"/>
      <c r="E30" s="228" t="s">
        <v>68</v>
      </c>
      <c r="F30" s="330">
        <f>3350*2</f>
        <v>6700</v>
      </c>
      <c r="G30" s="335">
        <v>5.61</v>
      </c>
      <c r="H30" s="335">
        <f>G30/192</f>
        <v>2.9218750000000002E-2</v>
      </c>
      <c r="I30" s="335">
        <f>F30/1658/16</f>
        <v>0.25256332931242459</v>
      </c>
      <c r="J30" s="335"/>
      <c r="K30" s="335"/>
      <c r="L30" s="335"/>
      <c r="M30" s="615">
        <v>0.25</v>
      </c>
      <c r="N30" s="615">
        <v>2</v>
      </c>
      <c r="O30" s="332"/>
      <c r="P30" s="615">
        <v>0.15</v>
      </c>
    </row>
    <row r="31" spans="1:16">
      <c r="A31" s="629"/>
      <c r="B31" s="228"/>
      <c r="C31" s="330"/>
      <c r="D31" s="540"/>
      <c r="E31" s="228" t="s">
        <v>66</v>
      </c>
      <c r="F31" s="330">
        <v>3350</v>
      </c>
      <c r="G31" s="335">
        <v>2.4700000000000002</v>
      </c>
      <c r="H31" s="335">
        <f>G31/168</f>
        <v>1.4702380952380953E-2</v>
      </c>
      <c r="I31" s="335">
        <f>F31/1658/16</f>
        <v>0.12628166465621229</v>
      </c>
      <c r="J31" s="335"/>
      <c r="K31" s="335"/>
      <c r="L31" s="335"/>
      <c r="M31" s="616"/>
      <c r="N31" s="616"/>
      <c r="O31" s="332"/>
      <c r="P31" s="616"/>
    </row>
    <row r="32" spans="1:16">
      <c r="A32" s="629"/>
      <c r="B32" s="228"/>
      <c r="C32" s="330"/>
      <c r="D32" s="540"/>
      <c r="E32" s="228" t="s">
        <v>65</v>
      </c>
      <c r="F32" s="330">
        <f>3350*2</f>
        <v>6700</v>
      </c>
      <c r="G32" s="335">
        <v>13.92</v>
      </c>
      <c r="H32" s="335">
        <f>G32/408</f>
        <v>3.411764705882353E-2</v>
      </c>
      <c r="I32" s="335">
        <f>F32/2938/16</f>
        <v>0.14252893124574539</v>
      </c>
      <c r="J32" s="335"/>
      <c r="K32" s="335"/>
      <c r="L32" s="335"/>
      <c r="M32" s="616"/>
      <c r="N32" s="616"/>
      <c r="O32" s="332"/>
      <c r="P32" s="616"/>
    </row>
    <row r="33" spans="1:16">
      <c r="A33" s="629"/>
      <c r="B33" s="228"/>
      <c r="C33" s="330"/>
      <c r="D33" s="540"/>
      <c r="E33" s="228" t="s">
        <v>20</v>
      </c>
      <c r="F33" s="330">
        <v>3350</v>
      </c>
      <c r="G33" s="335"/>
      <c r="H33" s="335"/>
      <c r="I33" s="335"/>
      <c r="J33" s="615">
        <v>0.15</v>
      </c>
      <c r="K33" s="335"/>
      <c r="L33" s="335"/>
      <c r="M33" s="616"/>
      <c r="N33" s="616"/>
      <c r="O33" s="332"/>
      <c r="P33" s="616"/>
    </row>
    <row r="34" spans="1:16">
      <c r="A34" s="629"/>
      <c r="B34" s="228"/>
      <c r="C34" s="330"/>
      <c r="D34" s="540"/>
      <c r="E34" s="228" t="s">
        <v>22</v>
      </c>
      <c r="F34" s="330">
        <v>3350</v>
      </c>
      <c r="G34" s="335"/>
      <c r="H34" s="335"/>
      <c r="I34" s="335"/>
      <c r="J34" s="616"/>
      <c r="K34" s="335"/>
      <c r="L34" s="335"/>
      <c r="M34" s="616"/>
      <c r="N34" s="616"/>
      <c r="O34" s="332"/>
      <c r="P34" s="616"/>
    </row>
    <row r="35" spans="1:16">
      <c r="A35" s="629"/>
      <c r="B35" s="228"/>
      <c r="C35" s="330"/>
      <c r="D35" s="540"/>
      <c r="E35" s="228" t="s">
        <v>25</v>
      </c>
      <c r="F35" s="330">
        <v>3350</v>
      </c>
      <c r="G35" s="335"/>
      <c r="H35" s="335"/>
      <c r="I35" s="335"/>
      <c r="J35" s="616"/>
      <c r="K35" s="335"/>
      <c r="L35" s="335"/>
      <c r="M35" s="616"/>
      <c r="N35" s="616"/>
      <c r="O35" s="332"/>
      <c r="P35" s="616"/>
    </row>
    <row r="36" spans="1:16">
      <c r="A36" s="637"/>
      <c r="B36" s="228"/>
      <c r="C36" s="330"/>
      <c r="D36" s="639"/>
      <c r="E36" s="228" t="s">
        <v>146</v>
      </c>
      <c r="F36" s="330">
        <v>3350</v>
      </c>
      <c r="G36" s="335"/>
      <c r="H36" s="335"/>
      <c r="I36" s="335"/>
      <c r="J36" s="617"/>
      <c r="K36" s="335"/>
      <c r="L36" s="335"/>
      <c r="M36" s="617"/>
      <c r="N36" s="617"/>
      <c r="O36" s="332"/>
      <c r="P36" s="617"/>
    </row>
    <row r="37" spans="1:16">
      <c r="A37" s="628" t="s">
        <v>82</v>
      </c>
      <c r="B37" s="228"/>
      <c r="C37" s="330"/>
      <c r="D37" s="638"/>
      <c r="E37" s="228" t="s">
        <v>68</v>
      </c>
      <c r="F37" s="330">
        <f>3350*4</f>
        <v>13400</v>
      </c>
      <c r="G37" s="335">
        <v>11.4</v>
      </c>
      <c r="H37" s="335">
        <f>G37/192</f>
        <v>5.9375000000000004E-2</v>
      </c>
      <c r="I37" s="335">
        <f>F37/1658/16</f>
        <v>0.50512665862484918</v>
      </c>
      <c r="J37" s="335"/>
      <c r="K37" s="335"/>
      <c r="L37" s="335"/>
      <c r="M37" s="615">
        <v>0.25</v>
      </c>
      <c r="N37" s="615">
        <v>2</v>
      </c>
      <c r="O37" s="332"/>
      <c r="P37" s="615">
        <v>0.15</v>
      </c>
    </row>
    <row r="38" spans="1:16">
      <c r="A38" s="629"/>
      <c r="B38" s="228"/>
      <c r="C38" s="330"/>
      <c r="D38" s="540"/>
      <c r="E38" s="228" t="s">
        <v>66</v>
      </c>
      <c r="F38" s="330">
        <v>3350</v>
      </c>
      <c r="G38" s="335">
        <v>2.44</v>
      </c>
      <c r="H38" s="335">
        <f>G38/168</f>
        <v>1.4523809523809524E-2</v>
      </c>
      <c r="I38" s="335">
        <f>F38/1658/16</f>
        <v>0.12628166465621229</v>
      </c>
      <c r="J38" s="335"/>
      <c r="K38" s="335"/>
      <c r="L38" s="335"/>
      <c r="M38" s="616"/>
      <c r="N38" s="616"/>
      <c r="O38" s="332"/>
      <c r="P38" s="616"/>
    </row>
    <row r="39" spans="1:16">
      <c r="A39" s="629"/>
      <c r="B39" s="234"/>
      <c r="C39" s="337"/>
      <c r="D39" s="540"/>
      <c r="E39" s="228" t="s">
        <v>20</v>
      </c>
      <c r="F39" s="330">
        <v>3350</v>
      </c>
      <c r="G39" s="335"/>
      <c r="H39" s="335"/>
      <c r="I39" s="335"/>
      <c r="J39" s="615">
        <v>0.15</v>
      </c>
      <c r="K39" s="335"/>
      <c r="L39" s="335"/>
      <c r="M39" s="616"/>
      <c r="N39" s="616"/>
      <c r="O39" s="332"/>
      <c r="P39" s="616"/>
    </row>
    <row r="40" spans="1:16">
      <c r="A40" s="629"/>
      <c r="B40" s="234"/>
      <c r="C40" s="337"/>
      <c r="D40" s="540"/>
      <c r="E40" s="228" t="s">
        <v>22</v>
      </c>
      <c r="F40" s="330">
        <v>3350</v>
      </c>
      <c r="G40" s="335"/>
      <c r="H40" s="335"/>
      <c r="I40" s="335"/>
      <c r="J40" s="616"/>
      <c r="K40" s="335"/>
      <c r="L40" s="335"/>
      <c r="M40" s="616"/>
      <c r="N40" s="616"/>
      <c r="O40" s="332"/>
      <c r="P40" s="616"/>
    </row>
    <row r="41" spans="1:16">
      <c r="A41" s="629"/>
      <c r="B41" s="234"/>
      <c r="C41" s="337"/>
      <c r="D41" s="540"/>
      <c r="E41" s="228" t="s">
        <v>25</v>
      </c>
      <c r="F41" s="330">
        <v>3350</v>
      </c>
      <c r="G41" s="335"/>
      <c r="H41" s="335"/>
      <c r="I41" s="335"/>
      <c r="J41" s="616"/>
      <c r="K41" s="335"/>
      <c r="L41" s="335"/>
      <c r="M41" s="616"/>
      <c r="N41" s="616"/>
      <c r="O41" s="332"/>
      <c r="P41" s="616"/>
    </row>
    <row r="42" spans="1:16">
      <c r="A42" s="637"/>
      <c r="B42" s="234"/>
      <c r="C42" s="337"/>
      <c r="D42" s="639"/>
      <c r="E42" s="228" t="s">
        <v>146</v>
      </c>
      <c r="F42" s="330">
        <v>3350</v>
      </c>
      <c r="G42" s="335"/>
      <c r="H42" s="335"/>
      <c r="I42" s="335"/>
      <c r="J42" s="617"/>
      <c r="K42" s="335"/>
      <c r="L42" s="335"/>
      <c r="M42" s="617"/>
      <c r="N42" s="617"/>
      <c r="O42" s="332"/>
      <c r="P42" s="617"/>
    </row>
    <row r="43" spans="1:16">
      <c r="A43" s="628" t="s">
        <v>83</v>
      </c>
      <c r="B43" s="628" t="s">
        <v>84</v>
      </c>
      <c r="C43" s="634">
        <v>3350</v>
      </c>
      <c r="D43" s="631" t="s">
        <v>147</v>
      </c>
      <c r="E43" s="228" t="s">
        <v>86</v>
      </c>
      <c r="F43" s="330">
        <f>1.475*$C$43*14</f>
        <v>69177.5</v>
      </c>
      <c r="G43" s="335">
        <v>23.36</v>
      </c>
      <c r="H43" s="335">
        <f>G43/72</f>
        <v>0.32444444444444442</v>
      </c>
      <c r="I43" s="335">
        <f>F43/1275/16</f>
        <v>3.3910539215686275</v>
      </c>
      <c r="J43" s="335"/>
      <c r="K43" s="335"/>
      <c r="L43" s="335"/>
      <c r="M43" s="615">
        <v>0.25</v>
      </c>
      <c r="N43" s="615">
        <v>3</v>
      </c>
      <c r="O43" s="332"/>
      <c r="P43" s="615">
        <v>0.15</v>
      </c>
    </row>
    <row r="44" spans="1:16">
      <c r="A44" s="629"/>
      <c r="B44" s="629"/>
      <c r="C44" s="632"/>
      <c r="D44" s="642"/>
      <c r="E44" s="228" t="s">
        <v>107</v>
      </c>
      <c r="F44" s="330">
        <f>1.475*$C$43*5</f>
        <v>24706.25</v>
      </c>
      <c r="G44" s="335">
        <v>12.02</v>
      </c>
      <c r="H44" s="335">
        <f>G44/648</f>
        <v>1.8549382716049383E-2</v>
      </c>
      <c r="I44" s="335"/>
      <c r="J44" s="335"/>
      <c r="K44" s="615">
        <v>2</v>
      </c>
      <c r="L44" s="615">
        <v>5</v>
      </c>
      <c r="M44" s="616"/>
      <c r="N44" s="616"/>
      <c r="O44" s="332"/>
      <c r="P44" s="616"/>
    </row>
    <row r="45" spans="1:16">
      <c r="A45" s="629"/>
      <c r="B45" s="629"/>
      <c r="C45" s="632"/>
      <c r="D45" s="642"/>
      <c r="E45" s="228" t="s">
        <v>91</v>
      </c>
      <c r="F45" s="330">
        <f>1.475*$C$43*5</f>
        <v>24706.25</v>
      </c>
      <c r="G45" s="335"/>
      <c r="H45" s="335"/>
      <c r="I45" s="335"/>
      <c r="J45" s="615">
        <v>0.25</v>
      </c>
      <c r="K45" s="616"/>
      <c r="L45" s="616"/>
      <c r="M45" s="616"/>
      <c r="N45" s="616"/>
      <c r="O45" s="332"/>
      <c r="P45" s="616"/>
    </row>
    <row r="46" spans="1:16">
      <c r="A46" s="629"/>
      <c r="B46" s="629"/>
      <c r="C46" s="632"/>
      <c r="D46" s="642"/>
      <c r="E46" s="228" t="s">
        <v>89</v>
      </c>
      <c r="F46" s="330">
        <f>1.475*$C$43*5</f>
        <v>24706.25</v>
      </c>
      <c r="G46" s="335"/>
      <c r="H46" s="335"/>
      <c r="I46" s="335"/>
      <c r="J46" s="617"/>
      <c r="K46" s="617"/>
      <c r="L46" s="617"/>
      <c r="M46" s="616"/>
      <c r="N46" s="616"/>
      <c r="O46" s="332"/>
      <c r="P46" s="616"/>
    </row>
    <row r="47" spans="1:16">
      <c r="A47" s="629"/>
      <c r="B47" s="629"/>
      <c r="C47" s="632"/>
      <c r="D47" s="642"/>
      <c r="E47" s="228" t="s">
        <v>20</v>
      </c>
      <c r="F47" s="330">
        <f>1.475*$C$43</f>
        <v>4941.25</v>
      </c>
      <c r="G47" s="335"/>
      <c r="H47" s="335"/>
      <c r="I47" s="335"/>
      <c r="J47" s="615">
        <v>0.15</v>
      </c>
      <c r="K47" s="335"/>
      <c r="L47" s="335"/>
      <c r="M47" s="616"/>
      <c r="N47" s="616"/>
      <c r="O47" s="332"/>
      <c r="P47" s="616"/>
    </row>
    <row r="48" spans="1:16">
      <c r="A48" s="629"/>
      <c r="B48" s="629"/>
      <c r="C48" s="632"/>
      <c r="D48" s="642"/>
      <c r="E48" s="228" t="s">
        <v>36</v>
      </c>
      <c r="F48" s="330">
        <f>1.475*$C$43</f>
        <v>4941.25</v>
      </c>
      <c r="G48" s="335"/>
      <c r="H48" s="335"/>
      <c r="I48" s="335"/>
      <c r="J48" s="616"/>
      <c r="K48" s="335"/>
      <c r="L48" s="335"/>
      <c r="M48" s="616"/>
      <c r="N48" s="616"/>
      <c r="O48" s="332"/>
      <c r="P48" s="616"/>
    </row>
    <row r="49" spans="1:16">
      <c r="A49" s="629"/>
      <c r="B49" s="629"/>
      <c r="C49" s="632"/>
      <c r="D49" s="642"/>
      <c r="E49" s="228" t="s">
        <v>94</v>
      </c>
      <c r="F49" s="330">
        <f>1.475*$C$43</f>
        <v>4941.25</v>
      </c>
      <c r="G49" s="335"/>
      <c r="H49" s="335"/>
      <c r="I49" s="335"/>
      <c r="J49" s="616"/>
      <c r="K49" s="335"/>
      <c r="L49" s="335"/>
      <c r="M49" s="616"/>
      <c r="N49" s="616"/>
      <c r="O49" s="332"/>
      <c r="P49" s="616"/>
    </row>
    <row r="50" spans="1:16">
      <c r="A50" s="637"/>
      <c r="B50" s="637"/>
      <c r="C50" s="633"/>
      <c r="D50" s="643"/>
      <c r="E50" s="228" t="s">
        <v>25</v>
      </c>
      <c r="F50" s="330">
        <f>1.475*$C$43</f>
        <v>4941.25</v>
      </c>
      <c r="G50" s="335"/>
      <c r="H50" s="335"/>
      <c r="I50" s="335"/>
      <c r="J50" s="617"/>
      <c r="K50" s="335"/>
      <c r="L50" s="335"/>
      <c r="M50" s="617"/>
      <c r="N50" s="617"/>
      <c r="O50" s="332"/>
      <c r="P50" s="617"/>
    </row>
    <row r="51" spans="1:16">
      <c r="A51" s="2"/>
      <c r="B51" s="2"/>
      <c r="C51" s="94"/>
      <c r="D51" s="94"/>
      <c r="G51" s="339"/>
      <c r="H51" s="340" t="s">
        <v>148</v>
      </c>
      <c r="I51" s="339"/>
      <c r="J51" s="339"/>
      <c r="K51" s="339"/>
      <c r="L51" s="339"/>
      <c r="M51" s="339"/>
      <c r="N51" s="339"/>
      <c r="O51" s="339"/>
      <c r="P51" s="339"/>
    </row>
    <row r="52" spans="1:16">
      <c r="A52" s="2"/>
      <c r="B52" s="2"/>
      <c r="C52" s="94"/>
      <c r="D52" s="94"/>
      <c r="G52" s="339">
        <f>SUM(G2:G44)</f>
        <v>427.61</v>
      </c>
      <c r="H52" s="339">
        <f>G52*26*1.2</f>
        <v>13341.432000000001</v>
      </c>
      <c r="I52" s="339"/>
      <c r="J52" s="339"/>
      <c r="K52" s="339"/>
      <c r="L52" s="339"/>
      <c r="M52" s="339"/>
      <c r="N52" s="339"/>
      <c r="O52" s="339"/>
      <c r="P52" s="339"/>
    </row>
    <row r="54" spans="1:16">
      <c r="G54" s="339"/>
    </row>
    <row r="55" spans="1:16">
      <c r="I55" s="341" t="s">
        <v>149</v>
      </c>
    </row>
    <row r="56" spans="1:16">
      <c r="B56" s="339" t="s">
        <v>7</v>
      </c>
      <c r="C56" s="640" t="s">
        <v>102</v>
      </c>
      <c r="D56" s="640"/>
      <c r="E56" s="640"/>
      <c r="G56" s="641" t="s">
        <v>150</v>
      </c>
      <c r="H56" s="641"/>
      <c r="I56" s="339">
        <f>SUM(J2:J44,J47)*1.3</f>
        <v>2.34</v>
      </c>
    </row>
    <row r="57" spans="1:16">
      <c r="B57" s="144" t="s">
        <v>151</v>
      </c>
      <c r="C57" s="342">
        <f>SUM(H2,H7,H13,H24,H43)</f>
        <v>4.2590277777777779</v>
      </c>
      <c r="D57" s="342"/>
      <c r="E57" s="143">
        <v>5</v>
      </c>
      <c r="G57" s="641" t="s">
        <v>152</v>
      </c>
      <c r="H57" s="641"/>
      <c r="I57" s="339">
        <f>J45</f>
        <v>0.25</v>
      </c>
    </row>
    <row r="58" spans="1:16">
      <c r="B58" s="144" t="s">
        <v>153</v>
      </c>
      <c r="C58" s="342">
        <f>SUM(H18,H21,H27)</f>
        <v>0.21961805555555555</v>
      </c>
      <c r="D58" s="342"/>
      <c r="E58" s="143">
        <v>0.25</v>
      </c>
      <c r="G58" s="641" t="s">
        <v>154</v>
      </c>
      <c r="H58" s="641"/>
      <c r="I58" s="339">
        <f>SUM(K2:K50)</f>
        <v>2</v>
      </c>
    </row>
    <row r="59" spans="1:16">
      <c r="B59" s="144" t="s">
        <v>155</v>
      </c>
      <c r="C59" s="342">
        <f>SUM(H30,H37)</f>
        <v>8.8593749999999999E-2</v>
      </c>
      <c r="D59" s="342"/>
      <c r="E59" s="143">
        <v>0.5</v>
      </c>
      <c r="G59" s="641" t="s">
        <v>156</v>
      </c>
      <c r="H59" s="641"/>
      <c r="I59" s="339">
        <f>SUM(L2:L50)</f>
        <v>5</v>
      </c>
    </row>
    <row r="60" spans="1:16">
      <c r="B60" s="144" t="s">
        <v>157</v>
      </c>
      <c r="C60" s="342">
        <f>SUM(H20,H23,H31,H38)</f>
        <v>8.7857142857142856E-2</v>
      </c>
      <c r="D60" s="342"/>
      <c r="E60" s="143">
        <v>0.5</v>
      </c>
      <c r="G60" s="641" t="s">
        <v>158</v>
      </c>
      <c r="H60" s="641"/>
      <c r="I60" s="339">
        <f>SUM(M2:M50)</f>
        <v>2.5</v>
      </c>
    </row>
    <row r="61" spans="1:16">
      <c r="B61" s="144" t="s">
        <v>159</v>
      </c>
      <c r="C61" s="342">
        <f>H32</f>
        <v>3.411764705882353E-2</v>
      </c>
      <c r="D61" s="342"/>
      <c r="E61" s="143">
        <v>0.25</v>
      </c>
      <c r="G61" s="641" t="s">
        <v>160</v>
      </c>
      <c r="H61" s="641"/>
      <c r="I61" s="339">
        <f>SUM(N2:N50)</f>
        <v>7</v>
      </c>
    </row>
    <row r="62" spans="1:16">
      <c r="B62" s="144" t="s">
        <v>161</v>
      </c>
      <c r="C62" s="342">
        <f>H44</f>
        <v>1.8549382716049383E-2</v>
      </c>
      <c r="D62" s="342"/>
      <c r="E62" s="143">
        <v>0.25</v>
      </c>
      <c r="G62" s="641" t="s">
        <v>162</v>
      </c>
      <c r="H62" s="641"/>
      <c r="I62" s="343">
        <f>SUM(O2:O50)</f>
        <v>8</v>
      </c>
    </row>
    <row r="63" spans="1:16">
      <c r="B63" s="344" t="s">
        <v>9</v>
      </c>
      <c r="C63" s="345">
        <f>SUM(C57:C62)</f>
        <v>4.7077637559653489</v>
      </c>
      <c r="D63" s="345"/>
      <c r="E63" s="346">
        <f>SUM(E57:E62)</f>
        <v>6.75</v>
      </c>
      <c r="G63" s="641" t="s">
        <v>142</v>
      </c>
      <c r="H63" s="641"/>
      <c r="I63" s="339">
        <f>SUM(P2:P50)</f>
        <v>2.15</v>
      </c>
    </row>
    <row r="65" spans="2:16">
      <c r="B65" s="339" t="s">
        <v>7</v>
      </c>
      <c r="C65" s="640" t="s">
        <v>163</v>
      </c>
      <c r="D65" s="640"/>
      <c r="E65" s="640"/>
    </row>
    <row r="66" spans="2:16">
      <c r="B66" s="143" t="s">
        <v>164</v>
      </c>
      <c r="C66" s="342">
        <f>SUM(I3,I8,I14)</f>
        <v>4.1887254901960782</v>
      </c>
      <c r="D66" s="342"/>
      <c r="E66" s="143">
        <v>5</v>
      </c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</row>
    <row r="67" spans="2:16">
      <c r="B67" s="143" t="s">
        <v>12</v>
      </c>
      <c r="C67" s="342">
        <f t="shared" ref="C67:C76" si="4">IFERROR(SUMIF($E:$E,$B67,$I:$I),0)</f>
        <v>1.9179734620024125</v>
      </c>
      <c r="D67" s="342"/>
      <c r="E67" s="143">
        <v>2</v>
      </c>
      <c r="F67" s="143"/>
      <c r="G67" s="143"/>
      <c r="H67" s="143"/>
      <c r="I67" s="143"/>
      <c r="J67" s="143"/>
      <c r="K67" s="143"/>
      <c r="L67" s="143"/>
      <c r="M67" s="143"/>
      <c r="N67" s="143"/>
      <c r="O67" s="143"/>
      <c r="P67" s="143"/>
    </row>
    <row r="68" spans="2:16">
      <c r="B68" s="143" t="s">
        <v>33</v>
      </c>
      <c r="C68" s="342">
        <f t="shared" si="4"/>
        <v>0.47350829413221091</v>
      </c>
      <c r="D68" s="342"/>
      <c r="E68" s="143">
        <v>1</v>
      </c>
      <c r="F68" s="143"/>
      <c r="G68" s="143"/>
      <c r="H68" s="143"/>
      <c r="I68" s="143"/>
      <c r="J68" s="143"/>
      <c r="K68" s="143"/>
      <c r="L68" s="143"/>
      <c r="M68" s="143"/>
      <c r="N68" s="143"/>
      <c r="O68" s="143"/>
      <c r="P68" s="143"/>
    </row>
    <row r="69" spans="2:16">
      <c r="B69" s="143" t="s">
        <v>41</v>
      </c>
      <c r="C69" s="342">
        <f t="shared" si="4"/>
        <v>7.1226347477064217E-2</v>
      </c>
      <c r="D69" s="342"/>
      <c r="E69" s="143">
        <v>1</v>
      </c>
      <c r="F69" s="143"/>
      <c r="G69" s="143"/>
      <c r="H69" s="143"/>
      <c r="I69" s="143"/>
      <c r="J69" s="143"/>
      <c r="K69" s="143"/>
      <c r="L69" s="143"/>
      <c r="M69" s="143"/>
      <c r="N69" s="143"/>
      <c r="O69" s="143"/>
      <c r="P69" s="143"/>
    </row>
    <row r="70" spans="2:16">
      <c r="B70" s="143" t="s">
        <v>52</v>
      </c>
      <c r="C70" s="342">
        <f t="shared" si="4"/>
        <v>9.3075698620445707E-2</v>
      </c>
      <c r="D70" s="342"/>
      <c r="E70" s="143">
        <v>1</v>
      </c>
      <c r="F70" s="143"/>
      <c r="G70" s="143"/>
      <c r="H70" s="143"/>
      <c r="I70" s="143"/>
      <c r="J70" s="143"/>
      <c r="K70" s="143"/>
      <c r="L70" s="143"/>
      <c r="M70" s="143"/>
      <c r="N70" s="143"/>
      <c r="O70" s="143"/>
      <c r="P70" s="143"/>
    </row>
    <row r="71" spans="2:16">
      <c r="B71" s="143" t="s">
        <v>59</v>
      </c>
      <c r="C71" s="342">
        <f t="shared" si="4"/>
        <v>0.31039971701450303</v>
      </c>
      <c r="D71" s="342"/>
      <c r="E71" s="143">
        <v>1</v>
      </c>
      <c r="F71" s="143"/>
      <c r="G71" s="143"/>
      <c r="H71" s="143"/>
      <c r="I71" s="143"/>
      <c r="J71" s="143"/>
      <c r="K71" s="143"/>
      <c r="L71" s="143"/>
      <c r="M71" s="143"/>
      <c r="N71" s="143"/>
      <c r="O71" s="143"/>
      <c r="P71" s="143"/>
    </row>
    <row r="72" spans="2:16">
      <c r="B72" s="143" t="s">
        <v>63</v>
      </c>
      <c r="C72" s="342">
        <f t="shared" si="4"/>
        <v>2.1629160363086233E-2</v>
      </c>
      <c r="D72" s="342"/>
      <c r="E72" s="143">
        <v>1</v>
      </c>
      <c r="F72" s="143"/>
      <c r="G72" s="143"/>
      <c r="H72" s="143"/>
      <c r="I72" s="143"/>
      <c r="J72" s="143"/>
      <c r="K72" s="143"/>
      <c r="L72" s="143"/>
      <c r="M72" s="143"/>
      <c r="N72" s="143"/>
      <c r="O72" s="143"/>
      <c r="P72" s="143"/>
    </row>
    <row r="73" spans="2:16">
      <c r="B73" s="143" t="s">
        <v>68</v>
      </c>
      <c r="C73" s="342">
        <f t="shared" si="4"/>
        <v>0.75768998793727382</v>
      </c>
      <c r="D73" s="342"/>
      <c r="E73" s="143">
        <v>1</v>
      </c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</row>
    <row r="74" spans="2:16">
      <c r="B74" s="143" t="s">
        <v>66</v>
      </c>
      <c r="C74" s="342">
        <f t="shared" si="4"/>
        <v>0.25256332931242459</v>
      </c>
      <c r="D74" s="342"/>
      <c r="E74" s="143">
        <v>1</v>
      </c>
      <c r="F74" s="143"/>
      <c r="G74" s="143"/>
      <c r="H74" s="143"/>
      <c r="I74" s="143"/>
      <c r="J74" s="143"/>
      <c r="K74" s="143"/>
      <c r="L74" s="143"/>
      <c r="M74" s="143"/>
      <c r="N74" s="143"/>
      <c r="O74" s="143"/>
      <c r="P74" s="143"/>
    </row>
    <row r="75" spans="2:16">
      <c r="B75" s="143" t="s">
        <v>65</v>
      </c>
      <c r="C75" s="342">
        <f t="shared" si="4"/>
        <v>0.14252893124574539</v>
      </c>
      <c r="D75" s="342"/>
      <c r="E75" s="143">
        <v>1</v>
      </c>
      <c r="F75" s="143"/>
      <c r="G75" s="143"/>
      <c r="H75" s="143"/>
      <c r="I75" s="143"/>
      <c r="J75" s="143"/>
      <c r="K75" s="143"/>
      <c r="L75" s="143"/>
      <c r="M75" s="143"/>
      <c r="N75" s="143"/>
      <c r="O75" s="143"/>
      <c r="P75" s="143"/>
    </row>
    <row r="76" spans="2:16">
      <c r="B76" s="143" t="s">
        <v>86</v>
      </c>
      <c r="C76" s="342">
        <f t="shared" si="4"/>
        <v>3.3910539215686275</v>
      </c>
      <c r="D76" s="342"/>
      <c r="E76" s="143">
        <v>1</v>
      </c>
      <c r="F76" s="143"/>
      <c r="G76" s="143"/>
      <c r="H76" s="143"/>
      <c r="I76" s="143"/>
      <c r="J76" s="143"/>
      <c r="K76" s="143"/>
      <c r="L76" s="143"/>
      <c r="M76" s="143"/>
      <c r="N76" s="143"/>
      <c r="O76" s="143"/>
      <c r="P76" s="143"/>
    </row>
    <row r="77" spans="2:16">
      <c r="B77" s="344" t="s">
        <v>9</v>
      </c>
      <c r="C77" s="345">
        <f>SUM(C66:C76)</f>
        <v>11.620374339869873</v>
      </c>
      <c r="D77" s="345"/>
      <c r="E77" s="347">
        <f>SUM(E66:E76)</f>
        <v>16</v>
      </c>
      <c r="F77" s="143"/>
      <c r="G77" s="143"/>
      <c r="H77" s="143"/>
      <c r="I77" s="143"/>
      <c r="J77" s="143"/>
      <c r="K77" s="143"/>
      <c r="L77" s="143"/>
      <c r="M77" s="143"/>
      <c r="N77" s="143"/>
      <c r="O77" s="143"/>
      <c r="P77" s="143"/>
    </row>
    <row r="79" spans="2:16">
      <c r="B79" s="339"/>
      <c r="C79" s="339"/>
      <c r="D79" s="339"/>
      <c r="F79" s="143"/>
      <c r="G79" s="143"/>
      <c r="H79" s="143"/>
      <c r="I79" s="143"/>
      <c r="J79" s="143"/>
      <c r="K79" s="143"/>
      <c r="L79" s="143"/>
      <c r="M79" s="143"/>
      <c r="N79" s="143"/>
      <c r="O79" s="143"/>
      <c r="P79" s="143"/>
    </row>
    <row r="80" spans="2:16">
      <c r="C80" s="342"/>
      <c r="D80" s="342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</row>
    <row r="81" spans="2:16">
      <c r="C81" s="342"/>
      <c r="D81" s="342"/>
      <c r="F81" s="143"/>
      <c r="G81" s="143"/>
      <c r="H81" s="143"/>
      <c r="I81" s="143"/>
      <c r="J81" s="143"/>
      <c r="K81" s="143"/>
      <c r="L81" s="143"/>
      <c r="M81" s="143"/>
      <c r="N81" s="143"/>
      <c r="O81" s="143"/>
      <c r="P81" s="143"/>
    </row>
    <row r="82" spans="2:16">
      <c r="B82" s="343"/>
      <c r="C82" s="339"/>
      <c r="D82" s="339"/>
      <c r="E82" s="348"/>
      <c r="F82" s="143"/>
      <c r="G82" s="143"/>
      <c r="H82" s="143"/>
      <c r="I82" s="143"/>
      <c r="J82" s="143"/>
      <c r="K82" s="143"/>
      <c r="L82" s="143"/>
      <c r="M82" s="143"/>
      <c r="N82" s="143"/>
      <c r="O82" s="143"/>
      <c r="P82" s="143"/>
    </row>
  </sheetData>
  <autoFilter ref="A1:P50"/>
  <mergeCells count="84">
    <mergeCell ref="G63:H63"/>
    <mergeCell ref="C65:E65"/>
    <mergeCell ref="G57:H57"/>
    <mergeCell ref="G58:H58"/>
    <mergeCell ref="G59:H59"/>
    <mergeCell ref="G60:H60"/>
    <mergeCell ref="G61:H61"/>
    <mergeCell ref="G62:H62"/>
    <mergeCell ref="P43:P50"/>
    <mergeCell ref="K44:K46"/>
    <mergeCell ref="L44:L46"/>
    <mergeCell ref="J45:J46"/>
    <mergeCell ref="J47:J50"/>
    <mergeCell ref="M43:M50"/>
    <mergeCell ref="N43:N50"/>
    <mergeCell ref="C56:E56"/>
    <mergeCell ref="G56:H56"/>
    <mergeCell ref="A43:A50"/>
    <mergeCell ref="B43:B50"/>
    <mergeCell ref="C43:C50"/>
    <mergeCell ref="D43:D50"/>
    <mergeCell ref="A37:A42"/>
    <mergeCell ref="D37:D42"/>
    <mergeCell ref="M37:M42"/>
    <mergeCell ref="N37:N42"/>
    <mergeCell ref="P37:P42"/>
    <mergeCell ref="J39:J42"/>
    <mergeCell ref="A30:A36"/>
    <mergeCell ref="D30:D36"/>
    <mergeCell ref="M30:M36"/>
    <mergeCell ref="N30:N36"/>
    <mergeCell ref="P30:P36"/>
    <mergeCell ref="J33:J36"/>
    <mergeCell ref="P24:P26"/>
    <mergeCell ref="A27:A29"/>
    <mergeCell ref="B27:B29"/>
    <mergeCell ref="C27:C29"/>
    <mergeCell ref="D27:D29"/>
    <mergeCell ref="O27:O29"/>
    <mergeCell ref="P27:P29"/>
    <mergeCell ref="A24:A26"/>
    <mergeCell ref="B24:B26"/>
    <mergeCell ref="C24:C26"/>
    <mergeCell ref="D24:D26"/>
    <mergeCell ref="O24:O26"/>
    <mergeCell ref="P18:P23"/>
    <mergeCell ref="A21:A23"/>
    <mergeCell ref="B21:B23"/>
    <mergeCell ref="C21:C23"/>
    <mergeCell ref="D21:D23"/>
    <mergeCell ref="O21:O23"/>
    <mergeCell ref="A18:A20"/>
    <mergeCell ref="B18:B20"/>
    <mergeCell ref="C18:C20"/>
    <mergeCell ref="D18:D20"/>
    <mergeCell ref="O18:O20"/>
    <mergeCell ref="P7:P12"/>
    <mergeCell ref="J9:J12"/>
    <mergeCell ref="A13:A17"/>
    <mergeCell ref="B13:B17"/>
    <mergeCell ref="C13:C17"/>
    <mergeCell ref="D13:D17"/>
    <mergeCell ref="G13:G14"/>
    <mergeCell ref="H13:H14"/>
    <mergeCell ref="M13:M17"/>
    <mergeCell ref="O13:O17"/>
    <mergeCell ref="P13:P17"/>
    <mergeCell ref="J15:J17"/>
    <mergeCell ref="M2:M6"/>
    <mergeCell ref="P2:P6"/>
    <mergeCell ref="J4:J6"/>
    <mergeCell ref="A7:A12"/>
    <mergeCell ref="B7:B12"/>
    <mergeCell ref="C7:C12"/>
    <mergeCell ref="D7:D12"/>
    <mergeCell ref="G7:G8"/>
    <mergeCell ref="H7:H8"/>
    <mergeCell ref="M7:M12"/>
    <mergeCell ref="A2:A6"/>
    <mergeCell ref="B2:B6"/>
    <mergeCell ref="C2:C6"/>
    <mergeCell ref="D2:D6"/>
    <mergeCell ref="G2:G3"/>
    <mergeCell ref="H2:H3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109"/>
  <sheetViews>
    <sheetView showGridLines="0" zoomScale="85" zoomScaleNormal="85" zoomScaleSheetLayoutView="89" workbookViewId="0">
      <pane ySplit="6" topLeftCell="A7" activePane="bottomLeft" state="frozen"/>
      <selection activeCell="J10" sqref="J10"/>
      <selection pane="bottomLeft" activeCell="K10" sqref="K10:K11"/>
    </sheetView>
  </sheetViews>
  <sheetFormatPr defaultColWidth="9" defaultRowHeight="15.75"/>
  <cols>
    <col min="1" max="1" width="10.42578125" style="371" customWidth="1"/>
    <col min="2" max="3" width="13.7109375" style="371" customWidth="1"/>
    <col min="4" max="4" width="19.28515625" style="371" customWidth="1"/>
    <col min="5" max="5" width="9.140625" style="371" customWidth="1"/>
    <col min="6" max="6" width="17.28515625" style="371" customWidth="1"/>
    <col min="7" max="7" width="7.85546875" style="371" customWidth="1"/>
    <col min="8" max="8" width="16.28515625" style="371" customWidth="1"/>
    <col min="9" max="9" width="13.42578125" style="371" customWidth="1"/>
    <col min="10" max="10" width="17.140625" style="371" customWidth="1"/>
    <col min="11" max="11" width="12" style="371" customWidth="1"/>
    <col min="12" max="12" width="8.85546875" style="371" customWidth="1"/>
    <col min="13" max="13" width="11.42578125" style="371" customWidth="1"/>
    <col min="14" max="16" width="12.42578125" style="371" customWidth="1"/>
    <col min="17" max="17" width="16.85546875" style="371" customWidth="1"/>
    <col min="18" max="18" width="10.85546875" style="388" customWidth="1"/>
    <col min="19" max="22" width="9.5703125" style="371" customWidth="1"/>
    <col min="23" max="23" width="9.5703125" style="350" customWidth="1"/>
    <col min="24" max="26" width="9.5703125" style="371" customWidth="1"/>
    <col min="27" max="27" width="9.5703125" style="397" customWidth="1"/>
    <col min="28" max="28" width="15.140625" style="371" customWidth="1"/>
    <col min="29" max="269" width="9" style="371"/>
    <col min="270" max="270" width="13.7109375" style="371" customWidth="1"/>
    <col min="271" max="271" width="18.5703125" style="371" customWidth="1"/>
    <col min="272" max="272" width="9.140625" style="371" customWidth="1"/>
    <col min="273" max="273" width="17.28515625" style="371" customWidth="1"/>
    <col min="274" max="274" width="11.42578125" style="371" customWidth="1"/>
    <col min="275" max="275" width="17.140625" style="371" customWidth="1"/>
    <col min="276" max="276" width="12" style="371" customWidth="1"/>
    <col min="277" max="277" width="17.140625" style="371" customWidth="1"/>
    <col min="278" max="278" width="8.85546875" style="371" customWidth="1"/>
    <col min="279" max="279" width="9" style="371"/>
    <col min="280" max="280" width="12.42578125" style="371" customWidth="1"/>
    <col min="281" max="281" width="10.5703125" style="371" customWidth="1"/>
    <col min="282" max="282" width="10.85546875" style="371" customWidth="1"/>
    <col min="283" max="283" width="9.5703125" style="371" customWidth="1"/>
    <col min="284" max="284" width="9.85546875" style="371" customWidth="1"/>
    <col min="285" max="525" width="9" style="371"/>
    <col min="526" max="526" width="13.7109375" style="371" customWidth="1"/>
    <col min="527" max="527" width="18.5703125" style="371" customWidth="1"/>
    <col min="528" max="528" width="9.140625" style="371" customWidth="1"/>
    <col min="529" max="529" width="17.28515625" style="371" customWidth="1"/>
    <col min="530" max="530" width="11.42578125" style="371" customWidth="1"/>
    <col min="531" max="531" width="17.140625" style="371" customWidth="1"/>
    <col min="532" max="532" width="12" style="371" customWidth="1"/>
    <col min="533" max="533" width="17.140625" style="371" customWidth="1"/>
    <col min="534" max="534" width="8.85546875" style="371" customWidth="1"/>
    <col min="535" max="535" width="9" style="371"/>
    <col min="536" max="536" width="12.42578125" style="371" customWidth="1"/>
    <col min="537" max="537" width="10.5703125" style="371" customWidth="1"/>
    <col min="538" max="538" width="10.85546875" style="371" customWidth="1"/>
    <col min="539" max="539" width="9.5703125" style="371" customWidth="1"/>
    <col min="540" max="540" width="9.85546875" style="371" customWidth="1"/>
    <col min="541" max="781" width="9" style="371"/>
    <col min="782" max="782" width="13.7109375" style="371" customWidth="1"/>
    <col min="783" max="783" width="18.5703125" style="371" customWidth="1"/>
    <col min="784" max="784" width="9.140625" style="371" customWidth="1"/>
    <col min="785" max="785" width="17.28515625" style="371" customWidth="1"/>
    <col min="786" max="786" width="11.42578125" style="371" customWidth="1"/>
    <col min="787" max="787" width="17.140625" style="371" customWidth="1"/>
    <col min="788" max="788" width="12" style="371" customWidth="1"/>
    <col min="789" max="789" width="17.140625" style="371" customWidth="1"/>
    <col min="790" max="790" width="8.85546875" style="371" customWidth="1"/>
    <col min="791" max="791" width="9" style="371"/>
    <col min="792" max="792" width="12.42578125" style="371" customWidth="1"/>
    <col min="793" max="793" width="10.5703125" style="371" customWidth="1"/>
    <col min="794" max="794" width="10.85546875" style="371" customWidth="1"/>
    <col min="795" max="795" width="9.5703125" style="371" customWidth="1"/>
    <col min="796" max="796" width="9.85546875" style="371" customWidth="1"/>
    <col min="797" max="1037" width="9" style="371"/>
    <col min="1038" max="1038" width="13.7109375" style="371" customWidth="1"/>
    <col min="1039" max="1039" width="18.5703125" style="371" customWidth="1"/>
    <col min="1040" max="1040" width="9.140625" style="371" customWidth="1"/>
    <col min="1041" max="1041" width="17.28515625" style="371" customWidth="1"/>
    <col min="1042" max="1042" width="11.42578125" style="371" customWidth="1"/>
    <col min="1043" max="1043" width="17.140625" style="371" customWidth="1"/>
    <col min="1044" max="1044" width="12" style="371" customWidth="1"/>
    <col min="1045" max="1045" width="17.140625" style="371" customWidth="1"/>
    <col min="1046" max="1046" width="8.85546875" style="371" customWidth="1"/>
    <col min="1047" max="1047" width="9" style="371"/>
    <col min="1048" max="1048" width="12.42578125" style="371" customWidth="1"/>
    <col min="1049" max="1049" width="10.5703125" style="371" customWidth="1"/>
    <col min="1050" max="1050" width="10.85546875" style="371" customWidth="1"/>
    <col min="1051" max="1051" width="9.5703125" style="371" customWidth="1"/>
    <col min="1052" max="1052" width="9.85546875" style="371" customWidth="1"/>
    <col min="1053" max="1293" width="9" style="371"/>
    <col min="1294" max="1294" width="13.7109375" style="371" customWidth="1"/>
    <col min="1295" max="1295" width="18.5703125" style="371" customWidth="1"/>
    <col min="1296" max="1296" width="9.140625" style="371" customWidth="1"/>
    <col min="1297" max="1297" width="17.28515625" style="371" customWidth="1"/>
    <col min="1298" max="1298" width="11.42578125" style="371" customWidth="1"/>
    <col min="1299" max="1299" width="17.140625" style="371" customWidth="1"/>
    <col min="1300" max="1300" width="12" style="371" customWidth="1"/>
    <col min="1301" max="1301" width="17.140625" style="371" customWidth="1"/>
    <col min="1302" max="1302" width="8.85546875" style="371" customWidth="1"/>
    <col min="1303" max="1303" width="9" style="371"/>
    <col min="1304" max="1304" width="12.42578125" style="371" customWidth="1"/>
    <col min="1305" max="1305" width="10.5703125" style="371" customWidth="1"/>
    <col min="1306" max="1306" width="10.85546875" style="371" customWidth="1"/>
    <col min="1307" max="1307" width="9.5703125" style="371" customWidth="1"/>
    <col min="1308" max="1308" width="9.85546875" style="371" customWidth="1"/>
    <col min="1309" max="1549" width="9" style="371"/>
    <col min="1550" max="1550" width="13.7109375" style="371" customWidth="1"/>
    <col min="1551" max="1551" width="18.5703125" style="371" customWidth="1"/>
    <col min="1552" max="1552" width="9.140625" style="371" customWidth="1"/>
    <col min="1553" max="1553" width="17.28515625" style="371" customWidth="1"/>
    <col min="1554" max="1554" width="11.42578125" style="371" customWidth="1"/>
    <col min="1555" max="1555" width="17.140625" style="371" customWidth="1"/>
    <col min="1556" max="1556" width="12" style="371" customWidth="1"/>
    <col min="1557" max="1557" width="17.140625" style="371" customWidth="1"/>
    <col min="1558" max="1558" width="8.85546875" style="371" customWidth="1"/>
    <col min="1559" max="1559" width="9" style="371"/>
    <col min="1560" max="1560" width="12.42578125" style="371" customWidth="1"/>
    <col min="1561" max="1561" width="10.5703125" style="371" customWidth="1"/>
    <col min="1562" max="1562" width="10.85546875" style="371" customWidth="1"/>
    <col min="1563" max="1563" width="9.5703125" style="371" customWidth="1"/>
    <col min="1564" max="1564" width="9.85546875" style="371" customWidth="1"/>
    <col min="1565" max="1805" width="9" style="371"/>
    <col min="1806" max="1806" width="13.7109375" style="371" customWidth="1"/>
    <col min="1807" max="1807" width="18.5703125" style="371" customWidth="1"/>
    <col min="1808" max="1808" width="9.140625" style="371" customWidth="1"/>
    <col min="1809" max="1809" width="17.28515625" style="371" customWidth="1"/>
    <col min="1810" max="1810" width="11.42578125" style="371" customWidth="1"/>
    <col min="1811" max="1811" width="17.140625" style="371" customWidth="1"/>
    <col min="1812" max="1812" width="12" style="371" customWidth="1"/>
    <col min="1813" max="1813" width="17.140625" style="371" customWidth="1"/>
    <col min="1814" max="1814" width="8.85546875" style="371" customWidth="1"/>
    <col min="1815" max="1815" width="9" style="371"/>
    <col min="1816" max="1816" width="12.42578125" style="371" customWidth="1"/>
    <col min="1817" max="1817" width="10.5703125" style="371" customWidth="1"/>
    <col min="1818" max="1818" width="10.85546875" style="371" customWidth="1"/>
    <col min="1819" max="1819" width="9.5703125" style="371" customWidth="1"/>
    <col min="1820" max="1820" width="9.85546875" style="371" customWidth="1"/>
    <col min="1821" max="2061" width="9" style="371"/>
    <col min="2062" max="2062" width="13.7109375" style="371" customWidth="1"/>
    <col min="2063" max="2063" width="18.5703125" style="371" customWidth="1"/>
    <col min="2064" max="2064" width="9.140625" style="371" customWidth="1"/>
    <col min="2065" max="2065" width="17.28515625" style="371" customWidth="1"/>
    <col min="2066" max="2066" width="11.42578125" style="371" customWidth="1"/>
    <col min="2067" max="2067" width="17.140625" style="371" customWidth="1"/>
    <col min="2068" max="2068" width="12" style="371" customWidth="1"/>
    <col min="2069" max="2069" width="17.140625" style="371" customWidth="1"/>
    <col min="2070" max="2070" width="8.85546875" style="371" customWidth="1"/>
    <col min="2071" max="2071" width="9" style="371"/>
    <col min="2072" max="2072" width="12.42578125" style="371" customWidth="1"/>
    <col min="2073" max="2073" width="10.5703125" style="371" customWidth="1"/>
    <col min="2074" max="2074" width="10.85546875" style="371" customWidth="1"/>
    <col min="2075" max="2075" width="9.5703125" style="371" customWidth="1"/>
    <col min="2076" max="2076" width="9.85546875" style="371" customWidth="1"/>
    <col min="2077" max="2317" width="9" style="371"/>
    <col min="2318" max="2318" width="13.7109375" style="371" customWidth="1"/>
    <col min="2319" max="2319" width="18.5703125" style="371" customWidth="1"/>
    <col min="2320" max="2320" width="9.140625" style="371" customWidth="1"/>
    <col min="2321" max="2321" width="17.28515625" style="371" customWidth="1"/>
    <col min="2322" max="2322" width="11.42578125" style="371" customWidth="1"/>
    <col min="2323" max="2323" width="17.140625" style="371" customWidth="1"/>
    <col min="2324" max="2324" width="12" style="371" customWidth="1"/>
    <col min="2325" max="2325" width="17.140625" style="371" customWidth="1"/>
    <col min="2326" max="2326" width="8.85546875" style="371" customWidth="1"/>
    <col min="2327" max="2327" width="9" style="371"/>
    <col min="2328" max="2328" width="12.42578125" style="371" customWidth="1"/>
    <col min="2329" max="2329" width="10.5703125" style="371" customWidth="1"/>
    <col min="2330" max="2330" width="10.85546875" style="371" customWidth="1"/>
    <col min="2331" max="2331" width="9.5703125" style="371" customWidth="1"/>
    <col min="2332" max="2332" width="9.85546875" style="371" customWidth="1"/>
    <col min="2333" max="2573" width="9" style="371"/>
    <col min="2574" max="2574" width="13.7109375" style="371" customWidth="1"/>
    <col min="2575" max="2575" width="18.5703125" style="371" customWidth="1"/>
    <col min="2576" max="2576" width="9.140625" style="371" customWidth="1"/>
    <col min="2577" max="2577" width="17.28515625" style="371" customWidth="1"/>
    <col min="2578" max="2578" width="11.42578125" style="371" customWidth="1"/>
    <col min="2579" max="2579" width="17.140625" style="371" customWidth="1"/>
    <col min="2580" max="2580" width="12" style="371" customWidth="1"/>
    <col min="2581" max="2581" width="17.140625" style="371" customWidth="1"/>
    <col min="2582" max="2582" width="8.85546875" style="371" customWidth="1"/>
    <col min="2583" max="2583" width="9" style="371"/>
    <col min="2584" max="2584" width="12.42578125" style="371" customWidth="1"/>
    <col min="2585" max="2585" width="10.5703125" style="371" customWidth="1"/>
    <col min="2586" max="2586" width="10.85546875" style="371" customWidth="1"/>
    <col min="2587" max="2587" width="9.5703125" style="371" customWidth="1"/>
    <col min="2588" max="2588" width="9.85546875" style="371" customWidth="1"/>
    <col min="2589" max="2829" width="9" style="371"/>
    <col min="2830" max="2830" width="13.7109375" style="371" customWidth="1"/>
    <col min="2831" max="2831" width="18.5703125" style="371" customWidth="1"/>
    <col min="2832" max="2832" width="9.140625" style="371" customWidth="1"/>
    <col min="2833" max="2833" width="17.28515625" style="371" customWidth="1"/>
    <col min="2834" max="2834" width="11.42578125" style="371" customWidth="1"/>
    <col min="2835" max="2835" width="17.140625" style="371" customWidth="1"/>
    <col min="2836" max="2836" width="12" style="371" customWidth="1"/>
    <col min="2837" max="2837" width="17.140625" style="371" customWidth="1"/>
    <col min="2838" max="2838" width="8.85546875" style="371" customWidth="1"/>
    <col min="2839" max="2839" width="9" style="371"/>
    <col min="2840" max="2840" width="12.42578125" style="371" customWidth="1"/>
    <col min="2841" max="2841" width="10.5703125" style="371" customWidth="1"/>
    <col min="2842" max="2842" width="10.85546875" style="371" customWidth="1"/>
    <col min="2843" max="2843" width="9.5703125" style="371" customWidth="1"/>
    <col min="2844" max="2844" width="9.85546875" style="371" customWidth="1"/>
    <col min="2845" max="3085" width="9" style="371"/>
    <col min="3086" max="3086" width="13.7109375" style="371" customWidth="1"/>
    <col min="3087" max="3087" width="18.5703125" style="371" customWidth="1"/>
    <col min="3088" max="3088" width="9.140625" style="371" customWidth="1"/>
    <col min="3089" max="3089" width="17.28515625" style="371" customWidth="1"/>
    <col min="3090" max="3090" width="11.42578125" style="371" customWidth="1"/>
    <col min="3091" max="3091" width="17.140625" style="371" customWidth="1"/>
    <col min="3092" max="3092" width="12" style="371" customWidth="1"/>
    <col min="3093" max="3093" width="17.140625" style="371" customWidth="1"/>
    <col min="3094" max="3094" width="8.85546875" style="371" customWidth="1"/>
    <col min="3095" max="3095" width="9" style="371"/>
    <col min="3096" max="3096" width="12.42578125" style="371" customWidth="1"/>
    <col min="3097" max="3097" width="10.5703125" style="371" customWidth="1"/>
    <col min="3098" max="3098" width="10.85546875" style="371" customWidth="1"/>
    <col min="3099" max="3099" width="9.5703125" style="371" customWidth="1"/>
    <col min="3100" max="3100" width="9.85546875" style="371" customWidth="1"/>
    <col min="3101" max="3341" width="9" style="371"/>
    <col min="3342" max="3342" width="13.7109375" style="371" customWidth="1"/>
    <col min="3343" max="3343" width="18.5703125" style="371" customWidth="1"/>
    <col min="3344" max="3344" width="9.140625" style="371" customWidth="1"/>
    <col min="3345" max="3345" width="17.28515625" style="371" customWidth="1"/>
    <col min="3346" max="3346" width="11.42578125" style="371" customWidth="1"/>
    <col min="3347" max="3347" width="17.140625" style="371" customWidth="1"/>
    <col min="3348" max="3348" width="12" style="371" customWidth="1"/>
    <col min="3349" max="3349" width="17.140625" style="371" customWidth="1"/>
    <col min="3350" max="3350" width="8.85546875" style="371" customWidth="1"/>
    <col min="3351" max="3351" width="9" style="371"/>
    <col min="3352" max="3352" width="12.42578125" style="371" customWidth="1"/>
    <col min="3353" max="3353" width="10.5703125" style="371" customWidth="1"/>
    <col min="3354" max="3354" width="10.85546875" style="371" customWidth="1"/>
    <col min="3355" max="3355" width="9.5703125" style="371" customWidth="1"/>
    <col min="3356" max="3356" width="9.85546875" style="371" customWidth="1"/>
    <col min="3357" max="3597" width="9" style="371"/>
    <col min="3598" max="3598" width="13.7109375" style="371" customWidth="1"/>
    <col min="3599" max="3599" width="18.5703125" style="371" customWidth="1"/>
    <col min="3600" max="3600" width="9.140625" style="371" customWidth="1"/>
    <col min="3601" max="3601" width="17.28515625" style="371" customWidth="1"/>
    <col min="3602" max="3602" width="11.42578125" style="371" customWidth="1"/>
    <col min="3603" max="3603" width="17.140625" style="371" customWidth="1"/>
    <col min="3604" max="3604" width="12" style="371" customWidth="1"/>
    <col min="3605" max="3605" width="17.140625" style="371" customWidth="1"/>
    <col min="3606" max="3606" width="8.85546875" style="371" customWidth="1"/>
    <col min="3607" max="3607" width="9" style="371"/>
    <col min="3608" max="3608" width="12.42578125" style="371" customWidth="1"/>
    <col min="3609" max="3609" width="10.5703125" style="371" customWidth="1"/>
    <col min="3610" max="3610" width="10.85546875" style="371" customWidth="1"/>
    <col min="3611" max="3611" width="9.5703125" style="371" customWidth="1"/>
    <col min="3612" max="3612" width="9.85546875" style="371" customWidth="1"/>
    <col min="3613" max="3853" width="9" style="371"/>
    <col min="3854" max="3854" width="13.7109375" style="371" customWidth="1"/>
    <col min="3855" max="3855" width="18.5703125" style="371" customWidth="1"/>
    <col min="3856" max="3856" width="9.140625" style="371" customWidth="1"/>
    <col min="3857" max="3857" width="17.28515625" style="371" customWidth="1"/>
    <col min="3858" max="3858" width="11.42578125" style="371" customWidth="1"/>
    <col min="3859" max="3859" width="17.140625" style="371" customWidth="1"/>
    <col min="3860" max="3860" width="12" style="371" customWidth="1"/>
    <col min="3861" max="3861" width="17.140625" style="371" customWidth="1"/>
    <col min="3862" max="3862" width="8.85546875" style="371" customWidth="1"/>
    <col min="3863" max="3863" width="9" style="371"/>
    <col min="3864" max="3864" width="12.42578125" style="371" customWidth="1"/>
    <col min="3865" max="3865" width="10.5703125" style="371" customWidth="1"/>
    <col min="3866" max="3866" width="10.85546875" style="371" customWidth="1"/>
    <col min="3867" max="3867" width="9.5703125" style="371" customWidth="1"/>
    <col min="3868" max="3868" width="9.85546875" style="371" customWidth="1"/>
    <col min="3869" max="4109" width="9" style="371"/>
    <col min="4110" max="4110" width="13.7109375" style="371" customWidth="1"/>
    <col min="4111" max="4111" width="18.5703125" style="371" customWidth="1"/>
    <col min="4112" max="4112" width="9.140625" style="371" customWidth="1"/>
    <col min="4113" max="4113" width="17.28515625" style="371" customWidth="1"/>
    <col min="4114" max="4114" width="11.42578125" style="371" customWidth="1"/>
    <col min="4115" max="4115" width="17.140625" style="371" customWidth="1"/>
    <col min="4116" max="4116" width="12" style="371" customWidth="1"/>
    <col min="4117" max="4117" width="17.140625" style="371" customWidth="1"/>
    <col min="4118" max="4118" width="8.85546875" style="371" customWidth="1"/>
    <col min="4119" max="4119" width="9" style="371"/>
    <col min="4120" max="4120" width="12.42578125" style="371" customWidth="1"/>
    <col min="4121" max="4121" width="10.5703125" style="371" customWidth="1"/>
    <col min="4122" max="4122" width="10.85546875" style="371" customWidth="1"/>
    <col min="4123" max="4123" width="9.5703125" style="371" customWidth="1"/>
    <col min="4124" max="4124" width="9.85546875" style="371" customWidth="1"/>
    <col min="4125" max="4365" width="9" style="371"/>
    <col min="4366" max="4366" width="13.7109375" style="371" customWidth="1"/>
    <col min="4367" max="4367" width="18.5703125" style="371" customWidth="1"/>
    <col min="4368" max="4368" width="9.140625" style="371" customWidth="1"/>
    <col min="4369" max="4369" width="17.28515625" style="371" customWidth="1"/>
    <col min="4370" max="4370" width="11.42578125" style="371" customWidth="1"/>
    <col min="4371" max="4371" width="17.140625" style="371" customWidth="1"/>
    <col min="4372" max="4372" width="12" style="371" customWidth="1"/>
    <col min="4373" max="4373" width="17.140625" style="371" customWidth="1"/>
    <col min="4374" max="4374" width="8.85546875" style="371" customWidth="1"/>
    <col min="4375" max="4375" width="9" style="371"/>
    <col min="4376" max="4376" width="12.42578125" style="371" customWidth="1"/>
    <col min="4377" max="4377" width="10.5703125" style="371" customWidth="1"/>
    <col min="4378" max="4378" width="10.85546875" style="371" customWidth="1"/>
    <col min="4379" max="4379" width="9.5703125" style="371" customWidth="1"/>
    <col min="4380" max="4380" width="9.85546875" style="371" customWidth="1"/>
    <col min="4381" max="4621" width="9" style="371"/>
    <col min="4622" max="4622" width="13.7109375" style="371" customWidth="1"/>
    <col min="4623" max="4623" width="18.5703125" style="371" customWidth="1"/>
    <col min="4624" max="4624" width="9.140625" style="371" customWidth="1"/>
    <col min="4625" max="4625" width="17.28515625" style="371" customWidth="1"/>
    <col min="4626" max="4626" width="11.42578125" style="371" customWidth="1"/>
    <col min="4627" max="4627" width="17.140625" style="371" customWidth="1"/>
    <col min="4628" max="4628" width="12" style="371" customWidth="1"/>
    <col min="4629" max="4629" width="17.140625" style="371" customWidth="1"/>
    <col min="4630" max="4630" width="8.85546875" style="371" customWidth="1"/>
    <col min="4631" max="4631" width="9" style="371"/>
    <col min="4632" max="4632" width="12.42578125" style="371" customWidth="1"/>
    <col min="4633" max="4633" width="10.5703125" style="371" customWidth="1"/>
    <col min="4634" max="4634" width="10.85546875" style="371" customWidth="1"/>
    <col min="4635" max="4635" width="9.5703125" style="371" customWidth="1"/>
    <col min="4636" max="4636" width="9.85546875" style="371" customWidth="1"/>
    <col min="4637" max="4877" width="9" style="371"/>
    <col min="4878" max="4878" width="13.7109375" style="371" customWidth="1"/>
    <col min="4879" max="4879" width="18.5703125" style="371" customWidth="1"/>
    <col min="4880" max="4880" width="9.140625" style="371" customWidth="1"/>
    <col min="4881" max="4881" width="17.28515625" style="371" customWidth="1"/>
    <col min="4882" max="4882" width="11.42578125" style="371" customWidth="1"/>
    <col min="4883" max="4883" width="17.140625" style="371" customWidth="1"/>
    <col min="4884" max="4884" width="12" style="371" customWidth="1"/>
    <col min="4885" max="4885" width="17.140625" style="371" customWidth="1"/>
    <col min="4886" max="4886" width="8.85546875" style="371" customWidth="1"/>
    <col min="4887" max="4887" width="9" style="371"/>
    <col min="4888" max="4888" width="12.42578125" style="371" customWidth="1"/>
    <col min="4889" max="4889" width="10.5703125" style="371" customWidth="1"/>
    <col min="4890" max="4890" width="10.85546875" style="371" customWidth="1"/>
    <col min="4891" max="4891" width="9.5703125" style="371" customWidth="1"/>
    <col min="4892" max="4892" width="9.85546875" style="371" customWidth="1"/>
    <col min="4893" max="5133" width="9" style="371"/>
    <col min="5134" max="5134" width="13.7109375" style="371" customWidth="1"/>
    <col min="5135" max="5135" width="18.5703125" style="371" customWidth="1"/>
    <col min="5136" max="5136" width="9.140625" style="371" customWidth="1"/>
    <col min="5137" max="5137" width="17.28515625" style="371" customWidth="1"/>
    <col min="5138" max="5138" width="11.42578125" style="371" customWidth="1"/>
    <col min="5139" max="5139" width="17.140625" style="371" customWidth="1"/>
    <col min="5140" max="5140" width="12" style="371" customWidth="1"/>
    <col min="5141" max="5141" width="17.140625" style="371" customWidth="1"/>
    <col min="5142" max="5142" width="8.85546875" style="371" customWidth="1"/>
    <col min="5143" max="5143" width="9" style="371"/>
    <col min="5144" max="5144" width="12.42578125" style="371" customWidth="1"/>
    <col min="5145" max="5145" width="10.5703125" style="371" customWidth="1"/>
    <col min="5146" max="5146" width="10.85546875" style="371" customWidth="1"/>
    <col min="5147" max="5147" width="9.5703125" style="371" customWidth="1"/>
    <col min="5148" max="5148" width="9.85546875" style="371" customWidth="1"/>
    <col min="5149" max="5389" width="9" style="371"/>
    <col min="5390" max="5390" width="13.7109375" style="371" customWidth="1"/>
    <col min="5391" max="5391" width="18.5703125" style="371" customWidth="1"/>
    <col min="5392" max="5392" width="9.140625" style="371" customWidth="1"/>
    <col min="5393" max="5393" width="17.28515625" style="371" customWidth="1"/>
    <col min="5394" max="5394" width="11.42578125" style="371" customWidth="1"/>
    <col min="5395" max="5395" width="17.140625" style="371" customWidth="1"/>
    <col min="5396" max="5396" width="12" style="371" customWidth="1"/>
    <col min="5397" max="5397" width="17.140625" style="371" customWidth="1"/>
    <col min="5398" max="5398" width="8.85546875" style="371" customWidth="1"/>
    <col min="5399" max="5399" width="9" style="371"/>
    <col min="5400" max="5400" width="12.42578125" style="371" customWidth="1"/>
    <col min="5401" max="5401" width="10.5703125" style="371" customWidth="1"/>
    <col min="5402" max="5402" width="10.85546875" style="371" customWidth="1"/>
    <col min="5403" max="5403" width="9.5703125" style="371" customWidth="1"/>
    <col min="5404" max="5404" width="9.85546875" style="371" customWidth="1"/>
    <col min="5405" max="5645" width="9" style="371"/>
    <col min="5646" max="5646" width="13.7109375" style="371" customWidth="1"/>
    <col min="5647" max="5647" width="18.5703125" style="371" customWidth="1"/>
    <col min="5648" max="5648" width="9.140625" style="371" customWidth="1"/>
    <col min="5649" max="5649" width="17.28515625" style="371" customWidth="1"/>
    <col min="5650" max="5650" width="11.42578125" style="371" customWidth="1"/>
    <col min="5651" max="5651" width="17.140625" style="371" customWidth="1"/>
    <col min="5652" max="5652" width="12" style="371" customWidth="1"/>
    <col min="5653" max="5653" width="17.140625" style="371" customWidth="1"/>
    <col min="5654" max="5654" width="8.85546875" style="371" customWidth="1"/>
    <col min="5655" max="5655" width="9" style="371"/>
    <col min="5656" max="5656" width="12.42578125" style="371" customWidth="1"/>
    <col min="5657" max="5657" width="10.5703125" style="371" customWidth="1"/>
    <col min="5658" max="5658" width="10.85546875" style="371" customWidth="1"/>
    <col min="5659" max="5659" width="9.5703125" style="371" customWidth="1"/>
    <col min="5660" max="5660" width="9.85546875" style="371" customWidth="1"/>
    <col min="5661" max="5901" width="9" style="371"/>
    <col min="5902" max="5902" width="13.7109375" style="371" customWidth="1"/>
    <col min="5903" max="5903" width="18.5703125" style="371" customWidth="1"/>
    <col min="5904" max="5904" width="9.140625" style="371" customWidth="1"/>
    <col min="5905" max="5905" width="17.28515625" style="371" customWidth="1"/>
    <col min="5906" max="5906" width="11.42578125" style="371" customWidth="1"/>
    <col min="5907" max="5907" width="17.140625" style="371" customWidth="1"/>
    <col min="5908" max="5908" width="12" style="371" customWidth="1"/>
    <col min="5909" max="5909" width="17.140625" style="371" customWidth="1"/>
    <col min="5910" max="5910" width="8.85546875" style="371" customWidth="1"/>
    <col min="5911" max="5911" width="9" style="371"/>
    <col min="5912" max="5912" width="12.42578125" style="371" customWidth="1"/>
    <col min="5913" max="5913" width="10.5703125" style="371" customWidth="1"/>
    <col min="5914" max="5914" width="10.85546875" style="371" customWidth="1"/>
    <col min="5915" max="5915" width="9.5703125" style="371" customWidth="1"/>
    <col min="5916" max="5916" width="9.85546875" style="371" customWidth="1"/>
    <col min="5917" max="6157" width="9" style="371"/>
    <col min="6158" max="6158" width="13.7109375" style="371" customWidth="1"/>
    <col min="6159" max="6159" width="18.5703125" style="371" customWidth="1"/>
    <col min="6160" max="6160" width="9.140625" style="371" customWidth="1"/>
    <col min="6161" max="6161" width="17.28515625" style="371" customWidth="1"/>
    <col min="6162" max="6162" width="11.42578125" style="371" customWidth="1"/>
    <col min="6163" max="6163" width="17.140625" style="371" customWidth="1"/>
    <col min="6164" max="6164" width="12" style="371" customWidth="1"/>
    <col min="6165" max="6165" width="17.140625" style="371" customWidth="1"/>
    <col min="6166" max="6166" width="8.85546875" style="371" customWidth="1"/>
    <col min="6167" max="6167" width="9" style="371"/>
    <col min="6168" max="6168" width="12.42578125" style="371" customWidth="1"/>
    <col min="6169" max="6169" width="10.5703125" style="371" customWidth="1"/>
    <col min="6170" max="6170" width="10.85546875" style="371" customWidth="1"/>
    <col min="6171" max="6171" width="9.5703125" style="371" customWidth="1"/>
    <col min="6172" max="6172" width="9.85546875" style="371" customWidth="1"/>
    <col min="6173" max="6413" width="9" style="371"/>
    <col min="6414" max="6414" width="13.7109375" style="371" customWidth="1"/>
    <col min="6415" max="6415" width="18.5703125" style="371" customWidth="1"/>
    <col min="6416" max="6416" width="9.140625" style="371" customWidth="1"/>
    <col min="6417" max="6417" width="17.28515625" style="371" customWidth="1"/>
    <col min="6418" max="6418" width="11.42578125" style="371" customWidth="1"/>
    <col min="6419" max="6419" width="17.140625" style="371" customWidth="1"/>
    <col min="6420" max="6420" width="12" style="371" customWidth="1"/>
    <col min="6421" max="6421" width="17.140625" style="371" customWidth="1"/>
    <col min="6422" max="6422" width="8.85546875" style="371" customWidth="1"/>
    <col min="6423" max="6423" width="9" style="371"/>
    <col min="6424" max="6424" width="12.42578125" style="371" customWidth="1"/>
    <col min="6425" max="6425" width="10.5703125" style="371" customWidth="1"/>
    <col min="6426" max="6426" width="10.85546875" style="371" customWidth="1"/>
    <col min="6427" max="6427" width="9.5703125" style="371" customWidth="1"/>
    <col min="6428" max="6428" width="9.85546875" style="371" customWidth="1"/>
    <col min="6429" max="6669" width="9" style="371"/>
    <col min="6670" max="6670" width="13.7109375" style="371" customWidth="1"/>
    <col min="6671" max="6671" width="18.5703125" style="371" customWidth="1"/>
    <col min="6672" max="6672" width="9.140625" style="371" customWidth="1"/>
    <col min="6673" max="6673" width="17.28515625" style="371" customWidth="1"/>
    <col min="6674" max="6674" width="11.42578125" style="371" customWidth="1"/>
    <col min="6675" max="6675" width="17.140625" style="371" customWidth="1"/>
    <col min="6676" max="6676" width="12" style="371" customWidth="1"/>
    <col min="6677" max="6677" width="17.140625" style="371" customWidth="1"/>
    <col min="6678" max="6678" width="8.85546875" style="371" customWidth="1"/>
    <col min="6679" max="6679" width="9" style="371"/>
    <col min="6680" max="6680" width="12.42578125" style="371" customWidth="1"/>
    <col min="6681" max="6681" width="10.5703125" style="371" customWidth="1"/>
    <col min="6682" max="6682" width="10.85546875" style="371" customWidth="1"/>
    <col min="6683" max="6683" width="9.5703125" style="371" customWidth="1"/>
    <col min="6684" max="6684" width="9.85546875" style="371" customWidth="1"/>
    <col min="6685" max="6925" width="9" style="371"/>
    <col min="6926" max="6926" width="13.7109375" style="371" customWidth="1"/>
    <col min="6927" max="6927" width="18.5703125" style="371" customWidth="1"/>
    <col min="6928" max="6928" width="9.140625" style="371" customWidth="1"/>
    <col min="6929" max="6929" width="17.28515625" style="371" customWidth="1"/>
    <col min="6930" max="6930" width="11.42578125" style="371" customWidth="1"/>
    <col min="6931" max="6931" width="17.140625" style="371" customWidth="1"/>
    <col min="6932" max="6932" width="12" style="371" customWidth="1"/>
    <col min="6933" max="6933" width="17.140625" style="371" customWidth="1"/>
    <col min="6934" max="6934" width="8.85546875" style="371" customWidth="1"/>
    <col min="6935" max="6935" width="9" style="371"/>
    <col min="6936" max="6936" width="12.42578125" style="371" customWidth="1"/>
    <col min="6937" max="6937" width="10.5703125" style="371" customWidth="1"/>
    <col min="6938" max="6938" width="10.85546875" style="371" customWidth="1"/>
    <col min="6939" max="6939" width="9.5703125" style="371" customWidth="1"/>
    <col min="6940" max="6940" width="9.85546875" style="371" customWidth="1"/>
    <col min="6941" max="7181" width="9" style="371"/>
    <col min="7182" max="7182" width="13.7109375" style="371" customWidth="1"/>
    <col min="7183" max="7183" width="18.5703125" style="371" customWidth="1"/>
    <col min="7184" max="7184" width="9.140625" style="371" customWidth="1"/>
    <col min="7185" max="7185" width="17.28515625" style="371" customWidth="1"/>
    <col min="7186" max="7186" width="11.42578125" style="371" customWidth="1"/>
    <col min="7187" max="7187" width="17.140625" style="371" customWidth="1"/>
    <col min="7188" max="7188" width="12" style="371" customWidth="1"/>
    <col min="7189" max="7189" width="17.140625" style="371" customWidth="1"/>
    <col min="7190" max="7190" width="8.85546875" style="371" customWidth="1"/>
    <col min="7191" max="7191" width="9" style="371"/>
    <col min="7192" max="7192" width="12.42578125" style="371" customWidth="1"/>
    <col min="7193" max="7193" width="10.5703125" style="371" customWidth="1"/>
    <col min="7194" max="7194" width="10.85546875" style="371" customWidth="1"/>
    <col min="7195" max="7195" width="9.5703125" style="371" customWidth="1"/>
    <col min="7196" max="7196" width="9.85546875" style="371" customWidth="1"/>
    <col min="7197" max="7437" width="9" style="371"/>
    <col min="7438" max="7438" width="13.7109375" style="371" customWidth="1"/>
    <col min="7439" max="7439" width="18.5703125" style="371" customWidth="1"/>
    <col min="7440" max="7440" width="9.140625" style="371" customWidth="1"/>
    <col min="7441" max="7441" width="17.28515625" style="371" customWidth="1"/>
    <col min="7442" max="7442" width="11.42578125" style="371" customWidth="1"/>
    <col min="7443" max="7443" width="17.140625" style="371" customWidth="1"/>
    <col min="7444" max="7444" width="12" style="371" customWidth="1"/>
    <col min="7445" max="7445" width="17.140625" style="371" customWidth="1"/>
    <col min="7446" max="7446" width="8.85546875" style="371" customWidth="1"/>
    <col min="7447" max="7447" width="9" style="371"/>
    <col min="7448" max="7448" width="12.42578125" style="371" customWidth="1"/>
    <col min="7449" max="7449" width="10.5703125" style="371" customWidth="1"/>
    <col min="7450" max="7450" width="10.85546875" style="371" customWidth="1"/>
    <col min="7451" max="7451" width="9.5703125" style="371" customWidth="1"/>
    <col min="7452" max="7452" width="9.85546875" style="371" customWidth="1"/>
    <col min="7453" max="7693" width="9" style="371"/>
    <col min="7694" max="7694" width="13.7109375" style="371" customWidth="1"/>
    <col min="7695" max="7695" width="18.5703125" style="371" customWidth="1"/>
    <col min="7696" max="7696" width="9.140625" style="371" customWidth="1"/>
    <col min="7697" max="7697" width="17.28515625" style="371" customWidth="1"/>
    <col min="7698" max="7698" width="11.42578125" style="371" customWidth="1"/>
    <col min="7699" max="7699" width="17.140625" style="371" customWidth="1"/>
    <col min="7700" max="7700" width="12" style="371" customWidth="1"/>
    <col min="7701" max="7701" width="17.140625" style="371" customWidth="1"/>
    <col min="7702" max="7702" width="8.85546875" style="371" customWidth="1"/>
    <col min="7703" max="7703" width="9" style="371"/>
    <col min="7704" max="7704" width="12.42578125" style="371" customWidth="1"/>
    <col min="7705" max="7705" width="10.5703125" style="371" customWidth="1"/>
    <col min="7706" max="7706" width="10.85546875" style="371" customWidth="1"/>
    <col min="7707" max="7707" width="9.5703125" style="371" customWidth="1"/>
    <col min="7708" max="7708" width="9.85546875" style="371" customWidth="1"/>
    <col min="7709" max="7949" width="9" style="371"/>
    <col min="7950" max="7950" width="13.7109375" style="371" customWidth="1"/>
    <col min="7951" max="7951" width="18.5703125" style="371" customWidth="1"/>
    <col min="7952" max="7952" width="9.140625" style="371" customWidth="1"/>
    <col min="7953" max="7953" width="17.28515625" style="371" customWidth="1"/>
    <col min="7954" max="7954" width="11.42578125" style="371" customWidth="1"/>
    <col min="7955" max="7955" width="17.140625" style="371" customWidth="1"/>
    <col min="7956" max="7956" width="12" style="371" customWidth="1"/>
    <col min="7957" max="7957" width="17.140625" style="371" customWidth="1"/>
    <col min="7958" max="7958" width="8.85546875" style="371" customWidth="1"/>
    <col min="7959" max="7959" width="9" style="371"/>
    <col min="7960" max="7960" width="12.42578125" style="371" customWidth="1"/>
    <col min="7961" max="7961" width="10.5703125" style="371" customWidth="1"/>
    <col min="7962" max="7962" width="10.85546875" style="371" customWidth="1"/>
    <col min="7963" max="7963" width="9.5703125" style="371" customWidth="1"/>
    <col min="7964" max="7964" width="9.85546875" style="371" customWidth="1"/>
    <col min="7965" max="8205" width="9" style="371"/>
    <col min="8206" max="8206" width="13.7109375" style="371" customWidth="1"/>
    <col min="8207" max="8207" width="18.5703125" style="371" customWidth="1"/>
    <col min="8208" max="8208" width="9.140625" style="371" customWidth="1"/>
    <col min="8209" max="8209" width="17.28515625" style="371" customWidth="1"/>
    <col min="8210" max="8210" width="11.42578125" style="371" customWidth="1"/>
    <col min="8211" max="8211" width="17.140625" style="371" customWidth="1"/>
    <col min="8212" max="8212" width="12" style="371" customWidth="1"/>
    <col min="8213" max="8213" width="17.140625" style="371" customWidth="1"/>
    <col min="8214" max="8214" width="8.85546875" style="371" customWidth="1"/>
    <col min="8215" max="8215" width="9" style="371"/>
    <col min="8216" max="8216" width="12.42578125" style="371" customWidth="1"/>
    <col min="8217" max="8217" width="10.5703125" style="371" customWidth="1"/>
    <col min="8218" max="8218" width="10.85546875" style="371" customWidth="1"/>
    <col min="8219" max="8219" width="9.5703125" style="371" customWidth="1"/>
    <col min="8220" max="8220" width="9.85546875" style="371" customWidth="1"/>
    <col min="8221" max="8461" width="9" style="371"/>
    <col min="8462" max="8462" width="13.7109375" style="371" customWidth="1"/>
    <col min="8463" max="8463" width="18.5703125" style="371" customWidth="1"/>
    <col min="8464" max="8464" width="9.140625" style="371" customWidth="1"/>
    <col min="8465" max="8465" width="17.28515625" style="371" customWidth="1"/>
    <col min="8466" max="8466" width="11.42578125" style="371" customWidth="1"/>
    <col min="8467" max="8467" width="17.140625" style="371" customWidth="1"/>
    <col min="8468" max="8468" width="12" style="371" customWidth="1"/>
    <col min="8469" max="8469" width="17.140625" style="371" customWidth="1"/>
    <col min="8470" max="8470" width="8.85546875" style="371" customWidth="1"/>
    <col min="8471" max="8471" width="9" style="371"/>
    <col min="8472" max="8472" width="12.42578125" style="371" customWidth="1"/>
    <col min="8473" max="8473" width="10.5703125" style="371" customWidth="1"/>
    <col min="8474" max="8474" width="10.85546875" style="371" customWidth="1"/>
    <col min="8475" max="8475" width="9.5703125" style="371" customWidth="1"/>
    <col min="8476" max="8476" width="9.85546875" style="371" customWidth="1"/>
    <col min="8477" max="8717" width="9" style="371"/>
    <col min="8718" max="8718" width="13.7109375" style="371" customWidth="1"/>
    <col min="8719" max="8719" width="18.5703125" style="371" customWidth="1"/>
    <col min="8720" max="8720" width="9.140625" style="371" customWidth="1"/>
    <col min="8721" max="8721" width="17.28515625" style="371" customWidth="1"/>
    <col min="8722" max="8722" width="11.42578125" style="371" customWidth="1"/>
    <col min="8723" max="8723" width="17.140625" style="371" customWidth="1"/>
    <col min="8724" max="8724" width="12" style="371" customWidth="1"/>
    <col min="8725" max="8725" width="17.140625" style="371" customWidth="1"/>
    <col min="8726" max="8726" width="8.85546875" style="371" customWidth="1"/>
    <col min="8727" max="8727" width="9" style="371"/>
    <col min="8728" max="8728" width="12.42578125" style="371" customWidth="1"/>
    <col min="8729" max="8729" width="10.5703125" style="371" customWidth="1"/>
    <col min="8730" max="8730" width="10.85546875" style="371" customWidth="1"/>
    <col min="8731" max="8731" width="9.5703125" style="371" customWidth="1"/>
    <col min="8732" max="8732" width="9.85546875" style="371" customWidth="1"/>
    <col min="8733" max="8973" width="9" style="371"/>
    <col min="8974" max="8974" width="13.7109375" style="371" customWidth="1"/>
    <col min="8975" max="8975" width="18.5703125" style="371" customWidth="1"/>
    <col min="8976" max="8976" width="9.140625" style="371" customWidth="1"/>
    <col min="8977" max="8977" width="17.28515625" style="371" customWidth="1"/>
    <col min="8978" max="8978" width="11.42578125" style="371" customWidth="1"/>
    <col min="8979" max="8979" width="17.140625" style="371" customWidth="1"/>
    <col min="8980" max="8980" width="12" style="371" customWidth="1"/>
    <col min="8981" max="8981" width="17.140625" style="371" customWidth="1"/>
    <col min="8982" max="8982" width="8.85546875" style="371" customWidth="1"/>
    <col min="8983" max="8983" width="9" style="371"/>
    <col min="8984" max="8984" width="12.42578125" style="371" customWidth="1"/>
    <col min="8985" max="8985" width="10.5703125" style="371" customWidth="1"/>
    <col min="8986" max="8986" width="10.85546875" style="371" customWidth="1"/>
    <col min="8987" max="8987" width="9.5703125" style="371" customWidth="1"/>
    <col min="8988" max="8988" width="9.85546875" style="371" customWidth="1"/>
    <col min="8989" max="9229" width="9" style="371"/>
    <col min="9230" max="9230" width="13.7109375" style="371" customWidth="1"/>
    <col min="9231" max="9231" width="18.5703125" style="371" customWidth="1"/>
    <col min="9232" max="9232" width="9.140625" style="371" customWidth="1"/>
    <col min="9233" max="9233" width="17.28515625" style="371" customWidth="1"/>
    <col min="9234" max="9234" width="11.42578125" style="371" customWidth="1"/>
    <col min="9235" max="9235" width="17.140625" style="371" customWidth="1"/>
    <col min="9236" max="9236" width="12" style="371" customWidth="1"/>
    <col min="9237" max="9237" width="17.140625" style="371" customWidth="1"/>
    <col min="9238" max="9238" width="8.85546875" style="371" customWidth="1"/>
    <col min="9239" max="9239" width="9" style="371"/>
    <col min="9240" max="9240" width="12.42578125" style="371" customWidth="1"/>
    <col min="9241" max="9241" width="10.5703125" style="371" customWidth="1"/>
    <col min="9242" max="9242" width="10.85546875" style="371" customWidth="1"/>
    <col min="9243" max="9243" width="9.5703125" style="371" customWidth="1"/>
    <col min="9244" max="9244" width="9.85546875" style="371" customWidth="1"/>
    <col min="9245" max="9485" width="9" style="371"/>
    <col min="9486" max="9486" width="13.7109375" style="371" customWidth="1"/>
    <col min="9487" max="9487" width="18.5703125" style="371" customWidth="1"/>
    <col min="9488" max="9488" width="9.140625" style="371" customWidth="1"/>
    <col min="9489" max="9489" width="17.28515625" style="371" customWidth="1"/>
    <col min="9490" max="9490" width="11.42578125" style="371" customWidth="1"/>
    <col min="9491" max="9491" width="17.140625" style="371" customWidth="1"/>
    <col min="9492" max="9492" width="12" style="371" customWidth="1"/>
    <col min="9493" max="9493" width="17.140625" style="371" customWidth="1"/>
    <col min="9494" max="9494" width="8.85546875" style="371" customWidth="1"/>
    <col min="9495" max="9495" width="9" style="371"/>
    <col min="9496" max="9496" width="12.42578125" style="371" customWidth="1"/>
    <col min="9497" max="9497" width="10.5703125" style="371" customWidth="1"/>
    <col min="9498" max="9498" width="10.85546875" style="371" customWidth="1"/>
    <col min="9499" max="9499" width="9.5703125" style="371" customWidth="1"/>
    <col min="9500" max="9500" width="9.85546875" style="371" customWidth="1"/>
    <col min="9501" max="9741" width="9" style="371"/>
    <col min="9742" max="9742" width="13.7109375" style="371" customWidth="1"/>
    <col min="9743" max="9743" width="18.5703125" style="371" customWidth="1"/>
    <col min="9744" max="9744" width="9.140625" style="371" customWidth="1"/>
    <col min="9745" max="9745" width="17.28515625" style="371" customWidth="1"/>
    <col min="9746" max="9746" width="11.42578125" style="371" customWidth="1"/>
    <col min="9747" max="9747" width="17.140625" style="371" customWidth="1"/>
    <col min="9748" max="9748" width="12" style="371" customWidth="1"/>
    <col min="9749" max="9749" width="17.140625" style="371" customWidth="1"/>
    <col min="9750" max="9750" width="8.85546875" style="371" customWidth="1"/>
    <col min="9751" max="9751" width="9" style="371"/>
    <col min="9752" max="9752" width="12.42578125" style="371" customWidth="1"/>
    <col min="9753" max="9753" width="10.5703125" style="371" customWidth="1"/>
    <col min="9754" max="9754" width="10.85546875" style="371" customWidth="1"/>
    <col min="9755" max="9755" width="9.5703125" style="371" customWidth="1"/>
    <col min="9756" max="9756" width="9.85546875" style="371" customWidth="1"/>
    <col min="9757" max="9997" width="9" style="371"/>
    <col min="9998" max="9998" width="13.7109375" style="371" customWidth="1"/>
    <col min="9999" max="9999" width="18.5703125" style="371" customWidth="1"/>
    <col min="10000" max="10000" width="9.140625" style="371" customWidth="1"/>
    <col min="10001" max="10001" width="17.28515625" style="371" customWidth="1"/>
    <col min="10002" max="10002" width="11.42578125" style="371" customWidth="1"/>
    <col min="10003" max="10003" width="17.140625" style="371" customWidth="1"/>
    <col min="10004" max="10004" width="12" style="371" customWidth="1"/>
    <col min="10005" max="10005" width="17.140625" style="371" customWidth="1"/>
    <col min="10006" max="10006" width="8.85546875" style="371" customWidth="1"/>
    <col min="10007" max="10007" width="9" style="371"/>
    <col min="10008" max="10008" width="12.42578125" style="371" customWidth="1"/>
    <col min="10009" max="10009" width="10.5703125" style="371" customWidth="1"/>
    <col min="10010" max="10010" width="10.85546875" style="371" customWidth="1"/>
    <col min="10011" max="10011" width="9.5703125" style="371" customWidth="1"/>
    <col min="10012" max="10012" width="9.85546875" style="371" customWidth="1"/>
    <col min="10013" max="10253" width="9" style="371"/>
    <col min="10254" max="10254" width="13.7109375" style="371" customWidth="1"/>
    <col min="10255" max="10255" width="18.5703125" style="371" customWidth="1"/>
    <col min="10256" max="10256" width="9.140625" style="371" customWidth="1"/>
    <col min="10257" max="10257" width="17.28515625" style="371" customWidth="1"/>
    <col min="10258" max="10258" width="11.42578125" style="371" customWidth="1"/>
    <col min="10259" max="10259" width="17.140625" style="371" customWidth="1"/>
    <col min="10260" max="10260" width="12" style="371" customWidth="1"/>
    <col min="10261" max="10261" width="17.140625" style="371" customWidth="1"/>
    <col min="10262" max="10262" width="8.85546875" style="371" customWidth="1"/>
    <col min="10263" max="10263" width="9" style="371"/>
    <col min="10264" max="10264" width="12.42578125" style="371" customWidth="1"/>
    <col min="10265" max="10265" width="10.5703125" style="371" customWidth="1"/>
    <col min="10266" max="10266" width="10.85546875" style="371" customWidth="1"/>
    <col min="10267" max="10267" width="9.5703125" style="371" customWidth="1"/>
    <col min="10268" max="10268" width="9.85546875" style="371" customWidth="1"/>
    <col min="10269" max="10509" width="9" style="371"/>
    <col min="10510" max="10510" width="13.7109375" style="371" customWidth="1"/>
    <col min="10511" max="10511" width="18.5703125" style="371" customWidth="1"/>
    <col min="10512" max="10512" width="9.140625" style="371" customWidth="1"/>
    <col min="10513" max="10513" width="17.28515625" style="371" customWidth="1"/>
    <col min="10514" max="10514" width="11.42578125" style="371" customWidth="1"/>
    <col min="10515" max="10515" width="17.140625" style="371" customWidth="1"/>
    <col min="10516" max="10516" width="12" style="371" customWidth="1"/>
    <col min="10517" max="10517" width="17.140625" style="371" customWidth="1"/>
    <col min="10518" max="10518" width="8.85546875" style="371" customWidth="1"/>
    <col min="10519" max="10519" width="9" style="371"/>
    <col min="10520" max="10520" width="12.42578125" style="371" customWidth="1"/>
    <col min="10521" max="10521" width="10.5703125" style="371" customWidth="1"/>
    <col min="10522" max="10522" width="10.85546875" style="371" customWidth="1"/>
    <col min="10523" max="10523" width="9.5703125" style="371" customWidth="1"/>
    <col min="10524" max="10524" width="9.85546875" style="371" customWidth="1"/>
    <col min="10525" max="10765" width="9" style="371"/>
    <col min="10766" max="10766" width="13.7109375" style="371" customWidth="1"/>
    <col min="10767" max="10767" width="18.5703125" style="371" customWidth="1"/>
    <col min="10768" max="10768" width="9.140625" style="371" customWidth="1"/>
    <col min="10769" max="10769" width="17.28515625" style="371" customWidth="1"/>
    <col min="10770" max="10770" width="11.42578125" style="371" customWidth="1"/>
    <col min="10771" max="10771" width="17.140625" style="371" customWidth="1"/>
    <col min="10772" max="10772" width="12" style="371" customWidth="1"/>
    <col min="10773" max="10773" width="17.140625" style="371" customWidth="1"/>
    <col min="10774" max="10774" width="8.85546875" style="371" customWidth="1"/>
    <col min="10775" max="10775" width="9" style="371"/>
    <col min="10776" max="10776" width="12.42578125" style="371" customWidth="1"/>
    <col min="10777" max="10777" width="10.5703125" style="371" customWidth="1"/>
    <col min="10778" max="10778" width="10.85546875" style="371" customWidth="1"/>
    <col min="10779" max="10779" width="9.5703125" style="371" customWidth="1"/>
    <col min="10780" max="10780" width="9.85546875" style="371" customWidth="1"/>
    <col min="10781" max="11021" width="9" style="371"/>
    <col min="11022" max="11022" width="13.7109375" style="371" customWidth="1"/>
    <col min="11023" max="11023" width="18.5703125" style="371" customWidth="1"/>
    <col min="11024" max="11024" width="9.140625" style="371" customWidth="1"/>
    <col min="11025" max="11025" width="17.28515625" style="371" customWidth="1"/>
    <col min="11026" max="11026" width="11.42578125" style="371" customWidth="1"/>
    <col min="11027" max="11027" width="17.140625" style="371" customWidth="1"/>
    <col min="11028" max="11028" width="12" style="371" customWidth="1"/>
    <col min="11029" max="11029" width="17.140625" style="371" customWidth="1"/>
    <col min="11030" max="11030" width="8.85546875" style="371" customWidth="1"/>
    <col min="11031" max="11031" width="9" style="371"/>
    <col min="11032" max="11032" width="12.42578125" style="371" customWidth="1"/>
    <col min="11033" max="11033" width="10.5703125" style="371" customWidth="1"/>
    <col min="11034" max="11034" width="10.85546875" style="371" customWidth="1"/>
    <col min="11035" max="11035" width="9.5703125" style="371" customWidth="1"/>
    <col min="11036" max="11036" width="9.85546875" style="371" customWidth="1"/>
    <col min="11037" max="11277" width="9" style="371"/>
    <col min="11278" max="11278" width="13.7109375" style="371" customWidth="1"/>
    <col min="11279" max="11279" width="18.5703125" style="371" customWidth="1"/>
    <col min="11280" max="11280" width="9.140625" style="371" customWidth="1"/>
    <col min="11281" max="11281" width="17.28515625" style="371" customWidth="1"/>
    <col min="11282" max="11282" width="11.42578125" style="371" customWidth="1"/>
    <col min="11283" max="11283" width="17.140625" style="371" customWidth="1"/>
    <col min="11284" max="11284" width="12" style="371" customWidth="1"/>
    <col min="11285" max="11285" width="17.140625" style="371" customWidth="1"/>
    <col min="11286" max="11286" width="8.85546875" style="371" customWidth="1"/>
    <col min="11287" max="11287" width="9" style="371"/>
    <col min="11288" max="11288" width="12.42578125" style="371" customWidth="1"/>
    <col min="11289" max="11289" width="10.5703125" style="371" customWidth="1"/>
    <col min="11290" max="11290" width="10.85546875" style="371" customWidth="1"/>
    <col min="11291" max="11291" width="9.5703125" style="371" customWidth="1"/>
    <col min="11292" max="11292" width="9.85546875" style="371" customWidth="1"/>
    <col min="11293" max="11533" width="9" style="371"/>
    <col min="11534" max="11534" width="13.7109375" style="371" customWidth="1"/>
    <col min="11535" max="11535" width="18.5703125" style="371" customWidth="1"/>
    <col min="11536" max="11536" width="9.140625" style="371" customWidth="1"/>
    <col min="11537" max="11537" width="17.28515625" style="371" customWidth="1"/>
    <col min="11538" max="11538" width="11.42578125" style="371" customWidth="1"/>
    <col min="11539" max="11539" width="17.140625" style="371" customWidth="1"/>
    <col min="11540" max="11540" width="12" style="371" customWidth="1"/>
    <col min="11541" max="11541" width="17.140625" style="371" customWidth="1"/>
    <col min="11542" max="11542" width="8.85546875" style="371" customWidth="1"/>
    <col min="11543" max="11543" width="9" style="371"/>
    <col min="11544" max="11544" width="12.42578125" style="371" customWidth="1"/>
    <col min="11545" max="11545" width="10.5703125" style="371" customWidth="1"/>
    <col min="11546" max="11546" width="10.85546875" style="371" customWidth="1"/>
    <col min="11547" max="11547" width="9.5703125" style="371" customWidth="1"/>
    <col min="11548" max="11548" width="9.85546875" style="371" customWidth="1"/>
    <col min="11549" max="11789" width="9" style="371"/>
    <col min="11790" max="11790" width="13.7109375" style="371" customWidth="1"/>
    <col min="11791" max="11791" width="18.5703125" style="371" customWidth="1"/>
    <col min="11792" max="11792" width="9.140625" style="371" customWidth="1"/>
    <col min="11793" max="11793" width="17.28515625" style="371" customWidth="1"/>
    <col min="11794" max="11794" width="11.42578125" style="371" customWidth="1"/>
    <col min="11795" max="11795" width="17.140625" style="371" customWidth="1"/>
    <col min="11796" max="11796" width="12" style="371" customWidth="1"/>
    <col min="11797" max="11797" width="17.140625" style="371" customWidth="1"/>
    <col min="11798" max="11798" width="8.85546875" style="371" customWidth="1"/>
    <col min="11799" max="11799" width="9" style="371"/>
    <col min="11800" max="11800" width="12.42578125" style="371" customWidth="1"/>
    <col min="11801" max="11801" width="10.5703125" style="371" customWidth="1"/>
    <col min="11802" max="11802" width="10.85546875" style="371" customWidth="1"/>
    <col min="11803" max="11803" width="9.5703125" style="371" customWidth="1"/>
    <col min="11804" max="11804" width="9.85546875" style="371" customWidth="1"/>
    <col min="11805" max="12045" width="9" style="371"/>
    <col min="12046" max="12046" width="13.7109375" style="371" customWidth="1"/>
    <col min="12047" max="12047" width="18.5703125" style="371" customWidth="1"/>
    <col min="12048" max="12048" width="9.140625" style="371" customWidth="1"/>
    <col min="12049" max="12049" width="17.28515625" style="371" customWidth="1"/>
    <col min="12050" max="12050" width="11.42578125" style="371" customWidth="1"/>
    <col min="12051" max="12051" width="17.140625" style="371" customWidth="1"/>
    <col min="12052" max="12052" width="12" style="371" customWidth="1"/>
    <col min="12053" max="12053" width="17.140625" style="371" customWidth="1"/>
    <col min="12054" max="12054" width="8.85546875" style="371" customWidth="1"/>
    <col min="12055" max="12055" width="9" style="371"/>
    <col min="12056" max="12056" width="12.42578125" style="371" customWidth="1"/>
    <col min="12057" max="12057" width="10.5703125" style="371" customWidth="1"/>
    <col min="12058" max="12058" width="10.85546875" style="371" customWidth="1"/>
    <col min="12059" max="12059" width="9.5703125" style="371" customWidth="1"/>
    <col min="12060" max="12060" width="9.85546875" style="371" customWidth="1"/>
    <col min="12061" max="12301" width="9" style="371"/>
    <col min="12302" max="12302" width="13.7109375" style="371" customWidth="1"/>
    <col min="12303" max="12303" width="18.5703125" style="371" customWidth="1"/>
    <col min="12304" max="12304" width="9.140625" style="371" customWidth="1"/>
    <col min="12305" max="12305" width="17.28515625" style="371" customWidth="1"/>
    <col min="12306" max="12306" width="11.42578125" style="371" customWidth="1"/>
    <col min="12307" max="12307" width="17.140625" style="371" customWidth="1"/>
    <col min="12308" max="12308" width="12" style="371" customWidth="1"/>
    <col min="12309" max="12309" width="17.140625" style="371" customWidth="1"/>
    <col min="12310" max="12310" width="8.85546875" style="371" customWidth="1"/>
    <col min="12311" max="12311" width="9" style="371"/>
    <col min="12312" max="12312" width="12.42578125" style="371" customWidth="1"/>
    <col min="12313" max="12313" width="10.5703125" style="371" customWidth="1"/>
    <col min="12314" max="12314" width="10.85546875" style="371" customWidth="1"/>
    <col min="12315" max="12315" width="9.5703125" style="371" customWidth="1"/>
    <col min="12316" max="12316" width="9.85546875" style="371" customWidth="1"/>
    <col min="12317" max="12557" width="9" style="371"/>
    <col min="12558" max="12558" width="13.7109375" style="371" customWidth="1"/>
    <col min="12559" max="12559" width="18.5703125" style="371" customWidth="1"/>
    <col min="12560" max="12560" width="9.140625" style="371" customWidth="1"/>
    <col min="12561" max="12561" width="17.28515625" style="371" customWidth="1"/>
    <col min="12562" max="12562" width="11.42578125" style="371" customWidth="1"/>
    <col min="12563" max="12563" width="17.140625" style="371" customWidth="1"/>
    <col min="12564" max="12564" width="12" style="371" customWidth="1"/>
    <col min="12565" max="12565" width="17.140625" style="371" customWidth="1"/>
    <col min="12566" max="12566" width="8.85546875" style="371" customWidth="1"/>
    <col min="12567" max="12567" width="9" style="371"/>
    <col min="12568" max="12568" width="12.42578125" style="371" customWidth="1"/>
    <col min="12569" max="12569" width="10.5703125" style="371" customWidth="1"/>
    <col min="12570" max="12570" width="10.85546875" style="371" customWidth="1"/>
    <col min="12571" max="12571" width="9.5703125" style="371" customWidth="1"/>
    <col min="12572" max="12572" width="9.85546875" style="371" customWidth="1"/>
    <col min="12573" max="12813" width="9" style="371"/>
    <col min="12814" max="12814" width="13.7109375" style="371" customWidth="1"/>
    <col min="12815" max="12815" width="18.5703125" style="371" customWidth="1"/>
    <col min="12816" max="12816" width="9.140625" style="371" customWidth="1"/>
    <col min="12817" max="12817" width="17.28515625" style="371" customWidth="1"/>
    <col min="12818" max="12818" width="11.42578125" style="371" customWidth="1"/>
    <col min="12819" max="12819" width="17.140625" style="371" customWidth="1"/>
    <col min="12820" max="12820" width="12" style="371" customWidth="1"/>
    <col min="12821" max="12821" width="17.140625" style="371" customWidth="1"/>
    <col min="12822" max="12822" width="8.85546875" style="371" customWidth="1"/>
    <col min="12823" max="12823" width="9" style="371"/>
    <col min="12824" max="12824" width="12.42578125" style="371" customWidth="1"/>
    <col min="12825" max="12825" width="10.5703125" style="371" customWidth="1"/>
    <col min="12826" max="12826" width="10.85546875" style="371" customWidth="1"/>
    <col min="12827" max="12827" width="9.5703125" style="371" customWidth="1"/>
    <col min="12828" max="12828" width="9.85546875" style="371" customWidth="1"/>
    <col min="12829" max="13069" width="9" style="371"/>
    <col min="13070" max="13070" width="13.7109375" style="371" customWidth="1"/>
    <col min="13071" max="13071" width="18.5703125" style="371" customWidth="1"/>
    <col min="13072" max="13072" width="9.140625" style="371" customWidth="1"/>
    <col min="13073" max="13073" width="17.28515625" style="371" customWidth="1"/>
    <col min="13074" max="13074" width="11.42578125" style="371" customWidth="1"/>
    <col min="13075" max="13075" width="17.140625" style="371" customWidth="1"/>
    <col min="13076" max="13076" width="12" style="371" customWidth="1"/>
    <col min="13077" max="13077" width="17.140625" style="371" customWidth="1"/>
    <col min="13078" max="13078" width="8.85546875" style="371" customWidth="1"/>
    <col min="13079" max="13079" width="9" style="371"/>
    <col min="13080" max="13080" width="12.42578125" style="371" customWidth="1"/>
    <col min="13081" max="13081" width="10.5703125" style="371" customWidth="1"/>
    <col min="13082" max="13082" width="10.85546875" style="371" customWidth="1"/>
    <col min="13083" max="13083" width="9.5703125" style="371" customWidth="1"/>
    <col min="13084" max="13084" width="9.85546875" style="371" customWidth="1"/>
    <col min="13085" max="13325" width="9" style="371"/>
    <col min="13326" max="13326" width="13.7109375" style="371" customWidth="1"/>
    <col min="13327" max="13327" width="18.5703125" style="371" customWidth="1"/>
    <col min="13328" max="13328" width="9.140625" style="371" customWidth="1"/>
    <col min="13329" max="13329" width="17.28515625" style="371" customWidth="1"/>
    <col min="13330" max="13330" width="11.42578125" style="371" customWidth="1"/>
    <col min="13331" max="13331" width="17.140625" style="371" customWidth="1"/>
    <col min="13332" max="13332" width="12" style="371" customWidth="1"/>
    <col min="13333" max="13333" width="17.140625" style="371" customWidth="1"/>
    <col min="13334" max="13334" width="8.85546875" style="371" customWidth="1"/>
    <col min="13335" max="13335" width="9" style="371"/>
    <col min="13336" max="13336" width="12.42578125" style="371" customWidth="1"/>
    <col min="13337" max="13337" width="10.5703125" style="371" customWidth="1"/>
    <col min="13338" max="13338" width="10.85546875" style="371" customWidth="1"/>
    <col min="13339" max="13339" width="9.5703125" style="371" customWidth="1"/>
    <col min="13340" max="13340" width="9.85546875" style="371" customWidth="1"/>
    <col min="13341" max="13581" width="9" style="371"/>
    <col min="13582" max="13582" width="13.7109375" style="371" customWidth="1"/>
    <col min="13583" max="13583" width="18.5703125" style="371" customWidth="1"/>
    <col min="13584" max="13584" width="9.140625" style="371" customWidth="1"/>
    <col min="13585" max="13585" width="17.28515625" style="371" customWidth="1"/>
    <col min="13586" max="13586" width="11.42578125" style="371" customWidth="1"/>
    <col min="13587" max="13587" width="17.140625" style="371" customWidth="1"/>
    <col min="13588" max="13588" width="12" style="371" customWidth="1"/>
    <col min="13589" max="13589" width="17.140625" style="371" customWidth="1"/>
    <col min="13590" max="13590" width="8.85546875" style="371" customWidth="1"/>
    <col min="13591" max="13591" width="9" style="371"/>
    <col min="13592" max="13592" width="12.42578125" style="371" customWidth="1"/>
    <col min="13593" max="13593" width="10.5703125" style="371" customWidth="1"/>
    <col min="13594" max="13594" width="10.85546875" style="371" customWidth="1"/>
    <col min="13595" max="13595" width="9.5703125" style="371" customWidth="1"/>
    <col min="13596" max="13596" width="9.85546875" style="371" customWidth="1"/>
    <col min="13597" max="13837" width="9" style="371"/>
    <col min="13838" max="13838" width="13.7109375" style="371" customWidth="1"/>
    <col min="13839" max="13839" width="18.5703125" style="371" customWidth="1"/>
    <col min="13840" max="13840" width="9.140625" style="371" customWidth="1"/>
    <col min="13841" max="13841" width="17.28515625" style="371" customWidth="1"/>
    <col min="13842" max="13842" width="11.42578125" style="371" customWidth="1"/>
    <col min="13843" max="13843" width="17.140625" style="371" customWidth="1"/>
    <col min="13844" max="13844" width="12" style="371" customWidth="1"/>
    <col min="13845" max="13845" width="17.140625" style="371" customWidth="1"/>
    <col min="13846" max="13846" width="8.85546875" style="371" customWidth="1"/>
    <col min="13847" max="13847" width="9" style="371"/>
    <col min="13848" max="13848" width="12.42578125" style="371" customWidth="1"/>
    <col min="13849" max="13849" width="10.5703125" style="371" customWidth="1"/>
    <col min="13850" max="13850" width="10.85546875" style="371" customWidth="1"/>
    <col min="13851" max="13851" width="9.5703125" style="371" customWidth="1"/>
    <col min="13852" max="13852" width="9.85546875" style="371" customWidth="1"/>
    <col min="13853" max="14093" width="9" style="371"/>
    <col min="14094" max="14094" width="13.7109375" style="371" customWidth="1"/>
    <col min="14095" max="14095" width="18.5703125" style="371" customWidth="1"/>
    <col min="14096" max="14096" width="9.140625" style="371" customWidth="1"/>
    <col min="14097" max="14097" width="17.28515625" style="371" customWidth="1"/>
    <col min="14098" max="14098" width="11.42578125" style="371" customWidth="1"/>
    <col min="14099" max="14099" width="17.140625" style="371" customWidth="1"/>
    <col min="14100" max="14100" width="12" style="371" customWidth="1"/>
    <col min="14101" max="14101" width="17.140625" style="371" customWidth="1"/>
    <col min="14102" max="14102" width="8.85546875" style="371" customWidth="1"/>
    <col min="14103" max="14103" width="9" style="371"/>
    <col min="14104" max="14104" width="12.42578125" style="371" customWidth="1"/>
    <col min="14105" max="14105" width="10.5703125" style="371" customWidth="1"/>
    <col min="14106" max="14106" width="10.85546875" style="371" customWidth="1"/>
    <col min="14107" max="14107" width="9.5703125" style="371" customWidth="1"/>
    <col min="14108" max="14108" width="9.85546875" style="371" customWidth="1"/>
    <col min="14109" max="14349" width="9" style="371"/>
    <col min="14350" max="14350" width="13.7109375" style="371" customWidth="1"/>
    <col min="14351" max="14351" width="18.5703125" style="371" customWidth="1"/>
    <col min="14352" max="14352" width="9.140625" style="371" customWidth="1"/>
    <col min="14353" max="14353" width="17.28515625" style="371" customWidth="1"/>
    <col min="14354" max="14354" width="11.42578125" style="371" customWidth="1"/>
    <col min="14355" max="14355" width="17.140625" style="371" customWidth="1"/>
    <col min="14356" max="14356" width="12" style="371" customWidth="1"/>
    <col min="14357" max="14357" width="17.140625" style="371" customWidth="1"/>
    <col min="14358" max="14358" width="8.85546875" style="371" customWidth="1"/>
    <col min="14359" max="14359" width="9" style="371"/>
    <col min="14360" max="14360" width="12.42578125" style="371" customWidth="1"/>
    <col min="14361" max="14361" width="10.5703125" style="371" customWidth="1"/>
    <col min="14362" max="14362" width="10.85546875" style="371" customWidth="1"/>
    <col min="14363" max="14363" width="9.5703125" style="371" customWidth="1"/>
    <col min="14364" max="14364" width="9.85546875" style="371" customWidth="1"/>
    <col min="14365" max="14605" width="9" style="371"/>
    <col min="14606" max="14606" width="13.7109375" style="371" customWidth="1"/>
    <col min="14607" max="14607" width="18.5703125" style="371" customWidth="1"/>
    <col min="14608" max="14608" width="9.140625" style="371" customWidth="1"/>
    <col min="14609" max="14609" width="17.28515625" style="371" customWidth="1"/>
    <col min="14610" max="14610" width="11.42578125" style="371" customWidth="1"/>
    <col min="14611" max="14611" width="17.140625" style="371" customWidth="1"/>
    <col min="14612" max="14612" width="12" style="371" customWidth="1"/>
    <col min="14613" max="14613" width="17.140625" style="371" customWidth="1"/>
    <col min="14614" max="14614" width="8.85546875" style="371" customWidth="1"/>
    <col min="14615" max="14615" width="9" style="371"/>
    <col min="14616" max="14616" width="12.42578125" style="371" customWidth="1"/>
    <col min="14617" max="14617" width="10.5703125" style="371" customWidth="1"/>
    <col min="14618" max="14618" width="10.85546875" style="371" customWidth="1"/>
    <col min="14619" max="14619" width="9.5703125" style="371" customWidth="1"/>
    <col min="14620" max="14620" width="9.85546875" style="371" customWidth="1"/>
    <col min="14621" max="14861" width="9" style="371"/>
    <col min="14862" max="14862" width="13.7109375" style="371" customWidth="1"/>
    <col min="14863" max="14863" width="18.5703125" style="371" customWidth="1"/>
    <col min="14864" max="14864" width="9.140625" style="371" customWidth="1"/>
    <col min="14865" max="14865" width="17.28515625" style="371" customWidth="1"/>
    <col min="14866" max="14866" width="11.42578125" style="371" customWidth="1"/>
    <col min="14867" max="14867" width="17.140625" style="371" customWidth="1"/>
    <col min="14868" max="14868" width="12" style="371" customWidth="1"/>
    <col min="14869" max="14869" width="17.140625" style="371" customWidth="1"/>
    <col min="14870" max="14870" width="8.85546875" style="371" customWidth="1"/>
    <col min="14871" max="14871" width="9" style="371"/>
    <col min="14872" max="14872" width="12.42578125" style="371" customWidth="1"/>
    <col min="14873" max="14873" width="10.5703125" style="371" customWidth="1"/>
    <col min="14874" max="14874" width="10.85546875" style="371" customWidth="1"/>
    <col min="14875" max="14875" width="9.5703125" style="371" customWidth="1"/>
    <col min="14876" max="14876" width="9.85546875" style="371" customWidth="1"/>
    <col min="14877" max="15117" width="9" style="371"/>
    <col min="15118" max="15118" width="13.7109375" style="371" customWidth="1"/>
    <col min="15119" max="15119" width="18.5703125" style="371" customWidth="1"/>
    <col min="15120" max="15120" width="9.140625" style="371" customWidth="1"/>
    <col min="15121" max="15121" width="17.28515625" style="371" customWidth="1"/>
    <col min="15122" max="15122" width="11.42578125" style="371" customWidth="1"/>
    <col min="15123" max="15123" width="17.140625" style="371" customWidth="1"/>
    <col min="15124" max="15124" width="12" style="371" customWidth="1"/>
    <col min="15125" max="15125" width="17.140625" style="371" customWidth="1"/>
    <col min="15126" max="15126" width="8.85546875" style="371" customWidth="1"/>
    <col min="15127" max="15127" width="9" style="371"/>
    <col min="15128" max="15128" width="12.42578125" style="371" customWidth="1"/>
    <col min="15129" max="15129" width="10.5703125" style="371" customWidth="1"/>
    <col min="15130" max="15130" width="10.85546875" style="371" customWidth="1"/>
    <col min="15131" max="15131" width="9.5703125" style="371" customWidth="1"/>
    <col min="15132" max="15132" width="9.85546875" style="371" customWidth="1"/>
    <col min="15133" max="15373" width="9" style="371"/>
    <col min="15374" max="15374" width="13.7109375" style="371" customWidth="1"/>
    <col min="15375" max="15375" width="18.5703125" style="371" customWidth="1"/>
    <col min="15376" max="15376" width="9.140625" style="371" customWidth="1"/>
    <col min="15377" max="15377" width="17.28515625" style="371" customWidth="1"/>
    <col min="15378" max="15378" width="11.42578125" style="371" customWidth="1"/>
    <col min="15379" max="15379" width="17.140625" style="371" customWidth="1"/>
    <col min="15380" max="15380" width="12" style="371" customWidth="1"/>
    <col min="15381" max="15381" width="17.140625" style="371" customWidth="1"/>
    <col min="15382" max="15382" width="8.85546875" style="371" customWidth="1"/>
    <col min="15383" max="15383" width="9" style="371"/>
    <col min="15384" max="15384" width="12.42578125" style="371" customWidth="1"/>
    <col min="15385" max="15385" width="10.5703125" style="371" customWidth="1"/>
    <col min="15386" max="15386" width="10.85546875" style="371" customWidth="1"/>
    <col min="15387" max="15387" width="9.5703125" style="371" customWidth="1"/>
    <col min="15388" max="15388" width="9.85546875" style="371" customWidth="1"/>
    <col min="15389" max="15629" width="9" style="371"/>
    <col min="15630" max="15630" width="13.7109375" style="371" customWidth="1"/>
    <col min="15631" max="15631" width="18.5703125" style="371" customWidth="1"/>
    <col min="15632" max="15632" width="9.140625" style="371" customWidth="1"/>
    <col min="15633" max="15633" width="17.28515625" style="371" customWidth="1"/>
    <col min="15634" max="15634" width="11.42578125" style="371" customWidth="1"/>
    <col min="15635" max="15635" width="17.140625" style="371" customWidth="1"/>
    <col min="15636" max="15636" width="12" style="371" customWidth="1"/>
    <col min="15637" max="15637" width="17.140625" style="371" customWidth="1"/>
    <col min="15638" max="15638" width="8.85546875" style="371" customWidth="1"/>
    <col min="15639" max="15639" width="9" style="371"/>
    <col min="15640" max="15640" width="12.42578125" style="371" customWidth="1"/>
    <col min="15641" max="15641" width="10.5703125" style="371" customWidth="1"/>
    <col min="15642" max="15642" width="10.85546875" style="371" customWidth="1"/>
    <col min="15643" max="15643" width="9.5703125" style="371" customWidth="1"/>
    <col min="15644" max="15644" width="9.85546875" style="371" customWidth="1"/>
    <col min="15645" max="15885" width="9" style="371"/>
    <col min="15886" max="15886" width="13.7109375" style="371" customWidth="1"/>
    <col min="15887" max="15887" width="18.5703125" style="371" customWidth="1"/>
    <col min="15888" max="15888" width="9.140625" style="371" customWidth="1"/>
    <col min="15889" max="15889" width="17.28515625" style="371" customWidth="1"/>
    <col min="15890" max="15890" width="11.42578125" style="371" customWidth="1"/>
    <col min="15891" max="15891" width="17.140625" style="371" customWidth="1"/>
    <col min="15892" max="15892" width="12" style="371" customWidth="1"/>
    <col min="15893" max="15893" width="17.140625" style="371" customWidth="1"/>
    <col min="15894" max="15894" width="8.85546875" style="371" customWidth="1"/>
    <col min="15895" max="15895" width="9" style="371"/>
    <col min="15896" max="15896" width="12.42578125" style="371" customWidth="1"/>
    <col min="15897" max="15897" width="10.5703125" style="371" customWidth="1"/>
    <col min="15898" max="15898" width="10.85546875" style="371" customWidth="1"/>
    <col min="15899" max="15899" width="9.5703125" style="371" customWidth="1"/>
    <col min="15900" max="15900" width="9.85546875" style="371" customWidth="1"/>
    <col min="15901" max="16141" width="9" style="371"/>
    <col min="16142" max="16142" width="13.7109375" style="371" customWidth="1"/>
    <col min="16143" max="16143" width="18.5703125" style="371" customWidth="1"/>
    <col min="16144" max="16144" width="9.140625" style="371" customWidth="1"/>
    <col min="16145" max="16145" width="17.28515625" style="371" customWidth="1"/>
    <col min="16146" max="16146" width="11.42578125" style="371" customWidth="1"/>
    <col min="16147" max="16147" width="17.140625" style="371" customWidth="1"/>
    <col min="16148" max="16148" width="12" style="371" customWidth="1"/>
    <col min="16149" max="16149" width="17.140625" style="371" customWidth="1"/>
    <col min="16150" max="16150" width="8.85546875" style="371" customWidth="1"/>
    <col min="16151" max="16151" width="9" style="371"/>
    <col min="16152" max="16152" width="12.42578125" style="371" customWidth="1"/>
    <col min="16153" max="16153" width="10.5703125" style="371" customWidth="1"/>
    <col min="16154" max="16154" width="10.85546875" style="371" customWidth="1"/>
    <col min="16155" max="16155" width="9.5703125" style="371" customWidth="1"/>
    <col min="16156" max="16156" width="9.85546875" style="371" customWidth="1"/>
    <col min="16157" max="16384" width="9" style="371"/>
  </cols>
  <sheetData>
    <row r="1" spans="1:29">
      <c r="B1" s="668" t="s">
        <v>165</v>
      </c>
      <c r="C1" s="668"/>
      <c r="D1" s="668"/>
      <c r="E1" s="668"/>
      <c r="F1" s="668"/>
      <c r="G1" s="668"/>
      <c r="H1" s="668"/>
      <c r="I1" s="668"/>
      <c r="J1" s="668"/>
      <c r="K1" s="668"/>
      <c r="L1" s="668"/>
      <c r="M1" s="668"/>
      <c r="N1" s="668"/>
      <c r="O1" s="668"/>
      <c r="P1" s="668"/>
      <c r="Q1" s="668"/>
      <c r="R1" s="668"/>
      <c r="S1" s="668"/>
      <c r="T1" s="668"/>
      <c r="U1" s="668"/>
      <c r="V1" s="668"/>
      <c r="W1" s="668"/>
      <c r="X1" s="668"/>
      <c r="Y1" s="668"/>
      <c r="Z1" s="668"/>
      <c r="AA1" s="668"/>
      <c r="AB1" s="668"/>
    </row>
    <row r="2" spans="1:29" ht="16.5" customHeight="1">
      <c r="B2" s="668" t="s">
        <v>191</v>
      </c>
      <c r="C2" s="668"/>
      <c r="D2" s="668"/>
      <c r="E2" s="668"/>
      <c r="F2" s="668"/>
      <c r="G2" s="668"/>
      <c r="H2" s="668"/>
      <c r="I2" s="668"/>
      <c r="J2" s="668"/>
      <c r="K2" s="668"/>
      <c r="L2" s="668"/>
      <c r="M2" s="668"/>
      <c r="N2" s="668"/>
      <c r="O2" s="668"/>
      <c r="P2" s="668"/>
      <c r="Q2" s="668"/>
      <c r="R2" s="668"/>
      <c r="S2" s="668"/>
      <c r="T2" s="668"/>
      <c r="U2" s="668"/>
      <c r="V2" s="668"/>
      <c r="W2" s="668"/>
      <c r="X2" s="668"/>
      <c r="Y2" s="668"/>
      <c r="Z2" s="668"/>
      <c r="AA2" s="668"/>
      <c r="AB2" s="668"/>
    </row>
    <row r="3" spans="1:29" ht="16.5" customHeight="1">
      <c r="B3" s="669" t="s">
        <v>192</v>
      </c>
      <c r="C3" s="669"/>
      <c r="D3" s="669"/>
      <c r="E3" s="669"/>
      <c r="F3" s="669"/>
      <c r="G3" s="669"/>
      <c r="H3" s="669"/>
      <c r="I3" s="669"/>
      <c r="J3" s="669"/>
      <c r="K3" s="669"/>
      <c r="L3" s="669"/>
      <c r="M3" s="669"/>
      <c r="N3" s="669"/>
      <c r="O3" s="669"/>
      <c r="P3" s="669"/>
      <c r="Q3" s="669"/>
      <c r="R3" s="669"/>
      <c r="S3" s="669"/>
      <c r="T3" s="669"/>
      <c r="U3" s="669"/>
      <c r="V3" s="669"/>
      <c r="W3" s="669"/>
      <c r="X3" s="669"/>
      <c r="Y3" s="669"/>
      <c r="Z3" s="669"/>
      <c r="AA3" s="669"/>
      <c r="AB3" s="669"/>
    </row>
    <row r="4" spans="1:29" ht="18" customHeight="1">
      <c r="B4" s="668" t="s">
        <v>193</v>
      </c>
      <c r="C4" s="668"/>
      <c r="D4" s="668"/>
      <c r="E4" s="668"/>
      <c r="F4" s="668"/>
      <c r="G4" s="668"/>
      <c r="H4" s="668"/>
      <c r="I4" s="668"/>
      <c r="J4" s="668"/>
      <c r="K4" s="668"/>
      <c r="L4" s="668"/>
      <c r="M4" s="668"/>
      <c r="N4" s="668"/>
      <c r="O4" s="668"/>
      <c r="P4" s="668"/>
      <c r="Q4" s="668"/>
      <c r="R4" s="668"/>
      <c r="S4" s="668"/>
      <c r="T4" s="668"/>
      <c r="U4" s="668"/>
      <c r="V4" s="668"/>
      <c r="W4" s="668"/>
      <c r="X4" s="668"/>
      <c r="Y4" s="668"/>
      <c r="Z4" s="668"/>
      <c r="AA4" s="668"/>
      <c r="AB4" s="668"/>
    </row>
    <row r="5" spans="1:29" ht="20.25" customHeight="1">
      <c r="A5" s="670" t="s">
        <v>194</v>
      </c>
      <c r="B5" s="670"/>
      <c r="C5" s="670"/>
      <c r="D5" s="670"/>
      <c r="E5" s="670"/>
      <c r="F5" s="670"/>
      <c r="G5" s="372"/>
      <c r="H5" s="372"/>
      <c r="I5" s="372"/>
      <c r="J5" s="372"/>
      <c r="K5" s="372"/>
      <c r="M5" s="671"/>
      <c r="N5" s="671"/>
      <c r="O5" s="491"/>
      <c r="P5" s="491"/>
      <c r="Q5" s="672"/>
      <c r="R5" s="672"/>
      <c r="S5" s="521"/>
      <c r="T5" s="521"/>
      <c r="U5" s="521"/>
      <c r="V5" s="521"/>
      <c r="W5" s="521"/>
      <c r="X5" s="521"/>
      <c r="Y5" s="521"/>
      <c r="Z5" s="671" t="s">
        <v>166</v>
      </c>
      <c r="AA5" s="671"/>
      <c r="AB5" s="671"/>
      <c r="AC5" s="352"/>
    </row>
    <row r="6" spans="1:29" ht="118.9" customHeight="1">
      <c r="A6" s="512" t="s">
        <v>167</v>
      </c>
      <c r="B6" s="512" t="s">
        <v>195</v>
      </c>
      <c r="C6" s="512" t="s">
        <v>169</v>
      </c>
      <c r="D6" s="512" t="s">
        <v>196</v>
      </c>
      <c r="E6" s="512" t="s">
        <v>197</v>
      </c>
      <c r="F6" s="512" t="s">
        <v>198</v>
      </c>
      <c r="G6" s="510" t="s">
        <v>170</v>
      </c>
      <c r="H6" s="353" t="s">
        <v>199</v>
      </c>
      <c r="I6" s="512" t="s">
        <v>171</v>
      </c>
      <c r="J6" s="512" t="s">
        <v>200</v>
      </c>
      <c r="K6" s="512" t="s">
        <v>201</v>
      </c>
      <c r="L6" s="512" t="s">
        <v>202</v>
      </c>
      <c r="M6" s="512" t="s">
        <v>172</v>
      </c>
      <c r="N6" s="354" t="s">
        <v>188</v>
      </c>
      <c r="O6" s="355" t="s">
        <v>203</v>
      </c>
      <c r="P6" s="353" t="s">
        <v>173</v>
      </c>
      <c r="Q6" s="512" t="s">
        <v>204</v>
      </c>
      <c r="R6" s="501" t="s">
        <v>205</v>
      </c>
      <c r="S6" s="510" t="s">
        <v>174</v>
      </c>
      <c r="T6" s="512" t="s">
        <v>175</v>
      </c>
      <c r="U6" s="510" t="s">
        <v>176</v>
      </c>
      <c r="V6" s="510" t="s">
        <v>177</v>
      </c>
      <c r="W6" s="512" t="s">
        <v>206</v>
      </c>
      <c r="X6" s="355" t="s">
        <v>189</v>
      </c>
      <c r="Y6" s="355" t="s">
        <v>179</v>
      </c>
      <c r="Z6" s="355" t="s">
        <v>190</v>
      </c>
      <c r="AA6" s="373" t="s">
        <v>180</v>
      </c>
      <c r="AB6" s="512" t="s">
        <v>207</v>
      </c>
    </row>
    <row r="7" spans="1:29" ht="21" hidden="1" customHeight="1">
      <c r="A7" s="357">
        <v>45352</v>
      </c>
      <c r="B7" s="374" t="s">
        <v>208</v>
      </c>
      <c r="C7" s="375" t="s">
        <v>209</v>
      </c>
      <c r="D7" s="374" t="s">
        <v>210</v>
      </c>
      <c r="E7" s="374">
        <v>2.95</v>
      </c>
      <c r="F7" s="501" t="s">
        <v>446</v>
      </c>
      <c r="G7" s="374">
        <v>6</v>
      </c>
      <c r="H7" s="360" t="str">
        <f t="shared" ref="H7:H15" si="0">IFERROR(IF(AA7&lt;&gt;"",W7*G7*AA7,""),"input error")</f>
        <v>input error</v>
      </c>
      <c r="I7" s="376">
        <v>9</v>
      </c>
      <c r="J7" s="374" t="s">
        <v>10</v>
      </c>
      <c r="K7" s="500">
        <f>3880+3813+3534</f>
        <v>11227</v>
      </c>
      <c r="L7" s="377">
        <f t="shared" ref="L7:L8" si="1">(K7*0.5)/1000</f>
        <v>5.6135000000000002</v>
      </c>
      <c r="M7" s="501">
        <f>0+0.01+0.02</f>
        <v>0.03</v>
      </c>
      <c r="N7" s="368" t="str">
        <f t="shared" ref="N7:N70" si="2">IFERROR(IF(K7&gt;0,K7/H7,""),"input error")</f>
        <v>input error</v>
      </c>
      <c r="O7" s="358" t="str">
        <f t="shared" ref="O7:O15" si="3">IFERROR(IF(I7&lt;&gt;"",K7/(I7*W7*AA7),""),"input error")</f>
        <v>input error</v>
      </c>
      <c r="P7" s="369">
        <f t="shared" ref="P7:P15" si="4">IFERROR(IF(M7&lt;&gt;"",M7/(L7+M7),""),"input error")</f>
        <v>5.3158500930273762E-3</v>
      </c>
      <c r="Q7" s="493" t="s">
        <v>211</v>
      </c>
      <c r="R7" s="496">
        <v>7.5</v>
      </c>
      <c r="S7" s="658">
        <v>3</v>
      </c>
      <c r="T7" s="658">
        <v>7.5</v>
      </c>
      <c r="U7" s="658">
        <v>0</v>
      </c>
      <c r="V7" s="660">
        <f>IFERROR(IF(S7&gt;0,S7*T7-U7,""),"input error")</f>
        <v>22.5</v>
      </c>
      <c r="W7" s="500" t="e">
        <f>#REF!</f>
        <v>#REF!</v>
      </c>
      <c r="X7" s="378" t="str">
        <f t="shared" ref="X7:X15" si="5">IFERROR(IF(W7&lt;&gt;"",1/W7,""),"input error")</f>
        <v>input error</v>
      </c>
      <c r="Y7" s="360" t="str">
        <f t="shared" ref="Y7:Y15" si="6">IFERROR(IF(X7&lt;&gt;"",K7*X7,""),"input error")</f>
        <v>input error</v>
      </c>
      <c r="Z7" s="663">
        <f>SUM(Y7:Y15)</f>
        <v>0</v>
      </c>
      <c r="AA7" s="361" t="str">
        <f>IFERROR(IF(Y7&lt;&gt;"",$V$7*Y7/$Z$7,""),"input error")</f>
        <v>input error</v>
      </c>
      <c r="AB7" s="501"/>
    </row>
    <row r="8" spans="1:29" ht="21" hidden="1" customHeight="1">
      <c r="A8" s="357">
        <v>45352</v>
      </c>
      <c r="B8" s="374" t="s">
        <v>212</v>
      </c>
      <c r="C8" s="375" t="s">
        <v>209</v>
      </c>
      <c r="D8" s="374" t="s">
        <v>213</v>
      </c>
      <c r="E8" s="374">
        <v>2.91</v>
      </c>
      <c r="F8" s="501" t="s">
        <v>214</v>
      </c>
      <c r="G8" s="374">
        <v>6</v>
      </c>
      <c r="H8" s="360" t="str">
        <f t="shared" si="0"/>
        <v>input error</v>
      </c>
      <c r="I8" s="376">
        <v>9</v>
      </c>
      <c r="J8" s="379" t="s">
        <v>32</v>
      </c>
      <c r="K8" s="500">
        <f>5716+5796+19342</f>
        <v>30854</v>
      </c>
      <c r="L8" s="377">
        <f t="shared" si="1"/>
        <v>15.427</v>
      </c>
      <c r="M8" s="501">
        <f>0+0.02+0.02</f>
        <v>0.04</v>
      </c>
      <c r="N8" s="368" t="str">
        <f t="shared" si="2"/>
        <v>input error</v>
      </c>
      <c r="O8" s="358" t="str">
        <f t="shared" si="3"/>
        <v>input error</v>
      </c>
      <c r="P8" s="369">
        <f t="shared" si="4"/>
        <v>2.5861511605353334E-3</v>
      </c>
      <c r="Q8" s="493" t="s">
        <v>211</v>
      </c>
      <c r="R8" s="496">
        <v>7.5</v>
      </c>
      <c r="S8" s="658"/>
      <c r="T8" s="658"/>
      <c r="U8" s="658"/>
      <c r="V8" s="661"/>
      <c r="W8" s="500" t="e">
        <f>#REF!</f>
        <v>#REF!</v>
      </c>
      <c r="X8" s="378" t="str">
        <f t="shared" si="5"/>
        <v>input error</v>
      </c>
      <c r="Y8" s="360" t="str">
        <f t="shared" si="6"/>
        <v>input error</v>
      </c>
      <c r="Z8" s="664"/>
      <c r="AA8" s="361" t="str">
        <f t="shared" ref="AA8:AA15" si="7">IFERROR(IF(Y8&lt;&gt;"",$V$7*Y8/$Z$7,""),"input error")</f>
        <v>input error</v>
      </c>
      <c r="AB8" s="501"/>
    </row>
    <row r="9" spans="1:29" ht="21" hidden="1" customHeight="1">
      <c r="A9" s="357">
        <v>45352</v>
      </c>
      <c r="B9" s="374" t="s">
        <v>215</v>
      </c>
      <c r="C9" s="375" t="s">
        <v>209</v>
      </c>
      <c r="D9" s="374" t="s">
        <v>213</v>
      </c>
      <c r="E9" s="374">
        <v>2.91</v>
      </c>
      <c r="F9" s="501" t="s">
        <v>214</v>
      </c>
      <c r="G9" s="374">
        <v>6</v>
      </c>
      <c r="H9" s="360" t="str">
        <f t="shared" si="0"/>
        <v>input error</v>
      </c>
      <c r="I9" s="376">
        <v>9</v>
      </c>
      <c r="J9" s="379" t="s">
        <v>32</v>
      </c>
      <c r="K9" s="500">
        <f>6767+6510+6610</f>
        <v>19887</v>
      </c>
      <c r="L9" s="377">
        <f>(0.718*K9)/1000</f>
        <v>14.278866000000001</v>
      </c>
      <c r="M9" s="501">
        <f>0+0.01+0.03</f>
        <v>0.04</v>
      </c>
      <c r="N9" s="368" t="str">
        <f t="shared" si="2"/>
        <v>input error</v>
      </c>
      <c r="O9" s="358" t="str">
        <f t="shared" si="3"/>
        <v>input error</v>
      </c>
      <c r="P9" s="369">
        <f t="shared" si="4"/>
        <v>2.7935173078650222E-3</v>
      </c>
      <c r="Q9" s="493" t="s">
        <v>211</v>
      </c>
      <c r="R9" s="496">
        <v>7.5</v>
      </c>
      <c r="S9" s="658"/>
      <c r="T9" s="658"/>
      <c r="U9" s="658"/>
      <c r="V9" s="661"/>
      <c r="W9" s="380" t="e">
        <f>#REF!</f>
        <v>#REF!</v>
      </c>
      <c r="X9" s="378" t="str">
        <f t="shared" si="5"/>
        <v>input error</v>
      </c>
      <c r="Y9" s="360" t="str">
        <f t="shared" si="6"/>
        <v>input error</v>
      </c>
      <c r="Z9" s="664"/>
      <c r="AA9" s="361" t="str">
        <f t="shared" si="7"/>
        <v>input error</v>
      </c>
      <c r="AB9" s="501"/>
    </row>
    <row r="10" spans="1:29" ht="21" customHeight="1">
      <c r="A10" s="357">
        <v>45352</v>
      </c>
      <c r="B10" s="374" t="s">
        <v>216</v>
      </c>
      <c r="C10" s="375" t="s">
        <v>209</v>
      </c>
      <c r="D10" s="374" t="s">
        <v>217</v>
      </c>
      <c r="E10" s="374">
        <v>6.22</v>
      </c>
      <c r="F10" s="511" t="s">
        <v>83</v>
      </c>
      <c r="G10" s="374">
        <v>6</v>
      </c>
      <c r="H10" s="360" t="str">
        <f t="shared" si="0"/>
        <v>input error</v>
      </c>
      <c r="I10" s="376">
        <v>9</v>
      </c>
      <c r="J10" s="381" t="s">
        <v>84</v>
      </c>
      <c r="K10" s="500">
        <f>3877</f>
        <v>3877</v>
      </c>
      <c r="L10" s="377">
        <f>(0.3325*K10)/1000</f>
        <v>1.2891025</v>
      </c>
      <c r="M10" s="501">
        <f>0.01</f>
        <v>0.01</v>
      </c>
      <c r="N10" s="368" t="str">
        <f t="shared" si="2"/>
        <v>input error</v>
      </c>
      <c r="O10" s="358" t="str">
        <f t="shared" si="3"/>
        <v>input error</v>
      </c>
      <c r="P10" s="369">
        <f t="shared" si="4"/>
        <v>7.6976220121199061E-3</v>
      </c>
      <c r="Q10" s="493" t="s">
        <v>211</v>
      </c>
      <c r="R10" s="496">
        <v>7.5</v>
      </c>
      <c r="S10" s="658"/>
      <c r="T10" s="658"/>
      <c r="U10" s="658"/>
      <c r="V10" s="661"/>
      <c r="W10" s="380" t="e">
        <f>#REF!</f>
        <v>#REF!</v>
      </c>
      <c r="X10" s="378" t="str">
        <f t="shared" si="5"/>
        <v>input error</v>
      </c>
      <c r="Y10" s="360" t="str">
        <f t="shared" si="6"/>
        <v>input error</v>
      </c>
      <c r="Z10" s="664"/>
      <c r="AA10" s="361" t="str">
        <f t="shared" si="7"/>
        <v>input error</v>
      </c>
      <c r="AB10" s="501"/>
    </row>
    <row r="11" spans="1:29" ht="21" customHeight="1">
      <c r="A11" s="357">
        <v>45352</v>
      </c>
      <c r="B11" s="374" t="s">
        <v>218</v>
      </c>
      <c r="C11" s="375" t="s">
        <v>209</v>
      </c>
      <c r="D11" s="374" t="s">
        <v>217</v>
      </c>
      <c r="E11" s="374">
        <v>6.22</v>
      </c>
      <c r="F11" s="511" t="s">
        <v>83</v>
      </c>
      <c r="G11" s="374">
        <v>6</v>
      </c>
      <c r="H11" s="360" t="str">
        <f t="shared" si="0"/>
        <v>input error</v>
      </c>
      <c r="I11" s="376">
        <v>9</v>
      </c>
      <c r="J11" s="381" t="s">
        <v>84</v>
      </c>
      <c r="K11" s="500">
        <v>3010</v>
      </c>
      <c r="L11" s="377">
        <f>(0.3325*K11)/1000</f>
        <v>1.0008250000000001</v>
      </c>
      <c r="M11" s="501">
        <f>0.01</f>
        <v>0.01</v>
      </c>
      <c r="N11" s="368" t="str">
        <f t="shared" si="2"/>
        <v>input error</v>
      </c>
      <c r="O11" s="358" t="str">
        <f t="shared" si="3"/>
        <v>input error</v>
      </c>
      <c r="P11" s="369">
        <f t="shared" si="4"/>
        <v>9.8929092572898371E-3</v>
      </c>
      <c r="Q11" s="493" t="s">
        <v>211</v>
      </c>
      <c r="R11" s="496">
        <v>7.5</v>
      </c>
      <c r="S11" s="658"/>
      <c r="T11" s="658"/>
      <c r="U11" s="658"/>
      <c r="V11" s="661"/>
      <c r="W11" s="380" t="e">
        <f>#REF!</f>
        <v>#REF!</v>
      </c>
      <c r="X11" s="378" t="str">
        <f t="shared" si="5"/>
        <v>input error</v>
      </c>
      <c r="Y11" s="360" t="str">
        <f t="shared" si="6"/>
        <v>input error</v>
      </c>
      <c r="Z11" s="664"/>
      <c r="AA11" s="361" t="str">
        <f t="shared" si="7"/>
        <v>input error</v>
      </c>
      <c r="AB11" s="501"/>
    </row>
    <row r="12" spans="1:29" ht="21" hidden="1" customHeight="1">
      <c r="A12" s="357">
        <v>45352</v>
      </c>
      <c r="B12" s="374" t="s">
        <v>219</v>
      </c>
      <c r="C12" s="375" t="s">
        <v>209</v>
      </c>
      <c r="D12" s="374" t="s">
        <v>12</v>
      </c>
      <c r="E12" s="374">
        <v>8.4600000000000009</v>
      </c>
      <c r="F12" s="501" t="s">
        <v>446</v>
      </c>
      <c r="G12" s="374">
        <v>6</v>
      </c>
      <c r="H12" s="360" t="str">
        <f t="shared" si="0"/>
        <v>input error</v>
      </c>
      <c r="I12" s="376">
        <v>9</v>
      </c>
      <c r="J12" s="379" t="s">
        <v>10</v>
      </c>
      <c r="K12" s="500">
        <f>8016+7578+7548</f>
        <v>23142</v>
      </c>
      <c r="L12" s="377">
        <f>(1.596*K12)/1000</f>
        <v>36.934632000000008</v>
      </c>
      <c r="M12" s="501">
        <f>0+0.03+0</f>
        <v>0.03</v>
      </c>
      <c r="N12" s="368" t="str">
        <f t="shared" si="2"/>
        <v>input error</v>
      </c>
      <c r="O12" s="358" t="str">
        <f t="shared" si="3"/>
        <v>input error</v>
      </c>
      <c r="P12" s="369">
        <f t="shared" si="4"/>
        <v>8.11586599861186E-4</v>
      </c>
      <c r="Q12" s="493" t="s">
        <v>211</v>
      </c>
      <c r="R12" s="496">
        <v>7.5</v>
      </c>
      <c r="S12" s="658"/>
      <c r="T12" s="658"/>
      <c r="U12" s="658"/>
      <c r="V12" s="661"/>
      <c r="W12" s="380" t="e">
        <f>#REF!</f>
        <v>#REF!</v>
      </c>
      <c r="X12" s="378" t="str">
        <f t="shared" si="5"/>
        <v>input error</v>
      </c>
      <c r="Y12" s="360" t="str">
        <f t="shared" si="6"/>
        <v>input error</v>
      </c>
      <c r="Z12" s="664"/>
      <c r="AA12" s="361" t="str">
        <f t="shared" si="7"/>
        <v>input error</v>
      </c>
      <c r="AB12" s="501"/>
    </row>
    <row r="13" spans="1:29" ht="21" hidden="1" customHeight="1">
      <c r="A13" s="357">
        <v>45352</v>
      </c>
      <c r="B13" s="374" t="s">
        <v>220</v>
      </c>
      <c r="C13" s="375" t="s">
        <v>209</v>
      </c>
      <c r="D13" s="374" t="s">
        <v>33</v>
      </c>
      <c r="E13" s="374">
        <v>20.72</v>
      </c>
      <c r="F13" s="501" t="s">
        <v>214</v>
      </c>
      <c r="G13" s="374">
        <v>6</v>
      </c>
      <c r="H13" s="360" t="str">
        <f t="shared" si="0"/>
        <v>input error</v>
      </c>
      <c r="I13" s="376">
        <v>9</v>
      </c>
      <c r="J13" s="379" t="s">
        <v>32</v>
      </c>
      <c r="K13" s="500">
        <f>15274+12006+18816</f>
        <v>46096</v>
      </c>
      <c r="L13" s="377">
        <f>(3.194*K13)/1000</f>
        <v>147.23062400000001</v>
      </c>
      <c r="M13" s="501">
        <f>0+0.03+0.03</f>
        <v>0.06</v>
      </c>
      <c r="N13" s="368" t="str">
        <f t="shared" si="2"/>
        <v>input error</v>
      </c>
      <c r="O13" s="358" t="str">
        <f t="shared" si="3"/>
        <v>input error</v>
      </c>
      <c r="P13" s="369">
        <f t="shared" si="4"/>
        <v>4.073579048724785E-4</v>
      </c>
      <c r="Q13" s="493" t="s">
        <v>211</v>
      </c>
      <c r="R13" s="496">
        <v>7.5</v>
      </c>
      <c r="S13" s="658"/>
      <c r="T13" s="658"/>
      <c r="U13" s="658"/>
      <c r="V13" s="661"/>
      <c r="W13" s="380" t="e">
        <f>#REF!</f>
        <v>#REF!</v>
      </c>
      <c r="X13" s="378" t="str">
        <f t="shared" si="5"/>
        <v>input error</v>
      </c>
      <c r="Y13" s="360" t="str">
        <f t="shared" si="6"/>
        <v>input error</v>
      </c>
      <c r="Z13" s="664"/>
      <c r="AA13" s="361" t="str">
        <f t="shared" si="7"/>
        <v>input error</v>
      </c>
      <c r="AB13" s="501"/>
    </row>
    <row r="14" spans="1:29" ht="21" hidden="1" customHeight="1">
      <c r="A14" s="357">
        <v>45352</v>
      </c>
      <c r="B14" s="374" t="s">
        <v>221</v>
      </c>
      <c r="C14" s="375" t="s">
        <v>209</v>
      </c>
      <c r="D14" s="374" t="s">
        <v>12</v>
      </c>
      <c r="E14" s="374">
        <v>9.26</v>
      </c>
      <c r="F14" s="501" t="s">
        <v>446</v>
      </c>
      <c r="G14" s="374">
        <v>6</v>
      </c>
      <c r="H14" s="360" t="str">
        <f t="shared" si="0"/>
        <v>input error</v>
      </c>
      <c r="I14" s="376">
        <v>9</v>
      </c>
      <c r="J14" s="382" t="s">
        <v>10</v>
      </c>
      <c r="K14" s="500">
        <f>8561+11789+10536</f>
        <v>30886</v>
      </c>
      <c r="L14" s="377">
        <f>(1.596*K14)/1000</f>
        <v>49.294056000000005</v>
      </c>
      <c r="M14" s="501">
        <f>0+0.02+0.03</f>
        <v>0.05</v>
      </c>
      <c r="N14" s="368" t="str">
        <f t="shared" si="2"/>
        <v>input error</v>
      </c>
      <c r="O14" s="358" t="str">
        <f t="shared" si="3"/>
        <v>input error</v>
      </c>
      <c r="P14" s="369">
        <f t="shared" si="4"/>
        <v>1.0132932728513441E-3</v>
      </c>
      <c r="Q14" s="493" t="s">
        <v>211</v>
      </c>
      <c r="R14" s="496">
        <v>7.5</v>
      </c>
      <c r="S14" s="658"/>
      <c r="T14" s="658"/>
      <c r="U14" s="658"/>
      <c r="V14" s="661"/>
      <c r="W14" s="380" t="e">
        <f>#REF!</f>
        <v>#REF!</v>
      </c>
      <c r="X14" s="378" t="str">
        <f t="shared" si="5"/>
        <v>input error</v>
      </c>
      <c r="Y14" s="360" t="str">
        <f t="shared" si="6"/>
        <v>input error</v>
      </c>
      <c r="Z14" s="664"/>
      <c r="AA14" s="361" t="str">
        <f t="shared" si="7"/>
        <v>input error</v>
      </c>
      <c r="AB14" s="501"/>
    </row>
    <row r="15" spans="1:29" ht="21" hidden="1" customHeight="1">
      <c r="A15" s="357">
        <v>45352</v>
      </c>
      <c r="B15" s="374" t="s">
        <v>222</v>
      </c>
      <c r="C15" s="375" t="s">
        <v>209</v>
      </c>
      <c r="D15" s="374" t="s">
        <v>12</v>
      </c>
      <c r="E15" s="374">
        <v>9.5</v>
      </c>
      <c r="F15" s="501" t="s">
        <v>446</v>
      </c>
      <c r="G15" s="374">
        <v>6</v>
      </c>
      <c r="H15" s="360" t="str">
        <f t="shared" si="0"/>
        <v>input error</v>
      </c>
      <c r="I15" s="376">
        <v>9</v>
      </c>
      <c r="J15" s="379" t="s">
        <v>10</v>
      </c>
      <c r="K15" s="500">
        <f>9685+9894+9800</f>
        <v>29379</v>
      </c>
      <c r="L15" s="377">
        <f>(1.596*K15)/1000</f>
        <v>46.888884000000004</v>
      </c>
      <c r="M15" s="501">
        <f>0+0.02+0.03</f>
        <v>0.05</v>
      </c>
      <c r="N15" s="368" t="str">
        <f t="shared" si="2"/>
        <v>input error</v>
      </c>
      <c r="O15" s="358" t="str">
        <f t="shared" si="3"/>
        <v>input error</v>
      </c>
      <c r="P15" s="369">
        <f t="shared" si="4"/>
        <v>1.0652149292684505E-3</v>
      </c>
      <c r="Q15" s="493" t="s">
        <v>211</v>
      </c>
      <c r="R15" s="496">
        <v>7.5</v>
      </c>
      <c r="S15" s="659"/>
      <c r="T15" s="659"/>
      <c r="U15" s="659"/>
      <c r="V15" s="662"/>
      <c r="W15" s="380" t="e">
        <f>#REF!</f>
        <v>#REF!</v>
      </c>
      <c r="X15" s="378" t="str">
        <f t="shared" si="5"/>
        <v>input error</v>
      </c>
      <c r="Y15" s="360" t="str">
        <f t="shared" si="6"/>
        <v>input error</v>
      </c>
      <c r="Z15" s="665"/>
      <c r="AA15" s="361" t="str">
        <f t="shared" si="7"/>
        <v>input error</v>
      </c>
      <c r="AB15" s="501"/>
    </row>
    <row r="16" spans="1:29" ht="21" hidden="1" customHeight="1">
      <c r="A16" s="357"/>
      <c r="B16" s="374"/>
      <c r="C16" s="375"/>
      <c r="D16" s="374"/>
      <c r="E16" s="374"/>
      <c r="F16" s="501"/>
      <c r="G16" s="374"/>
      <c r="H16" s="360"/>
      <c r="I16" s="376"/>
      <c r="J16" s="379"/>
      <c r="K16" s="500"/>
      <c r="L16" s="377"/>
      <c r="M16" s="501"/>
      <c r="N16" s="383" t="str">
        <f t="shared" si="2"/>
        <v/>
      </c>
      <c r="O16" s="358"/>
      <c r="P16" s="369"/>
      <c r="Q16" s="493"/>
      <c r="R16" s="496"/>
      <c r="S16" s="384"/>
      <c r="T16" s="384"/>
      <c r="U16" s="384"/>
      <c r="V16" s="384"/>
      <c r="W16" s="380"/>
      <c r="X16" s="378"/>
      <c r="Y16" s="360"/>
      <c r="Z16" s="385"/>
      <c r="AA16" s="361"/>
      <c r="AB16" s="501"/>
    </row>
    <row r="17" spans="1:28" ht="21" hidden="1" customHeight="1">
      <c r="A17" s="357">
        <v>45353</v>
      </c>
      <c r="B17" s="374" t="s">
        <v>208</v>
      </c>
      <c r="C17" s="375" t="s">
        <v>209</v>
      </c>
      <c r="D17" s="374" t="s">
        <v>210</v>
      </c>
      <c r="E17" s="374">
        <v>2.95</v>
      </c>
      <c r="F17" s="501" t="s">
        <v>446</v>
      </c>
      <c r="G17" s="374">
        <v>6</v>
      </c>
      <c r="H17" s="360" t="str">
        <f t="shared" ref="H17:H23" si="8">IFERROR(IF(AA17&lt;&gt;"",W17*G17*AA17,""),"input error")</f>
        <v>input error</v>
      </c>
      <c r="I17" s="376">
        <v>7</v>
      </c>
      <c r="J17" s="374" t="s">
        <v>10</v>
      </c>
      <c r="K17" s="500">
        <f>2489+2199+2236</f>
        <v>6924</v>
      </c>
      <c r="L17" s="377">
        <f t="shared" ref="L17:L19" si="9">(K17*0.5)/1000</f>
        <v>3.4620000000000002</v>
      </c>
      <c r="M17" s="501">
        <f>0+0.01+0.01</f>
        <v>0.02</v>
      </c>
      <c r="N17" s="368" t="str">
        <f t="shared" si="2"/>
        <v>input error</v>
      </c>
      <c r="O17" s="358" t="str">
        <f t="shared" ref="O17:O23" si="10">IFERROR(IF(I17&lt;&gt;"",K17/(I17*W17*AA17),""),"input error")</f>
        <v>input error</v>
      </c>
      <c r="P17" s="369">
        <f t="shared" ref="P17:P23" si="11">IFERROR(IF(M17&lt;&gt;"",M17/(L17+M17),""),"input error")</f>
        <v>5.7438253877082138E-3</v>
      </c>
      <c r="Q17" s="493" t="s">
        <v>211</v>
      </c>
      <c r="R17" s="496">
        <v>5</v>
      </c>
      <c r="S17" s="666">
        <v>3</v>
      </c>
      <c r="T17" s="666">
        <v>5</v>
      </c>
      <c r="U17" s="666">
        <v>0</v>
      </c>
      <c r="V17" s="666">
        <f>IFERROR(IF(S17&gt;0,S17*T17-U17,""),"input error")</f>
        <v>15</v>
      </c>
      <c r="W17" s="380" t="e">
        <f>#REF!</f>
        <v>#REF!</v>
      </c>
      <c r="X17" s="378" t="str">
        <f t="shared" ref="X17:X33" si="12">IFERROR(IF(W17&lt;&gt;"",1/W17,""),"input error")</f>
        <v>input error</v>
      </c>
      <c r="Y17" s="360" t="str">
        <f t="shared" ref="Y17:Y33" si="13">IFERROR(IF(X17&lt;&gt;"",K17*X17,""),"input error")</f>
        <v>input error</v>
      </c>
      <c r="Z17" s="667">
        <f>SUM(Y17:Y23)</f>
        <v>0</v>
      </c>
      <c r="AA17" s="361" t="str">
        <f>IFERROR(IF(Y17&lt;&gt;"",$V$17*Y17/$Z$17,""),"input error")</f>
        <v>input error</v>
      </c>
      <c r="AB17" s="501"/>
    </row>
    <row r="18" spans="1:28" ht="21" hidden="1" customHeight="1">
      <c r="A18" s="357">
        <v>45353</v>
      </c>
      <c r="B18" s="374" t="s">
        <v>212</v>
      </c>
      <c r="C18" s="375" t="s">
        <v>209</v>
      </c>
      <c r="D18" s="374" t="s">
        <v>213</v>
      </c>
      <c r="E18" s="374">
        <v>2.91</v>
      </c>
      <c r="F18" s="501" t="s">
        <v>214</v>
      </c>
      <c r="G18" s="374">
        <v>6</v>
      </c>
      <c r="H18" s="360" t="str">
        <f t="shared" si="8"/>
        <v>input error</v>
      </c>
      <c r="I18" s="376">
        <v>7</v>
      </c>
      <c r="J18" s="379" t="s">
        <v>32</v>
      </c>
      <c r="K18" s="500">
        <f>3995+3598+3666</f>
        <v>11259</v>
      </c>
      <c r="L18" s="377">
        <f t="shared" si="9"/>
        <v>5.6295000000000002</v>
      </c>
      <c r="M18" s="501">
        <f>0+0.01+0.01</f>
        <v>0.02</v>
      </c>
      <c r="N18" s="368" t="str">
        <f t="shared" si="2"/>
        <v>input error</v>
      </c>
      <c r="O18" s="358" t="str">
        <f t="shared" si="10"/>
        <v>input error</v>
      </c>
      <c r="P18" s="369">
        <f t="shared" si="11"/>
        <v>3.5401362952473671E-3</v>
      </c>
      <c r="Q18" s="493" t="s">
        <v>211</v>
      </c>
      <c r="R18" s="496">
        <v>5</v>
      </c>
      <c r="S18" s="658"/>
      <c r="T18" s="658"/>
      <c r="U18" s="658"/>
      <c r="V18" s="658"/>
      <c r="W18" s="380" t="e">
        <f>#REF!</f>
        <v>#REF!</v>
      </c>
      <c r="X18" s="378" t="str">
        <f t="shared" si="12"/>
        <v>input error</v>
      </c>
      <c r="Y18" s="360" t="str">
        <f t="shared" si="13"/>
        <v>input error</v>
      </c>
      <c r="Z18" s="664"/>
      <c r="AA18" s="361" t="str">
        <f t="shared" ref="AA18:AA23" si="14">IFERROR(IF(Y18&lt;&gt;"",$V$17*Y18/$Z$17,""),"input error")</f>
        <v>input error</v>
      </c>
      <c r="AB18" s="501"/>
    </row>
    <row r="19" spans="1:28" ht="21" hidden="1" customHeight="1">
      <c r="A19" s="357">
        <v>45353</v>
      </c>
      <c r="B19" s="374" t="s">
        <v>215</v>
      </c>
      <c r="C19" s="375" t="s">
        <v>209</v>
      </c>
      <c r="D19" s="374" t="s">
        <v>213</v>
      </c>
      <c r="E19" s="374">
        <v>2.91</v>
      </c>
      <c r="F19" s="501" t="s">
        <v>214</v>
      </c>
      <c r="G19" s="374">
        <v>6</v>
      </c>
      <c r="H19" s="360" t="str">
        <f t="shared" si="8"/>
        <v>input error</v>
      </c>
      <c r="I19" s="376">
        <v>7</v>
      </c>
      <c r="J19" s="379" t="s">
        <v>32</v>
      </c>
      <c r="K19" s="500">
        <f>4149+3858+3876</f>
        <v>11883</v>
      </c>
      <c r="L19" s="377">
        <f t="shared" si="9"/>
        <v>5.9414999999999996</v>
      </c>
      <c r="M19" s="501">
        <f>0+0.01+0.01</f>
        <v>0.02</v>
      </c>
      <c r="N19" s="368" t="str">
        <f t="shared" si="2"/>
        <v>input error</v>
      </c>
      <c r="O19" s="358" t="str">
        <f t="shared" si="10"/>
        <v>input error</v>
      </c>
      <c r="P19" s="369">
        <f t="shared" si="11"/>
        <v>3.3548603539377679E-3</v>
      </c>
      <c r="Q19" s="493" t="s">
        <v>211</v>
      </c>
      <c r="R19" s="496">
        <v>5</v>
      </c>
      <c r="S19" s="658"/>
      <c r="T19" s="658"/>
      <c r="U19" s="658"/>
      <c r="V19" s="658"/>
      <c r="W19" s="380" t="e">
        <f>#REF!</f>
        <v>#REF!</v>
      </c>
      <c r="X19" s="378" t="str">
        <f t="shared" si="12"/>
        <v>input error</v>
      </c>
      <c r="Y19" s="360" t="str">
        <f t="shared" si="13"/>
        <v>input error</v>
      </c>
      <c r="Z19" s="664"/>
      <c r="AA19" s="361" t="str">
        <f t="shared" si="14"/>
        <v>input error</v>
      </c>
      <c r="AB19" s="501"/>
    </row>
    <row r="20" spans="1:28" ht="21" hidden="1" customHeight="1">
      <c r="A20" s="357">
        <v>45353</v>
      </c>
      <c r="B20" s="374" t="s">
        <v>219</v>
      </c>
      <c r="C20" s="375" t="s">
        <v>209</v>
      </c>
      <c r="D20" s="374" t="s">
        <v>12</v>
      </c>
      <c r="E20" s="374">
        <v>8.4600000000000009</v>
      </c>
      <c r="F20" s="501" t="s">
        <v>446</v>
      </c>
      <c r="G20" s="374">
        <v>6</v>
      </c>
      <c r="H20" s="360" t="str">
        <f t="shared" si="8"/>
        <v>input error</v>
      </c>
      <c r="I20" s="376">
        <v>7</v>
      </c>
      <c r="J20" s="379" t="s">
        <v>10</v>
      </c>
      <c r="K20" s="500">
        <f>5237+4733+5136</f>
        <v>15106</v>
      </c>
      <c r="L20" s="377">
        <f>(1.596*K20)/1000</f>
        <v>24.109175999999998</v>
      </c>
      <c r="M20" s="501">
        <f>0+0.02+0.01</f>
        <v>0.03</v>
      </c>
      <c r="N20" s="368" t="str">
        <f t="shared" si="2"/>
        <v>input error</v>
      </c>
      <c r="O20" s="358" t="str">
        <f t="shared" si="10"/>
        <v>input error</v>
      </c>
      <c r="P20" s="369">
        <f t="shared" si="11"/>
        <v>1.2427930431428149E-3</v>
      </c>
      <c r="Q20" s="493" t="s">
        <v>211</v>
      </c>
      <c r="R20" s="496">
        <v>5</v>
      </c>
      <c r="S20" s="658"/>
      <c r="T20" s="658"/>
      <c r="U20" s="658"/>
      <c r="V20" s="658"/>
      <c r="W20" s="380" t="e">
        <f>#REF!</f>
        <v>#REF!</v>
      </c>
      <c r="X20" s="378" t="str">
        <f t="shared" si="12"/>
        <v>input error</v>
      </c>
      <c r="Y20" s="360" t="str">
        <f t="shared" si="13"/>
        <v>input error</v>
      </c>
      <c r="Z20" s="664"/>
      <c r="AA20" s="361" t="str">
        <f t="shared" si="14"/>
        <v>input error</v>
      </c>
      <c r="AB20" s="501"/>
    </row>
    <row r="21" spans="1:28" ht="21" hidden="1" customHeight="1">
      <c r="A21" s="357">
        <v>45353</v>
      </c>
      <c r="B21" s="374" t="s">
        <v>220</v>
      </c>
      <c r="C21" s="375" t="s">
        <v>209</v>
      </c>
      <c r="D21" s="374" t="s">
        <v>33</v>
      </c>
      <c r="E21" s="374">
        <v>20.72</v>
      </c>
      <c r="F21" s="501" t="s">
        <v>214</v>
      </c>
      <c r="G21" s="374">
        <v>6</v>
      </c>
      <c r="H21" s="360" t="str">
        <f t="shared" si="8"/>
        <v>input error</v>
      </c>
      <c r="I21" s="376">
        <v>7</v>
      </c>
      <c r="J21" s="379" t="s">
        <v>32</v>
      </c>
      <c r="K21" s="500">
        <f>10698+11209+10423</f>
        <v>32330</v>
      </c>
      <c r="L21" s="377">
        <f>(3.194*K21)/1000</f>
        <v>103.26202000000001</v>
      </c>
      <c r="M21" s="501">
        <f>0.03+0.04+0.03</f>
        <v>0.1</v>
      </c>
      <c r="N21" s="368" t="str">
        <f t="shared" si="2"/>
        <v>input error</v>
      </c>
      <c r="O21" s="358" t="str">
        <f t="shared" si="10"/>
        <v>input error</v>
      </c>
      <c r="P21" s="369">
        <f t="shared" si="11"/>
        <v>9.6747335239771826E-4</v>
      </c>
      <c r="Q21" s="493" t="s">
        <v>211</v>
      </c>
      <c r="R21" s="496">
        <v>5</v>
      </c>
      <c r="S21" s="658"/>
      <c r="T21" s="658"/>
      <c r="U21" s="658"/>
      <c r="V21" s="658"/>
      <c r="W21" s="380" t="e">
        <f>#REF!</f>
        <v>#REF!</v>
      </c>
      <c r="X21" s="378" t="str">
        <f t="shared" si="12"/>
        <v>input error</v>
      </c>
      <c r="Y21" s="360" t="str">
        <f t="shared" si="13"/>
        <v>input error</v>
      </c>
      <c r="Z21" s="664"/>
      <c r="AA21" s="361" t="str">
        <f t="shared" si="14"/>
        <v>input error</v>
      </c>
      <c r="AB21" s="501"/>
    </row>
    <row r="22" spans="1:28" ht="21" hidden="1" customHeight="1">
      <c r="A22" s="357">
        <v>45353</v>
      </c>
      <c r="B22" s="374" t="s">
        <v>221</v>
      </c>
      <c r="C22" s="375" t="s">
        <v>209</v>
      </c>
      <c r="D22" s="374" t="s">
        <v>12</v>
      </c>
      <c r="E22" s="374">
        <v>9.26</v>
      </c>
      <c r="F22" s="501" t="s">
        <v>446</v>
      </c>
      <c r="G22" s="374">
        <v>6</v>
      </c>
      <c r="H22" s="360" t="str">
        <f t="shared" si="8"/>
        <v>input error</v>
      </c>
      <c r="I22" s="376">
        <v>7</v>
      </c>
      <c r="J22" s="382" t="s">
        <v>10</v>
      </c>
      <c r="K22" s="500">
        <f>6737+6149+6148</f>
        <v>19034</v>
      </c>
      <c r="L22" s="377">
        <f>(1.596*K22)/1000</f>
        <v>30.378264000000001</v>
      </c>
      <c r="M22" s="501">
        <f>0+0.03+0.01</f>
        <v>0.04</v>
      </c>
      <c r="N22" s="368" t="str">
        <f t="shared" si="2"/>
        <v>input error</v>
      </c>
      <c r="O22" s="358" t="str">
        <f t="shared" si="10"/>
        <v>input error</v>
      </c>
      <c r="P22" s="369">
        <f t="shared" si="11"/>
        <v>1.314999435865242E-3</v>
      </c>
      <c r="Q22" s="493" t="s">
        <v>211</v>
      </c>
      <c r="R22" s="496">
        <v>5</v>
      </c>
      <c r="S22" s="658"/>
      <c r="T22" s="658"/>
      <c r="U22" s="658"/>
      <c r="V22" s="658"/>
      <c r="W22" s="380" t="e">
        <f>#REF!</f>
        <v>#REF!</v>
      </c>
      <c r="X22" s="378" t="str">
        <f t="shared" si="12"/>
        <v>input error</v>
      </c>
      <c r="Y22" s="360" t="str">
        <f t="shared" si="13"/>
        <v>input error</v>
      </c>
      <c r="Z22" s="664"/>
      <c r="AA22" s="361" t="str">
        <f t="shared" si="14"/>
        <v>input error</v>
      </c>
      <c r="AB22" s="501"/>
    </row>
    <row r="23" spans="1:28" ht="21" hidden="1" customHeight="1">
      <c r="A23" s="357">
        <v>45353</v>
      </c>
      <c r="B23" s="374" t="s">
        <v>222</v>
      </c>
      <c r="C23" s="375" t="s">
        <v>209</v>
      </c>
      <c r="D23" s="374" t="s">
        <v>12</v>
      </c>
      <c r="E23" s="374">
        <v>9.5</v>
      </c>
      <c r="F23" s="501" t="s">
        <v>446</v>
      </c>
      <c r="G23" s="374">
        <v>6</v>
      </c>
      <c r="H23" s="360" t="str">
        <f t="shared" si="8"/>
        <v>input error</v>
      </c>
      <c r="I23" s="376">
        <v>7</v>
      </c>
      <c r="J23" s="379" t="s">
        <v>10</v>
      </c>
      <c r="K23" s="500">
        <f>5869+5909+6100</f>
        <v>17878</v>
      </c>
      <c r="L23" s="377">
        <f>(1.596*K23)/1000</f>
        <v>28.533287999999999</v>
      </c>
      <c r="M23" s="501">
        <f>0.01+0.03+0.01</f>
        <v>0.05</v>
      </c>
      <c r="N23" s="368" t="str">
        <f t="shared" si="2"/>
        <v>input error</v>
      </c>
      <c r="O23" s="358" t="str">
        <f t="shared" si="10"/>
        <v>input error</v>
      </c>
      <c r="P23" s="369">
        <f t="shared" si="11"/>
        <v>1.7492739113848625E-3</v>
      </c>
      <c r="Q23" s="493" t="s">
        <v>211</v>
      </c>
      <c r="R23" s="496">
        <v>5</v>
      </c>
      <c r="S23" s="659"/>
      <c r="T23" s="659"/>
      <c r="U23" s="659"/>
      <c r="V23" s="659"/>
      <c r="W23" s="380" t="e">
        <f>#REF!</f>
        <v>#REF!</v>
      </c>
      <c r="X23" s="378" t="str">
        <f t="shared" si="12"/>
        <v>input error</v>
      </c>
      <c r="Y23" s="360" t="str">
        <f t="shared" si="13"/>
        <v>input error</v>
      </c>
      <c r="Z23" s="665"/>
      <c r="AA23" s="361" t="str">
        <f t="shared" si="14"/>
        <v>input error</v>
      </c>
      <c r="AB23" s="501"/>
    </row>
    <row r="24" spans="1:28" ht="21" hidden="1" customHeight="1">
      <c r="A24" s="357"/>
      <c r="B24" s="374"/>
      <c r="C24" s="375"/>
      <c r="D24" s="374"/>
      <c r="E24" s="374"/>
      <c r="F24" s="501"/>
      <c r="G24" s="374"/>
      <c r="H24" s="360"/>
      <c r="I24" s="376"/>
      <c r="J24" s="379"/>
      <c r="K24" s="500"/>
      <c r="L24" s="377"/>
      <c r="M24" s="501"/>
      <c r="N24" s="383" t="str">
        <f t="shared" si="2"/>
        <v/>
      </c>
      <c r="O24" s="358"/>
      <c r="P24" s="369"/>
      <c r="Q24" s="493"/>
      <c r="R24" s="496"/>
      <c r="S24" s="384"/>
      <c r="T24" s="384"/>
      <c r="U24" s="384"/>
      <c r="V24" s="384"/>
      <c r="W24" s="380"/>
      <c r="X24" s="378" t="str">
        <f t="shared" si="12"/>
        <v/>
      </c>
      <c r="Y24" s="360" t="str">
        <f t="shared" si="13"/>
        <v/>
      </c>
      <c r="Z24" s="386"/>
      <c r="AA24" s="361"/>
      <c r="AB24" s="501"/>
    </row>
    <row r="25" spans="1:28" ht="21" hidden="1" customHeight="1">
      <c r="A25" s="357">
        <v>45355</v>
      </c>
      <c r="B25" s="374" t="s">
        <v>208</v>
      </c>
      <c r="C25" s="375" t="s">
        <v>209</v>
      </c>
      <c r="D25" s="374" t="s">
        <v>210</v>
      </c>
      <c r="E25" s="374">
        <v>2.95</v>
      </c>
      <c r="F25" s="501" t="s">
        <v>446</v>
      </c>
      <c r="G25" s="374">
        <v>6</v>
      </c>
      <c r="H25" s="360" t="str">
        <f t="shared" ref="H25:H33" si="15">IFERROR(IF(AA25&lt;&gt;"",W25*G25*AA25,""),"input error")</f>
        <v>input error</v>
      </c>
      <c r="I25" s="376">
        <v>9</v>
      </c>
      <c r="J25" s="374" t="s">
        <v>10</v>
      </c>
      <c r="K25" s="500">
        <f>3733+3420+3739</f>
        <v>10892</v>
      </c>
      <c r="L25" s="377">
        <f t="shared" ref="L25:L27" si="16">(K25*0.5)/1000</f>
        <v>5.4459999999999997</v>
      </c>
      <c r="M25" s="501">
        <f>0.01+0.02+0</f>
        <v>0.03</v>
      </c>
      <c r="N25" s="368" t="str">
        <f t="shared" si="2"/>
        <v>input error</v>
      </c>
      <c r="O25" s="358" t="str">
        <f t="shared" ref="O25:O33" si="17">IFERROR(IF(I25&lt;&gt;"",K25/(I25*W25*AA25),""),"input error")</f>
        <v>input error</v>
      </c>
      <c r="P25" s="369">
        <f t="shared" ref="P25:P33" si="18">IFERROR(IF(M25&lt;&gt;"",M25/(L25+M25),""),"input error")</f>
        <v>5.4784514243973702E-3</v>
      </c>
      <c r="Q25" s="493" t="s">
        <v>223</v>
      </c>
      <c r="R25" s="496">
        <v>7.5</v>
      </c>
      <c r="S25" s="651">
        <v>3</v>
      </c>
      <c r="T25" s="651">
        <v>7.5</v>
      </c>
      <c r="U25" s="651">
        <v>0</v>
      </c>
      <c r="V25" s="652">
        <f>IFERROR(IF(S25&gt;0,S25*T25-U25,""),"input error")</f>
        <v>22.5</v>
      </c>
      <c r="W25" s="380" t="e">
        <f>#REF!</f>
        <v>#REF!</v>
      </c>
      <c r="X25" s="378" t="str">
        <f t="shared" si="12"/>
        <v>input error</v>
      </c>
      <c r="Y25" s="360" t="str">
        <f t="shared" si="13"/>
        <v>input error</v>
      </c>
      <c r="Z25" s="653">
        <f>SUM(Y25:Y33)</f>
        <v>0</v>
      </c>
      <c r="AA25" s="361" t="str">
        <f>IFERROR(IF(Y25&lt;&gt;"",$V$25*Y25/$Z$25,""),"input error")</f>
        <v>input error</v>
      </c>
      <c r="AB25" s="501"/>
    </row>
    <row r="26" spans="1:28" ht="21" hidden="1" customHeight="1">
      <c r="A26" s="357">
        <v>45355</v>
      </c>
      <c r="B26" s="374" t="s">
        <v>212</v>
      </c>
      <c r="C26" s="375" t="s">
        <v>209</v>
      </c>
      <c r="D26" s="374" t="s">
        <v>213</v>
      </c>
      <c r="E26" s="374">
        <v>2.91</v>
      </c>
      <c r="F26" s="501" t="s">
        <v>214</v>
      </c>
      <c r="G26" s="374">
        <v>6</v>
      </c>
      <c r="H26" s="360" t="str">
        <f t="shared" si="15"/>
        <v>input error</v>
      </c>
      <c r="I26" s="376">
        <v>9</v>
      </c>
      <c r="J26" s="379" t="s">
        <v>32</v>
      </c>
      <c r="K26" s="500">
        <f>6344+5297+5957</f>
        <v>17598</v>
      </c>
      <c r="L26" s="377">
        <f t="shared" si="16"/>
        <v>8.7989999999999995</v>
      </c>
      <c r="M26" s="501">
        <f>0.01+0.01+0</f>
        <v>0.02</v>
      </c>
      <c r="N26" s="368" t="str">
        <f t="shared" si="2"/>
        <v>input error</v>
      </c>
      <c r="O26" s="358" t="str">
        <f t="shared" si="17"/>
        <v>input error</v>
      </c>
      <c r="P26" s="369">
        <f t="shared" si="18"/>
        <v>2.2678308198208416E-3</v>
      </c>
      <c r="Q26" s="493" t="s">
        <v>223</v>
      </c>
      <c r="R26" s="496">
        <v>7.5</v>
      </c>
      <c r="S26" s="651"/>
      <c r="T26" s="651"/>
      <c r="U26" s="651"/>
      <c r="V26" s="652"/>
      <c r="W26" s="380" t="e">
        <f>#REF!</f>
        <v>#REF!</v>
      </c>
      <c r="X26" s="378" t="str">
        <f t="shared" si="12"/>
        <v>input error</v>
      </c>
      <c r="Y26" s="360" t="str">
        <f t="shared" si="13"/>
        <v>input error</v>
      </c>
      <c r="Z26" s="654"/>
      <c r="AA26" s="361" t="str">
        <f t="shared" ref="AA26:AA33" si="19">IFERROR(IF(Y26&lt;&gt;"",$V$25*Y26/$Z$25,""),"input error")</f>
        <v>input error</v>
      </c>
      <c r="AB26" s="501"/>
    </row>
    <row r="27" spans="1:28" ht="21" hidden="1" customHeight="1">
      <c r="A27" s="357">
        <v>45355</v>
      </c>
      <c r="B27" s="374" t="s">
        <v>215</v>
      </c>
      <c r="C27" s="375" t="s">
        <v>209</v>
      </c>
      <c r="D27" s="374" t="s">
        <v>213</v>
      </c>
      <c r="E27" s="374">
        <v>2.91</v>
      </c>
      <c r="F27" s="501" t="s">
        <v>214</v>
      </c>
      <c r="G27" s="374">
        <v>6</v>
      </c>
      <c r="H27" s="360" t="str">
        <f t="shared" si="15"/>
        <v>input error</v>
      </c>
      <c r="I27" s="376">
        <v>9</v>
      </c>
      <c r="J27" s="379" t="s">
        <v>32</v>
      </c>
      <c r="K27" s="500">
        <f>5202+6066+6426</f>
        <v>17694</v>
      </c>
      <c r="L27" s="377">
        <f t="shared" si="16"/>
        <v>8.8469999999999995</v>
      </c>
      <c r="M27" s="501">
        <f>0.01+0.02+0</f>
        <v>0.03</v>
      </c>
      <c r="N27" s="368" t="str">
        <f t="shared" si="2"/>
        <v>input error</v>
      </c>
      <c r="O27" s="358" t="str">
        <f t="shared" si="17"/>
        <v>input error</v>
      </c>
      <c r="P27" s="369">
        <f t="shared" si="18"/>
        <v>3.3795201081446439E-3</v>
      </c>
      <c r="Q27" s="493" t="s">
        <v>223</v>
      </c>
      <c r="R27" s="496">
        <v>7.5</v>
      </c>
      <c r="S27" s="651"/>
      <c r="T27" s="651"/>
      <c r="U27" s="651"/>
      <c r="V27" s="652"/>
      <c r="W27" s="380" t="e">
        <f>#REF!</f>
        <v>#REF!</v>
      </c>
      <c r="X27" s="378" t="str">
        <f t="shared" si="12"/>
        <v>input error</v>
      </c>
      <c r="Y27" s="360" t="str">
        <f t="shared" si="13"/>
        <v>input error</v>
      </c>
      <c r="Z27" s="654"/>
      <c r="AA27" s="361" t="str">
        <f t="shared" si="19"/>
        <v>input error</v>
      </c>
      <c r="AB27" s="501"/>
    </row>
    <row r="28" spans="1:28" ht="21" hidden="1" customHeight="1">
      <c r="A28" s="357">
        <v>45355</v>
      </c>
      <c r="B28" s="374" t="s">
        <v>224</v>
      </c>
      <c r="C28" s="375" t="s">
        <v>209</v>
      </c>
      <c r="D28" s="374" t="s">
        <v>225</v>
      </c>
      <c r="E28" s="501">
        <v>12.6</v>
      </c>
      <c r="F28" s="501" t="s">
        <v>226</v>
      </c>
      <c r="G28" s="374">
        <v>6</v>
      </c>
      <c r="H28" s="360" t="str">
        <f t="shared" si="15"/>
        <v>input error</v>
      </c>
      <c r="I28" s="376">
        <v>9</v>
      </c>
      <c r="J28" s="500" t="s">
        <v>50</v>
      </c>
      <c r="K28" s="501">
        <f>10831+4065</f>
        <v>14896</v>
      </c>
      <c r="L28" s="377">
        <f>(2.01*K28)/1000</f>
        <v>29.940959999999997</v>
      </c>
      <c r="M28" s="501">
        <f>0.01+0</f>
        <v>0.01</v>
      </c>
      <c r="N28" s="368" t="str">
        <f t="shared" si="2"/>
        <v>input error</v>
      </c>
      <c r="O28" s="358" t="str">
        <f t="shared" si="17"/>
        <v>input error</v>
      </c>
      <c r="P28" s="369">
        <f t="shared" si="18"/>
        <v>3.338791143923267E-4</v>
      </c>
      <c r="Q28" s="493" t="s">
        <v>223</v>
      </c>
      <c r="R28" s="496">
        <v>7.5</v>
      </c>
      <c r="S28" s="651"/>
      <c r="T28" s="651"/>
      <c r="U28" s="651"/>
      <c r="V28" s="652"/>
      <c r="W28" s="380" t="e">
        <f>#REF!</f>
        <v>#REF!</v>
      </c>
      <c r="X28" s="378" t="str">
        <f t="shared" si="12"/>
        <v>input error</v>
      </c>
      <c r="Y28" s="360" t="str">
        <f t="shared" si="13"/>
        <v>input error</v>
      </c>
      <c r="Z28" s="654"/>
      <c r="AA28" s="361" t="str">
        <f t="shared" si="19"/>
        <v>input error</v>
      </c>
      <c r="AB28" s="501"/>
    </row>
    <row r="29" spans="1:28" ht="21" hidden="1" customHeight="1">
      <c r="A29" s="357">
        <v>45355</v>
      </c>
      <c r="B29" s="374" t="s">
        <v>219</v>
      </c>
      <c r="C29" s="375" t="s">
        <v>209</v>
      </c>
      <c r="D29" s="374" t="s">
        <v>12</v>
      </c>
      <c r="E29" s="374">
        <v>8.4600000000000009</v>
      </c>
      <c r="F29" s="501" t="s">
        <v>446</v>
      </c>
      <c r="G29" s="374">
        <v>6</v>
      </c>
      <c r="H29" s="360" t="str">
        <f t="shared" si="15"/>
        <v>input error</v>
      </c>
      <c r="I29" s="376">
        <v>9</v>
      </c>
      <c r="J29" s="379" t="s">
        <v>10</v>
      </c>
      <c r="K29" s="500">
        <f>4259+4713+7379</f>
        <v>16351</v>
      </c>
      <c r="L29" s="377">
        <f>(1.596*K29)/1000</f>
        <v>26.096195999999999</v>
      </c>
      <c r="M29" s="501">
        <f>0+0.02+0</f>
        <v>0.02</v>
      </c>
      <c r="N29" s="368" t="str">
        <f t="shared" si="2"/>
        <v>input error</v>
      </c>
      <c r="O29" s="358" t="str">
        <f t="shared" si="17"/>
        <v>input error</v>
      </c>
      <c r="P29" s="369">
        <f t="shared" si="18"/>
        <v>7.6580831297176665E-4</v>
      </c>
      <c r="Q29" s="493" t="s">
        <v>223</v>
      </c>
      <c r="R29" s="496">
        <v>7.5</v>
      </c>
      <c r="S29" s="651"/>
      <c r="T29" s="651"/>
      <c r="U29" s="651"/>
      <c r="V29" s="652"/>
      <c r="W29" s="380" t="e">
        <f>#REF!</f>
        <v>#REF!</v>
      </c>
      <c r="X29" s="378" t="str">
        <f t="shared" si="12"/>
        <v>input error</v>
      </c>
      <c r="Y29" s="360" t="str">
        <f t="shared" si="13"/>
        <v>input error</v>
      </c>
      <c r="Z29" s="654"/>
      <c r="AA29" s="361" t="str">
        <f t="shared" si="19"/>
        <v>input error</v>
      </c>
      <c r="AB29" s="501"/>
    </row>
    <row r="30" spans="1:28" ht="21" hidden="1" customHeight="1">
      <c r="A30" s="357">
        <v>45355</v>
      </c>
      <c r="B30" s="374" t="s">
        <v>227</v>
      </c>
      <c r="C30" s="375" t="s">
        <v>209</v>
      </c>
      <c r="D30" s="374" t="s">
        <v>228</v>
      </c>
      <c r="E30" s="374">
        <v>36.1</v>
      </c>
      <c r="F30" s="501" t="s">
        <v>229</v>
      </c>
      <c r="G30" s="374">
        <v>6</v>
      </c>
      <c r="H30" s="360" t="str">
        <f t="shared" si="15"/>
        <v>input error</v>
      </c>
      <c r="I30" s="376">
        <v>9</v>
      </c>
      <c r="J30" s="387" t="s">
        <v>61</v>
      </c>
      <c r="K30" s="500">
        <f>7849+3650+15067</f>
        <v>26566</v>
      </c>
      <c r="L30" s="377">
        <f>(11.45*K30)/1000</f>
        <v>304.18069999999994</v>
      </c>
      <c r="M30" s="501">
        <f>0.03+0.01+0.07</f>
        <v>0.11000000000000001</v>
      </c>
      <c r="N30" s="368" t="str">
        <f t="shared" si="2"/>
        <v>input error</v>
      </c>
      <c r="O30" s="358" t="str">
        <f t="shared" si="17"/>
        <v>input error</v>
      </c>
      <c r="P30" s="369">
        <f t="shared" si="18"/>
        <v>3.6149642430741402E-4</v>
      </c>
      <c r="Q30" s="493" t="s">
        <v>223</v>
      </c>
      <c r="R30" s="496">
        <v>7.5</v>
      </c>
      <c r="S30" s="651"/>
      <c r="T30" s="651"/>
      <c r="U30" s="651"/>
      <c r="V30" s="652"/>
      <c r="W30" s="380" t="e">
        <f>#REF!</f>
        <v>#REF!</v>
      </c>
      <c r="X30" s="378" t="str">
        <f t="shared" si="12"/>
        <v>input error</v>
      </c>
      <c r="Y30" s="360" t="str">
        <f t="shared" si="13"/>
        <v>input error</v>
      </c>
      <c r="Z30" s="654"/>
      <c r="AA30" s="361" t="str">
        <f t="shared" si="19"/>
        <v>input error</v>
      </c>
      <c r="AB30" s="501"/>
    </row>
    <row r="31" spans="1:28" ht="21" hidden="1" customHeight="1">
      <c r="A31" s="357">
        <v>45355</v>
      </c>
      <c r="B31" s="374" t="s">
        <v>220</v>
      </c>
      <c r="C31" s="375" t="s">
        <v>209</v>
      </c>
      <c r="D31" s="374" t="s">
        <v>33</v>
      </c>
      <c r="E31" s="374">
        <v>20.72</v>
      </c>
      <c r="F31" s="501" t="s">
        <v>214</v>
      </c>
      <c r="G31" s="374">
        <v>6</v>
      </c>
      <c r="H31" s="360" t="str">
        <f t="shared" si="15"/>
        <v>input error</v>
      </c>
      <c r="I31" s="376">
        <v>9</v>
      </c>
      <c r="J31" s="379" t="s">
        <v>32</v>
      </c>
      <c r="K31" s="500">
        <f>11940+13807+21767</f>
        <v>47514</v>
      </c>
      <c r="L31" s="377">
        <f>(3.194*K31)/1000</f>
        <v>151.759716</v>
      </c>
      <c r="M31" s="501">
        <f>0.03+0.04+0.01</f>
        <v>0.08</v>
      </c>
      <c r="N31" s="368" t="str">
        <f t="shared" si="2"/>
        <v>input error</v>
      </c>
      <c r="O31" s="358" t="str">
        <f t="shared" si="17"/>
        <v>input error</v>
      </c>
      <c r="P31" s="369">
        <f t="shared" si="18"/>
        <v>5.2687137533897913E-4</v>
      </c>
      <c r="Q31" s="493" t="s">
        <v>223</v>
      </c>
      <c r="R31" s="496">
        <v>7.5</v>
      </c>
      <c r="S31" s="651"/>
      <c r="T31" s="651"/>
      <c r="U31" s="651"/>
      <c r="V31" s="652"/>
      <c r="W31" s="380" t="e">
        <f>#REF!</f>
        <v>#REF!</v>
      </c>
      <c r="X31" s="378" t="str">
        <f t="shared" si="12"/>
        <v>input error</v>
      </c>
      <c r="Y31" s="360" t="str">
        <f t="shared" si="13"/>
        <v>input error</v>
      </c>
      <c r="Z31" s="654"/>
      <c r="AA31" s="361" t="str">
        <f t="shared" si="19"/>
        <v>input error</v>
      </c>
      <c r="AB31" s="501"/>
    </row>
    <row r="32" spans="1:28" ht="21" hidden="1" customHeight="1">
      <c r="A32" s="357">
        <v>45355</v>
      </c>
      <c r="B32" s="374" t="s">
        <v>221</v>
      </c>
      <c r="C32" s="375" t="s">
        <v>209</v>
      </c>
      <c r="D32" s="374" t="s">
        <v>12</v>
      </c>
      <c r="E32" s="374">
        <v>9.26</v>
      </c>
      <c r="F32" s="501" t="s">
        <v>446</v>
      </c>
      <c r="G32" s="374">
        <v>6</v>
      </c>
      <c r="H32" s="360" t="str">
        <f t="shared" si="15"/>
        <v>input error</v>
      </c>
      <c r="I32" s="376">
        <v>9</v>
      </c>
      <c r="J32" s="382" t="s">
        <v>10</v>
      </c>
      <c r="K32" s="500">
        <f>7115+9549+11055</f>
        <v>27719</v>
      </c>
      <c r="L32" s="377">
        <f>(1.596*K32)/1000</f>
        <v>44.239524000000003</v>
      </c>
      <c r="M32" s="501">
        <f>0.03+0.02+0</f>
        <v>0.05</v>
      </c>
      <c r="N32" s="368" t="str">
        <f t="shared" si="2"/>
        <v>input error</v>
      </c>
      <c r="O32" s="358" t="str">
        <f t="shared" si="17"/>
        <v>input error</v>
      </c>
      <c r="P32" s="369">
        <f t="shared" si="18"/>
        <v>1.1289351405086223E-3</v>
      </c>
      <c r="Q32" s="493" t="s">
        <v>223</v>
      </c>
      <c r="R32" s="496">
        <v>7.5</v>
      </c>
      <c r="S32" s="651"/>
      <c r="T32" s="651"/>
      <c r="U32" s="651"/>
      <c r="V32" s="652"/>
      <c r="W32" s="380" t="e">
        <f>#REF!</f>
        <v>#REF!</v>
      </c>
      <c r="X32" s="378" t="str">
        <f t="shared" si="12"/>
        <v>input error</v>
      </c>
      <c r="Y32" s="360" t="str">
        <f t="shared" si="13"/>
        <v>input error</v>
      </c>
      <c r="Z32" s="654"/>
      <c r="AA32" s="361" t="str">
        <f t="shared" si="19"/>
        <v>input error</v>
      </c>
      <c r="AB32" s="501"/>
    </row>
    <row r="33" spans="1:28" ht="21" hidden="1" customHeight="1">
      <c r="A33" s="357">
        <v>45355</v>
      </c>
      <c r="B33" s="374" t="s">
        <v>222</v>
      </c>
      <c r="C33" s="375" t="s">
        <v>209</v>
      </c>
      <c r="D33" s="374" t="s">
        <v>12</v>
      </c>
      <c r="E33" s="374">
        <v>9.5</v>
      </c>
      <c r="F33" s="501" t="s">
        <v>446</v>
      </c>
      <c r="G33" s="374">
        <v>6</v>
      </c>
      <c r="H33" s="360" t="str">
        <f t="shared" si="15"/>
        <v>input error</v>
      </c>
      <c r="I33" s="376">
        <v>9</v>
      </c>
      <c r="J33" s="379" t="s">
        <v>10</v>
      </c>
      <c r="K33" s="500">
        <f>9883+8318+9933</f>
        <v>28134</v>
      </c>
      <c r="L33" s="377">
        <f>(1.596*K33)/1000</f>
        <v>44.901864000000003</v>
      </c>
      <c r="M33" s="501">
        <f>0.02+0.03+0</f>
        <v>0.05</v>
      </c>
      <c r="N33" s="368" t="str">
        <f t="shared" si="2"/>
        <v>input error</v>
      </c>
      <c r="O33" s="358" t="str">
        <f t="shared" si="17"/>
        <v>input error</v>
      </c>
      <c r="P33" s="369">
        <f t="shared" si="18"/>
        <v>1.1123009270538815E-3</v>
      </c>
      <c r="Q33" s="493" t="s">
        <v>223</v>
      </c>
      <c r="R33" s="496">
        <v>7.5</v>
      </c>
      <c r="S33" s="651"/>
      <c r="T33" s="651"/>
      <c r="U33" s="651"/>
      <c r="V33" s="652"/>
      <c r="W33" s="380" t="e">
        <f>#REF!</f>
        <v>#REF!</v>
      </c>
      <c r="X33" s="378" t="str">
        <f t="shared" si="12"/>
        <v>input error</v>
      </c>
      <c r="Y33" s="360" t="str">
        <f t="shared" si="13"/>
        <v>input error</v>
      </c>
      <c r="Z33" s="655"/>
      <c r="AA33" s="361" t="str">
        <f t="shared" si="19"/>
        <v>input error</v>
      </c>
      <c r="AB33" s="501"/>
    </row>
    <row r="34" spans="1:28" ht="21" hidden="1" customHeight="1">
      <c r="A34" s="357"/>
      <c r="B34" s="374"/>
      <c r="C34" s="375"/>
      <c r="D34" s="374"/>
      <c r="E34" s="374"/>
      <c r="F34" s="501"/>
      <c r="G34" s="374"/>
      <c r="H34" s="360"/>
      <c r="I34" s="376"/>
      <c r="J34" s="379"/>
      <c r="K34" s="500"/>
      <c r="L34" s="377"/>
      <c r="M34" s="501"/>
      <c r="N34" s="383" t="str">
        <f t="shared" si="2"/>
        <v/>
      </c>
      <c r="O34" s="358"/>
      <c r="P34" s="369"/>
      <c r="Q34" s="493"/>
      <c r="R34" s="496"/>
      <c r="S34" s="493"/>
      <c r="T34" s="493"/>
      <c r="U34" s="493"/>
      <c r="V34" s="496"/>
      <c r="W34" s="380"/>
      <c r="X34" s="378"/>
      <c r="Y34" s="360"/>
      <c r="Z34" s="502"/>
      <c r="AA34" s="361"/>
      <c r="AB34" s="501"/>
    </row>
    <row r="35" spans="1:28" ht="21" hidden="1" customHeight="1">
      <c r="A35" s="357">
        <v>45356</v>
      </c>
      <c r="B35" s="374" t="s">
        <v>208</v>
      </c>
      <c r="C35" s="375" t="s">
        <v>209</v>
      </c>
      <c r="D35" s="374" t="s">
        <v>210</v>
      </c>
      <c r="E35" s="374">
        <v>2.95</v>
      </c>
      <c r="F35" s="501" t="s">
        <v>446</v>
      </c>
      <c r="G35" s="374">
        <v>6</v>
      </c>
      <c r="H35" s="360" t="str">
        <f t="shared" ref="H35:H43" si="20">IFERROR(IF(AA35&lt;&gt;"",W35*G35*AA35,""),"input error")</f>
        <v>input error</v>
      </c>
      <c r="I35" s="376">
        <v>9</v>
      </c>
      <c r="J35" s="374" t="s">
        <v>10</v>
      </c>
      <c r="K35" s="500">
        <f>3085+2467+4361</f>
        <v>9913</v>
      </c>
      <c r="L35" s="377">
        <f t="shared" ref="L35:L37" si="21">(K35*0.5)/1000</f>
        <v>4.9565000000000001</v>
      </c>
      <c r="M35" s="501">
        <f>0+0.01+0</f>
        <v>0.01</v>
      </c>
      <c r="N35" s="368" t="str">
        <f t="shared" si="2"/>
        <v>input error</v>
      </c>
      <c r="O35" s="358" t="str">
        <f t="shared" ref="O35:O43" si="22">IFERROR(IF(I35&lt;&gt;"",K35/(I35*W35*AA35),""),"input error")</f>
        <v>input error</v>
      </c>
      <c r="P35" s="369">
        <f t="shared" ref="P35:P43" si="23">IFERROR(IF(M35&lt;&gt;"",M35/(L35+M35),""),"input error")</f>
        <v>2.0134903855834091E-3</v>
      </c>
      <c r="Q35" s="493" t="s">
        <v>230</v>
      </c>
      <c r="R35" s="496">
        <v>7.5</v>
      </c>
      <c r="S35" s="651">
        <v>3</v>
      </c>
      <c r="T35" s="651">
        <v>7.5</v>
      </c>
      <c r="U35" s="651">
        <v>0</v>
      </c>
      <c r="V35" s="652">
        <f>IFERROR(IF(S35&gt;0,S35*T35-U35,""),"input error")</f>
        <v>22.5</v>
      </c>
      <c r="W35" s="380" t="e">
        <f>#REF!</f>
        <v>#REF!</v>
      </c>
      <c r="X35" s="378" t="str">
        <f t="shared" ref="X35:X43" si="24">IFERROR(IF(W35&lt;&gt;"",1/W35,""),"input error")</f>
        <v>input error</v>
      </c>
      <c r="Y35" s="360" t="str">
        <f t="shared" ref="Y35:Y43" si="25">IFERROR(IF(X35&lt;&gt;"",K35*X35,""),"input error")</f>
        <v>input error</v>
      </c>
      <c r="Z35" s="653">
        <f>SUM(Y35:Y43)</f>
        <v>0</v>
      </c>
      <c r="AA35" s="361" t="str">
        <f>IFERROR(IF(Y35&lt;&gt;"",$V$35*Y35/$Z$35,""),"input error")</f>
        <v>input error</v>
      </c>
      <c r="AB35" s="501"/>
    </row>
    <row r="36" spans="1:28" ht="21" hidden="1" customHeight="1">
      <c r="A36" s="357">
        <v>45356</v>
      </c>
      <c r="B36" s="374" t="s">
        <v>212</v>
      </c>
      <c r="C36" s="375" t="s">
        <v>209</v>
      </c>
      <c r="D36" s="374" t="s">
        <v>213</v>
      </c>
      <c r="E36" s="374">
        <v>2.91</v>
      </c>
      <c r="F36" s="501" t="s">
        <v>214</v>
      </c>
      <c r="G36" s="374">
        <v>6</v>
      </c>
      <c r="H36" s="360" t="str">
        <f t="shared" si="20"/>
        <v>input error</v>
      </c>
      <c r="I36" s="376">
        <v>9</v>
      </c>
      <c r="J36" s="379" t="s">
        <v>32</v>
      </c>
      <c r="K36" s="500">
        <f>5850+6047+5988</f>
        <v>17885</v>
      </c>
      <c r="L36" s="377">
        <f t="shared" si="21"/>
        <v>8.9425000000000008</v>
      </c>
      <c r="M36" s="501">
        <f>0+0.02+0.01</f>
        <v>0.03</v>
      </c>
      <c r="N36" s="368" t="str">
        <f t="shared" si="2"/>
        <v>input error</v>
      </c>
      <c r="O36" s="358" t="str">
        <f t="shared" si="22"/>
        <v>input error</v>
      </c>
      <c r="P36" s="369">
        <f t="shared" si="23"/>
        <v>3.3435497353023124E-3</v>
      </c>
      <c r="Q36" s="493" t="s">
        <v>231</v>
      </c>
      <c r="R36" s="496">
        <v>7.5</v>
      </c>
      <c r="S36" s="651"/>
      <c r="T36" s="651"/>
      <c r="U36" s="651"/>
      <c r="V36" s="652"/>
      <c r="W36" s="380" t="e">
        <f>#REF!</f>
        <v>#REF!</v>
      </c>
      <c r="X36" s="378" t="str">
        <f t="shared" si="24"/>
        <v>input error</v>
      </c>
      <c r="Y36" s="360" t="str">
        <f t="shared" si="25"/>
        <v>input error</v>
      </c>
      <c r="Z36" s="654"/>
      <c r="AA36" s="361" t="str">
        <f t="shared" ref="AA36:AA43" si="26">IFERROR(IF(Y36&lt;&gt;"",$V$35*Y36/$Z$35,""),"input error")</f>
        <v>input error</v>
      </c>
      <c r="AB36" s="501"/>
    </row>
    <row r="37" spans="1:28" ht="21" hidden="1" customHeight="1">
      <c r="A37" s="357">
        <v>45356</v>
      </c>
      <c r="B37" s="374" t="s">
        <v>215</v>
      </c>
      <c r="C37" s="375" t="s">
        <v>209</v>
      </c>
      <c r="D37" s="374" t="s">
        <v>213</v>
      </c>
      <c r="E37" s="374">
        <v>2.91</v>
      </c>
      <c r="F37" s="501" t="s">
        <v>214</v>
      </c>
      <c r="G37" s="374">
        <v>6</v>
      </c>
      <c r="H37" s="360" t="str">
        <f t="shared" si="20"/>
        <v>input error</v>
      </c>
      <c r="I37" s="376">
        <v>9</v>
      </c>
      <c r="J37" s="379" t="s">
        <v>32</v>
      </c>
      <c r="K37" s="500">
        <f>6298+6020+6547</f>
        <v>18865</v>
      </c>
      <c r="L37" s="377">
        <f t="shared" si="21"/>
        <v>9.4324999999999992</v>
      </c>
      <c r="M37" s="501">
        <f>0+0.01+0</f>
        <v>0.01</v>
      </c>
      <c r="N37" s="368" t="str">
        <f t="shared" si="2"/>
        <v>input error</v>
      </c>
      <c r="O37" s="358" t="str">
        <f t="shared" si="22"/>
        <v>input error</v>
      </c>
      <c r="P37" s="369">
        <f t="shared" si="23"/>
        <v>1.05904156738152E-3</v>
      </c>
      <c r="Q37" s="493" t="s">
        <v>232</v>
      </c>
      <c r="R37" s="496">
        <v>7.5</v>
      </c>
      <c r="S37" s="651"/>
      <c r="T37" s="651"/>
      <c r="U37" s="651"/>
      <c r="V37" s="652"/>
      <c r="W37" s="380" t="e">
        <f>#REF!</f>
        <v>#REF!</v>
      </c>
      <c r="X37" s="378" t="str">
        <f t="shared" si="24"/>
        <v>input error</v>
      </c>
      <c r="Y37" s="360" t="str">
        <f t="shared" si="25"/>
        <v>input error</v>
      </c>
      <c r="Z37" s="654"/>
      <c r="AA37" s="361" t="str">
        <f t="shared" si="26"/>
        <v>input error</v>
      </c>
      <c r="AB37" s="501"/>
    </row>
    <row r="38" spans="1:28" ht="21" hidden="1" customHeight="1">
      <c r="A38" s="357">
        <v>45356</v>
      </c>
      <c r="B38" s="374" t="s">
        <v>224</v>
      </c>
      <c r="C38" s="375" t="s">
        <v>209</v>
      </c>
      <c r="D38" s="374" t="s">
        <v>225</v>
      </c>
      <c r="E38" s="501">
        <v>12.6</v>
      </c>
      <c r="F38" s="501" t="s">
        <v>226</v>
      </c>
      <c r="G38" s="374">
        <v>6</v>
      </c>
      <c r="H38" s="360" t="str">
        <f t="shared" si="20"/>
        <v>input error</v>
      </c>
      <c r="I38" s="376">
        <v>9</v>
      </c>
      <c r="J38" s="500" t="s">
        <v>50</v>
      </c>
      <c r="K38" s="500">
        <f>10235+10217+3061</f>
        <v>23513</v>
      </c>
      <c r="L38" s="377">
        <f>(2.01*K38)/1000</f>
        <v>47.261129999999994</v>
      </c>
      <c r="M38" s="501">
        <f>0+0.03+0.03</f>
        <v>0.06</v>
      </c>
      <c r="N38" s="368" t="str">
        <f t="shared" si="2"/>
        <v>input error</v>
      </c>
      <c r="O38" s="358" t="str">
        <f t="shared" si="22"/>
        <v>input error</v>
      </c>
      <c r="P38" s="369">
        <f t="shared" si="23"/>
        <v>1.2679325282384424E-3</v>
      </c>
      <c r="Q38" s="493" t="s">
        <v>233</v>
      </c>
      <c r="R38" s="496">
        <v>7.5</v>
      </c>
      <c r="S38" s="651"/>
      <c r="T38" s="651"/>
      <c r="U38" s="651"/>
      <c r="V38" s="652"/>
      <c r="W38" s="380" t="e">
        <f>#REF!</f>
        <v>#REF!</v>
      </c>
      <c r="X38" s="378" t="str">
        <f t="shared" si="24"/>
        <v>input error</v>
      </c>
      <c r="Y38" s="360" t="str">
        <f t="shared" si="25"/>
        <v>input error</v>
      </c>
      <c r="Z38" s="654"/>
      <c r="AA38" s="361" t="str">
        <f t="shared" si="26"/>
        <v>input error</v>
      </c>
      <c r="AB38" s="501"/>
    </row>
    <row r="39" spans="1:28" ht="21" hidden="1" customHeight="1">
      <c r="A39" s="357">
        <v>45356</v>
      </c>
      <c r="B39" s="374" t="s">
        <v>219</v>
      </c>
      <c r="C39" s="375" t="s">
        <v>209</v>
      </c>
      <c r="D39" s="374" t="s">
        <v>12</v>
      </c>
      <c r="E39" s="374">
        <v>8.4600000000000009</v>
      </c>
      <c r="F39" s="501" t="s">
        <v>446</v>
      </c>
      <c r="G39" s="374">
        <v>6</v>
      </c>
      <c r="H39" s="360" t="str">
        <f t="shared" si="20"/>
        <v>input error</v>
      </c>
      <c r="I39" s="376">
        <v>9</v>
      </c>
      <c r="J39" s="379" t="s">
        <v>10</v>
      </c>
      <c r="K39" s="500">
        <f>7989+7371+7475</f>
        <v>22835</v>
      </c>
      <c r="L39" s="377">
        <f>(1.596*K39)/1000</f>
        <v>36.444660000000006</v>
      </c>
      <c r="M39" s="501">
        <f>0.01+0.02+0.01</f>
        <v>0.04</v>
      </c>
      <c r="N39" s="368" t="str">
        <f t="shared" si="2"/>
        <v>input error</v>
      </c>
      <c r="O39" s="358" t="str">
        <f t="shared" si="22"/>
        <v>input error</v>
      </c>
      <c r="P39" s="369">
        <f t="shared" si="23"/>
        <v>1.0963511788241961E-3</v>
      </c>
      <c r="Q39" s="493" t="s">
        <v>234</v>
      </c>
      <c r="R39" s="496">
        <v>7.5</v>
      </c>
      <c r="S39" s="651"/>
      <c r="T39" s="651"/>
      <c r="U39" s="651"/>
      <c r="V39" s="652"/>
      <c r="W39" s="380" t="e">
        <f>#REF!</f>
        <v>#REF!</v>
      </c>
      <c r="X39" s="378" t="str">
        <f t="shared" si="24"/>
        <v>input error</v>
      </c>
      <c r="Y39" s="360" t="str">
        <f t="shared" si="25"/>
        <v>input error</v>
      </c>
      <c r="Z39" s="654"/>
      <c r="AA39" s="361" t="str">
        <f t="shared" si="26"/>
        <v>input error</v>
      </c>
      <c r="AB39" s="501"/>
    </row>
    <row r="40" spans="1:28" ht="21" hidden="1" customHeight="1">
      <c r="A40" s="357">
        <v>45356</v>
      </c>
      <c r="B40" s="374" t="s">
        <v>227</v>
      </c>
      <c r="C40" s="375" t="s">
        <v>209</v>
      </c>
      <c r="D40" s="374" t="s">
        <v>228</v>
      </c>
      <c r="E40" s="374">
        <v>36.1</v>
      </c>
      <c r="F40" s="501" t="s">
        <v>229</v>
      </c>
      <c r="G40" s="374">
        <v>6</v>
      </c>
      <c r="H40" s="360" t="str">
        <f t="shared" si="20"/>
        <v>input error</v>
      </c>
      <c r="I40" s="376">
        <v>9</v>
      </c>
      <c r="J40" s="387" t="s">
        <v>61</v>
      </c>
      <c r="K40" s="500">
        <f>6454+2942</f>
        <v>9396</v>
      </c>
      <c r="L40" s="377">
        <f>(11.45*K40)/1000</f>
        <v>107.5842</v>
      </c>
      <c r="M40" s="501">
        <f>0+0.02</f>
        <v>0.02</v>
      </c>
      <c r="N40" s="368" t="str">
        <f t="shared" si="2"/>
        <v>input error</v>
      </c>
      <c r="O40" s="358" t="str">
        <f t="shared" si="22"/>
        <v>input error</v>
      </c>
      <c r="P40" s="369">
        <f t="shared" si="23"/>
        <v>1.8586635094169188E-4</v>
      </c>
      <c r="Q40" s="493" t="s">
        <v>235</v>
      </c>
      <c r="R40" s="496">
        <v>7.5</v>
      </c>
      <c r="S40" s="651"/>
      <c r="T40" s="651"/>
      <c r="U40" s="651"/>
      <c r="V40" s="652"/>
      <c r="W40" s="380" t="e">
        <f>#REF!</f>
        <v>#REF!</v>
      </c>
      <c r="X40" s="378" t="str">
        <f t="shared" si="24"/>
        <v>input error</v>
      </c>
      <c r="Y40" s="360" t="str">
        <f t="shared" si="25"/>
        <v>input error</v>
      </c>
      <c r="Z40" s="654"/>
      <c r="AA40" s="361" t="str">
        <f t="shared" si="26"/>
        <v>input error</v>
      </c>
      <c r="AB40" s="501"/>
    </row>
    <row r="41" spans="1:28" ht="21" hidden="1" customHeight="1">
      <c r="A41" s="357">
        <v>45356</v>
      </c>
      <c r="B41" s="374" t="s">
        <v>220</v>
      </c>
      <c r="C41" s="375" t="s">
        <v>209</v>
      </c>
      <c r="D41" s="374" t="s">
        <v>33</v>
      </c>
      <c r="E41" s="374">
        <v>20.72</v>
      </c>
      <c r="F41" s="501" t="s">
        <v>214</v>
      </c>
      <c r="G41" s="374">
        <v>6</v>
      </c>
      <c r="H41" s="360" t="str">
        <f t="shared" si="20"/>
        <v>input error</v>
      </c>
      <c r="I41" s="376">
        <v>9</v>
      </c>
      <c r="J41" s="379" t="s">
        <v>32</v>
      </c>
      <c r="K41" s="500">
        <f>16065+11653+14716</f>
        <v>42434</v>
      </c>
      <c r="L41" s="377">
        <f>(3.194*K41)/1000</f>
        <v>135.53419600000001</v>
      </c>
      <c r="M41" s="501">
        <f>0.02+0.04+0.03</f>
        <v>0.09</v>
      </c>
      <c r="N41" s="368" t="str">
        <f t="shared" si="2"/>
        <v>input error</v>
      </c>
      <c r="O41" s="358" t="str">
        <f t="shared" si="22"/>
        <v>input error</v>
      </c>
      <c r="P41" s="369">
        <f t="shared" si="23"/>
        <v>6.6359840393081474E-4</v>
      </c>
      <c r="Q41" s="493" t="s">
        <v>211</v>
      </c>
      <c r="R41" s="496">
        <v>7.5</v>
      </c>
      <c r="S41" s="651"/>
      <c r="T41" s="651"/>
      <c r="U41" s="651"/>
      <c r="V41" s="652"/>
      <c r="W41" s="380" t="e">
        <f>#REF!</f>
        <v>#REF!</v>
      </c>
      <c r="X41" s="378" t="str">
        <f t="shared" si="24"/>
        <v>input error</v>
      </c>
      <c r="Y41" s="360" t="str">
        <f t="shared" si="25"/>
        <v>input error</v>
      </c>
      <c r="Z41" s="654"/>
      <c r="AA41" s="361" t="str">
        <f t="shared" si="26"/>
        <v>input error</v>
      </c>
      <c r="AB41" s="501"/>
    </row>
    <row r="42" spans="1:28" ht="21" hidden="1" customHeight="1">
      <c r="A42" s="357">
        <v>45356</v>
      </c>
      <c r="B42" s="374" t="s">
        <v>221</v>
      </c>
      <c r="C42" s="375" t="s">
        <v>209</v>
      </c>
      <c r="D42" s="374" t="s">
        <v>12</v>
      </c>
      <c r="E42" s="374">
        <v>9.26</v>
      </c>
      <c r="F42" s="501" t="s">
        <v>446</v>
      </c>
      <c r="G42" s="374">
        <v>6</v>
      </c>
      <c r="H42" s="360" t="str">
        <f t="shared" si="20"/>
        <v>input error</v>
      </c>
      <c r="I42" s="376">
        <v>9</v>
      </c>
      <c r="J42" s="382" t="s">
        <v>10</v>
      </c>
      <c r="K42" s="500">
        <f>10802+9405+10517</f>
        <v>30724</v>
      </c>
      <c r="L42" s="377">
        <f>(1.596*K42)/1000</f>
        <v>49.035504000000003</v>
      </c>
      <c r="M42" s="501">
        <f>0.01+0.03+0.02</f>
        <v>0.06</v>
      </c>
      <c r="N42" s="368" t="str">
        <f t="shared" si="2"/>
        <v>input error</v>
      </c>
      <c r="O42" s="358" t="str">
        <f t="shared" si="22"/>
        <v>input error</v>
      </c>
      <c r="P42" s="369">
        <f t="shared" si="23"/>
        <v>1.22210783292906E-3</v>
      </c>
      <c r="Q42" s="493" t="s">
        <v>211</v>
      </c>
      <c r="R42" s="496">
        <v>7.5</v>
      </c>
      <c r="S42" s="651"/>
      <c r="T42" s="651"/>
      <c r="U42" s="651"/>
      <c r="V42" s="652"/>
      <c r="W42" s="380" t="e">
        <f>#REF!</f>
        <v>#REF!</v>
      </c>
      <c r="X42" s="378" t="str">
        <f t="shared" si="24"/>
        <v>input error</v>
      </c>
      <c r="Y42" s="360" t="str">
        <f t="shared" si="25"/>
        <v>input error</v>
      </c>
      <c r="Z42" s="654"/>
      <c r="AA42" s="361" t="str">
        <f t="shared" si="26"/>
        <v>input error</v>
      </c>
      <c r="AB42" s="501"/>
    </row>
    <row r="43" spans="1:28" ht="21" hidden="1" customHeight="1">
      <c r="A43" s="357">
        <v>45356</v>
      </c>
      <c r="B43" s="374" t="s">
        <v>222</v>
      </c>
      <c r="C43" s="375" t="s">
        <v>209</v>
      </c>
      <c r="D43" s="374" t="s">
        <v>12</v>
      </c>
      <c r="E43" s="374">
        <v>9.5</v>
      </c>
      <c r="F43" s="501" t="s">
        <v>446</v>
      </c>
      <c r="G43" s="374">
        <v>6</v>
      </c>
      <c r="H43" s="360" t="str">
        <f t="shared" si="20"/>
        <v>input error</v>
      </c>
      <c r="I43" s="376">
        <v>9</v>
      </c>
      <c r="J43" s="379" t="s">
        <v>10</v>
      </c>
      <c r="K43" s="500">
        <f>9193+9522+9728</f>
        <v>28443</v>
      </c>
      <c r="L43" s="377">
        <f>(1.596*K43)/1000</f>
        <v>45.395028000000003</v>
      </c>
      <c r="M43" s="501">
        <f>0.01+0.02+0.01</f>
        <v>0.04</v>
      </c>
      <c r="N43" s="368" t="str">
        <f t="shared" si="2"/>
        <v>input error</v>
      </c>
      <c r="O43" s="358" t="str">
        <f t="shared" si="22"/>
        <v>input error</v>
      </c>
      <c r="P43" s="369">
        <f t="shared" si="23"/>
        <v>8.8037802023584091E-4</v>
      </c>
      <c r="Q43" s="493" t="s">
        <v>211</v>
      </c>
      <c r="R43" s="496">
        <v>7.5</v>
      </c>
      <c r="S43" s="651"/>
      <c r="T43" s="651"/>
      <c r="U43" s="651"/>
      <c r="V43" s="652"/>
      <c r="W43" s="380" t="e">
        <f>#REF!</f>
        <v>#REF!</v>
      </c>
      <c r="X43" s="378" t="str">
        <f t="shared" si="24"/>
        <v>input error</v>
      </c>
      <c r="Y43" s="360" t="str">
        <f t="shared" si="25"/>
        <v>input error</v>
      </c>
      <c r="Z43" s="655"/>
      <c r="AA43" s="361" t="str">
        <f t="shared" si="26"/>
        <v>input error</v>
      </c>
      <c r="AB43" s="501"/>
    </row>
    <row r="44" spans="1:28" ht="21" hidden="1" customHeight="1">
      <c r="A44" s="357"/>
      <c r="B44" s="374"/>
      <c r="C44" s="375"/>
      <c r="D44" s="374"/>
      <c r="E44" s="374"/>
      <c r="F44" s="501"/>
      <c r="G44" s="374"/>
      <c r="H44" s="360"/>
      <c r="I44" s="376"/>
      <c r="J44" s="379"/>
      <c r="K44" s="500"/>
      <c r="L44" s="377"/>
      <c r="M44" s="501"/>
      <c r="N44" s="383" t="str">
        <f t="shared" si="2"/>
        <v/>
      </c>
      <c r="O44" s="358"/>
      <c r="P44" s="369"/>
      <c r="Q44" s="493"/>
      <c r="R44" s="496"/>
      <c r="S44" s="493"/>
      <c r="T44" s="493"/>
      <c r="U44" s="493"/>
      <c r="V44" s="496"/>
      <c r="W44" s="380"/>
      <c r="X44" s="378"/>
      <c r="Y44" s="360"/>
      <c r="Z44" s="502"/>
      <c r="AA44" s="361"/>
      <c r="AB44" s="501"/>
    </row>
    <row r="45" spans="1:28" ht="21" hidden="1" customHeight="1">
      <c r="A45" s="357">
        <v>45357</v>
      </c>
      <c r="B45" s="374" t="s">
        <v>236</v>
      </c>
      <c r="C45" s="375" t="s">
        <v>209</v>
      </c>
      <c r="D45" s="749" t="s">
        <v>213</v>
      </c>
      <c r="E45" s="749">
        <v>2.95</v>
      </c>
      <c r="F45" s="750" t="s">
        <v>237</v>
      </c>
      <c r="G45" s="374">
        <v>6</v>
      </c>
      <c r="H45" s="360" t="str">
        <f t="shared" ref="H45:H53" si="27">IFERROR(IF(AA45&lt;&gt;"",W45*G45*AA45,""),"input error")</f>
        <v>input error</v>
      </c>
      <c r="I45" s="376">
        <v>9</v>
      </c>
      <c r="J45" s="751" t="s">
        <v>39</v>
      </c>
      <c r="K45" s="750">
        <f>1730+4559+5100</f>
        <v>11389</v>
      </c>
      <c r="L45" s="752">
        <f t="shared" ref="L45:L48" si="28">(K45*0.5)/1000</f>
        <v>5.6944999999999997</v>
      </c>
      <c r="M45" s="501">
        <f>0.01+0+0.01</f>
        <v>0.02</v>
      </c>
      <c r="N45" s="368" t="str">
        <f t="shared" si="2"/>
        <v>input error</v>
      </c>
      <c r="O45" s="358" t="str">
        <f t="shared" ref="O45:O53" si="29">IFERROR(IF(I45&lt;&gt;"",K45/(I45*W45*AA45),""),"input error")</f>
        <v>input error</v>
      </c>
      <c r="P45" s="369">
        <f t="shared" ref="P45:P53" si="30">IFERROR(IF(M45&lt;&gt;"",M45/(L45+M45),""),"input error")</f>
        <v>3.4998687549216909E-3</v>
      </c>
      <c r="Q45" s="493" t="s">
        <v>238</v>
      </c>
      <c r="R45" s="496">
        <v>7.5</v>
      </c>
      <c r="S45" s="651">
        <v>3</v>
      </c>
      <c r="T45" s="651">
        <v>7.5</v>
      </c>
      <c r="U45" s="651">
        <v>0</v>
      </c>
      <c r="V45" s="652">
        <f>IFERROR(IF(S45&gt;0,S45*T45-U45,""),"input error")</f>
        <v>22.5</v>
      </c>
      <c r="W45" s="380" t="e">
        <f>#REF!</f>
        <v>#REF!</v>
      </c>
      <c r="X45" s="378" t="str">
        <f t="shared" ref="X45:X53" si="31">IFERROR(IF(W45&lt;&gt;"",1/W45,""),"input error")</f>
        <v>input error</v>
      </c>
      <c r="Y45" s="360" t="str">
        <f t="shared" ref="Y45:Y53" si="32">IFERROR(IF(X45&lt;&gt;"",K45*X45,""),"input error")</f>
        <v>input error</v>
      </c>
      <c r="Z45" s="653">
        <f>SUM(Y45:Y53)</f>
        <v>0</v>
      </c>
      <c r="AA45" s="361" t="str">
        <f>IFERROR(IF(Y45&lt;&gt;"",$V$45*Y45/$Z$45,""),"input error")</f>
        <v>input error</v>
      </c>
      <c r="AB45" s="501"/>
    </row>
    <row r="46" spans="1:28" ht="21" hidden="1" customHeight="1">
      <c r="A46" s="357">
        <v>45357</v>
      </c>
      <c r="B46" s="374" t="s">
        <v>208</v>
      </c>
      <c r="C46" s="375" t="s">
        <v>209</v>
      </c>
      <c r="D46" s="374" t="s">
        <v>210</v>
      </c>
      <c r="E46" s="374">
        <v>2.95</v>
      </c>
      <c r="F46" s="501" t="s">
        <v>446</v>
      </c>
      <c r="G46" s="374">
        <v>6</v>
      </c>
      <c r="H46" s="360" t="str">
        <f t="shared" si="27"/>
        <v>input error</v>
      </c>
      <c r="I46" s="376">
        <v>9</v>
      </c>
      <c r="J46" s="374" t="s">
        <v>10</v>
      </c>
      <c r="K46" s="500">
        <f>4600+4409+5289</f>
        <v>14298</v>
      </c>
      <c r="L46" s="377">
        <f t="shared" si="28"/>
        <v>7.149</v>
      </c>
      <c r="M46" s="501">
        <f>0.01+0.01+0.01</f>
        <v>0.03</v>
      </c>
      <c r="N46" s="368" t="str">
        <f t="shared" si="2"/>
        <v>input error</v>
      </c>
      <c r="O46" s="358" t="str">
        <f t="shared" si="29"/>
        <v>input error</v>
      </c>
      <c r="P46" s="369">
        <f t="shared" si="30"/>
        <v>4.1788549937317168E-3</v>
      </c>
      <c r="Q46" s="493" t="s">
        <v>239</v>
      </c>
      <c r="R46" s="496">
        <v>7.5</v>
      </c>
      <c r="S46" s="651"/>
      <c r="T46" s="651"/>
      <c r="U46" s="651"/>
      <c r="V46" s="652"/>
      <c r="W46" s="380" t="e">
        <f>#REF!</f>
        <v>#REF!</v>
      </c>
      <c r="X46" s="378" t="str">
        <f t="shared" si="31"/>
        <v>input error</v>
      </c>
      <c r="Y46" s="360" t="str">
        <f t="shared" si="32"/>
        <v>input error</v>
      </c>
      <c r="Z46" s="654"/>
      <c r="AA46" s="361" t="str">
        <f t="shared" ref="AA46:AA53" si="33">IFERROR(IF(Y46&lt;&gt;"",$V$45*Y46/$Z$45,""),"input error")</f>
        <v>input error</v>
      </c>
      <c r="AB46" s="501"/>
    </row>
    <row r="47" spans="1:28" ht="21" hidden="1" customHeight="1">
      <c r="A47" s="357">
        <v>45357</v>
      </c>
      <c r="B47" s="374" t="s">
        <v>212</v>
      </c>
      <c r="C47" s="375" t="s">
        <v>209</v>
      </c>
      <c r="D47" s="374" t="s">
        <v>213</v>
      </c>
      <c r="E47" s="374">
        <v>2.91</v>
      </c>
      <c r="F47" s="501" t="s">
        <v>214</v>
      </c>
      <c r="G47" s="374">
        <v>6</v>
      </c>
      <c r="H47" s="360" t="str">
        <f t="shared" si="27"/>
        <v>input error</v>
      </c>
      <c r="I47" s="376">
        <v>9</v>
      </c>
      <c r="J47" s="379" t="s">
        <v>32</v>
      </c>
      <c r="K47" s="500">
        <f>6274+6338+6119</f>
        <v>18731</v>
      </c>
      <c r="L47" s="377">
        <f t="shared" si="28"/>
        <v>9.3655000000000008</v>
      </c>
      <c r="M47" s="501">
        <f>0.02+0+0.01</f>
        <v>0.03</v>
      </c>
      <c r="N47" s="368" t="str">
        <f t="shared" si="2"/>
        <v>input error</v>
      </c>
      <c r="O47" s="358" t="str">
        <f t="shared" si="29"/>
        <v>input error</v>
      </c>
      <c r="P47" s="369">
        <f t="shared" si="30"/>
        <v>3.1930179341173965E-3</v>
      </c>
      <c r="Q47" s="493" t="s">
        <v>240</v>
      </c>
      <c r="R47" s="496">
        <v>7.5</v>
      </c>
      <c r="S47" s="651"/>
      <c r="T47" s="651"/>
      <c r="U47" s="651"/>
      <c r="V47" s="652"/>
      <c r="W47" s="380" t="e">
        <f>#REF!</f>
        <v>#REF!</v>
      </c>
      <c r="X47" s="378" t="str">
        <f t="shared" si="31"/>
        <v>input error</v>
      </c>
      <c r="Y47" s="360" t="str">
        <f t="shared" si="32"/>
        <v>input error</v>
      </c>
      <c r="Z47" s="654"/>
      <c r="AA47" s="361" t="str">
        <f t="shared" si="33"/>
        <v>input error</v>
      </c>
      <c r="AB47" s="501"/>
    </row>
    <row r="48" spans="1:28" ht="21" hidden="1" customHeight="1">
      <c r="A48" s="357">
        <v>45357</v>
      </c>
      <c r="B48" s="374" t="s">
        <v>215</v>
      </c>
      <c r="C48" s="375" t="s">
        <v>209</v>
      </c>
      <c r="D48" s="374" t="s">
        <v>213</v>
      </c>
      <c r="E48" s="374">
        <v>2.91</v>
      </c>
      <c r="F48" s="501" t="s">
        <v>214</v>
      </c>
      <c r="G48" s="374">
        <v>6</v>
      </c>
      <c r="H48" s="360" t="str">
        <f t="shared" si="27"/>
        <v>input error</v>
      </c>
      <c r="I48" s="376">
        <v>9</v>
      </c>
      <c r="J48" s="379" t="s">
        <v>32</v>
      </c>
      <c r="K48" s="500">
        <f>5246+5092+4360</f>
        <v>14698</v>
      </c>
      <c r="L48" s="377">
        <f t="shared" si="28"/>
        <v>7.3490000000000002</v>
      </c>
      <c r="M48" s="501">
        <f>0.01+0+0.02</f>
        <v>0.03</v>
      </c>
      <c r="N48" s="368" t="str">
        <f t="shared" si="2"/>
        <v>input error</v>
      </c>
      <c r="O48" s="358" t="str">
        <f t="shared" si="29"/>
        <v>input error</v>
      </c>
      <c r="P48" s="369">
        <f t="shared" si="30"/>
        <v>4.065591543569589E-3</v>
      </c>
      <c r="Q48" s="493" t="s">
        <v>241</v>
      </c>
      <c r="R48" s="496">
        <v>7.5</v>
      </c>
      <c r="S48" s="651"/>
      <c r="T48" s="651"/>
      <c r="U48" s="651"/>
      <c r="V48" s="652"/>
      <c r="W48" s="380" t="e">
        <f>#REF!</f>
        <v>#REF!</v>
      </c>
      <c r="X48" s="378" t="str">
        <f t="shared" si="31"/>
        <v>input error</v>
      </c>
      <c r="Y48" s="360" t="str">
        <f t="shared" si="32"/>
        <v>input error</v>
      </c>
      <c r="Z48" s="654"/>
      <c r="AA48" s="361" t="str">
        <f t="shared" si="33"/>
        <v>input error</v>
      </c>
      <c r="AB48" s="501"/>
    </row>
    <row r="49" spans="1:28" ht="21" hidden="1" customHeight="1">
      <c r="A49" s="357">
        <v>45357</v>
      </c>
      <c r="B49" s="374" t="s">
        <v>242</v>
      </c>
      <c r="C49" s="375" t="s">
        <v>209</v>
      </c>
      <c r="D49" s="749" t="s">
        <v>243</v>
      </c>
      <c r="E49" s="749">
        <v>15.18</v>
      </c>
      <c r="F49" s="750" t="s">
        <v>244</v>
      </c>
      <c r="G49" s="374">
        <v>6</v>
      </c>
      <c r="H49" s="360" t="str">
        <f t="shared" si="27"/>
        <v>input error</v>
      </c>
      <c r="I49" s="376">
        <v>9</v>
      </c>
      <c r="J49" s="753" t="s">
        <v>245</v>
      </c>
      <c r="K49" s="750">
        <f>16099+22114</f>
        <v>38213</v>
      </c>
      <c r="L49" s="752">
        <f>(1.996*K49)/1000</f>
        <v>76.273148000000006</v>
      </c>
      <c r="M49" s="501">
        <f>0.03+0.03</f>
        <v>0.06</v>
      </c>
      <c r="N49" s="368" t="str">
        <f t="shared" si="2"/>
        <v>input error</v>
      </c>
      <c r="O49" s="358" t="str">
        <f t="shared" si="29"/>
        <v>input error</v>
      </c>
      <c r="P49" s="369">
        <f t="shared" si="30"/>
        <v>7.8602810930842248E-4</v>
      </c>
      <c r="Q49" s="493" t="s">
        <v>246</v>
      </c>
      <c r="R49" s="496">
        <v>7.5</v>
      </c>
      <c r="S49" s="651"/>
      <c r="T49" s="651"/>
      <c r="U49" s="651"/>
      <c r="V49" s="652"/>
      <c r="W49" s="380" t="e">
        <f>#REF!</f>
        <v>#REF!</v>
      </c>
      <c r="X49" s="378" t="str">
        <f t="shared" si="31"/>
        <v>input error</v>
      </c>
      <c r="Y49" s="360" t="str">
        <f t="shared" si="32"/>
        <v>input error</v>
      </c>
      <c r="Z49" s="654"/>
      <c r="AA49" s="361" t="str">
        <f t="shared" si="33"/>
        <v>input error</v>
      </c>
      <c r="AB49" s="501"/>
    </row>
    <row r="50" spans="1:28" ht="21" hidden="1" customHeight="1">
      <c r="A50" s="357">
        <v>45357</v>
      </c>
      <c r="B50" s="374" t="s">
        <v>219</v>
      </c>
      <c r="C50" s="375" t="s">
        <v>209</v>
      </c>
      <c r="D50" s="374" t="s">
        <v>12</v>
      </c>
      <c r="E50" s="374">
        <v>8.4600000000000009</v>
      </c>
      <c r="F50" s="501" t="s">
        <v>446</v>
      </c>
      <c r="G50" s="374">
        <v>6</v>
      </c>
      <c r="H50" s="360" t="str">
        <f t="shared" si="27"/>
        <v>input error</v>
      </c>
      <c r="I50" s="376">
        <v>9</v>
      </c>
      <c r="J50" s="379" t="s">
        <v>10</v>
      </c>
      <c r="K50" s="500">
        <f>7317+7916+8362</f>
        <v>23595</v>
      </c>
      <c r="L50" s="377">
        <f>(1.596*K50)/1000</f>
        <v>37.657620000000001</v>
      </c>
      <c r="M50" s="501">
        <f>0.02+0+0.02</f>
        <v>0.04</v>
      </c>
      <c r="N50" s="368" t="str">
        <f t="shared" si="2"/>
        <v>input error</v>
      </c>
      <c r="O50" s="358" t="str">
        <f t="shared" si="29"/>
        <v>input error</v>
      </c>
      <c r="P50" s="369">
        <f t="shared" si="30"/>
        <v>1.0610749431927003E-3</v>
      </c>
      <c r="Q50" s="493" t="s">
        <v>247</v>
      </c>
      <c r="R50" s="496">
        <v>7.5</v>
      </c>
      <c r="S50" s="651"/>
      <c r="T50" s="651"/>
      <c r="U50" s="651"/>
      <c r="V50" s="652"/>
      <c r="W50" s="380" t="e">
        <f>#REF!</f>
        <v>#REF!</v>
      </c>
      <c r="X50" s="378" t="str">
        <f t="shared" si="31"/>
        <v>input error</v>
      </c>
      <c r="Y50" s="360" t="str">
        <f t="shared" si="32"/>
        <v>input error</v>
      </c>
      <c r="Z50" s="654"/>
      <c r="AA50" s="361" t="str">
        <f t="shared" si="33"/>
        <v>input error</v>
      </c>
      <c r="AB50" s="501"/>
    </row>
    <row r="51" spans="1:28" ht="21" hidden="1" customHeight="1">
      <c r="A51" s="357">
        <v>45357</v>
      </c>
      <c r="B51" s="374" t="s">
        <v>220</v>
      </c>
      <c r="C51" s="375" t="s">
        <v>209</v>
      </c>
      <c r="D51" s="374" t="s">
        <v>33</v>
      </c>
      <c r="E51" s="374">
        <v>20.72</v>
      </c>
      <c r="F51" s="501" t="s">
        <v>214</v>
      </c>
      <c r="G51" s="374">
        <v>6</v>
      </c>
      <c r="H51" s="360" t="str">
        <f t="shared" si="27"/>
        <v>input error</v>
      </c>
      <c r="I51" s="376">
        <v>9</v>
      </c>
      <c r="J51" s="379" t="s">
        <v>32</v>
      </c>
      <c r="K51" s="500">
        <f>15310+20765+14337</f>
        <v>50412</v>
      </c>
      <c r="L51" s="377">
        <f>(3.194*K51)/1000</f>
        <v>161.01592799999997</v>
      </c>
      <c r="M51" s="501">
        <f>0.03+0.03+0.03</f>
        <v>0.09</v>
      </c>
      <c r="N51" s="368" t="str">
        <f t="shared" si="2"/>
        <v>input error</v>
      </c>
      <c r="O51" s="358" t="str">
        <f t="shared" si="29"/>
        <v>input error</v>
      </c>
      <c r="P51" s="369">
        <f t="shared" si="30"/>
        <v>5.5863866163881944E-4</v>
      </c>
      <c r="Q51" s="493" t="s">
        <v>248</v>
      </c>
      <c r="R51" s="496">
        <v>7.5</v>
      </c>
      <c r="S51" s="651"/>
      <c r="T51" s="651"/>
      <c r="U51" s="651"/>
      <c r="V51" s="652"/>
      <c r="W51" s="380" t="e">
        <f>#REF!</f>
        <v>#REF!</v>
      </c>
      <c r="X51" s="378" t="str">
        <f t="shared" si="31"/>
        <v>input error</v>
      </c>
      <c r="Y51" s="360" t="str">
        <f t="shared" si="32"/>
        <v>input error</v>
      </c>
      <c r="Z51" s="654"/>
      <c r="AA51" s="361" t="str">
        <f t="shared" si="33"/>
        <v>input error</v>
      </c>
      <c r="AB51" s="501"/>
    </row>
    <row r="52" spans="1:28" ht="21" hidden="1" customHeight="1">
      <c r="A52" s="357">
        <v>45357</v>
      </c>
      <c r="B52" s="374" t="s">
        <v>221</v>
      </c>
      <c r="C52" s="375" t="s">
        <v>209</v>
      </c>
      <c r="D52" s="374" t="s">
        <v>12</v>
      </c>
      <c r="E52" s="374">
        <v>9.26</v>
      </c>
      <c r="F52" s="501" t="s">
        <v>446</v>
      </c>
      <c r="G52" s="374">
        <v>6</v>
      </c>
      <c r="H52" s="360" t="str">
        <f t="shared" si="27"/>
        <v>input error</v>
      </c>
      <c r="I52" s="376">
        <v>9</v>
      </c>
      <c r="J52" s="382" t="s">
        <v>10</v>
      </c>
      <c r="K52" s="500">
        <f>7196+10364+8363</f>
        <v>25923</v>
      </c>
      <c r="L52" s="377">
        <f>(1.596*K52)/1000</f>
        <v>41.373108000000002</v>
      </c>
      <c r="M52" s="501">
        <f>0.03+0+0.02</f>
        <v>0.05</v>
      </c>
      <c r="N52" s="368" t="str">
        <f t="shared" si="2"/>
        <v>input error</v>
      </c>
      <c r="O52" s="358" t="str">
        <f t="shared" si="29"/>
        <v>input error</v>
      </c>
      <c r="P52" s="369">
        <f t="shared" si="30"/>
        <v>1.2070557332395243E-3</v>
      </c>
      <c r="Q52" s="493" t="s">
        <v>249</v>
      </c>
      <c r="R52" s="496">
        <v>7.5</v>
      </c>
      <c r="S52" s="651"/>
      <c r="T52" s="651"/>
      <c r="U52" s="651"/>
      <c r="V52" s="652"/>
      <c r="W52" s="380" t="e">
        <f>#REF!</f>
        <v>#REF!</v>
      </c>
      <c r="X52" s="378" t="str">
        <f t="shared" si="31"/>
        <v>input error</v>
      </c>
      <c r="Y52" s="360" t="str">
        <f t="shared" si="32"/>
        <v>input error</v>
      </c>
      <c r="Z52" s="654"/>
      <c r="AA52" s="361" t="str">
        <f t="shared" si="33"/>
        <v>input error</v>
      </c>
      <c r="AB52" s="501"/>
    </row>
    <row r="53" spans="1:28" ht="21" hidden="1" customHeight="1">
      <c r="A53" s="357">
        <v>45357</v>
      </c>
      <c r="B53" s="374" t="s">
        <v>222</v>
      </c>
      <c r="C53" s="375" t="s">
        <v>209</v>
      </c>
      <c r="D53" s="374" t="s">
        <v>12</v>
      </c>
      <c r="E53" s="374">
        <v>9.5</v>
      </c>
      <c r="F53" s="501" t="s">
        <v>446</v>
      </c>
      <c r="G53" s="374">
        <v>6</v>
      </c>
      <c r="H53" s="360" t="str">
        <f t="shared" si="27"/>
        <v>input error</v>
      </c>
      <c r="I53" s="376">
        <v>9</v>
      </c>
      <c r="J53" s="379" t="s">
        <v>10</v>
      </c>
      <c r="K53" s="500">
        <f>10026+11064+10955</f>
        <v>32045</v>
      </c>
      <c r="L53" s="377">
        <f>(1.596*K53)/1000</f>
        <v>51.143819999999998</v>
      </c>
      <c r="M53" s="501">
        <f>0.02+0+0.02</f>
        <v>0.04</v>
      </c>
      <c r="N53" s="368" t="str">
        <f t="shared" si="2"/>
        <v>input error</v>
      </c>
      <c r="O53" s="358" t="str">
        <f t="shared" si="29"/>
        <v>input error</v>
      </c>
      <c r="P53" s="369">
        <f t="shared" si="30"/>
        <v>7.8149696525190977E-4</v>
      </c>
      <c r="Q53" s="493" t="s">
        <v>250</v>
      </c>
      <c r="R53" s="496">
        <v>7.5</v>
      </c>
      <c r="S53" s="651"/>
      <c r="T53" s="651"/>
      <c r="U53" s="651"/>
      <c r="V53" s="652"/>
      <c r="W53" s="380" t="e">
        <f>#REF!</f>
        <v>#REF!</v>
      </c>
      <c r="X53" s="378" t="str">
        <f t="shared" si="31"/>
        <v>input error</v>
      </c>
      <c r="Y53" s="360" t="str">
        <f t="shared" si="32"/>
        <v>input error</v>
      </c>
      <c r="Z53" s="655"/>
      <c r="AA53" s="361" t="str">
        <f t="shared" si="33"/>
        <v>input error</v>
      </c>
      <c r="AB53" s="501"/>
    </row>
    <row r="54" spans="1:28" ht="21" hidden="1" customHeight="1">
      <c r="A54" s="357"/>
      <c r="B54" s="374"/>
      <c r="C54" s="375"/>
      <c r="D54" s="374"/>
      <c r="E54" s="374"/>
      <c r="F54" s="501"/>
      <c r="G54" s="374"/>
      <c r="H54" s="360"/>
      <c r="I54" s="376"/>
      <c r="J54" s="379"/>
      <c r="K54" s="500"/>
      <c r="L54" s="377"/>
      <c r="M54" s="501"/>
      <c r="N54" s="383" t="str">
        <f t="shared" si="2"/>
        <v/>
      </c>
      <c r="O54" s="358"/>
      <c r="P54" s="369"/>
      <c r="Q54" s="493"/>
      <c r="R54" s="496"/>
      <c r="S54" s="493"/>
      <c r="T54" s="493"/>
      <c r="U54" s="493"/>
      <c r="V54" s="496"/>
      <c r="W54" s="380"/>
      <c r="X54" s="378"/>
      <c r="Y54" s="360"/>
      <c r="Z54" s="360"/>
      <c r="AA54" s="361"/>
      <c r="AB54" s="501"/>
    </row>
    <row r="55" spans="1:28" ht="21" hidden="1" customHeight="1">
      <c r="A55" s="357">
        <v>45358</v>
      </c>
      <c r="B55" s="374" t="s">
        <v>236</v>
      </c>
      <c r="C55" s="375" t="s">
        <v>209</v>
      </c>
      <c r="D55" s="749" t="s">
        <v>213</v>
      </c>
      <c r="E55" s="749">
        <v>2.95</v>
      </c>
      <c r="F55" s="750" t="s">
        <v>237</v>
      </c>
      <c r="G55" s="374">
        <v>12</v>
      </c>
      <c r="H55" s="360" t="str">
        <f t="shared" ref="H55:H65" si="34">IFERROR(IF(AA55&lt;&gt;"",W55*G55*AA55,""),"input error")</f>
        <v>input error</v>
      </c>
      <c r="I55" s="376">
        <v>11</v>
      </c>
      <c r="J55" s="751" t="s">
        <v>39</v>
      </c>
      <c r="K55" s="500">
        <f>4996+5330+5383</f>
        <v>15709</v>
      </c>
      <c r="L55" s="752">
        <f t="shared" ref="L55:L59" si="35">(K55*0.5)/1000</f>
        <v>7.8544999999999998</v>
      </c>
      <c r="M55" s="501">
        <f>0.02+0+0.01</f>
        <v>0.03</v>
      </c>
      <c r="N55" s="368" t="str">
        <f t="shared" si="2"/>
        <v>input error</v>
      </c>
      <c r="O55" s="358" t="str">
        <f t="shared" ref="O55:O65" si="36">IFERROR(IF(I55&lt;&gt;"",K55/(I55*W55*AA55),""),"input error")</f>
        <v>input error</v>
      </c>
      <c r="P55" s="369">
        <f t="shared" ref="P55:P65" si="37">IFERROR(IF(M55&lt;&gt;"",M55/(L55+M55),""),"input error")</f>
        <v>3.8049337307375229E-3</v>
      </c>
      <c r="Q55" s="493" t="s">
        <v>241</v>
      </c>
      <c r="R55" s="496">
        <v>7.5</v>
      </c>
      <c r="S55" s="666">
        <v>3</v>
      </c>
      <c r="T55" s="666">
        <v>7.5</v>
      </c>
      <c r="U55" s="666">
        <v>0</v>
      </c>
      <c r="V55" s="660">
        <f>IFERROR(IF(S55&gt;0,S55*T55-U55,""),"input error")</f>
        <v>22.5</v>
      </c>
      <c r="W55" s="380" t="e">
        <f>#REF!</f>
        <v>#REF!</v>
      </c>
      <c r="X55" s="378" t="str">
        <f t="shared" ref="X55:X65" si="38">IFERROR(IF(W55&lt;&gt;"",1/W55,""),"input error")</f>
        <v>input error</v>
      </c>
      <c r="Y55" s="360" t="str">
        <f t="shared" ref="Y55:Y65" si="39">IFERROR(IF(X55&lt;&gt;"",K55*X55,""),"input error")</f>
        <v>input error</v>
      </c>
      <c r="Z55" s="754">
        <f>SUM(Y55:Y65)</f>
        <v>0</v>
      </c>
      <c r="AA55" s="361" t="str">
        <f>IFERROR(IF(Y55&lt;&gt;"",$V$55*Y55/$Z$55,""),"input error")</f>
        <v>input error</v>
      </c>
      <c r="AB55" s="501"/>
    </row>
    <row r="56" spans="1:28" ht="21" hidden="1" customHeight="1">
      <c r="A56" s="357">
        <v>45358</v>
      </c>
      <c r="B56" s="374" t="s">
        <v>208</v>
      </c>
      <c r="C56" s="375" t="s">
        <v>209</v>
      </c>
      <c r="D56" s="374" t="s">
        <v>210</v>
      </c>
      <c r="E56" s="374">
        <v>2.95</v>
      </c>
      <c r="F56" s="501" t="s">
        <v>446</v>
      </c>
      <c r="G56" s="374">
        <v>12</v>
      </c>
      <c r="H56" s="360" t="str">
        <f t="shared" si="34"/>
        <v>input error</v>
      </c>
      <c r="I56" s="376">
        <v>11</v>
      </c>
      <c r="J56" s="374" t="s">
        <v>10</v>
      </c>
      <c r="K56" s="500">
        <f>5469+5211+4621</f>
        <v>15301</v>
      </c>
      <c r="L56" s="377">
        <f t="shared" si="35"/>
        <v>7.6505000000000001</v>
      </c>
      <c r="M56" s="501">
        <f>0.02+0+0.01</f>
        <v>0.03</v>
      </c>
      <c r="N56" s="368" t="str">
        <f t="shared" si="2"/>
        <v>input error</v>
      </c>
      <c r="O56" s="358" t="str">
        <f t="shared" si="36"/>
        <v>input error</v>
      </c>
      <c r="P56" s="369">
        <f t="shared" si="37"/>
        <v>3.9059957034047257E-3</v>
      </c>
      <c r="Q56" s="493" t="s">
        <v>247</v>
      </c>
      <c r="R56" s="496">
        <v>7.5</v>
      </c>
      <c r="S56" s="658"/>
      <c r="T56" s="658"/>
      <c r="U56" s="658"/>
      <c r="V56" s="661"/>
      <c r="W56" s="380" t="e">
        <f>#REF!</f>
        <v>#REF!</v>
      </c>
      <c r="X56" s="378" t="str">
        <f t="shared" si="38"/>
        <v>input error</v>
      </c>
      <c r="Y56" s="360" t="str">
        <f t="shared" si="39"/>
        <v>input error</v>
      </c>
      <c r="Z56" s="755"/>
      <c r="AA56" s="361" t="str">
        <f t="shared" ref="AA56:AA65" si="40">IFERROR(IF(Y56&lt;&gt;"",$V$55*Y56/$Z$55,""),"input error")</f>
        <v>input error</v>
      </c>
      <c r="AB56" s="501"/>
    </row>
    <row r="57" spans="1:28" ht="21" hidden="1" customHeight="1">
      <c r="A57" s="357">
        <v>45358</v>
      </c>
      <c r="B57" s="374" t="s">
        <v>447</v>
      </c>
      <c r="C57" s="375" t="s">
        <v>209</v>
      </c>
      <c r="D57" s="374" t="s">
        <v>213</v>
      </c>
      <c r="E57" s="374">
        <v>2.91</v>
      </c>
      <c r="F57" s="750" t="s">
        <v>237</v>
      </c>
      <c r="G57" s="374">
        <v>12</v>
      </c>
      <c r="H57" s="360" t="str">
        <f t="shared" si="34"/>
        <v>input error</v>
      </c>
      <c r="I57" s="376">
        <v>11</v>
      </c>
      <c r="J57" s="751" t="s">
        <v>39</v>
      </c>
      <c r="K57" s="500">
        <f>5711+7885+7690</f>
        <v>21286</v>
      </c>
      <c r="L57" s="752">
        <f t="shared" si="35"/>
        <v>10.643000000000001</v>
      </c>
      <c r="M57" s="501">
        <f>0.02+0.01+0.01</f>
        <v>0.04</v>
      </c>
      <c r="N57" s="368" t="str">
        <f t="shared" si="2"/>
        <v>input error</v>
      </c>
      <c r="O57" s="358" t="str">
        <f t="shared" si="36"/>
        <v>input error</v>
      </c>
      <c r="P57" s="369">
        <f t="shared" si="37"/>
        <v>3.7442665917813349E-3</v>
      </c>
      <c r="Q57" s="493" t="s">
        <v>241</v>
      </c>
      <c r="R57" s="496">
        <v>7.5</v>
      </c>
      <c r="S57" s="658"/>
      <c r="T57" s="658"/>
      <c r="U57" s="658"/>
      <c r="V57" s="661"/>
      <c r="W57" s="380" t="e">
        <f>#REF!</f>
        <v>#REF!</v>
      </c>
      <c r="X57" s="378" t="str">
        <f t="shared" si="38"/>
        <v>input error</v>
      </c>
      <c r="Y57" s="360" t="str">
        <f t="shared" si="39"/>
        <v>input error</v>
      </c>
      <c r="Z57" s="755"/>
      <c r="AA57" s="361" t="str">
        <f t="shared" si="40"/>
        <v>input error</v>
      </c>
      <c r="AB57" s="501"/>
    </row>
    <row r="58" spans="1:28" ht="21" hidden="1" customHeight="1">
      <c r="A58" s="357">
        <v>45358</v>
      </c>
      <c r="B58" s="374" t="s">
        <v>212</v>
      </c>
      <c r="C58" s="375" t="s">
        <v>209</v>
      </c>
      <c r="D58" s="374" t="s">
        <v>213</v>
      </c>
      <c r="E58" s="374">
        <v>2.91</v>
      </c>
      <c r="F58" s="501" t="s">
        <v>214</v>
      </c>
      <c r="G58" s="374">
        <v>12</v>
      </c>
      <c r="H58" s="360" t="str">
        <f t="shared" si="34"/>
        <v>input error</v>
      </c>
      <c r="I58" s="376">
        <v>11</v>
      </c>
      <c r="J58" s="379" t="s">
        <v>32</v>
      </c>
      <c r="K58" s="500">
        <f>6301+6030+5668</f>
        <v>17999</v>
      </c>
      <c r="L58" s="377">
        <f t="shared" si="35"/>
        <v>8.9994999999999994</v>
      </c>
      <c r="M58" s="501">
        <f>0.01+0+0.01</f>
        <v>0.02</v>
      </c>
      <c r="N58" s="368" t="str">
        <f t="shared" si="2"/>
        <v>input error</v>
      </c>
      <c r="O58" s="358" t="str">
        <f t="shared" si="36"/>
        <v>input error</v>
      </c>
      <c r="P58" s="369">
        <f t="shared" si="37"/>
        <v>2.2174178169521593E-3</v>
      </c>
      <c r="Q58" s="493" t="s">
        <v>241</v>
      </c>
      <c r="R58" s="496">
        <v>7.5</v>
      </c>
      <c r="S58" s="658"/>
      <c r="T58" s="658"/>
      <c r="U58" s="658"/>
      <c r="V58" s="661"/>
      <c r="W58" s="380" t="e">
        <f>#REF!</f>
        <v>#REF!</v>
      </c>
      <c r="X58" s="378" t="str">
        <f t="shared" si="38"/>
        <v>input error</v>
      </c>
      <c r="Y58" s="360" t="str">
        <f t="shared" si="39"/>
        <v>input error</v>
      </c>
      <c r="Z58" s="755"/>
      <c r="AA58" s="361" t="str">
        <f t="shared" si="40"/>
        <v>input error</v>
      </c>
      <c r="AB58" s="501"/>
    </row>
    <row r="59" spans="1:28" ht="21" hidden="1" customHeight="1">
      <c r="A59" s="357">
        <v>45358</v>
      </c>
      <c r="B59" s="374" t="s">
        <v>215</v>
      </c>
      <c r="C59" s="375" t="s">
        <v>209</v>
      </c>
      <c r="D59" s="374" t="s">
        <v>213</v>
      </c>
      <c r="E59" s="374">
        <v>2.91</v>
      </c>
      <c r="F59" s="501" t="s">
        <v>214</v>
      </c>
      <c r="G59" s="374">
        <v>12</v>
      </c>
      <c r="H59" s="360" t="str">
        <f t="shared" si="34"/>
        <v>input error</v>
      </c>
      <c r="I59" s="376">
        <v>11</v>
      </c>
      <c r="J59" s="379" t="s">
        <v>32</v>
      </c>
      <c r="K59" s="500">
        <f>4663+4512+4570</f>
        <v>13745</v>
      </c>
      <c r="L59" s="377">
        <f t="shared" si="35"/>
        <v>6.8724999999999996</v>
      </c>
      <c r="M59" s="501">
        <f>0.02+0+0.01</f>
        <v>0.03</v>
      </c>
      <c r="N59" s="368" t="str">
        <f t="shared" si="2"/>
        <v>input error</v>
      </c>
      <c r="O59" s="358" t="str">
        <f t="shared" si="36"/>
        <v>input error</v>
      </c>
      <c r="P59" s="369">
        <f t="shared" si="37"/>
        <v>4.346251358203549E-3</v>
      </c>
      <c r="Q59" s="493" t="s">
        <v>241</v>
      </c>
      <c r="R59" s="496">
        <v>7.5</v>
      </c>
      <c r="S59" s="658"/>
      <c r="T59" s="658"/>
      <c r="U59" s="658"/>
      <c r="V59" s="661"/>
      <c r="W59" s="380" t="e">
        <f>#REF!</f>
        <v>#REF!</v>
      </c>
      <c r="X59" s="378" t="str">
        <f t="shared" si="38"/>
        <v>input error</v>
      </c>
      <c r="Y59" s="360" t="str">
        <f t="shared" si="39"/>
        <v>input error</v>
      </c>
      <c r="Z59" s="755"/>
      <c r="AA59" s="361" t="str">
        <f t="shared" si="40"/>
        <v>input error</v>
      </c>
      <c r="AB59" s="501"/>
    </row>
    <row r="60" spans="1:28" ht="15" hidden="1" customHeight="1">
      <c r="A60" s="357">
        <v>45358</v>
      </c>
      <c r="B60" s="374" t="s">
        <v>242</v>
      </c>
      <c r="C60" s="375" t="s">
        <v>209</v>
      </c>
      <c r="D60" s="749" t="s">
        <v>243</v>
      </c>
      <c r="E60" s="749">
        <v>15.18</v>
      </c>
      <c r="F60" s="750" t="s">
        <v>244</v>
      </c>
      <c r="G60" s="374">
        <v>12</v>
      </c>
      <c r="H60" s="360" t="str">
        <f t="shared" si="34"/>
        <v>input error</v>
      </c>
      <c r="I60" s="376">
        <v>11</v>
      </c>
      <c r="J60" s="753" t="s">
        <v>245</v>
      </c>
      <c r="K60" s="500">
        <f>15676+13951+10985</f>
        <v>40612</v>
      </c>
      <c r="L60" s="752">
        <f>(1.996*K60)/1000</f>
        <v>81.061551999999992</v>
      </c>
      <c r="M60" s="501">
        <f>0.03+0.01+0.03</f>
        <v>7.0000000000000007E-2</v>
      </c>
      <c r="N60" s="368" t="str">
        <f t="shared" si="2"/>
        <v>input error</v>
      </c>
      <c r="O60" s="358" t="str">
        <f t="shared" si="36"/>
        <v>input error</v>
      </c>
      <c r="P60" s="369">
        <f t="shared" si="37"/>
        <v>8.6279626451617761E-4</v>
      </c>
      <c r="Q60" s="493" t="s">
        <v>448</v>
      </c>
      <c r="R60" s="496">
        <v>7.5</v>
      </c>
      <c r="S60" s="658"/>
      <c r="T60" s="658"/>
      <c r="U60" s="658"/>
      <c r="V60" s="661"/>
      <c r="W60" s="380" t="e">
        <f>#REF!</f>
        <v>#REF!</v>
      </c>
      <c r="X60" s="378" t="str">
        <f t="shared" si="38"/>
        <v>input error</v>
      </c>
      <c r="Y60" s="360" t="str">
        <f t="shared" si="39"/>
        <v>input error</v>
      </c>
      <c r="Z60" s="755"/>
      <c r="AA60" s="361" t="str">
        <f t="shared" si="40"/>
        <v>input error</v>
      </c>
      <c r="AB60" s="501"/>
    </row>
    <row r="61" spans="1:28" ht="30" hidden="1">
      <c r="A61" s="357">
        <v>45358</v>
      </c>
      <c r="B61" s="374" t="s">
        <v>449</v>
      </c>
      <c r="C61" s="375" t="s">
        <v>209</v>
      </c>
      <c r="D61" s="749" t="s">
        <v>450</v>
      </c>
      <c r="E61" s="749">
        <v>12.6</v>
      </c>
      <c r="F61" s="750" t="s">
        <v>261</v>
      </c>
      <c r="G61" s="374">
        <v>12</v>
      </c>
      <c r="H61" s="360" t="str">
        <f t="shared" si="34"/>
        <v>input error</v>
      </c>
      <c r="I61" s="376">
        <v>11</v>
      </c>
      <c r="J61" s="756" t="s">
        <v>57</v>
      </c>
      <c r="K61" s="750">
        <f>7709+11013+9709</f>
        <v>28431</v>
      </c>
      <c r="L61" s="752">
        <f>(1.3523*K61)/1000</f>
        <v>38.447241300000002</v>
      </c>
      <c r="M61" s="501">
        <f>0.01+0.01+0.03</f>
        <v>0.05</v>
      </c>
      <c r="N61" s="368" t="str">
        <f t="shared" si="2"/>
        <v>input error</v>
      </c>
      <c r="O61" s="358" t="str">
        <f t="shared" si="36"/>
        <v>input error</v>
      </c>
      <c r="P61" s="369">
        <f t="shared" si="37"/>
        <v>1.2987943632210344E-3</v>
      </c>
      <c r="Q61" s="493" t="s">
        <v>247</v>
      </c>
      <c r="R61" s="496">
        <v>7.5</v>
      </c>
      <c r="S61" s="658"/>
      <c r="T61" s="658"/>
      <c r="U61" s="658"/>
      <c r="V61" s="661"/>
      <c r="W61" s="380" t="e">
        <f>#REF!</f>
        <v>#REF!</v>
      </c>
      <c r="X61" s="378" t="str">
        <f t="shared" si="38"/>
        <v>input error</v>
      </c>
      <c r="Y61" s="360" t="str">
        <f t="shared" si="39"/>
        <v>input error</v>
      </c>
      <c r="Z61" s="755"/>
      <c r="AA61" s="361" t="str">
        <f t="shared" si="40"/>
        <v>input error</v>
      </c>
      <c r="AB61" s="501"/>
    </row>
    <row r="62" spans="1:28" ht="15" hidden="1" customHeight="1">
      <c r="A62" s="357">
        <v>45358</v>
      </c>
      <c r="B62" s="374" t="s">
        <v>219</v>
      </c>
      <c r="C62" s="375" t="s">
        <v>209</v>
      </c>
      <c r="D62" s="374" t="s">
        <v>12</v>
      </c>
      <c r="E62" s="374">
        <v>8.4600000000000009</v>
      </c>
      <c r="F62" s="501" t="s">
        <v>446</v>
      </c>
      <c r="G62" s="374">
        <v>12</v>
      </c>
      <c r="H62" s="360" t="str">
        <f t="shared" si="34"/>
        <v>input error</v>
      </c>
      <c r="I62" s="376">
        <v>11</v>
      </c>
      <c r="J62" s="379" t="s">
        <v>10</v>
      </c>
      <c r="K62" s="500">
        <f>8766+7648+7572</f>
        <v>23986</v>
      </c>
      <c r="L62" s="377">
        <f>(1.596*K62)/1000</f>
        <v>38.281656000000005</v>
      </c>
      <c r="M62" s="501">
        <f>0.03+0+0.02</f>
        <v>0.05</v>
      </c>
      <c r="N62" s="368" t="str">
        <f t="shared" si="2"/>
        <v>input error</v>
      </c>
      <c r="O62" s="358" t="str">
        <f t="shared" si="36"/>
        <v>input error</v>
      </c>
      <c r="P62" s="369">
        <f t="shared" si="37"/>
        <v>1.304404902308421E-3</v>
      </c>
      <c r="Q62" s="493" t="s">
        <v>248</v>
      </c>
      <c r="R62" s="496">
        <v>7.5</v>
      </c>
      <c r="S62" s="658"/>
      <c r="T62" s="658"/>
      <c r="U62" s="658"/>
      <c r="V62" s="661"/>
      <c r="W62" s="380" t="e">
        <f>#REF!</f>
        <v>#REF!</v>
      </c>
      <c r="X62" s="378" t="str">
        <f t="shared" si="38"/>
        <v>input error</v>
      </c>
      <c r="Y62" s="360" t="str">
        <f t="shared" si="39"/>
        <v>input error</v>
      </c>
      <c r="Z62" s="755"/>
      <c r="AA62" s="361" t="str">
        <f t="shared" si="40"/>
        <v>input error</v>
      </c>
      <c r="AB62" s="501"/>
    </row>
    <row r="63" spans="1:28" ht="15" hidden="1" customHeight="1">
      <c r="A63" s="357">
        <v>45358</v>
      </c>
      <c r="B63" s="374" t="s">
        <v>220</v>
      </c>
      <c r="C63" s="375" t="s">
        <v>209</v>
      </c>
      <c r="D63" s="374" t="s">
        <v>33</v>
      </c>
      <c r="E63" s="374">
        <v>20.72</v>
      </c>
      <c r="F63" s="501" t="s">
        <v>214</v>
      </c>
      <c r="G63" s="374">
        <v>12</v>
      </c>
      <c r="H63" s="360" t="str">
        <f t="shared" si="34"/>
        <v>input error</v>
      </c>
      <c r="I63" s="376">
        <v>11</v>
      </c>
      <c r="J63" s="379" t="s">
        <v>32</v>
      </c>
      <c r="K63" s="500">
        <f>16765+22070+18965</f>
        <v>57800</v>
      </c>
      <c r="L63" s="377">
        <f>(3.194*K63)/1000</f>
        <v>184.61320000000001</v>
      </c>
      <c r="M63" s="501">
        <f>0.03+0.02+0.03</f>
        <v>0.08</v>
      </c>
      <c r="N63" s="368" t="str">
        <f t="shared" si="2"/>
        <v>input error</v>
      </c>
      <c r="O63" s="358" t="str">
        <f t="shared" si="36"/>
        <v>input error</v>
      </c>
      <c r="P63" s="369">
        <f t="shared" si="37"/>
        <v>4.3315076028787198E-4</v>
      </c>
      <c r="Q63" s="493" t="s">
        <v>248</v>
      </c>
      <c r="R63" s="496">
        <v>7.5</v>
      </c>
      <c r="S63" s="658"/>
      <c r="T63" s="658"/>
      <c r="U63" s="658"/>
      <c r="V63" s="661"/>
      <c r="W63" s="380" t="e">
        <f>#REF!</f>
        <v>#REF!</v>
      </c>
      <c r="X63" s="378" t="str">
        <f t="shared" si="38"/>
        <v>input error</v>
      </c>
      <c r="Y63" s="360" t="str">
        <f t="shared" si="39"/>
        <v>input error</v>
      </c>
      <c r="Z63" s="755"/>
      <c r="AA63" s="361" t="str">
        <f t="shared" si="40"/>
        <v>input error</v>
      </c>
      <c r="AB63" s="501"/>
    </row>
    <row r="64" spans="1:28" ht="15" hidden="1" customHeight="1">
      <c r="A64" s="357">
        <v>45358</v>
      </c>
      <c r="B64" s="374" t="s">
        <v>221</v>
      </c>
      <c r="C64" s="375" t="s">
        <v>209</v>
      </c>
      <c r="D64" s="374" t="s">
        <v>12</v>
      </c>
      <c r="E64" s="374">
        <v>9.26</v>
      </c>
      <c r="F64" s="501" t="s">
        <v>446</v>
      </c>
      <c r="G64" s="374">
        <v>12</v>
      </c>
      <c r="H64" s="360" t="str">
        <f t="shared" si="34"/>
        <v>input error</v>
      </c>
      <c r="I64" s="376">
        <v>11</v>
      </c>
      <c r="J64" s="382" t="s">
        <v>10</v>
      </c>
      <c r="K64" s="500">
        <f>8928+10645+9417</f>
        <v>28990</v>
      </c>
      <c r="L64" s="377">
        <f>(1.596*K64)/1000</f>
        <v>46.268039999999999</v>
      </c>
      <c r="M64" s="501">
        <f>0.02+0+0.02</f>
        <v>0.04</v>
      </c>
      <c r="N64" s="368" t="str">
        <f t="shared" si="2"/>
        <v>input error</v>
      </c>
      <c r="O64" s="358" t="str">
        <f t="shared" si="36"/>
        <v>input error</v>
      </c>
      <c r="P64" s="369">
        <f t="shared" si="37"/>
        <v>8.6378088988434847E-4</v>
      </c>
      <c r="Q64" s="493" t="s">
        <v>248</v>
      </c>
      <c r="R64" s="496">
        <v>7.5</v>
      </c>
      <c r="S64" s="658"/>
      <c r="T64" s="658"/>
      <c r="U64" s="658"/>
      <c r="V64" s="661"/>
      <c r="W64" s="380" t="e">
        <f>#REF!</f>
        <v>#REF!</v>
      </c>
      <c r="X64" s="378" t="str">
        <f t="shared" si="38"/>
        <v>input error</v>
      </c>
      <c r="Y64" s="360" t="str">
        <f t="shared" si="39"/>
        <v>input error</v>
      </c>
      <c r="Z64" s="755"/>
      <c r="AA64" s="361" t="str">
        <f t="shared" si="40"/>
        <v>input error</v>
      </c>
      <c r="AB64" s="501"/>
    </row>
    <row r="65" spans="1:28" ht="15.75" hidden="1" customHeight="1">
      <c r="A65" s="357">
        <v>45358</v>
      </c>
      <c r="B65" s="374" t="s">
        <v>222</v>
      </c>
      <c r="C65" s="375" t="s">
        <v>209</v>
      </c>
      <c r="D65" s="374" t="s">
        <v>12</v>
      </c>
      <c r="E65" s="374">
        <v>9.5</v>
      </c>
      <c r="F65" s="501" t="s">
        <v>446</v>
      </c>
      <c r="G65" s="374">
        <v>12</v>
      </c>
      <c r="H65" s="360" t="str">
        <f t="shared" si="34"/>
        <v>input error</v>
      </c>
      <c r="I65" s="376">
        <v>11</v>
      </c>
      <c r="J65" s="379" t="s">
        <v>10</v>
      </c>
      <c r="K65" s="500">
        <f>10752+11001+12056</f>
        <v>33809</v>
      </c>
      <c r="L65" s="377">
        <f>(1.596*K65)/1000</f>
        <v>53.959164000000001</v>
      </c>
      <c r="M65" s="501">
        <f>0.03+0+0.02</f>
        <v>0.05</v>
      </c>
      <c r="N65" s="368" t="str">
        <f t="shared" si="2"/>
        <v>input error</v>
      </c>
      <c r="O65" s="358" t="str">
        <f t="shared" si="36"/>
        <v>input error</v>
      </c>
      <c r="P65" s="369">
        <f t="shared" si="37"/>
        <v>9.257688195284786E-4</v>
      </c>
      <c r="Q65" s="493" t="s">
        <v>248</v>
      </c>
      <c r="R65" s="496">
        <v>7.5</v>
      </c>
      <c r="S65" s="659"/>
      <c r="T65" s="659"/>
      <c r="U65" s="659"/>
      <c r="V65" s="662"/>
      <c r="W65" s="380" t="e">
        <f>#REF!</f>
        <v>#REF!</v>
      </c>
      <c r="X65" s="378" t="str">
        <f t="shared" si="38"/>
        <v>input error</v>
      </c>
      <c r="Y65" s="360" t="str">
        <f t="shared" si="39"/>
        <v>input error</v>
      </c>
      <c r="Z65" s="755"/>
      <c r="AA65" s="361" t="str">
        <f t="shared" si="40"/>
        <v>input error</v>
      </c>
      <c r="AB65" s="501"/>
    </row>
    <row r="66" spans="1:28" ht="15.75" hidden="1" customHeight="1">
      <c r="A66" s="357"/>
      <c r="B66" s="374"/>
      <c r="C66" s="375"/>
      <c r="D66" s="374"/>
      <c r="E66" s="374"/>
      <c r="F66" s="501"/>
      <c r="G66" s="374"/>
      <c r="H66" s="360"/>
      <c r="I66" s="376"/>
      <c r="J66" s="379"/>
      <c r="K66" s="500"/>
      <c r="L66" s="377"/>
      <c r="M66" s="501"/>
      <c r="N66" s="383" t="str">
        <f t="shared" si="2"/>
        <v/>
      </c>
      <c r="O66" s="358"/>
      <c r="P66" s="369"/>
      <c r="Q66" s="493"/>
      <c r="R66" s="496"/>
      <c r="S66" s="494"/>
      <c r="T66" s="494"/>
      <c r="U66" s="494"/>
      <c r="V66" s="497"/>
      <c r="W66" s="380"/>
      <c r="X66" s="378"/>
      <c r="Y66" s="360"/>
      <c r="Z66" s="502"/>
      <c r="AA66" s="361"/>
      <c r="AB66" s="501"/>
    </row>
    <row r="67" spans="1:28" ht="15.75" hidden="1" customHeight="1">
      <c r="A67" s="357">
        <v>45359</v>
      </c>
      <c r="B67" s="374" t="s">
        <v>236</v>
      </c>
      <c r="C67" s="375" t="s">
        <v>209</v>
      </c>
      <c r="D67" s="749" t="s">
        <v>213</v>
      </c>
      <c r="E67" s="749">
        <v>2.95</v>
      </c>
      <c r="F67" s="750" t="s">
        <v>237</v>
      </c>
      <c r="G67" s="374">
        <v>12</v>
      </c>
      <c r="H67" s="360" t="str">
        <f t="shared" ref="H67:H78" si="41">IFERROR(IF(AA67&lt;&gt;"",W67*G67*AA67,""),"input error")</f>
        <v>input error</v>
      </c>
      <c r="I67" s="376">
        <v>12</v>
      </c>
      <c r="J67" s="751" t="s">
        <v>39</v>
      </c>
      <c r="K67" s="500">
        <f>5167+5250+5422</f>
        <v>15839</v>
      </c>
      <c r="L67" s="752">
        <f t="shared" ref="L67:L71" si="42">(K67*0.5)/1000</f>
        <v>7.9195000000000002</v>
      </c>
      <c r="M67" s="501">
        <f>0.02+0+0.01</f>
        <v>0.03</v>
      </c>
      <c r="N67" s="368" t="str">
        <f t="shared" si="2"/>
        <v>input error</v>
      </c>
      <c r="O67" s="358" t="str">
        <f t="shared" ref="O67:O78" si="43">IFERROR(IF(I67&lt;&gt;"",K67/(I67*W67*AA67),""),"input error")</f>
        <v>input error</v>
      </c>
      <c r="P67" s="369">
        <f t="shared" ref="P67:P78" si="44">IFERROR(IF(M67&lt;&gt;"",M67/(L67+M67),""),"input error")</f>
        <v>3.7738222529718848E-3</v>
      </c>
      <c r="Q67" s="493" t="s">
        <v>250</v>
      </c>
      <c r="R67" s="496">
        <v>7.5</v>
      </c>
      <c r="S67" s="757">
        <v>3</v>
      </c>
      <c r="T67" s="758">
        <v>7.5</v>
      </c>
      <c r="U67" s="757">
        <v>0</v>
      </c>
      <c r="V67" s="758">
        <f>IFERROR(IF(S67&gt;0,S67*T67-U67,""),"input error")</f>
        <v>22.5</v>
      </c>
      <c r="W67" s="380" t="e">
        <f>#REF!</f>
        <v>#REF!</v>
      </c>
      <c r="X67" s="378" t="str">
        <f t="shared" ref="X67:X78" si="45">IFERROR(IF(W67&lt;&gt;"",1/W67,""),"input error")</f>
        <v>input error</v>
      </c>
      <c r="Y67" s="360" t="str">
        <f t="shared" ref="Y67:Y78" si="46">IFERROR(IF(X67&lt;&gt;"",K67*X67,""),"input error")</f>
        <v>input error</v>
      </c>
      <c r="Z67" s="754">
        <f>SUM(Y67:Y78)</f>
        <v>0</v>
      </c>
      <c r="AA67" s="361" t="str">
        <f>IFERROR(IF(Y67&lt;&gt;"",$V$67*Y67/$Z$67,""),"input error")</f>
        <v>input error</v>
      </c>
      <c r="AB67" s="501"/>
    </row>
    <row r="68" spans="1:28" ht="15.75" hidden="1" customHeight="1">
      <c r="A68" s="357">
        <v>45359</v>
      </c>
      <c r="B68" s="374" t="s">
        <v>208</v>
      </c>
      <c r="C68" s="375" t="s">
        <v>209</v>
      </c>
      <c r="D68" s="374" t="s">
        <v>210</v>
      </c>
      <c r="E68" s="374">
        <v>2.95</v>
      </c>
      <c r="F68" s="501" t="s">
        <v>446</v>
      </c>
      <c r="G68" s="374">
        <v>12</v>
      </c>
      <c r="H68" s="360" t="str">
        <f t="shared" si="41"/>
        <v>input error</v>
      </c>
      <c r="I68" s="376">
        <v>12</v>
      </c>
      <c r="J68" s="374" t="s">
        <v>10</v>
      </c>
      <c r="K68" s="500">
        <f>5425+5431+5219</f>
        <v>16075</v>
      </c>
      <c r="L68" s="377">
        <f t="shared" si="42"/>
        <v>8.0374999999999996</v>
      </c>
      <c r="M68" s="501">
        <f>0.03+0+0.02</f>
        <v>0.05</v>
      </c>
      <c r="N68" s="368" t="str">
        <f t="shared" si="2"/>
        <v>input error</v>
      </c>
      <c r="O68" s="358" t="str">
        <f t="shared" si="43"/>
        <v>input error</v>
      </c>
      <c r="P68" s="369">
        <f t="shared" si="44"/>
        <v>6.1823802163833074E-3</v>
      </c>
      <c r="Q68" s="493" t="s">
        <v>250</v>
      </c>
      <c r="R68" s="496">
        <v>7.5</v>
      </c>
      <c r="S68" s="759"/>
      <c r="T68" s="760"/>
      <c r="U68" s="759"/>
      <c r="V68" s="760"/>
      <c r="W68" s="380" t="e">
        <f>#REF!</f>
        <v>#REF!</v>
      </c>
      <c r="X68" s="378" t="str">
        <f t="shared" si="45"/>
        <v>input error</v>
      </c>
      <c r="Y68" s="360" t="str">
        <f t="shared" si="46"/>
        <v>input error</v>
      </c>
      <c r="Z68" s="755"/>
      <c r="AA68" s="361" t="str">
        <f t="shared" ref="AA68:AA78" si="47">IFERROR(IF(Y68&lt;&gt;"",$V$67*Y68/$Z$67,""),"input error")</f>
        <v>input error</v>
      </c>
      <c r="AB68" s="501"/>
    </row>
    <row r="69" spans="1:28" ht="15.75" hidden="1" customHeight="1">
      <c r="A69" s="357">
        <v>45359</v>
      </c>
      <c r="B69" s="374" t="s">
        <v>447</v>
      </c>
      <c r="C69" s="375" t="s">
        <v>209</v>
      </c>
      <c r="D69" s="374" t="s">
        <v>213</v>
      </c>
      <c r="E69" s="374">
        <v>2.91</v>
      </c>
      <c r="F69" s="750" t="s">
        <v>237</v>
      </c>
      <c r="G69" s="374">
        <v>12</v>
      </c>
      <c r="H69" s="360" t="str">
        <f t="shared" si="41"/>
        <v>input error</v>
      </c>
      <c r="I69" s="376">
        <v>12</v>
      </c>
      <c r="J69" s="751" t="s">
        <v>39</v>
      </c>
      <c r="K69" s="500">
        <f>7930+8065+6559</f>
        <v>22554</v>
      </c>
      <c r="L69" s="752">
        <f t="shared" si="42"/>
        <v>11.276999999999999</v>
      </c>
      <c r="M69" s="501">
        <f>0.01+0+0.01</f>
        <v>0.02</v>
      </c>
      <c r="N69" s="368" t="str">
        <f t="shared" si="2"/>
        <v>input error</v>
      </c>
      <c r="O69" s="358" t="str">
        <f t="shared" si="43"/>
        <v>input error</v>
      </c>
      <c r="P69" s="369">
        <f t="shared" si="44"/>
        <v>1.7703815172169606E-3</v>
      </c>
      <c r="Q69" s="493" t="s">
        <v>250</v>
      </c>
      <c r="R69" s="496">
        <v>7.5</v>
      </c>
      <c r="S69" s="759"/>
      <c r="T69" s="760"/>
      <c r="U69" s="759"/>
      <c r="V69" s="760"/>
      <c r="W69" s="380" t="e">
        <f>#REF!</f>
        <v>#REF!</v>
      </c>
      <c r="X69" s="378" t="str">
        <f t="shared" si="45"/>
        <v>input error</v>
      </c>
      <c r="Y69" s="360" t="str">
        <f t="shared" si="46"/>
        <v>input error</v>
      </c>
      <c r="Z69" s="755"/>
      <c r="AA69" s="361" t="str">
        <f t="shared" si="47"/>
        <v>input error</v>
      </c>
      <c r="AB69" s="501"/>
    </row>
    <row r="70" spans="1:28" ht="15.75" hidden="1" customHeight="1">
      <c r="A70" s="357">
        <v>45359</v>
      </c>
      <c r="B70" s="374" t="s">
        <v>212</v>
      </c>
      <c r="C70" s="375" t="s">
        <v>209</v>
      </c>
      <c r="D70" s="374" t="s">
        <v>213</v>
      </c>
      <c r="E70" s="374">
        <v>2.91</v>
      </c>
      <c r="F70" s="501" t="s">
        <v>214</v>
      </c>
      <c r="G70" s="374">
        <v>12</v>
      </c>
      <c r="H70" s="360" t="str">
        <f t="shared" si="41"/>
        <v>input error</v>
      </c>
      <c r="I70" s="376">
        <v>12</v>
      </c>
      <c r="J70" s="379" t="s">
        <v>32</v>
      </c>
      <c r="K70" s="500">
        <f>6292+6373+5915</f>
        <v>18580</v>
      </c>
      <c r="L70" s="377">
        <f t="shared" si="42"/>
        <v>9.2899999999999991</v>
      </c>
      <c r="M70" s="501">
        <f>0.01+0+0.02</f>
        <v>0.03</v>
      </c>
      <c r="N70" s="368" t="str">
        <f t="shared" si="2"/>
        <v>input error</v>
      </c>
      <c r="O70" s="358" t="str">
        <f t="shared" si="43"/>
        <v>input error</v>
      </c>
      <c r="P70" s="369">
        <f t="shared" si="44"/>
        <v>3.2188841201716742E-3</v>
      </c>
      <c r="Q70" s="493" t="s">
        <v>250</v>
      </c>
      <c r="R70" s="496">
        <v>7.5</v>
      </c>
      <c r="S70" s="759"/>
      <c r="T70" s="760"/>
      <c r="U70" s="759"/>
      <c r="V70" s="760"/>
      <c r="W70" s="380" t="e">
        <f>#REF!</f>
        <v>#REF!</v>
      </c>
      <c r="X70" s="378" t="str">
        <f t="shared" si="45"/>
        <v>input error</v>
      </c>
      <c r="Y70" s="360" t="str">
        <f t="shared" si="46"/>
        <v>input error</v>
      </c>
      <c r="Z70" s="755"/>
      <c r="AA70" s="361" t="str">
        <f t="shared" si="47"/>
        <v>input error</v>
      </c>
      <c r="AB70" s="501"/>
    </row>
    <row r="71" spans="1:28" ht="15.75" hidden="1" customHeight="1">
      <c r="A71" s="357">
        <v>45359</v>
      </c>
      <c r="B71" s="374" t="s">
        <v>215</v>
      </c>
      <c r="C71" s="375" t="s">
        <v>209</v>
      </c>
      <c r="D71" s="374" t="s">
        <v>213</v>
      </c>
      <c r="E71" s="374">
        <v>2.91</v>
      </c>
      <c r="F71" s="501" t="s">
        <v>214</v>
      </c>
      <c r="G71" s="374">
        <v>12</v>
      </c>
      <c r="H71" s="360" t="str">
        <f t="shared" si="41"/>
        <v>input error</v>
      </c>
      <c r="I71" s="376">
        <v>12</v>
      </c>
      <c r="J71" s="379" t="s">
        <v>32</v>
      </c>
      <c r="K71" s="500">
        <f>4495+4755+4487</f>
        <v>13737</v>
      </c>
      <c r="L71" s="377">
        <f t="shared" si="42"/>
        <v>6.8685</v>
      </c>
      <c r="M71" s="501">
        <f>0.02+0+0.01</f>
        <v>0.03</v>
      </c>
      <c r="N71" s="368" t="str">
        <f t="shared" ref="N71:N110" si="48">IFERROR(IF(K71&gt;0,K71/H71,""),"input error")</f>
        <v>input error</v>
      </c>
      <c r="O71" s="358" t="str">
        <f t="shared" si="43"/>
        <v>input error</v>
      </c>
      <c r="P71" s="369">
        <f t="shared" si="44"/>
        <v>4.3487714720591431E-3</v>
      </c>
      <c r="Q71" s="493" t="s">
        <v>250</v>
      </c>
      <c r="R71" s="496">
        <v>7.5</v>
      </c>
      <c r="S71" s="759"/>
      <c r="T71" s="760"/>
      <c r="U71" s="759"/>
      <c r="V71" s="760"/>
      <c r="W71" s="380" t="e">
        <f>#REF!</f>
        <v>#REF!</v>
      </c>
      <c r="X71" s="378" t="str">
        <f t="shared" si="45"/>
        <v>input error</v>
      </c>
      <c r="Y71" s="360" t="str">
        <f t="shared" si="46"/>
        <v>input error</v>
      </c>
      <c r="Z71" s="755"/>
      <c r="AA71" s="361" t="str">
        <f t="shared" si="47"/>
        <v>input error</v>
      </c>
      <c r="AB71" s="501"/>
    </row>
    <row r="72" spans="1:28" ht="15.75" customHeight="1">
      <c r="A72" s="357">
        <v>45359</v>
      </c>
      <c r="B72" s="374" t="s">
        <v>218</v>
      </c>
      <c r="C72" s="375" t="s">
        <v>209</v>
      </c>
      <c r="D72" s="374" t="s">
        <v>217</v>
      </c>
      <c r="E72" s="374">
        <v>6.22</v>
      </c>
      <c r="F72" s="511" t="s">
        <v>83</v>
      </c>
      <c r="G72" s="374">
        <v>12</v>
      </c>
      <c r="H72" s="360" t="str">
        <f t="shared" si="41"/>
        <v>input error</v>
      </c>
      <c r="I72" s="376">
        <v>12</v>
      </c>
      <c r="J72" s="381" t="s">
        <v>84</v>
      </c>
      <c r="K72" s="500">
        <f>13940+10492</f>
        <v>24432</v>
      </c>
      <c r="L72" s="377">
        <f>(0.3325*K72)/1000</f>
        <v>8.12364</v>
      </c>
      <c r="M72" s="501">
        <f>0+0</f>
        <v>0</v>
      </c>
      <c r="N72" s="368" t="str">
        <f t="shared" si="48"/>
        <v>input error</v>
      </c>
      <c r="O72" s="358" t="str">
        <f t="shared" si="43"/>
        <v>input error</v>
      </c>
      <c r="P72" s="369">
        <f t="shared" si="44"/>
        <v>0</v>
      </c>
      <c r="Q72" s="493" t="s">
        <v>451</v>
      </c>
      <c r="R72" s="496">
        <v>7.5</v>
      </c>
      <c r="S72" s="759"/>
      <c r="T72" s="760"/>
      <c r="U72" s="759"/>
      <c r="V72" s="760"/>
      <c r="W72" s="380" t="e">
        <f>#REF!</f>
        <v>#REF!</v>
      </c>
      <c r="X72" s="378" t="str">
        <f t="shared" si="45"/>
        <v>input error</v>
      </c>
      <c r="Y72" s="360" t="str">
        <f t="shared" si="46"/>
        <v>input error</v>
      </c>
      <c r="Z72" s="755"/>
      <c r="AA72" s="361" t="str">
        <f t="shared" si="47"/>
        <v>input error</v>
      </c>
      <c r="AB72" s="501"/>
    </row>
    <row r="73" spans="1:28" ht="15.75" hidden="1" customHeight="1">
      <c r="A73" s="357">
        <v>45359</v>
      </c>
      <c r="B73" s="374" t="s">
        <v>242</v>
      </c>
      <c r="C73" s="375" t="s">
        <v>209</v>
      </c>
      <c r="D73" s="749" t="s">
        <v>243</v>
      </c>
      <c r="E73" s="749">
        <v>15.18</v>
      </c>
      <c r="F73" s="750" t="s">
        <v>244</v>
      </c>
      <c r="G73" s="374">
        <v>12</v>
      </c>
      <c r="H73" s="360" t="str">
        <f t="shared" si="41"/>
        <v>input error</v>
      </c>
      <c r="I73" s="376">
        <v>12</v>
      </c>
      <c r="J73" s="753" t="s">
        <v>245</v>
      </c>
      <c r="K73" s="500">
        <f>12320+14160+14310</f>
        <v>40790</v>
      </c>
      <c r="L73" s="752">
        <f>(1.996*K73)/1000</f>
        <v>81.416839999999993</v>
      </c>
      <c r="M73" s="501">
        <f>0.03+0.01+0.03</f>
        <v>7.0000000000000007E-2</v>
      </c>
      <c r="N73" s="368" t="str">
        <f t="shared" si="48"/>
        <v>input error</v>
      </c>
      <c r="O73" s="358" t="str">
        <f t="shared" si="43"/>
        <v>input error</v>
      </c>
      <c r="P73" s="369">
        <f t="shared" si="44"/>
        <v>8.5903441586396062E-4</v>
      </c>
      <c r="Q73" s="493" t="s">
        <v>448</v>
      </c>
      <c r="R73" s="496">
        <v>7.5</v>
      </c>
      <c r="S73" s="759"/>
      <c r="T73" s="760"/>
      <c r="U73" s="759"/>
      <c r="V73" s="760"/>
      <c r="W73" s="380" t="e">
        <f>#REF!</f>
        <v>#REF!</v>
      </c>
      <c r="X73" s="378" t="str">
        <f t="shared" si="45"/>
        <v>input error</v>
      </c>
      <c r="Y73" s="360" t="str">
        <f t="shared" si="46"/>
        <v>input error</v>
      </c>
      <c r="Z73" s="755"/>
      <c r="AA73" s="361" t="str">
        <f t="shared" si="47"/>
        <v>input error</v>
      </c>
      <c r="AB73" s="501"/>
    </row>
    <row r="74" spans="1:28" ht="15.75" hidden="1" customHeight="1">
      <c r="A74" s="357">
        <v>45359</v>
      </c>
      <c r="B74" s="374" t="s">
        <v>449</v>
      </c>
      <c r="C74" s="375" t="s">
        <v>209</v>
      </c>
      <c r="D74" s="749" t="s">
        <v>450</v>
      </c>
      <c r="E74" s="749">
        <v>12.6</v>
      </c>
      <c r="F74" s="750" t="s">
        <v>261</v>
      </c>
      <c r="G74" s="374">
        <v>12</v>
      </c>
      <c r="H74" s="360" t="str">
        <f t="shared" si="41"/>
        <v>input error</v>
      </c>
      <c r="I74" s="376">
        <v>12</v>
      </c>
      <c r="J74" s="756" t="s">
        <v>57</v>
      </c>
      <c r="K74" s="500">
        <f>11650+13291+13551</f>
        <v>38492</v>
      </c>
      <c r="L74" s="752">
        <f>(1.3523*K74)/1000</f>
        <v>52.052731600000001</v>
      </c>
      <c r="M74" s="501">
        <f>0.03+0.01+0.03</f>
        <v>7.0000000000000007E-2</v>
      </c>
      <c r="N74" s="368" t="str">
        <f t="shared" si="48"/>
        <v>input error</v>
      </c>
      <c r="O74" s="358" t="str">
        <f t="shared" si="43"/>
        <v>input error</v>
      </c>
      <c r="P74" s="369">
        <f t="shared" si="44"/>
        <v>1.3429841040794571E-3</v>
      </c>
      <c r="Q74" s="493" t="s">
        <v>248</v>
      </c>
      <c r="R74" s="496">
        <v>7.5</v>
      </c>
      <c r="S74" s="759"/>
      <c r="T74" s="760"/>
      <c r="U74" s="759"/>
      <c r="V74" s="760"/>
      <c r="W74" s="380" t="e">
        <f>#REF!</f>
        <v>#REF!</v>
      </c>
      <c r="X74" s="378" t="str">
        <f t="shared" si="45"/>
        <v>input error</v>
      </c>
      <c r="Y74" s="360" t="str">
        <f t="shared" si="46"/>
        <v>input error</v>
      </c>
      <c r="Z74" s="755"/>
      <c r="AA74" s="361" t="str">
        <f t="shared" si="47"/>
        <v>input error</v>
      </c>
      <c r="AB74" s="501"/>
    </row>
    <row r="75" spans="1:28" ht="15.75" hidden="1" customHeight="1">
      <c r="A75" s="357">
        <v>45359</v>
      </c>
      <c r="B75" s="374" t="s">
        <v>219</v>
      </c>
      <c r="C75" s="375" t="s">
        <v>209</v>
      </c>
      <c r="D75" s="374" t="s">
        <v>12</v>
      </c>
      <c r="E75" s="374">
        <v>9.25</v>
      </c>
      <c r="F75" s="501" t="s">
        <v>446</v>
      </c>
      <c r="G75" s="374">
        <v>12</v>
      </c>
      <c r="H75" s="360" t="str">
        <f t="shared" si="41"/>
        <v>input error</v>
      </c>
      <c r="I75" s="376">
        <v>12</v>
      </c>
      <c r="J75" s="379" t="s">
        <v>10</v>
      </c>
      <c r="K75" s="500">
        <f>8588+9869+9682</f>
        <v>28139</v>
      </c>
      <c r="L75" s="377">
        <f>(1.596*K75)/1000</f>
        <v>44.909844000000007</v>
      </c>
      <c r="M75" s="501">
        <f>0.04+0.01+0.02</f>
        <v>7.0000000000000007E-2</v>
      </c>
      <c r="N75" s="368" t="str">
        <f t="shared" si="48"/>
        <v>input error</v>
      </c>
      <c r="O75" s="358" t="str">
        <f t="shared" si="43"/>
        <v>input error</v>
      </c>
      <c r="P75" s="369">
        <f t="shared" si="44"/>
        <v>1.5562526183950304E-3</v>
      </c>
      <c r="Q75" s="493" t="s">
        <v>248</v>
      </c>
      <c r="R75" s="496">
        <v>7.5</v>
      </c>
      <c r="S75" s="759"/>
      <c r="T75" s="760"/>
      <c r="U75" s="759"/>
      <c r="V75" s="760"/>
      <c r="W75" s="380" t="e">
        <f>#REF!</f>
        <v>#REF!</v>
      </c>
      <c r="X75" s="378" t="str">
        <f t="shared" si="45"/>
        <v>input error</v>
      </c>
      <c r="Y75" s="360" t="str">
        <f t="shared" si="46"/>
        <v>input error</v>
      </c>
      <c r="Z75" s="755"/>
      <c r="AA75" s="361" t="str">
        <f t="shared" si="47"/>
        <v>input error</v>
      </c>
      <c r="AB75" s="501"/>
    </row>
    <row r="76" spans="1:28" ht="15.75" hidden="1" customHeight="1">
      <c r="A76" s="357">
        <v>45359</v>
      </c>
      <c r="B76" s="374" t="s">
        <v>220</v>
      </c>
      <c r="C76" s="375" t="s">
        <v>209</v>
      </c>
      <c r="D76" s="374" t="s">
        <v>33</v>
      </c>
      <c r="E76" s="374">
        <v>20.72</v>
      </c>
      <c r="F76" s="501" t="s">
        <v>214</v>
      </c>
      <c r="G76" s="374">
        <v>12</v>
      </c>
      <c r="H76" s="360" t="str">
        <f t="shared" si="41"/>
        <v>input error</v>
      </c>
      <c r="I76" s="376">
        <v>12</v>
      </c>
      <c r="J76" s="379" t="s">
        <v>32</v>
      </c>
      <c r="K76" s="500">
        <f>22149+19350+16652</f>
        <v>58151</v>
      </c>
      <c r="L76" s="377">
        <f>(3.194*K76)/1000</f>
        <v>185.73429400000001</v>
      </c>
      <c r="M76" s="501">
        <f>0.03+0.02+0.03</f>
        <v>0.08</v>
      </c>
      <c r="N76" s="368" t="str">
        <f t="shared" si="48"/>
        <v>input error</v>
      </c>
      <c r="O76" s="358" t="str">
        <f t="shared" si="43"/>
        <v>input error</v>
      </c>
      <c r="P76" s="369">
        <f t="shared" si="44"/>
        <v>4.3053738373862664E-4</v>
      </c>
      <c r="Q76" s="493" t="s">
        <v>248</v>
      </c>
      <c r="R76" s="496">
        <v>7.5</v>
      </c>
      <c r="S76" s="759"/>
      <c r="T76" s="760"/>
      <c r="U76" s="759"/>
      <c r="V76" s="760"/>
      <c r="W76" s="380" t="e">
        <f>#REF!</f>
        <v>#REF!</v>
      </c>
      <c r="X76" s="378" t="str">
        <f t="shared" si="45"/>
        <v>input error</v>
      </c>
      <c r="Y76" s="360" t="str">
        <f t="shared" si="46"/>
        <v>input error</v>
      </c>
      <c r="Z76" s="755"/>
      <c r="AA76" s="361" t="str">
        <f t="shared" si="47"/>
        <v>input error</v>
      </c>
      <c r="AB76" s="501"/>
    </row>
    <row r="77" spans="1:28" ht="15.75" hidden="1" customHeight="1">
      <c r="A77" s="357">
        <v>45359</v>
      </c>
      <c r="B77" s="374" t="s">
        <v>221</v>
      </c>
      <c r="C77" s="375" t="s">
        <v>209</v>
      </c>
      <c r="D77" s="374" t="s">
        <v>12</v>
      </c>
      <c r="E77" s="374">
        <v>9.26</v>
      </c>
      <c r="F77" s="501" t="s">
        <v>446</v>
      </c>
      <c r="G77" s="374">
        <v>12</v>
      </c>
      <c r="H77" s="360" t="str">
        <f t="shared" si="41"/>
        <v>input error</v>
      </c>
      <c r="I77" s="376">
        <v>12</v>
      </c>
      <c r="J77" s="382" t="s">
        <v>10</v>
      </c>
      <c r="K77" s="500">
        <f>10839+10659+10206</f>
        <v>31704</v>
      </c>
      <c r="L77" s="377">
        <f>(1.596*K77)/1000</f>
        <v>50.599584</v>
      </c>
      <c r="M77" s="501">
        <f>0.03+0.02+0.02</f>
        <v>7.0000000000000007E-2</v>
      </c>
      <c r="N77" s="368" t="str">
        <f t="shared" si="48"/>
        <v>input error</v>
      </c>
      <c r="O77" s="358" t="str">
        <f t="shared" si="43"/>
        <v>input error</v>
      </c>
      <c r="P77" s="369">
        <f t="shared" si="44"/>
        <v>1.381499402087059E-3</v>
      </c>
      <c r="Q77" s="493" t="s">
        <v>248</v>
      </c>
      <c r="R77" s="496">
        <v>7.5</v>
      </c>
      <c r="S77" s="759"/>
      <c r="T77" s="760"/>
      <c r="U77" s="759"/>
      <c r="V77" s="760"/>
      <c r="W77" s="380" t="e">
        <f>#REF!</f>
        <v>#REF!</v>
      </c>
      <c r="X77" s="378" t="str">
        <f t="shared" si="45"/>
        <v>input error</v>
      </c>
      <c r="Y77" s="360" t="str">
        <f t="shared" si="46"/>
        <v>input error</v>
      </c>
      <c r="Z77" s="755"/>
      <c r="AA77" s="361" t="str">
        <f t="shared" si="47"/>
        <v>input error</v>
      </c>
      <c r="AB77" s="501"/>
    </row>
    <row r="78" spans="1:28" ht="15.75" hidden="1" customHeight="1">
      <c r="A78" s="357">
        <v>45359</v>
      </c>
      <c r="B78" s="374" t="s">
        <v>222</v>
      </c>
      <c r="C78" s="375" t="s">
        <v>209</v>
      </c>
      <c r="D78" s="374" t="s">
        <v>12</v>
      </c>
      <c r="E78" s="374">
        <v>9.5</v>
      </c>
      <c r="F78" s="501" t="s">
        <v>446</v>
      </c>
      <c r="G78" s="374">
        <v>12</v>
      </c>
      <c r="H78" s="360" t="str">
        <f t="shared" si="41"/>
        <v>input error</v>
      </c>
      <c r="I78" s="376">
        <v>12</v>
      </c>
      <c r="J78" s="379" t="s">
        <v>10</v>
      </c>
      <c r="K78" s="500">
        <f>11328+12051+11345</f>
        <v>34724</v>
      </c>
      <c r="L78" s="377">
        <f>(1.596*K78)/1000</f>
        <v>55.419504000000003</v>
      </c>
      <c r="M78" s="501">
        <f>0.03+0+0.02</f>
        <v>0.05</v>
      </c>
      <c r="N78" s="368" t="str">
        <f t="shared" si="48"/>
        <v>input error</v>
      </c>
      <c r="O78" s="358" t="str">
        <f t="shared" si="43"/>
        <v>input error</v>
      </c>
      <c r="P78" s="369">
        <f t="shared" si="44"/>
        <v>9.0139619780988127E-4</v>
      </c>
      <c r="Q78" s="493" t="s">
        <v>248</v>
      </c>
      <c r="R78" s="496">
        <v>7.5</v>
      </c>
      <c r="S78" s="761"/>
      <c r="T78" s="762"/>
      <c r="U78" s="761"/>
      <c r="V78" s="762"/>
      <c r="W78" s="380" t="e">
        <f>#REF!</f>
        <v>#REF!</v>
      </c>
      <c r="X78" s="378" t="str">
        <f t="shared" si="45"/>
        <v>input error</v>
      </c>
      <c r="Y78" s="360" t="str">
        <f t="shared" si="46"/>
        <v>input error</v>
      </c>
      <c r="Z78" s="755"/>
      <c r="AA78" s="361" t="str">
        <f t="shared" si="47"/>
        <v>input error</v>
      </c>
      <c r="AB78" s="501"/>
    </row>
    <row r="79" spans="1:28" ht="15.75" hidden="1" customHeight="1">
      <c r="A79" s="357"/>
      <c r="B79" s="374"/>
      <c r="C79" s="375"/>
      <c r="D79" s="374"/>
      <c r="E79" s="374"/>
      <c r="F79" s="501"/>
      <c r="G79" s="374"/>
      <c r="H79" s="360"/>
      <c r="I79" s="376"/>
      <c r="J79" s="379"/>
      <c r="K79" s="500"/>
      <c r="L79" s="377"/>
      <c r="M79" s="501"/>
      <c r="N79" s="383" t="str">
        <f t="shared" si="48"/>
        <v/>
      </c>
      <c r="O79" s="358"/>
      <c r="P79" s="369"/>
      <c r="Q79" s="493"/>
      <c r="R79" s="496"/>
      <c r="S79" s="763"/>
      <c r="T79" s="764"/>
      <c r="U79" s="763"/>
      <c r="V79" s="764"/>
      <c r="W79" s="380"/>
      <c r="X79" s="378"/>
      <c r="Y79" s="360"/>
      <c r="Z79" s="502"/>
      <c r="AA79" s="361"/>
      <c r="AB79" s="501"/>
    </row>
    <row r="80" spans="1:28" ht="15.75" hidden="1" customHeight="1">
      <c r="A80" s="357">
        <v>45360</v>
      </c>
      <c r="B80" s="374" t="s">
        <v>236</v>
      </c>
      <c r="C80" s="375" t="s">
        <v>209</v>
      </c>
      <c r="D80" s="749" t="s">
        <v>213</v>
      </c>
      <c r="E80" s="749">
        <v>2.95</v>
      </c>
      <c r="F80" s="750" t="s">
        <v>237</v>
      </c>
      <c r="G80" s="374">
        <v>12</v>
      </c>
      <c r="H80" s="360" t="str">
        <f>IFERROR(IF(AA67&lt;&gt;"",W67*G80*AA67,""),"input error")</f>
        <v>input error</v>
      </c>
      <c r="I80" s="376">
        <v>12</v>
      </c>
      <c r="J80" s="751" t="s">
        <v>39</v>
      </c>
      <c r="K80" s="500">
        <f>3310+1887</f>
        <v>5197</v>
      </c>
      <c r="L80" s="752">
        <f t="shared" ref="L80:L84" si="49">(K80*0.5)/1000</f>
        <v>2.5985</v>
      </c>
      <c r="M80" s="501">
        <f>0.01+0+0.03</f>
        <v>0.04</v>
      </c>
      <c r="N80" s="368" t="str">
        <f>IFERROR(IF(K80&gt;0,K80/H93,""),"input error")</f>
        <v>input error</v>
      </c>
      <c r="O80" s="358" t="str">
        <f t="shared" ref="O80:O91" si="50">IFERROR(IF(I80&lt;&gt;"",K80/(I80*W80*AA80),""),"input error")</f>
        <v>input error</v>
      </c>
      <c r="P80" s="369">
        <f t="shared" ref="P80:P91" si="51">IFERROR(IF(M80&lt;&gt;"",M80/(L80+M80),""),"input error")</f>
        <v>1.5160128861095318E-2</v>
      </c>
      <c r="Q80" s="493" t="s">
        <v>239</v>
      </c>
      <c r="R80" s="496">
        <v>5</v>
      </c>
      <c r="S80" s="757">
        <v>3</v>
      </c>
      <c r="T80" s="758">
        <v>5</v>
      </c>
      <c r="U80" s="757">
        <v>0</v>
      </c>
      <c r="V80" s="758">
        <f>IFERROR(IF(S80&gt;0,S80*T80-U80,""),"input error")</f>
        <v>15</v>
      </c>
      <c r="W80" s="380" t="e">
        <f>#REF!</f>
        <v>#REF!</v>
      </c>
      <c r="X80" s="378" t="str">
        <f t="shared" ref="X80:X91" si="52">IFERROR(IF(W80&lt;&gt;"",1/W80,""),"input error")</f>
        <v>input error</v>
      </c>
      <c r="Y80" s="360" t="str">
        <f t="shared" ref="Y80:Y91" si="53">IFERROR(IF(X80&lt;&gt;"",K80*X80,""),"input error")</f>
        <v>input error</v>
      </c>
      <c r="Z80" s="754">
        <f>SUM(Y80:Y91)</f>
        <v>0</v>
      </c>
      <c r="AA80" s="361" t="str">
        <f>IFERROR(IF(Y80&lt;&gt;"",$V$80*Y80/$Z$80,""),"input error")</f>
        <v>input error</v>
      </c>
      <c r="AB80" s="501"/>
    </row>
    <row r="81" spans="1:28" ht="15.75" hidden="1" customHeight="1">
      <c r="A81" s="357">
        <v>45360</v>
      </c>
      <c r="B81" s="374" t="s">
        <v>208</v>
      </c>
      <c r="C81" s="375" t="s">
        <v>209</v>
      </c>
      <c r="D81" s="374" t="s">
        <v>210</v>
      </c>
      <c r="E81" s="374">
        <v>2.95</v>
      </c>
      <c r="F81" s="501" t="s">
        <v>446</v>
      </c>
      <c r="G81" s="374">
        <v>12</v>
      </c>
      <c r="H81" s="360" t="str">
        <f t="shared" ref="H81:H91" si="54">IFERROR(IF(AA81&lt;&gt;"",W81*G81*AA81,""),"input error")</f>
        <v>input error</v>
      </c>
      <c r="I81" s="376">
        <v>12</v>
      </c>
      <c r="J81" s="374" t="s">
        <v>10</v>
      </c>
      <c r="K81" s="500">
        <f>3299+1167+753</f>
        <v>5219</v>
      </c>
      <c r="L81" s="377">
        <f t="shared" si="49"/>
        <v>2.6095000000000002</v>
      </c>
      <c r="M81" s="501">
        <f>0.02+0+0.03</f>
        <v>0.05</v>
      </c>
      <c r="N81" s="368" t="str">
        <f t="shared" ref="N81:N91" si="55">IFERROR(IF(K81&gt;0,K81/H81,""),"input error")</f>
        <v>input error</v>
      </c>
      <c r="O81" s="358" t="str">
        <f t="shared" si="50"/>
        <v>input error</v>
      </c>
      <c r="P81" s="369">
        <f t="shared" si="51"/>
        <v>1.8800526414739616E-2</v>
      </c>
      <c r="Q81" s="493" t="s">
        <v>241</v>
      </c>
      <c r="R81" s="496">
        <v>5</v>
      </c>
      <c r="S81" s="759"/>
      <c r="T81" s="760"/>
      <c r="U81" s="759"/>
      <c r="V81" s="760"/>
      <c r="W81" s="380" t="e">
        <f>#REF!</f>
        <v>#REF!</v>
      </c>
      <c r="X81" s="378" t="str">
        <f t="shared" si="52"/>
        <v>input error</v>
      </c>
      <c r="Y81" s="360" t="str">
        <f t="shared" si="53"/>
        <v>input error</v>
      </c>
      <c r="Z81" s="755"/>
      <c r="AA81" s="361" t="str">
        <f t="shared" ref="AA81:AA91" si="56">IFERROR(IF(Y81&lt;&gt;"",$V$80*Y81/$Z$80,""),"input error")</f>
        <v>input error</v>
      </c>
      <c r="AB81" s="501"/>
    </row>
    <row r="82" spans="1:28" ht="15.75" hidden="1" customHeight="1">
      <c r="A82" s="357">
        <v>45360</v>
      </c>
      <c r="B82" s="374" t="s">
        <v>447</v>
      </c>
      <c r="C82" s="375" t="s">
        <v>209</v>
      </c>
      <c r="D82" s="374" t="s">
        <v>213</v>
      </c>
      <c r="E82" s="374">
        <v>2.91</v>
      </c>
      <c r="F82" s="750" t="s">
        <v>237</v>
      </c>
      <c r="G82" s="374">
        <v>12</v>
      </c>
      <c r="H82" s="360" t="str">
        <f t="shared" si="54"/>
        <v>input error</v>
      </c>
      <c r="I82" s="376">
        <v>12</v>
      </c>
      <c r="J82" s="751" t="s">
        <v>39</v>
      </c>
      <c r="K82" s="500">
        <f>4990+4740+4204</f>
        <v>13934</v>
      </c>
      <c r="L82" s="752">
        <f t="shared" si="49"/>
        <v>6.9669999999999996</v>
      </c>
      <c r="M82" s="501">
        <f>0.01+0+0.01</f>
        <v>0.02</v>
      </c>
      <c r="N82" s="368" t="str">
        <f t="shared" si="55"/>
        <v>input error</v>
      </c>
      <c r="O82" s="358" t="str">
        <f t="shared" si="50"/>
        <v>input error</v>
      </c>
      <c r="P82" s="369">
        <f t="shared" si="51"/>
        <v>2.8624588521540006E-3</v>
      </c>
      <c r="Q82" s="493" t="s">
        <v>241</v>
      </c>
      <c r="R82" s="496">
        <v>5</v>
      </c>
      <c r="S82" s="759"/>
      <c r="T82" s="760"/>
      <c r="U82" s="759"/>
      <c r="V82" s="760"/>
      <c r="W82" s="380" t="e">
        <f>#REF!</f>
        <v>#REF!</v>
      </c>
      <c r="X82" s="378" t="str">
        <f t="shared" si="52"/>
        <v>input error</v>
      </c>
      <c r="Y82" s="360" t="str">
        <f t="shared" si="53"/>
        <v>input error</v>
      </c>
      <c r="Z82" s="755"/>
      <c r="AA82" s="361" t="str">
        <f t="shared" si="56"/>
        <v>input error</v>
      </c>
      <c r="AB82" s="501"/>
    </row>
    <row r="83" spans="1:28" ht="15.75" hidden="1" customHeight="1">
      <c r="A83" s="357">
        <v>45360</v>
      </c>
      <c r="B83" s="374" t="s">
        <v>212</v>
      </c>
      <c r="C83" s="375" t="s">
        <v>209</v>
      </c>
      <c r="D83" s="374" t="s">
        <v>213</v>
      </c>
      <c r="E83" s="374">
        <v>2.91</v>
      </c>
      <c r="F83" s="501" t="s">
        <v>214</v>
      </c>
      <c r="G83" s="374">
        <v>12</v>
      </c>
      <c r="H83" s="360" t="str">
        <f t="shared" si="54"/>
        <v>input error</v>
      </c>
      <c r="I83" s="376">
        <v>12</v>
      </c>
      <c r="J83" s="379" t="s">
        <v>32</v>
      </c>
      <c r="K83" s="500">
        <f>3852+3748+3642</f>
        <v>11242</v>
      </c>
      <c r="L83" s="377">
        <f t="shared" si="49"/>
        <v>5.6210000000000004</v>
      </c>
      <c r="M83" s="501">
        <f>0.01+0+0.01</f>
        <v>0.02</v>
      </c>
      <c r="N83" s="368" t="str">
        <f t="shared" si="55"/>
        <v>input error</v>
      </c>
      <c r="O83" s="358" t="str">
        <f t="shared" si="50"/>
        <v>input error</v>
      </c>
      <c r="P83" s="369">
        <f t="shared" si="51"/>
        <v>3.5454706612302782E-3</v>
      </c>
      <c r="Q83" s="493" t="s">
        <v>241</v>
      </c>
      <c r="R83" s="496">
        <v>5</v>
      </c>
      <c r="S83" s="759"/>
      <c r="T83" s="760"/>
      <c r="U83" s="759"/>
      <c r="V83" s="760"/>
      <c r="W83" s="380" t="e">
        <f>#REF!</f>
        <v>#REF!</v>
      </c>
      <c r="X83" s="378" t="str">
        <f t="shared" si="52"/>
        <v>input error</v>
      </c>
      <c r="Y83" s="360" t="str">
        <f t="shared" si="53"/>
        <v>input error</v>
      </c>
      <c r="Z83" s="755"/>
      <c r="AA83" s="361" t="str">
        <f t="shared" si="56"/>
        <v>input error</v>
      </c>
      <c r="AB83" s="501"/>
    </row>
    <row r="84" spans="1:28" ht="15.75" hidden="1" customHeight="1">
      <c r="A84" s="357">
        <v>45360</v>
      </c>
      <c r="B84" s="374" t="s">
        <v>215</v>
      </c>
      <c r="C84" s="375" t="s">
        <v>209</v>
      </c>
      <c r="D84" s="374" t="s">
        <v>213</v>
      </c>
      <c r="E84" s="374">
        <v>2.91</v>
      </c>
      <c r="F84" s="501" t="s">
        <v>214</v>
      </c>
      <c r="G84" s="374">
        <v>12</v>
      </c>
      <c r="H84" s="360" t="str">
        <f t="shared" si="54"/>
        <v>input error</v>
      </c>
      <c r="I84" s="376">
        <v>12</v>
      </c>
      <c r="J84" s="379" t="s">
        <v>32</v>
      </c>
      <c r="K84" s="500">
        <f>2653+3240+2906</f>
        <v>8799</v>
      </c>
      <c r="L84" s="377">
        <f t="shared" si="49"/>
        <v>4.3994999999999997</v>
      </c>
      <c r="M84" s="501">
        <f>0.01+0+0.02</f>
        <v>0.03</v>
      </c>
      <c r="N84" s="368" t="str">
        <f t="shared" si="55"/>
        <v>input error</v>
      </c>
      <c r="O84" s="358" t="str">
        <f t="shared" si="50"/>
        <v>input error</v>
      </c>
      <c r="P84" s="369">
        <f t="shared" si="51"/>
        <v>6.7727734507280731E-3</v>
      </c>
      <c r="Q84" s="493" t="s">
        <v>241</v>
      </c>
      <c r="R84" s="496">
        <v>5</v>
      </c>
      <c r="S84" s="759"/>
      <c r="T84" s="760"/>
      <c r="U84" s="759"/>
      <c r="V84" s="760"/>
      <c r="W84" s="380" t="e">
        <f>#REF!</f>
        <v>#REF!</v>
      </c>
      <c r="X84" s="378" t="str">
        <f t="shared" si="52"/>
        <v>input error</v>
      </c>
      <c r="Y84" s="360" t="str">
        <f t="shared" si="53"/>
        <v>input error</v>
      </c>
      <c r="Z84" s="755"/>
      <c r="AA84" s="361" t="str">
        <f t="shared" si="56"/>
        <v>input error</v>
      </c>
      <c r="AB84" s="501"/>
    </row>
    <row r="85" spans="1:28" ht="15.75" customHeight="1">
      <c r="A85" s="357">
        <v>45360</v>
      </c>
      <c r="B85" s="374" t="s">
        <v>218</v>
      </c>
      <c r="C85" s="375" t="s">
        <v>209</v>
      </c>
      <c r="D85" s="374" t="s">
        <v>217</v>
      </c>
      <c r="E85" s="374">
        <v>6.22</v>
      </c>
      <c r="F85" s="511" t="s">
        <v>83</v>
      </c>
      <c r="G85" s="374">
        <v>12</v>
      </c>
      <c r="H85" s="360" t="str">
        <f t="shared" si="54"/>
        <v>input error</v>
      </c>
      <c r="I85" s="376">
        <v>12</v>
      </c>
      <c r="J85" s="381" t="s">
        <v>84</v>
      </c>
      <c r="K85" s="500">
        <f>6240</f>
        <v>6240</v>
      </c>
      <c r="L85" s="377">
        <f>(0.3325*K85)/1000</f>
        <v>2.0748000000000002</v>
      </c>
      <c r="M85" s="501">
        <f>0.01+0+0.02</f>
        <v>0.03</v>
      </c>
      <c r="N85" s="368" t="str">
        <f t="shared" si="55"/>
        <v>input error</v>
      </c>
      <c r="O85" s="358" t="str">
        <f t="shared" si="50"/>
        <v>input error</v>
      </c>
      <c r="P85" s="369">
        <f t="shared" si="51"/>
        <v>1.4253135689851766E-2</v>
      </c>
      <c r="Q85" s="493" t="s">
        <v>452</v>
      </c>
      <c r="R85" s="496">
        <v>5</v>
      </c>
      <c r="S85" s="759"/>
      <c r="T85" s="760"/>
      <c r="U85" s="759"/>
      <c r="V85" s="760"/>
      <c r="W85" s="380" t="e">
        <f>#REF!</f>
        <v>#REF!</v>
      </c>
      <c r="X85" s="378" t="str">
        <f t="shared" si="52"/>
        <v>input error</v>
      </c>
      <c r="Y85" s="360" t="str">
        <f t="shared" si="53"/>
        <v>input error</v>
      </c>
      <c r="Z85" s="755"/>
      <c r="AA85" s="361" t="str">
        <f t="shared" si="56"/>
        <v>input error</v>
      </c>
      <c r="AB85" s="501"/>
    </row>
    <row r="86" spans="1:28" ht="15.75" hidden="1" customHeight="1">
      <c r="A86" s="357">
        <v>45360</v>
      </c>
      <c r="B86" s="374" t="s">
        <v>242</v>
      </c>
      <c r="C86" s="375" t="s">
        <v>209</v>
      </c>
      <c r="D86" s="749" t="s">
        <v>243</v>
      </c>
      <c r="E86" s="749">
        <v>15.18</v>
      </c>
      <c r="F86" s="750" t="s">
        <v>244</v>
      </c>
      <c r="G86" s="374">
        <v>12</v>
      </c>
      <c r="H86" s="360" t="str">
        <f t="shared" si="54"/>
        <v>input error</v>
      </c>
      <c r="I86" s="376">
        <v>12</v>
      </c>
      <c r="J86" s="753" t="s">
        <v>245</v>
      </c>
      <c r="K86" s="500">
        <f>9530+7127+7305</f>
        <v>23962</v>
      </c>
      <c r="L86" s="752">
        <f>(1.996*K86)/1000</f>
        <v>47.828152000000003</v>
      </c>
      <c r="M86" s="501">
        <f>0+0+0.02</f>
        <v>0.02</v>
      </c>
      <c r="N86" s="368" t="str">
        <f t="shared" si="55"/>
        <v>input error</v>
      </c>
      <c r="O86" s="358" t="str">
        <f t="shared" si="50"/>
        <v>input error</v>
      </c>
      <c r="P86" s="369">
        <f t="shared" si="51"/>
        <v>4.1798897478840976E-4</v>
      </c>
      <c r="Q86" s="493" t="s">
        <v>453</v>
      </c>
      <c r="R86" s="496">
        <v>5</v>
      </c>
      <c r="S86" s="759"/>
      <c r="T86" s="760"/>
      <c r="U86" s="759"/>
      <c r="V86" s="760"/>
      <c r="W86" s="380" t="e">
        <f>#REF!</f>
        <v>#REF!</v>
      </c>
      <c r="X86" s="378" t="str">
        <f t="shared" si="52"/>
        <v>input error</v>
      </c>
      <c r="Y86" s="360" t="str">
        <f t="shared" si="53"/>
        <v>input error</v>
      </c>
      <c r="Z86" s="755"/>
      <c r="AA86" s="361" t="str">
        <f t="shared" si="56"/>
        <v>input error</v>
      </c>
      <c r="AB86" s="501"/>
    </row>
    <row r="87" spans="1:28" ht="15.75" hidden="1" customHeight="1">
      <c r="A87" s="357">
        <v>45360</v>
      </c>
      <c r="B87" s="374" t="s">
        <v>449</v>
      </c>
      <c r="C87" s="375" t="s">
        <v>209</v>
      </c>
      <c r="D87" s="749" t="s">
        <v>450</v>
      </c>
      <c r="E87" s="749">
        <v>12.6</v>
      </c>
      <c r="F87" s="750" t="s">
        <v>261</v>
      </c>
      <c r="G87" s="374">
        <v>12</v>
      </c>
      <c r="H87" s="360" t="str">
        <f t="shared" si="54"/>
        <v>input error</v>
      </c>
      <c r="I87" s="376">
        <v>12</v>
      </c>
      <c r="J87" s="756" t="s">
        <v>57</v>
      </c>
      <c r="K87" s="500">
        <f>6742+8376+1719</f>
        <v>16837</v>
      </c>
      <c r="L87" s="752">
        <f>(1.3523*K87)/1000</f>
        <v>22.768675099999999</v>
      </c>
      <c r="M87" s="501">
        <f>0.02+0.01+0.03</f>
        <v>0.06</v>
      </c>
      <c r="N87" s="368" t="str">
        <f t="shared" si="55"/>
        <v>input error</v>
      </c>
      <c r="O87" s="358" t="str">
        <f t="shared" si="50"/>
        <v>input error</v>
      </c>
      <c r="P87" s="369">
        <f t="shared" si="51"/>
        <v>2.6282734209135072E-3</v>
      </c>
      <c r="Q87" s="493" t="s">
        <v>240</v>
      </c>
      <c r="R87" s="496">
        <v>5</v>
      </c>
      <c r="S87" s="759"/>
      <c r="T87" s="760"/>
      <c r="U87" s="759"/>
      <c r="V87" s="760"/>
      <c r="W87" s="380" t="e">
        <f>#REF!</f>
        <v>#REF!</v>
      </c>
      <c r="X87" s="378" t="str">
        <f t="shared" si="52"/>
        <v>input error</v>
      </c>
      <c r="Y87" s="360" t="str">
        <f t="shared" si="53"/>
        <v>input error</v>
      </c>
      <c r="Z87" s="755"/>
      <c r="AA87" s="361" t="str">
        <f t="shared" si="56"/>
        <v>input error</v>
      </c>
      <c r="AB87" s="501"/>
    </row>
    <row r="88" spans="1:28" ht="15.75" hidden="1" customHeight="1">
      <c r="A88" s="357">
        <v>45360</v>
      </c>
      <c r="B88" s="374" t="s">
        <v>219</v>
      </c>
      <c r="C88" s="375" t="s">
        <v>209</v>
      </c>
      <c r="D88" s="374" t="s">
        <v>12</v>
      </c>
      <c r="E88" s="374">
        <v>9.25</v>
      </c>
      <c r="F88" s="501" t="s">
        <v>446</v>
      </c>
      <c r="G88" s="374">
        <v>12</v>
      </c>
      <c r="H88" s="360" t="str">
        <f t="shared" si="54"/>
        <v>input error</v>
      </c>
      <c r="I88" s="376">
        <v>12</v>
      </c>
      <c r="J88" s="379" t="s">
        <v>10</v>
      </c>
      <c r="K88" s="500">
        <f>5936+4920+4607</f>
        <v>15463</v>
      </c>
      <c r="L88" s="377">
        <f>(1.596*K88)/1000</f>
        <v>24.678948000000002</v>
      </c>
      <c r="M88" s="501">
        <f>0.02+0+0</f>
        <v>0.02</v>
      </c>
      <c r="N88" s="368" t="str">
        <f t="shared" si="55"/>
        <v>input error</v>
      </c>
      <c r="O88" s="358" t="str">
        <f t="shared" si="50"/>
        <v>input error</v>
      </c>
      <c r="P88" s="369">
        <f t="shared" si="51"/>
        <v>8.0975108737424764E-4</v>
      </c>
      <c r="Q88" s="493" t="s">
        <v>238</v>
      </c>
      <c r="R88" s="496">
        <v>5</v>
      </c>
      <c r="S88" s="759"/>
      <c r="T88" s="760"/>
      <c r="U88" s="759"/>
      <c r="V88" s="760"/>
      <c r="W88" s="380" t="e">
        <f>#REF!</f>
        <v>#REF!</v>
      </c>
      <c r="X88" s="378" t="str">
        <f t="shared" si="52"/>
        <v>input error</v>
      </c>
      <c r="Y88" s="360" t="str">
        <f t="shared" si="53"/>
        <v>input error</v>
      </c>
      <c r="Z88" s="755"/>
      <c r="AA88" s="361" t="str">
        <f t="shared" si="56"/>
        <v>input error</v>
      </c>
      <c r="AB88" s="501"/>
    </row>
    <row r="89" spans="1:28" ht="15.75" hidden="1" customHeight="1">
      <c r="A89" s="357">
        <v>45360</v>
      </c>
      <c r="B89" s="374" t="s">
        <v>220</v>
      </c>
      <c r="C89" s="375" t="s">
        <v>209</v>
      </c>
      <c r="D89" s="374" t="s">
        <v>33</v>
      </c>
      <c r="E89" s="374">
        <v>20.72</v>
      </c>
      <c r="F89" s="501" t="s">
        <v>214</v>
      </c>
      <c r="G89" s="374">
        <v>12</v>
      </c>
      <c r="H89" s="360" t="str">
        <f t="shared" si="54"/>
        <v>input error</v>
      </c>
      <c r="I89" s="376">
        <v>12</v>
      </c>
      <c r="J89" s="379" t="s">
        <v>32</v>
      </c>
      <c r="K89" s="500">
        <f>9515+9435+5846</f>
        <v>24796</v>
      </c>
      <c r="L89" s="377">
        <f>(3.194*K89)/1000</f>
        <v>79.198424000000003</v>
      </c>
      <c r="M89" s="501">
        <f>0.04+0.01+0.03</f>
        <v>0.08</v>
      </c>
      <c r="N89" s="368" t="str">
        <f t="shared" si="55"/>
        <v>input error</v>
      </c>
      <c r="O89" s="358" t="str">
        <f t="shared" si="50"/>
        <v>input error</v>
      </c>
      <c r="P89" s="369">
        <f t="shared" si="51"/>
        <v>1.0091017954645515E-3</v>
      </c>
      <c r="Q89" s="493" t="s">
        <v>238</v>
      </c>
      <c r="R89" s="496">
        <v>5</v>
      </c>
      <c r="S89" s="759"/>
      <c r="T89" s="760"/>
      <c r="U89" s="759"/>
      <c r="V89" s="760"/>
      <c r="W89" s="380" t="e">
        <f>#REF!</f>
        <v>#REF!</v>
      </c>
      <c r="X89" s="378" t="str">
        <f t="shared" si="52"/>
        <v>input error</v>
      </c>
      <c r="Y89" s="360" t="str">
        <f t="shared" si="53"/>
        <v>input error</v>
      </c>
      <c r="Z89" s="755"/>
      <c r="AA89" s="361" t="str">
        <f t="shared" si="56"/>
        <v>input error</v>
      </c>
      <c r="AB89" s="501"/>
    </row>
    <row r="90" spans="1:28" ht="15.75" hidden="1" customHeight="1">
      <c r="A90" s="357">
        <v>45360</v>
      </c>
      <c r="B90" s="374" t="s">
        <v>221</v>
      </c>
      <c r="C90" s="375" t="s">
        <v>209</v>
      </c>
      <c r="D90" s="374" t="s">
        <v>12</v>
      </c>
      <c r="E90" s="374">
        <v>9.26</v>
      </c>
      <c r="F90" s="501" t="s">
        <v>446</v>
      </c>
      <c r="G90" s="374">
        <v>12</v>
      </c>
      <c r="H90" s="360" t="str">
        <f t="shared" si="54"/>
        <v>input error</v>
      </c>
      <c r="I90" s="376">
        <v>12</v>
      </c>
      <c r="J90" s="382" t="s">
        <v>10</v>
      </c>
      <c r="K90" s="500">
        <f>5929+5103+5616</f>
        <v>16648</v>
      </c>
      <c r="L90" s="377">
        <f>(1.596*K90)/1000</f>
        <v>26.570208000000001</v>
      </c>
      <c r="M90" s="501">
        <f>0.03+0.01+0.02</f>
        <v>0.06</v>
      </c>
      <c r="N90" s="368" t="str">
        <f t="shared" si="55"/>
        <v>input error</v>
      </c>
      <c r="O90" s="358" t="str">
        <f t="shared" si="50"/>
        <v>input error</v>
      </c>
      <c r="P90" s="369">
        <f t="shared" si="51"/>
        <v>2.2530804115386558E-3</v>
      </c>
      <c r="Q90" s="493" t="s">
        <v>238</v>
      </c>
      <c r="R90" s="496">
        <v>5</v>
      </c>
      <c r="S90" s="759"/>
      <c r="T90" s="760"/>
      <c r="U90" s="759"/>
      <c r="V90" s="760"/>
      <c r="W90" s="380" t="e">
        <f>#REF!</f>
        <v>#REF!</v>
      </c>
      <c r="X90" s="378" t="str">
        <f t="shared" si="52"/>
        <v>input error</v>
      </c>
      <c r="Y90" s="360" t="str">
        <f t="shared" si="53"/>
        <v>input error</v>
      </c>
      <c r="Z90" s="755"/>
      <c r="AA90" s="361" t="str">
        <f t="shared" si="56"/>
        <v>input error</v>
      </c>
      <c r="AB90" s="501"/>
    </row>
    <row r="91" spans="1:28" ht="15.75" hidden="1" customHeight="1">
      <c r="A91" s="357">
        <v>45360</v>
      </c>
      <c r="B91" s="374" t="s">
        <v>222</v>
      </c>
      <c r="C91" s="375" t="s">
        <v>209</v>
      </c>
      <c r="D91" s="374" t="s">
        <v>12</v>
      </c>
      <c r="E91" s="374">
        <v>9.5</v>
      </c>
      <c r="F91" s="501" t="s">
        <v>446</v>
      </c>
      <c r="G91" s="374">
        <v>12</v>
      </c>
      <c r="H91" s="360" t="str">
        <f t="shared" si="54"/>
        <v>input error</v>
      </c>
      <c r="I91" s="376">
        <v>12</v>
      </c>
      <c r="J91" s="379" t="s">
        <v>10</v>
      </c>
      <c r="K91" s="500">
        <f>7149+7179+5308</f>
        <v>19636</v>
      </c>
      <c r="L91" s="377">
        <f>(1.596*K91)/1000</f>
        <v>31.339055999999999</v>
      </c>
      <c r="M91" s="501">
        <f>0.03+0+0</f>
        <v>0.03</v>
      </c>
      <c r="N91" s="368" t="str">
        <f t="shared" si="55"/>
        <v>input error</v>
      </c>
      <c r="O91" s="358" t="str">
        <f t="shared" si="50"/>
        <v>input error</v>
      </c>
      <c r="P91" s="369">
        <f t="shared" si="51"/>
        <v>9.5635648073056452E-4</v>
      </c>
      <c r="Q91" s="493" t="s">
        <v>238</v>
      </c>
      <c r="R91" s="496">
        <v>5</v>
      </c>
      <c r="S91" s="761"/>
      <c r="T91" s="762"/>
      <c r="U91" s="761"/>
      <c r="V91" s="762"/>
      <c r="W91" s="380" t="e">
        <f>#REF!</f>
        <v>#REF!</v>
      </c>
      <c r="X91" s="378" t="str">
        <f t="shared" si="52"/>
        <v>input error</v>
      </c>
      <c r="Y91" s="360" t="str">
        <f t="shared" si="53"/>
        <v>input error</v>
      </c>
      <c r="Z91" s="755"/>
      <c r="AA91" s="361" t="str">
        <f t="shared" si="56"/>
        <v>input error</v>
      </c>
      <c r="AB91" s="501"/>
    </row>
    <row r="92" spans="1:28" ht="15.75" hidden="1" customHeight="1">
      <c r="A92" s="357"/>
      <c r="B92" s="374"/>
      <c r="C92" s="375"/>
      <c r="D92" s="374"/>
      <c r="E92" s="374"/>
      <c r="F92" s="501"/>
      <c r="G92" s="374"/>
      <c r="H92" s="360"/>
      <c r="I92" s="376"/>
      <c r="J92" s="379"/>
      <c r="K92" s="500"/>
      <c r="L92" s="377"/>
      <c r="M92" s="501"/>
      <c r="N92" s="368" t="str">
        <f t="shared" ref="N92:N103" si="57">IFERROR(IF(K92&gt;0,K92/H105,""),"input error")</f>
        <v/>
      </c>
      <c r="O92" s="358"/>
      <c r="P92" s="369"/>
      <c r="Q92" s="493"/>
      <c r="R92" s="496"/>
      <c r="S92" s="763"/>
      <c r="T92" s="764"/>
      <c r="U92" s="763"/>
      <c r="V92" s="764"/>
      <c r="W92" s="380"/>
      <c r="X92" s="378"/>
      <c r="Y92" s="360"/>
      <c r="Z92" s="502"/>
      <c r="AA92" s="361"/>
      <c r="AB92" s="501"/>
    </row>
    <row r="93" spans="1:28" ht="15.75" hidden="1" customHeight="1">
      <c r="A93" s="357">
        <v>45363</v>
      </c>
      <c r="B93" s="374" t="s">
        <v>236</v>
      </c>
      <c r="C93" s="375" t="s">
        <v>209</v>
      </c>
      <c r="D93" s="374" t="s">
        <v>210</v>
      </c>
      <c r="E93" s="374">
        <v>2.95</v>
      </c>
      <c r="F93" s="501" t="s">
        <v>446</v>
      </c>
      <c r="G93" s="374">
        <v>12</v>
      </c>
      <c r="H93" s="360" t="str">
        <f>IFERROR(IF(AA80&lt;&gt;"",W80*G93*AA80,""),"input error")</f>
        <v>input error</v>
      </c>
      <c r="I93" s="376">
        <v>11</v>
      </c>
      <c r="J93" s="374" t="s">
        <v>10</v>
      </c>
      <c r="K93" s="500">
        <f>2925+5540+5602</f>
        <v>14067</v>
      </c>
      <c r="L93" s="377">
        <f t="shared" ref="L93:L97" si="58">(K93*0.5)/1000</f>
        <v>7.0335000000000001</v>
      </c>
      <c r="M93" s="501">
        <f>0+0.01+0.01</f>
        <v>0.02</v>
      </c>
      <c r="N93" s="368" t="str">
        <f t="shared" si="57"/>
        <v>input error</v>
      </c>
      <c r="O93" s="358" t="str">
        <f t="shared" ref="O93:O103" si="59">IFERROR(IF(I93&lt;&gt;"",K93/(I93*W93*AA93),""),"input error")</f>
        <v>input error</v>
      </c>
      <c r="P93" s="369">
        <f t="shared" ref="P93:P103" si="60">IFERROR(IF(M93&lt;&gt;"",M93/(L93+M93),""),"input error")</f>
        <v>2.8354717516126749E-3</v>
      </c>
      <c r="Q93" s="493" t="s">
        <v>241</v>
      </c>
      <c r="R93" s="496">
        <v>7.5</v>
      </c>
      <c r="S93" s="666">
        <v>3</v>
      </c>
      <c r="T93" s="666">
        <v>7.5</v>
      </c>
      <c r="U93" s="666">
        <v>0</v>
      </c>
      <c r="V93" s="660">
        <f>IFERROR(IF(S93&gt;0,S93*T93-U93,""),"input error")</f>
        <v>22.5</v>
      </c>
      <c r="W93" s="380" t="e">
        <f>#REF!</f>
        <v>#REF!</v>
      </c>
      <c r="X93" s="378" t="str">
        <f t="shared" ref="X93:X103" si="61">IFERROR(IF(W93&lt;&gt;"",1/W93,""),"input error")</f>
        <v>input error</v>
      </c>
      <c r="Y93" s="360" t="str">
        <f t="shared" ref="Y93:Y103" si="62">IFERROR(IF(X93&lt;&gt;"",K93*X93,""),"input error")</f>
        <v>input error</v>
      </c>
      <c r="Z93" s="754">
        <f>SUM(Y93:Y103)</f>
        <v>0</v>
      </c>
      <c r="AA93" s="361" t="str">
        <f>IFERROR(IF(Y93&lt;&gt;"",$V$93*Y93/$Z$93,""),"input error")</f>
        <v>input error</v>
      </c>
      <c r="AB93" s="501"/>
    </row>
    <row r="94" spans="1:28" ht="15.75" hidden="1" customHeight="1">
      <c r="A94" s="357">
        <v>45363</v>
      </c>
      <c r="B94" s="374" t="s">
        <v>208</v>
      </c>
      <c r="C94" s="375" t="s">
        <v>209</v>
      </c>
      <c r="D94" s="374" t="s">
        <v>210</v>
      </c>
      <c r="E94" s="374">
        <v>2.95</v>
      </c>
      <c r="F94" s="501" t="s">
        <v>446</v>
      </c>
      <c r="G94" s="374">
        <v>12</v>
      </c>
      <c r="H94" s="360" t="str">
        <f t="shared" ref="H94:H103" si="63">IFERROR(IF(AA81&lt;&gt;"",W81*G94*AA81,""),"input error")</f>
        <v>input error</v>
      </c>
      <c r="I94" s="376">
        <v>11</v>
      </c>
      <c r="J94" s="374" t="s">
        <v>10</v>
      </c>
      <c r="K94" s="500">
        <f>3726+4574+3612</f>
        <v>11912</v>
      </c>
      <c r="L94" s="377">
        <f t="shared" si="58"/>
        <v>5.9560000000000004</v>
      </c>
      <c r="M94" s="501">
        <f>0+0.01+0.01</f>
        <v>0.02</v>
      </c>
      <c r="N94" s="368" t="str">
        <f t="shared" si="57"/>
        <v>input error</v>
      </c>
      <c r="O94" s="358" t="str">
        <f t="shared" si="59"/>
        <v>input error</v>
      </c>
      <c r="P94" s="369">
        <f t="shared" si="60"/>
        <v>3.3467202141900937E-3</v>
      </c>
      <c r="Q94" s="493" t="s">
        <v>241</v>
      </c>
      <c r="R94" s="496">
        <v>7.5</v>
      </c>
      <c r="S94" s="658"/>
      <c r="T94" s="658"/>
      <c r="U94" s="658"/>
      <c r="V94" s="661"/>
      <c r="W94" s="380" t="e">
        <f>#REF!</f>
        <v>#REF!</v>
      </c>
      <c r="X94" s="378" t="str">
        <f t="shared" si="61"/>
        <v>input error</v>
      </c>
      <c r="Y94" s="360" t="str">
        <f t="shared" si="62"/>
        <v>input error</v>
      </c>
      <c r="Z94" s="755"/>
      <c r="AA94" s="361" t="str">
        <f t="shared" ref="AA94:AA103" si="64">IFERROR(IF(Y94&lt;&gt;"",$V$93*Y94/$Z$93,""),"input error")</f>
        <v>input error</v>
      </c>
      <c r="AB94" s="501"/>
    </row>
    <row r="95" spans="1:28" ht="15.75" hidden="1" customHeight="1">
      <c r="A95" s="357">
        <v>45363</v>
      </c>
      <c r="B95" s="374" t="s">
        <v>447</v>
      </c>
      <c r="C95" s="375" t="s">
        <v>209</v>
      </c>
      <c r="D95" s="374" t="s">
        <v>213</v>
      </c>
      <c r="E95" s="374">
        <v>2.91</v>
      </c>
      <c r="F95" s="750" t="s">
        <v>237</v>
      </c>
      <c r="G95" s="374">
        <v>12</v>
      </c>
      <c r="H95" s="360" t="str">
        <f t="shared" si="63"/>
        <v>input error</v>
      </c>
      <c r="I95" s="376">
        <v>11</v>
      </c>
      <c r="J95" s="751" t="s">
        <v>39</v>
      </c>
      <c r="K95" s="500">
        <f>4986+7775+7522</f>
        <v>20283</v>
      </c>
      <c r="L95" s="752">
        <f t="shared" si="58"/>
        <v>10.141500000000001</v>
      </c>
      <c r="M95" s="501">
        <f>0+0.01+0.02</f>
        <v>0.03</v>
      </c>
      <c r="N95" s="368" t="str">
        <f t="shared" si="57"/>
        <v>input error</v>
      </c>
      <c r="O95" s="358" t="str">
        <f t="shared" si="59"/>
        <v>input error</v>
      </c>
      <c r="P95" s="369">
        <f t="shared" si="60"/>
        <v>2.949417490045716E-3</v>
      </c>
      <c r="Q95" s="493" t="s">
        <v>241</v>
      </c>
      <c r="R95" s="496">
        <v>7.5</v>
      </c>
      <c r="S95" s="658"/>
      <c r="T95" s="658"/>
      <c r="U95" s="658"/>
      <c r="V95" s="661"/>
      <c r="W95" s="380" t="e">
        <f>#REF!</f>
        <v>#REF!</v>
      </c>
      <c r="X95" s="378" t="str">
        <f t="shared" si="61"/>
        <v>input error</v>
      </c>
      <c r="Y95" s="360" t="str">
        <f t="shared" si="62"/>
        <v>input error</v>
      </c>
      <c r="Z95" s="755"/>
      <c r="AA95" s="361" t="str">
        <f t="shared" si="64"/>
        <v>input error</v>
      </c>
      <c r="AB95" s="501"/>
    </row>
    <row r="96" spans="1:28" ht="15.75" hidden="1" customHeight="1">
      <c r="A96" s="357">
        <v>45363</v>
      </c>
      <c r="B96" s="374" t="s">
        <v>212</v>
      </c>
      <c r="C96" s="375" t="s">
        <v>209</v>
      </c>
      <c r="D96" s="374" t="s">
        <v>213</v>
      </c>
      <c r="E96" s="374">
        <v>2.91</v>
      </c>
      <c r="F96" s="501" t="s">
        <v>214</v>
      </c>
      <c r="G96" s="374">
        <v>12</v>
      </c>
      <c r="H96" s="360" t="str">
        <f t="shared" si="63"/>
        <v>input error</v>
      </c>
      <c r="I96" s="376">
        <v>11</v>
      </c>
      <c r="J96" s="379" t="s">
        <v>32</v>
      </c>
      <c r="K96" s="500">
        <f>5216+6181+6086</f>
        <v>17483</v>
      </c>
      <c r="L96" s="377">
        <f t="shared" si="58"/>
        <v>8.7415000000000003</v>
      </c>
      <c r="M96" s="501">
        <f>0.01+0.01+0.01</f>
        <v>0.03</v>
      </c>
      <c r="N96" s="368" t="str">
        <f t="shared" si="57"/>
        <v>input error</v>
      </c>
      <c r="O96" s="358" t="str">
        <f t="shared" si="59"/>
        <v>input error</v>
      </c>
      <c r="P96" s="369">
        <f t="shared" si="60"/>
        <v>3.4201675882118226E-3</v>
      </c>
      <c r="Q96" s="493" t="s">
        <v>241</v>
      </c>
      <c r="R96" s="496">
        <v>7.5</v>
      </c>
      <c r="S96" s="658"/>
      <c r="T96" s="658"/>
      <c r="U96" s="658"/>
      <c r="V96" s="661"/>
      <c r="W96" s="380" t="e">
        <f>#REF!</f>
        <v>#REF!</v>
      </c>
      <c r="X96" s="378" t="str">
        <f t="shared" si="61"/>
        <v>input error</v>
      </c>
      <c r="Y96" s="360" t="str">
        <f t="shared" si="62"/>
        <v>input error</v>
      </c>
      <c r="Z96" s="755"/>
      <c r="AA96" s="361" t="str">
        <f t="shared" si="64"/>
        <v>input error</v>
      </c>
      <c r="AB96" s="501"/>
    </row>
    <row r="97" spans="1:28" ht="15.75" hidden="1" customHeight="1">
      <c r="A97" s="357">
        <v>45363</v>
      </c>
      <c r="B97" s="374" t="s">
        <v>215</v>
      </c>
      <c r="C97" s="375" t="s">
        <v>209</v>
      </c>
      <c r="D97" s="374" t="s">
        <v>213</v>
      </c>
      <c r="E97" s="374">
        <v>2.91</v>
      </c>
      <c r="F97" s="501" t="s">
        <v>214</v>
      </c>
      <c r="G97" s="374">
        <v>12</v>
      </c>
      <c r="H97" s="360" t="str">
        <f t="shared" si="63"/>
        <v>input error</v>
      </c>
      <c r="I97" s="376">
        <v>11</v>
      </c>
      <c r="J97" s="379" t="s">
        <v>32</v>
      </c>
      <c r="K97" s="500">
        <f>4289+5773+5560</f>
        <v>15622</v>
      </c>
      <c r="L97" s="377">
        <f t="shared" si="58"/>
        <v>7.8109999999999999</v>
      </c>
      <c r="M97" s="501">
        <f>0+0.01+0.01</f>
        <v>0.02</v>
      </c>
      <c r="N97" s="368" t="str">
        <f t="shared" si="57"/>
        <v>input error</v>
      </c>
      <c r="O97" s="358" t="str">
        <f t="shared" si="59"/>
        <v>input error</v>
      </c>
      <c r="P97" s="369">
        <f t="shared" si="60"/>
        <v>2.5539522410930916E-3</v>
      </c>
      <c r="Q97" s="493" t="s">
        <v>241</v>
      </c>
      <c r="R97" s="496">
        <v>7.5</v>
      </c>
      <c r="S97" s="658"/>
      <c r="T97" s="658"/>
      <c r="U97" s="658"/>
      <c r="V97" s="661"/>
      <c r="W97" s="380" t="e">
        <f>#REF!</f>
        <v>#REF!</v>
      </c>
      <c r="X97" s="378" t="str">
        <f t="shared" si="61"/>
        <v>input error</v>
      </c>
      <c r="Y97" s="360" t="str">
        <f t="shared" si="62"/>
        <v>input error</v>
      </c>
      <c r="Z97" s="755"/>
      <c r="AA97" s="361" t="str">
        <f t="shared" si="64"/>
        <v>input error</v>
      </c>
      <c r="AB97" s="501"/>
    </row>
    <row r="98" spans="1:28" ht="15.75" customHeight="1">
      <c r="A98" s="357">
        <v>45363</v>
      </c>
      <c r="B98" s="374" t="s">
        <v>218</v>
      </c>
      <c r="C98" s="375" t="s">
        <v>209</v>
      </c>
      <c r="D98" s="374" t="s">
        <v>217</v>
      </c>
      <c r="E98" s="374">
        <v>6.22</v>
      </c>
      <c r="F98" s="511" t="s">
        <v>83</v>
      </c>
      <c r="G98" s="374">
        <v>12</v>
      </c>
      <c r="H98" s="360" t="str">
        <f t="shared" si="63"/>
        <v>input error</v>
      </c>
      <c r="I98" s="376">
        <v>11</v>
      </c>
      <c r="J98" s="381" t="s">
        <v>84</v>
      </c>
      <c r="K98" s="500">
        <f>2550</f>
        <v>2550</v>
      </c>
      <c r="L98" s="377">
        <f>(0.3325*K98)/1000</f>
        <v>0.84787500000000005</v>
      </c>
      <c r="M98" s="501">
        <f>0.01</f>
        <v>0.01</v>
      </c>
      <c r="N98" s="368" t="str">
        <f t="shared" si="57"/>
        <v>input error</v>
      </c>
      <c r="O98" s="358" t="str">
        <f t="shared" si="59"/>
        <v>input error</v>
      </c>
      <c r="P98" s="369">
        <f t="shared" si="60"/>
        <v>1.1656709893632522E-2</v>
      </c>
      <c r="Q98" s="493" t="s">
        <v>454</v>
      </c>
      <c r="R98" s="496">
        <v>7.5</v>
      </c>
      <c r="S98" s="658"/>
      <c r="T98" s="658"/>
      <c r="U98" s="658"/>
      <c r="V98" s="661"/>
      <c r="W98" s="380" t="e">
        <f>#REF!</f>
        <v>#REF!</v>
      </c>
      <c r="X98" s="378" t="str">
        <f t="shared" si="61"/>
        <v>input error</v>
      </c>
      <c r="Y98" s="360" t="str">
        <f t="shared" si="62"/>
        <v>input error</v>
      </c>
      <c r="Z98" s="755"/>
      <c r="AA98" s="361" t="str">
        <f t="shared" si="64"/>
        <v>input error</v>
      </c>
      <c r="AB98" s="501"/>
    </row>
    <row r="99" spans="1:28" ht="15.75" hidden="1" customHeight="1">
      <c r="A99" s="357">
        <v>45363</v>
      </c>
      <c r="B99" s="374" t="s">
        <v>449</v>
      </c>
      <c r="C99" s="375" t="s">
        <v>209</v>
      </c>
      <c r="D99" s="749" t="s">
        <v>450</v>
      </c>
      <c r="E99" s="749">
        <v>12.6</v>
      </c>
      <c r="F99" s="750" t="s">
        <v>261</v>
      </c>
      <c r="G99" s="374">
        <v>12</v>
      </c>
      <c r="H99" s="360" t="str">
        <f t="shared" si="63"/>
        <v>input error</v>
      </c>
      <c r="I99" s="376">
        <v>11</v>
      </c>
      <c r="J99" s="756" t="s">
        <v>57</v>
      </c>
      <c r="K99" s="500">
        <f>11365+10257+11576</f>
        <v>33198</v>
      </c>
      <c r="L99" s="752">
        <f>(1.3523*K99)/1000</f>
        <v>44.8936554</v>
      </c>
      <c r="M99" s="501">
        <f>0+0.04+0.03</f>
        <v>7.0000000000000007E-2</v>
      </c>
      <c r="N99" s="368" t="str">
        <f t="shared" si="57"/>
        <v>input error</v>
      </c>
      <c r="O99" s="358" t="str">
        <f t="shared" si="59"/>
        <v>input error</v>
      </c>
      <c r="P99" s="369">
        <f t="shared" si="60"/>
        <v>1.556812927625097E-3</v>
      </c>
      <c r="Q99" s="493" t="s">
        <v>240</v>
      </c>
      <c r="R99" s="496">
        <v>7.5</v>
      </c>
      <c r="S99" s="658"/>
      <c r="T99" s="658"/>
      <c r="U99" s="658"/>
      <c r="V99" s="661"/>
      <c r="W99" s="380" t="e">
        <f>#REF!</f>
        <v>#REF!</v>
      </c>
      <c r="X99" s="378" t="str">
        <f t="shared" si="61"/>
        <v>input error</v>
      </c>
      <c r="Y99" s="360" t="str">
        <f t="shared" si="62"/>
        <v>input error</v>
      </c>
      <c r="Z99" s="755"/>
      <c r="AA99" s="361" t="str">
        <f t="shared" si="64"/>
        <v>input error</v>
      </c>
      <c r="AB99" s="501"/>
    </row>
    <row r="100" spans="1:28" ht="15.75" hidden="1" customHeight="1">
      <c r="A100" s="357">
        <v>45363</v>
      </c>
      <c r="B100" s="374" t="s">
        <v>219</v>
      </c>
      <c r="C100" s="375" t="s">
        <v>209</v>
      </c>
      <c r="D100" s="374" t="s">
        <v>12</v>
      </c>
      <c r="E100" s="374">
        <v>8.8699999999999992</v>
      </c>
      <c r="F100" s="501" t="s">
        <v>446</v>
      </c>
      <c r="G100" s="374">
        <v>12</v>
      </c>
      <c r="H100" s="360" t="str">
        <f t="shared" si="63"/>
        <v>input error</v>
      </c>
      <c r="I100" s="376">
        <v>11</v>
      </c>
      <c r="J100" s="379" t="s">
        <v>10</v>
      </c>
      <c r="K100" s="500">
        <f>8498+8487+7626</f>
        <v>24611</v>
      </c>
      <c r="L100" s="377">
        <f>(1.596*K100)/1000</f>
        <v>39.279156</v>
      </c>
      <c r="M100" s="501">
        <f>0.01+0.03+0.02</f>
        <v>0.06</v>
      </c>
      <c r="N100" s="368" t="str">
        <f t="shared" si="57"/>
        <v>input error</v>
      </c>
      <c r="O100" s="358" t="str">
        <f t="shared" si="59"/>
        <v>input error</v>
      </c>
      <c r="P100" s="369">
        <f t="shared" si="60"/>
        <v>1.5251979478156572E-3</v>
      </c>
      <c r="Q100" s="493" t="s">
        <v>238</v>
      </c>
      <c r="R100" s="496">
        <v>7.5</v>
      </c>
      <c r="S100" s="658"/>
      <c r="T100" s="658"/>
      <c r="U100" s="658"/>
      <c r="V100" s="661"/>
      <c r="W100" s="380" t="e">
        <f>#REF!</f>
        <v>#REF!</v>
      </c>
      <c r="X100" s="378" t="str">
        <f t="shared" si="61"/>
        <v>input error</v>
      </c>
      <c r="Y100" s="360" t="str">
        <f t="shared" si="62"/>
        <v>input error</v>
      </c>
      <c r="Z100" s="755"/>
      <c r="AA100" s="361" t="str">
        <f t="shared" si="64"/>
        <v>input error</v>
      </c>
      <c r="AB100" s="501"/>
    </row>
    <row r="101" spans="1:28" ht="15.75" hidden="1" customHeight="1">
      <c r="A101" s="357">
        <v>45363</v>
      </c>
      <c r="B101" s="374" t="s">
        <v>220</v>
      </c>
      <c r="C101" s="375" t="s">
        <v>209</v>
      </c>
      <c r="D101" s="374" t="s">
        <v>33</v>
      </c>
      <c r="E101" s="374">
        <v>20.72</v>
      </c>
      <c r="F101" s="501" t="s">
        <v>214</v>
      </c>
      <c r="G101" s="374">
        <v>12</v>
      </c>
      <c r="H101" s="360" t="str">
        <f t="shared" si="63"/>
        <v>input error</v>
      </c>
      <c r="I101" s="376">
        <v>11</v>
      </c>
      <c r="J101" s="379" t="s">
        <v>32</v>
      </c>
      <c r="K101" s="500">
        <f>18736+21556+19336</f>
        <v>59628</v>
      </c>
      <c r="L101" s="377">
        <f>(3.194*K101)/1000</f>
        <v>190.451832</v>
      </c>
      <c r="M101" s="501">
        <f>0.03+0.03+0.03</f>
        <v>0.09</v>
      </c>
      <c r="N101" s="368" t="str">
        <f t="shared" si="57"/>
        <v>input error</v>
      </c>
      <c r="O101" s="358" t="str">
        <f t="shared" si="59"/>
        <v>input error</v>
      </c>
      <c r="P101" s="369">
        <f t="shared" si="60"/>
        <v>4.7233722409050838E-4</v>
      </c>
      <c r="Q101" s="493" t="s">
        <v>238</v>
      </c>
      <c r="R101" s="496">
        <v>7.5</v>
      </c>
      <c r="S101" s="658"/>
      <c r="T101" s="658"/>
      <c r="U101" s="658"/>
      <c r="V101" s="661"/>
      <c r="W101" s="380" t="e">
        <f>#REF!</f>
        <v>#REF!</v>
      </c>
      <c r="X101" s="378" t="str">
        <f t="shared" si="61"/>
        <v>input error</v>
      </c>
      <c r="Y101" s="360" t="str">
        <f t="shared" si="62"/>
        <v>input error</v>
      </c>
      <c r="Z101" s="755"/>
      <c r="AA101" s="361" t="str">
        <f t="shared" si="64"/>
        <v>input error</v>
      </c>
      <c r="AB101" s="501"/>
    </row>
    <row r="102" spans="1:28" ht="15.75" hidden="1" customHeight="1">
      <c r="A102" s="357">
        <v>45363</v>
      </c>
      <c r="B102" s="374" t="s">
        <v>221</v>
      </c>
      <c r="C102" s="375" t="s">
        <v>209</v>
      </c>
      <c r="D102" s="374" t="s">
        <v>12</v>
      </c>
      <c r="E102" s="374">
        <v>9.26</v>
      </c>
      <c r="F102" s="501" t="s">
        <v>446</v>
      </c>
      <c r="G102" s="374">
        <v>12</v>
      </c>
      <c r="H102" s="360" t="str">
        <f t="shared" si="63"/>
        <v>input error</v>
      </c>
      <c r="I102" s="376">
        <v>11</v>
      </c>
      <c r="J102" s="382" t="s">
        <v>10</v>
      </c>
      <c r="K102" s="500">
        <f>10334+12130+11814</f>
        <v>34278</v>
      </c>
      <c r="L102" s="377">
        <f>(1.596*K102)/1000</f>
        <v>54.707688000000005</v>
      </c>
      <c r="M102" s="501">
        <f>0+0.02+0.02</f>
        <v>0.04</v>
      </c>
      <c r="N102" s="368" t="str">
        <f t="shared" si="57"/>
        <v>input error</v>
      </c>
      <c r="O102" s="358" t="str">
        <f t="shared" si="59"/>
        <v>input error</v>
      </c>
      <c r="P102" s="369">
        <f t="shared" si="60"/>
        <v>7.3062446034250796E-4</v>
      </c>
      <c r="Q102" s="493" t="s">
        <v>238</v>
      </c>
      <c r="R102" s="496">
        <v>7.5</v>
      </c>
      <c r="S102" s="658"/>
      <c r="T102" s="658"/>
      <c r="U102" s="658"/>
      <c r="V102" s="661"/>
      <c r="W102" s="380" t="e">
        <f>#REF!</f>
        <v>#REF!</v>
      </c>
      <c r="X102" s="378" t="str">
        <f t="shared" si="61"/>
        <v>input error</v>
      </c>
      <c r="Y102" s="360" t="str">
        <f t="shared" si="62"/>
        <v>input error</v>
      </c>
      <c r="Z102" s="755"/>
      <c r="AA102" s="361" t="str">
        <f t="shared" si="64"/>
        <v>input error</v>
      </c>
      <c r="AB102" s="501"/>
    </row>
    <row r="103" spans="1:28" ht="15.75" hidden="1" customHeight="1">
      <c r="A103" s="357">
        <v>45363</v>
      </c>
      <c r="B103" s="374" t="s">
        <v>222</v>
      </c>
      <c r="C103" s="375" t="s">
        <v>209</v>
      </c>
      <c r="D103" s="374" t="s">
        <v>12</v>
      </c>
      <c r="E103" s="374">
        <v>9.5</v>
      </c>
      <c r="F103" s="501" t="s">
        <v>446</v>
      </c>
      <c r="G103" s="374">
        <v>12</v>
      </c>
      <c r="H103" s="360" t="str">
        <f t="shared" si="63"/>
        <v>input error</v>
      </c>
      <c r="I103" s="376">
        <v>11</v>
      </c>
      <c r="J103" s="379" t="s">
        <v>10</v>
      </c>
      <c r="K103" s="500">
        <f>12098+5904+9807</f>
        <v>27809</v>
      </c>
      <c r="L103" s="377">
        <f>(1.596*K103)/1000</f>
        <v>44.383164000000008</v>
      </c>
      <c r="M103" s="501">
        <f>0.01+0.02+0.02</f>
        <v>0.05</v>
      </c>
      <c r="N103" s="368" t="str">
        <f t="shared" si="57"/>
        <v>input error</v>
      </c>
      <c r="O103" s="358" t="str">
        <f t="shared" si="59"/>
        <v>input error</v>
      </c>
      <c r="P103" s="369">
        <f t="shared" si="60"/>
        <v>1.1252856087403543E-3</v>
      </c>
      <c r="Q103" s="493" t="s">
        <v>238</v>
      </c>
      <c r="R103" s="496">
        <v>7.5</v>
      </c>
      <c r="S103" s="659"/>
      <c r="T103" s="659"/>
      <c r="U103" s="659"/>
      <c r="V103" s="662"/>
      <c r="W103" s="380" t="e">
        <f>#REF!</f>
        <v>#REF!</v>
      </c>
      <c r="X103" s="378" t="str">
        <f t="shared" si="61"/>
        <v>input error</v>
      </c>
      <c r="Y103" s="360" t="str">
        <f t="shared" si="62"/>
        <v>input error</v>
      </c>
      <c r="Z103" s="755"/>
      <c r="AA103" s="361" t="str">
        <f t="shared" si="64"/>
        <v>input error</v>
      </c>
      <c r="AB103" s="501"/>
    </row>
    <row r="104" spans="1:28" ht="15.75" hidden="1" customHeight="1">
      <c r="A104" s="357"/>
      <c r="B104" s="374"/>
      <c r="C104" s="375"/>
      <c r="D104" s="374"/>
      <c r="E104" s="374"/>
      <c r="F104" s="501"/>
      <c r="G104" s="374"/>
      <c r="H104" s="360"/>
      <c r="I104" s="376"/>
      <c r="J104" s="379"/>
      <c r="K104" s="500"/>
      <c r="L104" s="377"/>
      <c r="M104" s="501"/>
      <c r="N104" s="383" t="str">
        <f t="shared" si="48"/>
        <v/>
      </c>
      <c r="O104" s="358"/>
      <c r="P104" s="369"/>
      <c r="Q104" s="493"/>
      <c r="R104" s="496"/>
      <c r="S104" s="763"/>
      <c r="T104" s="764"/>
      <c r="U104" s="763"/>
      <c r="V104" s="764"/>
      <c r="W104" s="380"/>
      <c r="X104" s="378"/>
      <c r="Y104" s="360"/>
      <c r="Z104" s="502"/>
      <c r="AA104" s="361"/>
      <c r="AB104" s="501"/>
    </row>
    <row r="105" spans="1:28" ht="15.75" hidden="1" customHeight="1">
      <c r="A105" s="357"/>
      <c r="B105" s="374"/>
      <c r="C105" s="375"/>
      <c r="D105" s="374"/>
      <c r="E105" s="374"/>
      <c r="F105" s="501"/>
      <c r="G105" s="374"/>
      <c r="H105" s="360"/>
      <c r="I105" s="376"/>
      <c r="J105" s="379"/>
      <c r="K105" s="500"/>
      <c r="L105" s="377"/>
      <c r="M105" s="501"/>
      <c r="N105" s="383" t="str">
        <f t="shared" si="48"/>
        <v/>
      </c>
      <c r="O105" s="358"/>
      <c r="P105" s="369"/>
      <c r="Q105" s="493"/>
      <c r="R105" s="496"/>
      <c r="S105" s="763"/>
      <c r="T105" s="764"/>
      <c r="U105" s="763"/>
      <c r="V105" s="764"/>
      <c r="W105" s="380"/>
      <c r="X105" s="378"/>
      <c r="Y105" s="360"/>
      <c r="Z105" s="502"/>
      <c r="AA105" s="361"/>
      <c r="AB105" s="501"/>
    </row>
    <row r="106" spans="1:28" ht="15.75" hidden="1" customHeight="1">
      <c r="A106" s="364"/>
      <c r="B106" s="374"/>
      <c r="C106" s="375"/>
      <c r="D106" s="374"/>
      <c r="E106" s="374"/>
      <c r="F106" s="501"/>
      <c r="G106" s="374"/>
      <c r="H106" s="360"/>
      <c r="I106" s="376"/>
      <c r="J106" s="379"/>
      <c r="K106" s="500"/>
      <c r="L106" s="377"/>
      <c r="M106" s="501"/>
      <c r="N106" s="383" t="str">
        <f t="shared" si="48"/>
        <v/>
      </c>
      <c r="O106" s="358"/>
      <c r="P106" s="369"/>
      <c r="Q106" s="493"/>
      <c r="R106" s="496"/>
      <c r="S106" s="494"/>
      <c r="T106" s="494"/>
      <c r="U106" s="494"/>
      <c r="V106" s="497"/>
      <c r="W106" s="380"/>
      <c r="X106" s="378"/>
      <c r="Y106" s="360"/>
      <c r="Z106" s="502"/>
      <c r="AA106" s="361"/>
      <c r="AB106" s="501"/>
    </row>
    <row r="107" spans="1:28" s="349" customFormat="1" ht="15.75" hidden="1" customHeight="1">
      <c r="E107" s="389"/>
      <c r="F107" s="365"/>
      <c r="G107" s="365"/>
      <c r="H107" s="365"/>
      <c r="I107" s="365"/>
      <c r="J107" s="365"/>
      <c r="K107" s="365"/>
      <c r="L107" s="365"/>
      <c r="M107" s="366"/>
      <c r="N107" s="366"/>
      <c r="O107" s="390"/>
      <c r="P107" s="390"/>
      <c r="Q107" s="366"/>
      <c r="R107" s="391"/>
      <c r="S107" s="366"/>
      <c r="T107" s="366"/>
      <c r="U107" s="366"/>
      <c r="V107" s="366"/>
      <c r="W107" s="366"/>
      <c r="X107" s="656" t="s">
        <v>182</v>
      </c>
      <c r="Y107" s="657"/>
      <c r="Z107" s="656" t="s">
        <v>183</v>
      </c>
      <c r="AA107" s="657"/>
      <c r="AB107" s="512" t="s">
        <v>184</v>
      </c>
    </row>
    <row r="108" spans="1:28" s="349" customFormat="1" ht="15.75" hidden="1" customHeight="1">
      <c r="E108" s="365"/>
      <c r="F108" s="365"/>
      <c r="G108" s="365"/>
      <c r="H108" s="365"/>
      <c r="I108" s="365"/>
      <c r="J108" s="365"/>
      <c r="K108" s="365"/>
      <c r="L108" s="522"/>
      <c r="M108" s="352">
        <f>39736-30708</f>
        <v>9028</v>
      </c>
      <c r="N108" s="352"/>
      <c r="O108" s="520"/>
      <c r="P108" s="520"/>
      <c r="Q108" s="352"/>
      <c r="R108" s="392"/>
      <c r="S108" s="393"/>
      <c r="T108" s="393"/>
      <c r="U108" s="393"/>
      <c r="V108" s="352"/>
      <c r="W108" s="352"/>
      <c r="X108" s="644" t="s">
        <v>185</v>
      </c>
      <c r="Y108" s="645"/>
      <c r="Z108" s="646" t="s">
        <v>186</v>
      </c>
      <c r="AA108" s="647"/>
      <c r="AB108" s="512" t="s">
        <v>187</v>
      </c>
    </row>
    <row r="109" spans="1:28" ht="15.75" hidden="1" customHeight="1">
      <c r="B109" s="394"/>
      <c r="C109" s="394"/>
      <c r="D109" s="394"/>
      <c r="E109" s="394"/>
      <c r="F109" s="394"/>
      <c r="G109" s="394"/>
      <c r="H109" s="394"/>
      <c r="I109" s="394"/>
      <c r="J109" s="394"/>
      <c r="K109" s="394"/>
      <c r="L109" s="394"/>
      <c r="M109" s="394"/>
      <c r="N109" s="394"/>
      <c r="O109" s="394"/>
      <c r="P109" s="394"/>
      <c r="Q109" s="351"/>
      <c r="R109" s="395"/>
      <c r="S109" s="396"/>
      <c r="T109" s="351"/>
      <c r="U109" s="351"/>
      <c r="V109" s="351"/>
      <c r="W109" s="351"/>
      <c r="X109" s="648" t="s">
        <v>251</v>
      </c>
      <c r="Y109" s="649"/>
      <c r="Z109" s="649"/>
      <c r="AA109" s="649"/>
      <c r="AB109" s="650"/>
    </row>
  </sheetData>
  <autoFilter ref="A6:AB109">
    <filterColumn colId="5">
      <filters>
        <filter val="SONY"/>
      </filters>
    </filterColumn>
  </autoFilter>
  <mergeCells count="58">
    <mergeCell ref="X107:Y107"/>
    <mergeCell ref="Z107:AA107"/>
    <mergeCell ref="X108:Y108"/>
    <mergeCell ref="Z108:AA108"/>
    <mergeCell ref="X109:AB109"/>
    <mergeCell ref="S93:S103"/>
    <mergeCell ref="T93:T103"/>
    <mergeCell ref="U93:U103"/>
    <mergeCell ref="V93:V103"/>
    <mergeCell ref="Z93:Z103"/>
    <mergeCell ref="S80:S91"/>
    <mergeCell ref="T80:T91"/>
    <mergeCell ref="U80:U91"/>
    <mergeCell ref="V80:V91"/>
    <mergeCell ref="Z80:Z91"/>
    <mergeCell ref="S67:S78"/>
    <mergeCell ref="T67:T78"/>
    <mergeCell ref="U67:U78"/>
    <mergeCell ref="V67:V78"/>
    <mergeCell ref="Z67:Z78"/>
    <mergeCell ref="B1:AB1"/>
    <mergeCell ref="B2:AB2"/>
    <mergeCell ref="B3:AB3"/>
    <mergeCell ref="B4:AB4"/>
    <mergeCell ref="A5:F5"/>
    <mergeCell ref="M5:N5"/>
    <mergeCell ref="Q5:R5"/>
    <mergeCell ref="Z5:AB5"/>
    <mergeCell ref="S17:S23"/>
    <mergeCell ref="T17:T23"/>
    <mergeCell ref="U17:U23"/>
    <mergeCell ref="V17:V23"/>
    <mergeCell ref="Z17:Z23"/>
    <mergeCell ref="S7:S15"/>
    <mergeCell ref="T7:T15"/>
    <mergeCell ref="U7:U15"/>
    <mergeCell ref="V7:V15"/>
    <mergeCell ref="Z7:Z15"/>
    <mergeCell ref="S35:S43"/>
    <mergeCell ref="T35:T43"/>
    <mergeCell ref="U35:U43"/>
    <mergeCell ref="V35:V43"/>
    <mergeCell ref="Z35:Z43"/>
    <mergeCell ref="S25:S33"/>
    <mergeCell ref="T25:T33"/>
    <mergeCell ref="U25:U33"/>
    <mergeCell ref="V25:V33"/>
    <mergeCell ref="Z25:Z33"/>
    <mergeCell ref="S45:S53"/>
    <mergeCell ref="T45:T53"/>
    <mergeCell ref="U45:U53"/>
    <mergeCell ref="V45:V53"/>
    <mergeCell ref="Z45:Z53"/>
    <mergeCell ref="S55:S65"/>
    <mergeCell ref="T55:T65"/>
    <mergeCell ref="U55:U65"/>
    <mergeCell ref="V55:V65"/>
    <mergeCell ref="Z55:Z65"/>
  </mergeCells>
  <conditionalFormatting sqref="N7:N15">
    <cfRule type="cellIs" dxfId="197" priority="16" operator="lessThan">
      <formula>0.5</formula>
    </cfRule>
  </conditionalFormatting>
  <conditionalFormatting sqref="N17:N23">
    <cfRule type="cellIs" dxfId="196" priority="15" operator="lessThan">
      <formula>0.5</formula>
    </cfRule>
  </conditionalFormatting>
  <conditionalFormatting sqref="N25:N34">
    <cfRule type="cellIs" dxfId="195" priority="14" operator="lessThan">
      <formula>0.5</formula>
    </cfRule>
  </conditionalFormatting>
  <conditionalFormatting sqref="N24">
    <cfRule type="cellIs" dxfId="194" priority="13" operator="lessThan">
      <formula>0.5</formula>
    </cfRule>
  </conditionalFormatting>
  <conditionalFormatting sqref="N16">
    <cfRule type="cellIs" dxfId="193" priority="12" operator="lessThan">
      <formula>0.5</formula>
    </cfRule>
  </conditionalFormatting>
  <conditionalFormatting sqref="N35:N43">
    <cfRule type="cellIs" dxfId="192" priority="11" operator="lessThan">
      <formula>0.5</formula>
    </cfRule>
  </conditionalFormatting>
  <conditionalFormatting sqref="N45:N53">
    <cfRule type="cellIs" dxfId="191" priority="10" operator="lessThan">
      <formula>0.5</formula>
    </cfRule>
  </conditionalFormatting>
  <conditionalFormatting sqref="N44">
    <cfRule type="cellIs" dxfId="190" priority="9" operator="lessThan">
      <formula>0.5</formula>
    </cfRule>
  </conditionalFormatting>
  <conditionalFormatting sqref="N54">
    <cfRule type="cellIs" dxfId="189" priority="8" operator="lessThan">
      <formula>0.5</formula>
    </cfRule>
  </conditionalFormatting>
  <conditionalFormatting sqref="N55:N65">
    <cfRule type="cellIs" dxfId="188" priority="7" operator="lessThan">
      <formula>0.5</formula>
    </cfRule>
  </conditionalFormatting>
  <conditionalFormatting sqref="N67:N78">
    <cfRule type="cellIs" dxfId="187" priority="6" operator="lessThan">
      <formula>0.5</formula>
    </cfRule>
  </conditionalFormatting>
  <conditionalFormatting sqref="N66">
    <cfRule type="cellIs" dxfId="186" priority="5" operator="lessThan">
      <formula>0.5</formula>
    </cfRule>
  </conditionalFormatting>
  <conditionalFormatting sqref="N104:N106">
    <cfRule type="cellIs" dxfId="185" priority="4" operator="lessThan">
      <formula>0.5</formula>
    </cfRule>
  </conditionalFormatting>
  <conditionalFormatting sqref="N79">
    <cfRule type="cellIs" dxfId="184" priority="3" operator="lessThan">
      <formula>0.5</formula>
    </cfRule>
  </conditionalFormatting>
  <conditionalFormatting sqref="N80:N91">
    <cfRule type="cellIs" dxfId="183" priority="2" operator="lessThan">
      <formula>0.5</formula>
    </cfRule>
  </conditionalFormatting>
  <conditionalFormatting sqref="N92:N103">
    <cfRule type="cellIs" dxfId="182" priority="1" operator="lessThan">
      <formula>0.5</formula>
    </cfRule>
  </conditionalFormatting>
  <pageMargins left="0.16" right="0.17" top="0.49" bottom="0.16" header="0.46" footer="0.16"/>
  <pageSetup paperSize="9" scale="89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"/>
  <sheetViews>
    <sheetView showGridLines="0" zoomScale="85" zoomScaleNormal="85" zoomScaleSheetLayoutView="89" workbookViewId="0">
      <selection activeCell="K29" sqref="K29:K31"/>
    </sheetView>
  </sheetViews>
  <sheetFormatPr defaultColWidth="9" defaultRowHeight="14.25"/>
  <cols>
    <col min="1" max="1" width="10.7109375" style="371" customWidth="1"/>
    <col min="2" max="2" width="13.7109375" style="371" customWidth="1"/>
    <col min="3" max="3" width="11.42578125" style="371" customWidth="1"/>
    <col min="4" max="4" width="18.5703125" style="371" customWidth="1"/>
    <col min="5" max="5" width="9.140625" style="371" customWidth="1"/>
    <col min="6" max="6" width="17.28515625" style="371" customWidth="1"/>
    <col min="7" max="7" width="8.28515625" style="371" customWidth="1"/>
    <col min="8" max="8" width="10.140625" style="371" customWidth="1"/>
    <col min="9" max="9" width="14.7109375" style="371" customWidth="1"/>
    <col min="10" max="10" width="18.5703125" style="371" customWidth="1"/>
    <col min="11" max="11" width="12" style="371" customWidth="1"/>
    <col min="12" max="12" width="8.85546875" style="371" customWidth="1"/>
    <col min="13" max="13" width="9" style="371"/>
    <col min="14" max="16" width="12.42578125" style="371" customWidth="1"/>
    <col min="17" max="17" width="19.5703125" style="371" customWidth="1"/>
    <col min="18" max="18" width="10.85546875" style="409" customWidth="1"/>
    <col min="19" max="22" width="9.5703125" style="371" customWidth="1"/>
    <col min="23" max="23" width="9.5703125" style="409" customWidth="1"/>
    <col min="24" max="26" width="9.5703125" style="371" customWidth="1"/>
    <col min="27" max="27" width="9.5703125" style="410" customWidth="1"/>
    <col min="28" max="28" width="12.7109375" style="371" customWidth="1"/>
    <col min="29" max="269" width="9" style="371"/>
    <col min="270" max="270" width="13.7109375" style="371" customWidth="1"/>
    <col min="271" max="271" width="18.5703125" style="371" customWidth="1"/>
    <col min="272" max="272" width="9.140625" style="371" customWidth="1"/>
    <col min="273" max="273" width="17.28515625" style="371" customWidth="1"/>
    <col min="274" max="274" width="11.42578125" style="371" customWidth="1"/>
    <col min="275" max="275" width="17.140625" style="371" customWidth="1"/>
    <col min="276" max="276" width="12" style="371" customWidth="1"/>
    <col min="277" max="277" width="17.140625" style="371" customWidth="1"/>
    <col min="278" max="278" width="8.85546875" style="371" customWidth="1"/>
    <col min="279" max="279" width="9" style="371"/>
    <col min="280" max="280" width="12.42578125" style="371" customWidth="1"/>
    <col min="281" max="281" width="10.5703125" style="371" customWidth="1"/>
    <col min="282" max="282" width="10.85546875" style="371" customWidth="1"/>
    <col min="283" max="283" width="9.5703125" style="371" customWidth="1"/>
    <col min="284" max="284" width="9.85546875" style="371" customWidth="1"/>
    <col min="285" max="525" width="9" style="371"/>
    <col min="526" max="526" width="13.7109375" style="371" customWidth="1"/>
    <col min="527" max="527" width="18.5703125" style="371" customWidth="1"/>
    <col min="528" max="528" width="9.140625" style="371" customWidth="1"/>
    <col min="529" max="529" width="17.28515625" style="371" customWidth="1"/>
    <col min="530" max="530" width="11.42578125" style="371" customWidth="1"/>
    <col min="531" max="531" width="17.140625" style="371" customWidth="1"/>
    <col min="532" max="532" width="12" style="371" customWidth="1"/>
    <col min="533" max="533" width="17.140625" style="371" customWidth="1"/>
    <col min="534" max="534" width="8.85546875" style="371" customWidth="1"/>
    <col min="535" max="535" width="9" style="371"/>
    <col min="536" max="536" width="12.42578125" style="371" customWidth="1"/>
    <col min="537" max="537" width="10.5703125" style="371" customWidth="1"/>
    <col min="538" max="538" width="10.85546875" style="371" customWidth="1"/>
    <col min="539" max="539" width="9.5703125" style="371" customWidth="1"/>
    <col min="540" max="540" width="9.85546875" style="371" customWidth="1"/>
    <col min="541" max="781" width="9" style="371"/>
    <col min="782" max="782" width="13.7109375" style="371" customWidth="1"/>
    <col min="783" max="783" width="18.5703125" style="371" customWidth="1"/>
    <col min="784" max="784" width="9.140625" style="371" customWidth="1"/>
    <col min="785" max="785" width="17.28515625" style="371" customWidth="1"/>
    <col min="786" max="786" width="11.42578125" style="371" customWidth="1"/>
    <col min="787" max="787" width="17.140625" style="371" customWidth="1"/>
    <col min="788" max="788" width="12" style="371" customWidth="1"/>
    <col min="789" max="789" width="17.140625" style="371" customWidth="1"/>
    <col min="790" max="790" width="8.85546875" style="371" customWidth="1"/>
    <col min="791" max="791" width="9" style="371"/>
    <col min="792" max="792" width="12.42578125" style="371" customWidth="1"/>
    <col min="793" max="793" width="10.5703125" style="371" customWidth="1"/>
    <col min="794" max="794" width="10.85546875" style="371" customWidth="1"/>
    <col min="795" max="795" width="9.5703125" style="371" customWidth="1"/>
    <col min="796" max="796" width="9.85546875" style="371" customWidth="1"/>
    <col min="797" max="1037" width="9" style="371"/>
    <col min="1038" max="1038" width="13.7109375" style="371" customWidth="1"/>
    <col min="1039" max="1039" width="18.5703125" style="371" customWidth="1"/>
    <col min="1040" max="1040" width="9.140625" style="371" customWidth="1"/>
    <col min="1041" max="1041" width="17.28515625" style="371" customWidth="1"/>
    <col min="1042" max="1042" width="11.42578125" style="371" customWidth="1"/>
    <col min="1043" max="1043" width="17.140625" style="371" customWidth="1"/>
    <col min="1044" max="1044" width="12" style="371" customWidth="1"/>
    <col min="1045" max="1045" width="17.140625" style="371" customWidth="1"/>
    <col min="1046" max="1046" width="8.85546875" style="371" customWidth="1"/>
    <col min="1047" max="1047" width="9" style="371"/>
    <col min="1048" max="1048" width="12.42578125" style="371" customWidth="1"/>
    <col min="1049" max="1049" width="10.5703125" style="371" customWidth="1"/>
    <col min="1050" max="1050" width="10.85546875" style="371" customWidth="1"/>
    <col min="1051" max="1051" width="9.5703125" style="371" customWidth="1"/>
    <col min="1052" max="1052" width="9.85546875" style="371" customWidth="1"/>
    <col min="1053" max="1293" width="9" style="371"/>
    <col min="1294" max="1294" width="13.7109375" style="371" customWidth="1"/>
    <col min="1295" max="1295" width="18.5703125" style="371" customWidth="1"/>
    <col min="1296" max="1296" width="9.140625" style="371" customWidth="1"/>
    <col min="1297" max="1297" width="17.28515625" style="371" customWidth="1"/>
    <col min="1298" max="1298" width="11.42578125" style="371" customWidth="1"/>
    <col min="1299" max="1299" width="17.140625" style="371" customWidth="1"/>
    <col min="1300" max="1300" width="12" style="371" customWidth="1"/>
    <col min="1301" max="1301" width="17.140625" style="371" customWidth="1"/>
    <col min="1302" max="1302" width="8.85546875" style="371" customWidth="1"/>
    <col min="1303" max="1303" width="9" style="371"/>
    <col min="1304" max="1304" width="12.42578125" style="371" customWidth="1"/>
    <col min="1305" max="1305" width="10.5703125" style="371" customWidth="1"/>
    <col min="1306" max="1306" width="10.85546875" style="371" customWidth="1"/>
    <col min="1307" max="1307" width="9.5703125" style="371" customWidth="1"/>
    <col min="1308" max="1308" width="9.85546875" style="371" customWidth="1"/>
    <col min="1309" max="1549" width="9" style="371"/>
    <col min="1550" max="1550" width="13.7109375" style="371" customWidth="1"/>
    <col min="1551" max="1551" width="18.5703125" style="371" customWidth="1"/>
    <col min="1552" max="1552" width="9.140625" style="371" customWidth="1"/>
    <col min="1553" max="1553" width="17.28515625" style="371" customWidth="1"/>
    <col min="1554" max="1554" width="11.42578125" style="371" customWidth="1"/>
    <col min="1555" max="1555" width="17.140625" style="371" customWidth="1"/>
    <col min="1556" max="1556" width="12" style="371" customWidth="1"/>
    <col min="1557" max="1557" width="17.140625" style="371" customWidth="1"/>
    <col min="1558" max="1558" width="8.85546875" style="371" customWidth="1"/>
    <col min="1559" max="1559" width="9" style="371"/>
    <col min="1560" max="1560" width="12.42578125" style="371" customWidth="1"/>
    <col min="1561" max="1561" width="10.5703125" style="371" customWidth="1"/>
    <col min="1562" max="1562" width="10.85546875" style="371" customWidth="1"/>
    <col min="1563" max="1563" width="9.5703125" style="371" customWidth="1"/>
    <col min="1564" max="1564" width="9.85546875" style="371" customWidth="1"/>
    <col min="1565" max="1805" width="9" style="371"/>
    <col min="1806" max="1806" width="13.7109375" style="371" customWidth="1"/>
    <col min="1807" max="1807" width="18.5703125" style="371" customWidth="1"/>
    <col min="1808" max="1808" width="9.140625" style="371" customWidth="1"/>
    <col min="1809" max="1809" width="17.28515625" style="371" customWidth="1"/>
    <col min="1810" max="1810" width="11.42578125" style="371" customWidth="1"/>
    <col min="1811" max="1811" width="17.140625" style="371" customWidth="1"/>
    <col min="1812" max="1812" width="12" style="371" customWidth="1"/>
    <col min="1813" max="1813" width="17.140625" style="371" customWidth="1"/>
    <col min="1814" max="1814" width="8.85546875" style="371" customWidth="1"/>
    <col min="1815" max="1815" width="9" style="371"/>
    <col min="1816" max="1816" width="12.42578125" style="371" customWidth="1"/>
    <col min="1817" max="1817" width="10.5703125" style="371" customWidth="1"/>
    <col min="1818" max="1818" width="10.85546875" style="371" customWidth="1"/>
    <col min="1819" max="1819" width="9.5703125" style="371" customWidth="1"/>
    <col min="1820" max="1820" width="9.85546875" style="371" customWidth="1"/>
    <col min="1821" max="2061" width="9" style="371"/>
    <col min="2062" max="2062" width="13.7109375" style="371" customWidth="1"/>
    <col min="2063" max="2063" width="18.5703125" style="371" customWidth="1"/>
    <col min="2064" max="2064" width="9.140625" style="371" customWidth="1"/>
    <col min="2065" max="2065" width="17.28515625" style="371" customWidth="1"/>
    <col min="2066" max="2066" width="11.42578125" style="371" customWidth="1"/>
    <col min="2067" max="2067" width="17.140625" style="371" customWidth="1"/>
    <col min="2068" max="2068" width="12" style="371" customWidth="1"/>
    <col min="2069" max="2069" width="17.140625" style="371" customWidth="1"/>
    <col min="2070" max="2070" width="8.85546875" style="371" customWidth="1"/>
    <col min="2071" max="2071" width="9" style="371"/>
    <col min="2072" max="2072" width="12.42578125" style="371" customWidth="1"/>
    <col min="2073" max="2073" width="10.5703125" style="371" customWidth="1"/>
    <col min="2074" max="2074" width="10.85546875" style="371" customWidth="1"/>
    <col min="2075" max="2075" width="9.5703125" style="371" customWidth="1"/>
    <col min="2076" max="2076" width="9.85546875" style="371" customWidth="1"/>
    <col min="2077" max="2317" width="9" style="371"/>
    <col min="2318" max="2318" width="13.7109375" style="371" customWidth="1"/>
    <col min="2319" max="2319" width="18.5703125" style="371" customWidth="1"/>
    <col min="2320" max="2320" width="9.140625" style="371" customWidth="1"/>
    <col min="2321" max="2321" width="17.28515625" style="371" customWidth="1"/>
    <col min="2322" max="2322" width="11.42578125" style="371" customWidth="1"/>
    <col min="2323" max="2323" width="17.140625" style="371" customWidth="1"/>
    <col min="2324" max="2324" width="12" style="371" customWidth="1"/>
    <col min="2325" max="2325" width="17.140625" style="371" customWidth="1"/>
    <col min="2326" max="2326" width="8.85546875" style="371" customWidth="1"/>
    <col min="2327" max="2327" width="9" style="371"/>
    <col min="2328" max="2328" width="12.42578125" style="371" customWidth="1"/>
    <col min="2329" max="2329" width="10.5703125" style="371" customWidth="1"/>
    <col min="2330" max="2330" width="10.85546875" style="371" customWidth="1"/>
    <col min="2331" max="2331" width="9.5703125" style="371" customWidth="1"/>
    <col min="2332" max="2332" width="9.85546875" style="371" customWidth="1"/>
    <col min="2333" max="2573" width="9" style="371"/>
    <col min="2574" max="2574" width="13.7109375" style="371" customWidth="1"/>
    <col min="2575" max="2575" width="18.5703125" style="371" customWidth="1"/>
    <col min="2576" max="2576" width="9.140625" style="371" customWidth="1"/>
    <col min="2577" max="2577" width="17.28515625" style="371" customWidth="1"/>
    <col min="2578" max="2578" width="11.42578125" style="371" customWidth="1"/>
    <col min="2579" max="2579" width="17.140625" style="371" customWidth="1"/>
    <col min="2580" max="2580" width="12" style="371" customWidth="1"/>
    <col min="2581" max="2581" width="17.140625" style="371" customWidth="1"/>
    <col min="2582" max="2582" width="8.85546875" style="371" customWidth="1"/>
    <col min="2583" max="2583" width="9" style="371"/>
    <col min="2584" max="2584" width="12.42578125" style="371" customWidth="1"/>
    <col min="2585" max="2585" width="10.5703125" style="371" customWidth="1"/>
    <col min="2586" max="2586" width="10.85546875" style="371" customWidth="1"/>
    <col min="2587" max="2587" width="9.5703125" style="371" customWidth="1"/>
    <col min="2588" max="2588" width="9.85546875" style="371" customWidth="1"/>
    <col min="2589" max="2829" width="9" style="371"/>
    <col min="2830" max="2830" width="13.7109375" style="371" customWidth="1"/>
    <col min="2831" max="2831" width="18.5703125" style="371" customWidth="1"/>
    <col min="2832" max="2832" width="9.140625" style="371" customWidth="1"/>
    <col min="2833" max="2833" width="17.28515625" style="371" customWidth="1"/>
    <col min="2834" max="2834" width="11.42578125" style="371" customWidth="1"/>
    <col min="2835" max="2835" width="17.140625" style="371" customWidth="1"/>
    <col min="2836" max="2836" width="12" style="371" customWidth="1"/>
    <col min="2837" max="2837" width="17.140625" style="371" customWidth="1"/>
    <col min="2838" max="2838" width="8.85546875" style="371" customWidth="1"/>
    <col min="2839" max="2839" width="9" style="371"/>
    <col min="2840" max="2840" width="12.42578125" style="371" customWidth="1"/>
    <col min="2841" max="2841" width="10.5703125" style="371" customWidth="1"/>
    <col min="2842" max="2842" width="10.85546875" style="371" customWidth="1"/>
    <col min="2843" max="2843" width="9.5703125" style="371" customWidth="1"/>
    <col min="2844" max="2844" width="9.85546875" style="371" customWidth="1"/>
    <col min="2845" max="3085" width="9" style="371"/>
    <col min="3086" max="3086" width="13.7109375" style="371" customWidth="1"/>
    <col min="3087" max="3087" width="18.5703125" style="371" customWidth="1"/>
    <col min="3088" max="3088" width="9.140625" style="371" customWidth="1"/>
    <col min="3089" max="3089" width="17.28515625" style="371" customWidth="1"/>
    <col min="3090" max="3090" width="11.42578125" style="371" customWidth="1"/>
    <col min="3091" max="3091" width="17.140625" style="371" customWidth="1"/>
    <col min="3092" max="3092" width="12" style="371" customWidth="1"/>
    <col min="3093" max="3093" width="17.140625" style="371" customWidth="1"/>
    <col min="3094" max="3094" width="8.85546875" style="371" customWidth="1"/>
    <col min="3095" max="3095" width="9" style="371"/>
    <col min="3096" max="3096" width="12.42578125" style="371" customWidth="1"/>
    <col min="3097" max="3097" width="10.5703125" style="371" customWidth="1"/>
    <col min="3098" max="3098" width="10.85546875" style="371" customWidth="1"/>
    <col min="3099" max="3099" width="9.5703125" style="371" customWidth="1"/>
    <col min="3100" max="3100" width="9.85546875" style="371" customWidth="1"/>
    <col min="3101" max="3341" width="9" style="371"/>
    <col min="3342" max="3342" width="13.7109375" style="371" customWidth="1"/>
    <col min="3343" max="3343" width="18.5703125" style="371" customWidth="1"/>
    <col min="3344" max="3344" width="9.140625" style="371" customWidth="1"/>
    <col min="3345" max="3345" width="17.28515625" style="371" customWidth="1"/>
    <col min="3346" max="3346" width="11.42578125" style="371" customWidth="1"/>
    <col min="3347" max="3347" width="17.140625" style="371" customWidth="1"/>
    <col min="3348" max="3348" width="12" style="371" customWidth="1"/>
    <col min="3349" max="3349" width="17.140625" style="371" customWidth="1"/>
    <col min="3350" max="3350" width="8.85546875" style="371" customWidth="1"/>
    <col min="3351" max="3351" width="9" style="371"/>
    <col min="3352" max="3352" width="12.42578125" style="371" customWidth="1"/>
    <col min="3353" max="3353" width="10.5703125" style="371" customWidth="1"/>
    <col min="3354" max="3354" width="10.85546875" style="371" customWidth="1"/>
    <col min="3355" max="3355" width="9.5703125" style="371" customWidth="1"/>
    <col min="3356" max="3356" width="9.85546875" style="371" customWidth="1"/>
    <col min="3357" max="3597" width="9" style="371"/>
    <col min="3598" max="3598" width="13.7109375" style="371" customWidth="1"/>
    <col min="3599" max="3599" width="18.5703125" style="371" customWidth="1"/>
    <col min="3600" max="3600" width="9.140625" style="371" customWidth="1"/>
    <col min="3601" max="3601" width="17.28515625" style="371" customWidth="1"/>
    <col min="3602" max="3602" width="11.42578125" style="371" customWidth="1"/>
    <col min="3603" max="3603" width="17.140625" style="371" customWidth="1"/>
    <col min="3604" max="3604" width="12" style="371" customWidth="1"/>
    <col min="3605" max="3605" width="17.140625" style="371" customWidth="1"/>
    <col min="3606" max="3606" width="8.85546875" style="371" customWidth="1"/>
    <col min="3607" max="3607" width="9" style="371"/>
    <col min="3608" max="3608" width="12.42578125" style="371" customWidth="1"/>
    <col min="3609" max="3609" width="10.5703125" style="371" customWidth="1"/>
    <col min="3610" max="3610" width="10.85546875" style="371" customWidth="1"/>
    <col min="3611" max="3611" width="9.5703125" style="371" customWidth="1"/>
    <col min="3612" max="3612" width="9.85546875" style="371" customWidth="1"/>
    <col min="3613" max="3853" width="9" style="371"/>
    <col min="3854" max="3854" width="13.7109375" style="371" customWidth="1"/>
    <col min="3855" max="3855" width="18.5703125" style="371" customWidth="1"/>
    <col min="3856" max="3856" width="9.140625" style="371" customWidth="1"/>
    <col min="3857" max="3857" width="17.28515625" style="371" customWidth="1"/>
    <col min="3858" max="3858" width="11.42578125" style="371" customWidth="1"/>
    <col min="3859" max="3859" width="17.140625" style="371" customWidth="1"/>
    <col min="3860" max="3860" width="12" style="371" customWidth="1"/>
    <col min="3861" max="3861" width="17.140625" style="371" customWidth="1"/>
    <col min="3862" max="3862" width="8.85546875" style="371" customWidth="1"/>
    <col min="3863" max="3863" width="9" style="371"/>
    <col min="3864" max="3864" width="12.42578125" style="371" customWidth="1"/>
    <col min="3865" max="3865" width="10.5703125" style="371" customWidth="1"/>
    <col min="3866" max="3866" width="10.85546875" style="371" customWidth="1"/>
    <col min="3867" max="3867" width="9.5703125" style="371" customWidth="1"/>
    <col min="3868" max="3868" width="9.85546875" style="371" customWidth="1"/>
    <col min="3869" max="4109" width="9" style="371"/>
    <col min="4110" max="4110" width="13.7109375" style="371" customWidth="1"/>
    <col min="4111" max="4111" width="18.5703125" style="371" customWidth="1"/>
    <col min="4112" max="4112" width="9.140625" style="371" customWidth="1"/>
    <col min="4113" max="4113" width="17.28515625" style="371" customWidth="1"/>
    <col min="4114" max="4114" width="11.42578125" style="371" customWidth="1"/>
    <col min="4115" max="4115" width="17.140625" style="371" customWidth="1"/>
    <col min="4116" max="4116" width="12" style="371" customWidth="1"/>
    <col min="4117" max="4117" width="17.140625" style="371" customWidth="1"/>
    <col min="4118" max="4118" width="8.85546875" style="371" customWidth="1"/>
    <col min="4119" max="4119" width="9" style="371"/>
    <col min="4120" max="4120" width="12.42578125" style="371" customWidth="1"/>
    <col min="4121" max="4121" width="10.5703125" style="371" customWidth="1"/>
    <col min="4122" max="4122" width="10.85546875" style="371" customWidth="1"/>
    <col min="4123" max="4123" width="9.5703125" style="371" customWidth="1"/>
    <col min="4124" max="4124" width="9.85546875" style="371" customWidth="1"/>
    <col min="4125" max="4365" width="9" style="371"/>
    <col min="4366" max="4366" width="13.7109375" style="371" customWidth="1"/>
    <col min="4367" max="4367" width="18.5703125" style="371" customWidth="1"/>
    <col min="4368" max="4368" width="9.140625" style="371" customWidth="1"/>
    <col min="4369" max="4369" width="17.28515625" style="371" customWidth="1"/>
    <col min="4370" max="4370" width="11.42578125" style="371" customWidth="1"/>
    <col min="4371" max="4371" width="17.140625" style="371" customWidth="1"/>
    <col min="4372" max="4372" width="12" style="371" customWidth="1"/>
    <col min="4373" max="4373" width="17.140625" style="371" customWidth="1"/>
    <col min="4374" max="4374" width="8.85546875" style="371" customWidth="1"/>
    <col min="4375" max="4375" width="9" style="371"/>
    <col min="4376" max="4376" width="12.42578125" style="371" customWidth="1"/>
    <col min="4377" max="4377" width="10.5703125" style="371" customWidth="1"/>
    <col min="4378" max="4378" width="10.85546875" style="371" customWidth="1"/>
    <col min="4379" max="4379" width="9.5703125" style="371" customWidth="1"/>
    <col min="4380" max="4380" width="9.85546875" style="371" customWidth="1"/>
    <col min="4381" max="4621" width="9" style="371"/>
    <col min="4622" max="4622" width="13.7109375" style="371" customWidth="1"/>
    <col min="4623" max="4623" width="18.5703125" style="371" customWidth="1"/>
    <col min="4624" max="4624" width="9.140625" style="371" customWidth="1"/>
    <col min="4625" max="4625" width="17.28515625" style="371" customWidth="1"/>
    <col min="4626" max="4626" width="11.42578125" style="371" customWidth="1"/>
    <col min="4627" max="4627" width="17.140625" style="371" customWidth="1"/>
    <col min="4628" max="4628" width="12" style="371" customWidth="1"/>
    <col min="4629" max="4629" width="17.140625" style="371" customWidth="1"/>
    <col min="4630" max="4630" width="8.85546875" style="371" customWidth="1"/>
    <col min="4631" max="4631" width="9" style="371"/>
    <col min="4632" max="4632" width="12.42578125" style="371" customWidth="1"/>
    <col min="4633" max="4633" width="10.5703125" style="371" customWidth="1"/>
    <col min="4634" max="4634" width="10.85546875" style="371" customWidth="1"/>
    <col min="4635" max="4635" width="9.5703125" style="371" customWidth="1"/>
    <col min="4636" max="4636" width="9.85546875" style="371" customWidth="1"/>
    <col min="4637" max="4877" width="9" style="371"/>
    <col min="4878" max="4878" width="13.7109375" style="371" customWidth="1"/>
    <col min="4879" max="4879" width="18.5703125" style="371" customWidth="1"/>
    <col min="4880" max="4880" width="9.140625" style="371" customWidth="1"/>
    <col min="4881" max="4881" width="17.28515625" style="371" customWidth="1"/>
    <col min="4882" max="4882" width="11.42578125" style="371" customWidth="1"/>
    <col min="4883" max="4883" width="17.140625" style="371" customWidth="1"/>
    <col min="4884" max="4884" width="12" style="371" customWidth="1"/>
    <col min="4885" max="4885" width="17.140625" style="371" customWidth="1"/>
    <col min="4886" max="4886" width="8.85546875" style="371" customWidth="1"/>
    <col min="4887" max="4887" width="9" style="371"/>
    <col min="4888" max="4888" width="12.42578125" style="371" customWidth="1"/>
    <col min="4889" max="4889" width="10.5703125" style="371" customWidth="1"/>
    <col min="4890" max="4890" width="10.85546875" style="371" customWidth="1"/>
    <col min="4891" max="4891" width="9.5703125" style="371" customWidth="1"/>
    <col min="4892" max="4892" width="9.85546875" style="371" customWidth="1"/>
    <col min="4893" max="5133" width="9" style="371"/>
    <col min="5134" max="5134" width="13.7109375" style="371" customWidth="1"/>
    <col min="5135" max="5135" width="18.5703125" style="371" customWidth="1"/>
    <col min="5136" max="5136" width="9.140625" style="371" customWidth="1"/>
    <col min="5137" max="5137" width="17.28515625" style="371" customWidth="1"/>
    <col min="5138" max="5138" width="11.42578125" style="371" customWidth="1"/>
    <col min="5139" max="5139" width="17.140625" style="371" customWidth="1"/>
    <col min="5140" max="5140" width="12" style="371" customWidth="1"/>
    <col min="5141" max="5141" width="17.140625" style="371" customWidth="1"/>
    <col min="5142" max="5142" width="8.85546875" style="371" customWidth="1"/>
    <col min="5143" max="5143" width="9" style="371"/>
    <col min="5144" max="5144" width="12.42578125" style="371" customWidth="1"/>
    <col min="5145" max="5145" width="10.5703125" style="371" customWidth="1"/>
    <col min="5146" max="5146" width="10.85546875" style="371" customWidth="1"/>
    <col min="5147" max="5147" width="9.5703125" style="371" customWidth="1"/>
    <col min="5148" max="5148" width="9.85546875" style="371" customWidth="1"/>
    <col min="5149" max="5389" width="9" style="371"/>
    <col min="5390" max="5390" width="13.7109375" style="371" customWidth="1"/>
    <col min="5391" max="5391" width="18.5703125" style="371" customWidth="1"/>
    <col min="5392" max="5392" width="9.140625" style="371" customWidth="1"/>
    <col min="5393" max="5393" width="17.28515625" style="371" customWidth="1"/>
    <col min="5394" max="5394" width="11.42578125" style="371" customWidth="1"/>
    <col min="5395" max="5395" width="17.140625" style="371" customWidth="1"/>
    <col min="5396" max="5396" width="12" style="371" customWidth="1"/>
    <col min="5397" max="5397" width="17.140625" style="371" customWidth="1"/>
    <col min="5398" max="5398" width="8.85546875" style="371" customWidth="1"/>
    <col min="5399" max="5399" width="9" style="371"/>
    <col min="5400" max="5400" width="12.42578125" style="371" customWidth="1"/>
    <col min="5401" max="5401" width="10.5703125" style="371" customWidth="1"/>
    <col min="5402" max="5402" width="10.85546875" style="371" customWidth="1"/>
    <col min="5403" max="5403" width="9.5703125" style="371" customWidth="1"/>
    <col min="5404" max="5404" width="9.85546875" style="371" customWidth="1"/>
    <col min="5405" max="5645" width="9" style="371"/>
    <col min="5646" max="5646" width="13.7109375" style="371" customWidth="1"/>
    <col min="5647" max="5647" width="18.5703125" style="371" customWidth="1"/>
    <col min="5648" max="5648" width="9.140625" style="371" customWidth="1"/>
    <col min="5649" max="5649" width="17.28515625" style="371" customWidth="1"/>
    <col min="5650" max="5650" width="11.42578125" style="371" customWidth="1"/>
    <col min="5651" max="5651" width="17.140625" style="371" customWidth="1"/>
    <col min="5652" max="5652" width="12" style="371" customWidth="1"/>
    <col min="5653" max="5653" width="17.140625" style="371" customWidth="1"/>
    <col min="5654" max="5654" width="8.85546875" style="371" customWidth="1"/>
    <col min="5655" max="5655" width="9" style="371"/>
    <col min="5656" max="5656" width="12.42578125" style="371" customWidth="1"/>
    <col min="5657" max="5657" width="10.5703125" style="371" customWidth="1"/>
    <col min="5658" max="5658" width="10.85546875" style="371" customWidth="1"/>
    <col min="5659" max="5659" width="9.5703125" style="371" customWidth="1"/>
    <col min="5660" max="5660" width="9.85546875" style="371" customWidth="1"/>
    <col min="5661" max="5901" width="9" style="371"/>
    <col min="5902" max="5902" width="13.7109375" style="371" customWidth="1"/>
    <col min="5903" max="5903" width="18.5703125" style="371" customWidth="1"/>
    <col min="5904" max="5904" width="9.140625" style="371" customWidth="1"/>
    <col min="5905" max="5905" width="17.28515625" style="371" customWidth="1"/>
    <col min="5906" max="5906" width="11.42578125" style="371" customWidth="1"/>
    <col min="5907" max="5907" width="17.140625" style="371" customWidth="1"/>
    <col min="5908" max="5908" width="12" style="371" customWidth="1"/>
    <col min="5909" max="5909" width="17.140625" style="371" customWidth="1"/>
    <col min="5910" max="5910" width="8.85546875" style="371" customWidth="1"/>
    <col min="5911" max="5911" width="9" style="371"/>
    <col min="5912" max="5912" width="12.42578125" style="371" customWidth="1"/>
    <col min="5913" max="5913" width="10.5703125" style="371" customWidth="1"/>
    <col min="5914" max="5914" width="10.85546875" style="371" customWidth="1"/>
    <col min="5915" max="5915" width="9.5703125" style="371" customWidth="1"/>
    <col min="5916" max="5916" width="9.85546875" style="371" customWidth="1"/>
    <col min="5917" max="6157" width="9" style="371"/>
    <col min="6158" max="6158" width="13.7109375" style="371" customWidth="1"/>
    <col min="6159" max="6159" width="18.5703125" style="371" customWidth="1"/>
    <col min="6160" max="6160" width="9.140625" style="371" customWidth="1"/>
    <col min="6161" max="6161" width="17.28515625" style="371" customWidth="1"/>
    <col min="6162" max="6162" width="11.42578125" style="371" customWidth="1"/>
    <col min="6163" max="6163" width="17.140625" style="371" customWidth="1"/>
    <col min="6164" max="6164" width="12" style="371" customWidth="1"/>
    <col min="6165" max="6165" width="17.140625" style="371" customWidth="1"/>
    <col min="6166" max="6166" width="8.85546875" style="371" customWidth="1"/>
    <col min="6167" max="6167" width="9" style="371"/>
    <col min="6168" max="6168" width="12.42578125" style="371" customWidth="1"/>
    <col min="6169" max="6169" width="10.5703125" style="371" customWidth="1"/>
    <col min="6170" max="6170" width="10.85546875" style="371" customWidth="1"/>
    <col min="6171" max="6171" width="9.5703125" style="371" customWidth="1"/>
    <col min="6172" max="6172" width="9.85546875" style="371" customWidth="1"/>
    <col min="6173" max="6413" width="9" style="371"/>
    <col min="6414" max="6414" width="13.7109375" style="371" customWidth="1"/>
    <col min="6415" max="6415" width="18.5703125" style="371" customWidth="1"/>
    <col min="6416" max="6416" width="9.140625" style="371" customWidth="1"/>
    <col min="6417" max="6417" width="17.28515625" style="371" customWidth="1"/>
    <col min="6418" max="6418" width="11.42578125" style="371" customWidth="1"/>
    <col min="6419" max="6419" width="17.140625" style="371" customWidth="1"/>
    <col min="6420" max="6420" width="12" style="371" customWidth="1"/>
    <col min="6421" max="6421" width="17.140625" style="371" customWidth="1"/>
    <col min="6422" max="6422" width="8.85546875" style="371" customWidth="1"/>
    <col min="6423" max="6423" width="9" style="371"/>
    <col min="6424" max="6424" width="12.42578125" style="371" customWidth="1"/>
    <col min="6425" max="6425" width="10.5703125" style="371" customWidth="1"/>
    <col min="6426" max="6426" width="10.85546875" style="371" customWidth="1"/>
    <col min="6427" max="6427" width="9.5703125" style="371" customWidth="1"/>
    <col min="6428" max="6428" width="9.85546875" style="371" customWidth="1"/>
    <col min="6429" max="6669" width="9" style="371"/>
    <col min="6670" max="6670" width="13.7109375" style="371" customWidth="1"/>
    <col min="6671" max="6671" width="18.5703125" style="371" customWidth="1"/>
    <col min="6672" max="6672" width="9.140625" style="371" customWidth="1"/>
    <col min="6673" max="6673" width="17.28515625" style="371" customWidth="1"/>
    <col min="6674" max="6674" width="11.42578125" style="371" customWidth="1"/>
    <col min="6675" max="6675" width="17.140625" style="371" customWidth="1"/>
    <col min="6676" max="6676" width="12" style="371" customWidth="1"/>
    <col min="6677" max="6677" width="17.140625" style="371" customWidth="1"/>
    <col min="6678" max="6678" width="8.85546875" style="371" customWidth="1"/>
    <col min="6679" max="6679" width="9" style="371"/>
    <col min="6680" max="6680" width="12.42578125" style="371" customWidth="1"/>
    <col min="6681" max="6681" width="10.5703125" style="371" customWidth="1"/>
    <col min="6682" max="6682" width="10.85546875" style="371" customWidth="1"/>
    <col min="6683" max="6683" width="9.5703125" style="371" customWidth="1"/>
    <col min="6684" max="6684" width="9.85546875" style="371" customWidth="1"/>
    <col min="6685" max="6925" width="9" style="371"/>
    <col min="6926" max="6926" width="13.7109375" style="371" customWidth="1"/>
    <col min="6927" max="6927" width="18.5703125" style="371" customWidth="1"/>
    <col min="6928" max="6928" width="9.140625" style="371" customWidth="1"/>
    <col min="6929" max="6929" width="17.28515625" style="371" customWidth="1"/>
    <col min="6930" max="6930" width="11.42578125" style="371" customWidth="1"/>
    <col min="6931" max="6931" width="17.140625" style="371" customWidth="1"/>
    <col min="6932" max="6932" width="12" style="371" customWidth="1"/>
    <col min="6933" max="6933" width="17.140625" style="371" customWidth="1"/>
    <col min="6934" max="6934" width="8.85546875" style="371" customWidth="1"/>
    <col min="6935" max="6935" width="9" style="371"/>
    <col min="6936" max="6936" width="12.42578125" style="371" customWidth="1"/>
    <col min="6937" max="6937" width="10.5703125" style="371" customWidth="1"/>
    <col min="6938" max="6938" width="10.85546875" style="371" customWidth="1"/>
    <col min="6939" max="6939" width="9.5703125" style="371" customWidth="1"/>
    <col min="6940" max="6940" width="9.85546875" style="371" customWidth="1"/>
    <col min="6941" max="7181" width="9" style="371"/>
    <col min="7182" max="7182" width="13.7109375" style="371" customWidth="1"/>
    <col min="7183" max="7183" width="18.5703125" style="371" customWidth="1"/>
    <col min="7184" max="7184" width="9.140625" style="371" customWidth="1"/>
    <col min="7185" max="7185" width="17.28515625" style="371" customWidth="1"/>
    <col min="7186" max="7186" width="11.42578125" style="371" customWidth="1"/>
    <col min="7187" max="7187" width="17.140625" style="371" customWidth="1"/>
    <col min="7188" max="7188" width="12" style="371" customWidth="1"/>
    <col min="7189" max="7189" width="17.140625" style="371" customWidth="1"/>
    <col min="7190" max="7190" width="8.85546875" style="371" customWidth="1"/>
    <col min="7191" max="7191" width="9" style="371"/>
    <col min="7192" max="7192" width="12.42578125" style="371" customWidth="1"/>
    <col min="7193" max="7193" width="10.5703125" style="371" customWidth="1"/>
    <col min="7194" max="7194" width="10.85546875" style="371" customWidth="1"/>
    <col min="7195" max="7195" width="9.5703125" style="371" customWidth="1"/>
    <col min="7196" max="7196" width="9.85546875" style="371" customWidth="1"/>
    <col min="7197" max="7437" width="9" style="371"/>
    <col min="7438" max="7438" width="13.7109375" style="371" customWidth="1"/>
    <col min="7439" max="7439" width="18.5703125" style="371" customWidth="1"/>
    <col min="7440" max="7440" width="9.140625" style="371" customWidth="1"/>
    <col min="7441" max="7441" width="17.28515625" style="371" customWidth="1"/>
    <col min="7442" max="7442" width="11.42578125" style="371" customWidth="1"/>
    <col min="7443" max="7443" width="17.140625" style="371" customWidth="1"/>
    <col min="7444" max="7444" width="12" style="371" customWidth="1"/>
    <col min="7445" max="7445" width="17.140625" style="371" customWidth="1"/>
    <col min="7446" max="7446" width="8.85546875" style="371" customWidth="1"/>
    <col min="7447" max="7447" width="9" style="371"/>
    <col min="7448" max="7448" width="12.42578125" style="371" customWidth="1"/>
    <col min="7449" max="7449" width="10.5703125" style="371" customWidth="1"/>
    <col min="7450" max="7450" width="10.85546875" style="371" customWidth="1"/>
    <col min="7451" max="7451" width="9.5703125" style="371" customWidth="1"/>
    <col min="7452" max="7452" width="9.85546875" style="371" customWidth="1"/>
    <col min="7453" max="7693" width="9" style="371"/>
    <col min="7694" max="7694" width="13.7109375" style="371" customWidth="1"/>
    <col min="7695" max="7695" width="18.5703125" style="371" customWidth="1"/>
    <col min="7696" max="7696" width="9.140625" style="371" customWidth="1"/>
    <col min="7697" max="7697" width="17.28515625" style="371" customWidth="1"/>
    <col min="7698" max="7698" width="11.42578125" style="371" customWidth="1"/>
    <col min="7699" max="7699" width="17.140625" style="371" customWidth="1"/>
    <col min="7700" max="7700" width="12" style="371" customWidth="1"/>
    <col min="7701" max="7701" width="17.140625" style="371" customWidth="1"/>
    <col min="7702" max="7702" width="8.85546875" style="371" customWidth="1"/>
    <col min="7703" max="7703" width="9" style="371"/>
    <col min="7704" max="7704" width="12.42578125" style="371" customWidth="1"/>
    <col min="7705" max="7705" width="10.5703125" style="371" customWidth="1"/>
    <col min="7706" max="7706" width="10.85546875" style="371" customWidth="1"/>
    <col min="7707" max="7707" width="9.5703125" style="371" customWidth="1"/>
    <col min="7708" max="7708" width="9.85546875" style="371" customWidth="1"/>
    <col min="7709" max="7949" width="9" style="371"/>
    <col min="7950" max="7950" width="13.7109375" style="371" customWidth="1"/>
    <col min="7951" max="7951" width="18.5703125" style="371" customWidth="1"/>
    <col min="7952" max="7952" width="9.140625" style="371" customWidth="1"/>
    <col min="7953" max="7953" width="17.28515625" style="371" customWidth="1"/>
    <col min="7954" max="7954" width="11.42578125" style="371" customWidth="1"/>
    <col min="7955" max="7955" width="17.140625" style="371" customWidth="1"/>
    <col min="7956" max="7956" width="12" style="371" customWidth="1"/>
    <col min="7957" max="7957" width="17.140625" style="371" customWidth="1"/>
    <col min="7958" max="7958" width="8.85546875" style="371" customWidth="1"/>
    <col min="7959" max="7959" width="9" style="371"/>
    <col min="7960" max="7960" width="12.42578125" style="371" customWidth="1"/>
    <col min="7961" max="7961" width="10.5703125" style="371" customWidth="1"/>
    <col min="7962" max="7962" width="10.85546875" style="371" customWidth="1"/>
    <col min="7963" max="7963" width="9.5703125" style="371" customWidth="1"/>
    <col min="7964" max="7964" width="9.85546875" style="371" customWidth="1"/>
    <col min="7965" max="8205" width="9" style="371"/>
    <col min="8206" max="8206" width="13.7109375" style="371" customWidth="1"/>
    <col min="8207" max="8207" width="18.5703125" style="371" customWidth="1"/>
    <col min="8208" max="8208" width="9.140625" style="371" customWidth="1"/>
    <col min="8209" max="8209" width="17.28515625" style="371" customWidth="1"/>
    <col min="8210" max="8210" width="11.42578125" style="371" customWidth="1"/>
    <col min="8211" max="8211" width="17.140625" style="371" customWidth="1"/>
    <col min="8212" max="8212" width="12" style="371" customWidth="1"/>
    <col min="8213" max="8213" width="17.140625" style="371" customWidth="1"/>
    <col min="8214" max="8214" width="8.85546875" style="371" customWidth="1"/>
    <col min="8215" max="8215" width="9" style="371"/>
    <col min="8216" max="8216" width="12.42578125" style="371" customWidth="1"/>
    <col min="8217" max="8217" width="10.5703125" style="371" customWidth="1"/>
    <col min="8218" max="8218" width="10.85546875" style="371" customWidth="1"/>
    <col min="8219" max="8219" width="9.5703125" style="371" customWidth="1"/>
    <col min="8220" max="8220" width="9.85546875" style="371" customWidth="1"/>
    <col min="8221" max="8461" width="9" style="371"/>
    <col min="8462" max="8462" width="13.7109375" style="371" customWidth="1"/>
    <col min="8463" max="8463" width="18.5703125" style="371" customWidth="1"/>
    <col min="8464" max="8464" width="9.140625" style="371" customWidth="1"/>
    <col min="8465" max="8465" width="17.28515625" style="371" customWidth="1"/>
    <col min="8466" max="8466" width="11.42578125" style="371" customWidth="1"/>
    <col min="8467" max="8467" width="17.140625" style="371" customWidth="1"/>
    <col min="8468" max="8468" width="12" style="371" customWidth="1"/>
    <col min="8469" max="8469" width="17.140625" style="371" customWidth="1"/>
    <col min="8470" max="8470" width="8.85546875" style="371" customWidth="1"/>
    <col min="8471" max="8471" width="9" style="371"/>
    <col min="8472" max="8472" width="12.42578125" style="371" customWidth="1"/>
    <col min="8473" max="8473" width="10.5703125" style="371" customWidth="1"/>
    <col min="8474" max="8474" width="10.85546875" style="371" customWidth="1"/>
    <col min="8475" max="8475" width="9.5703125" style="371" customWidth="1"/>
    <col min="8476" max="8476" width="9.85546875" style="371" customWidth="1"/>
    <col min="8477" max="8717" width="9" style="371"/>
    <col min="8718" max="8718" width="13.7109375" style="371" customWidth="1"/>
    <col min="8719" max="8719" width="18.5703125" style="371" customWidth="1"/>
    <col min="8720" max="8720" width="9.140625" style="371" customWidth="1"/>
    <col min="8721" max="8721" width="17.28515625" style="371" customWidth="1"/>
    <col min="8722" max="8722" width="11.42578125" style="371" customWidth="1"/>
    <col min="8723" max="8723" width="17.140625" style="371" customWidth="1"/>
    <col min="8724" max="8724" width="12" style="371" customWidth="1"/>
    <col min="8725" max="8725" width="17.140625" style="371" customWidth="1"/>
    <col min="8726" max="8726" width="8.85546875" style="371" customWidth="1"/>
    <col min="8727" max="8727" width="9" style="371"/>
    <col min="8728" max="8728" width="12.42578125" style="371" customWidth="1"/>
    <col min="8729" max="8729" width="10.5703125" style="371" customWidth="1"/>
    <col min="8730" max="8730" width="10.85546875" style="371" customWidth="1"/>
    <col min="8731" max="8731" width="9.5703125" style="371" customWidth="1"/>
    <col min="8732" max="8732" width="9.85546875" style="371" customWidth="1"/>
    <col min="8733" max="8973" width="9" style="371"/>
    <col min="8974" max="8974" width="13.7109375" style="371" customWidth="1"/>
    <col min="8975" max="8975" width="18.5703125" style="371" customWidth="1"/>
    <col min="8976" max="8976" width="9.140625" style="371" customWidth="1"/>
    <col min="8977" max="8977" width="17.28515625" style="371" customWidth="1"/>
    <col min="8978" max="8978" width="11.42578125" style="371" customWidth="1"/>
    <col min="8979" max="8979" width="17.140625" style="371" customWidth="1"/>
    <col min="8980" max="8980" width="12" style="371" customWidth="1"/>
    <col min="8981" max="8981" width="17.140625" style="371" customWidth="1"/>
    <col min="8982" max="8982" width="8.85546875" style="371" customWidth="1"/>
    <col min="8983" max="8983" width="9" style="371"/>
    <col min="8984" max="8984" width="12.42578125" style="371" customWidth="1"/>
    <col min="8985" max="8985" width="10.5703125" style="371" customWidth="1"/>
    <col min="8986" max="8986" width="10.85546875" style="371" customWidth="1"/>
    <col min="8987" max="8987" width="9.5703125" style="371" customWidth="1"/>
    <col min="8988" max="8988" width="9.85546875" style="371" customWidth="1"/>
    <col min="8989" max="9229" width="9" style="371"/>
    <col min="9230" max="9230" width="13.7109375" style="371" customWidth="1"/>
    <col min="9231" max="9231" width="18.5703125" style="371" customWidth="1"/>
    <col min="9232" max="9232" width="9.140625" style="371" customWidth="1"/>
    <col min="9233" max="9233" width="17.28515625" style="371" customWidth="1"/>
    <col min="9234" max="9234" width="11.42578125" style="371" customWidth="1"/>
    <col min="9235" max="9235" width="17.140625" style="371" customWidth="1"/>
    <col min="9236" max="9236" width="12" style="371" customWidth="1"/>
    <col min="9237" max="9237" width="17.140625" style="371" customWidth="1"/>
    <col min="9238" max="9238" width="8.85546875" style="371" customWidth="1"/>
    <col min="9239" max="9239" width="9" style="371"/>
    <col min="9240" max="9240" width="12.42578125" style="371" customWidth="1"/>
    <col min="9241" max="9241" width="10.5703125" style="371" customWidth="1"/>
    <col min="9242" max="9242" width="10.85546875" style="371" customWidth="1"/>
    <col min="9243" max="9243" width="9.5703125" style="371" customWidth="1"/>
    <col min="9244" max="9244" width="9.85546875" style="371" customWidth="1"/>
    <col min="9245" max="9485" width="9" style="371"/>
    <col min="9486" max="9486" width="13.7109375" style="371" customWidth="1"/>
    <col min="9487" max="9487" width="18.5703125" style="371" customWidth="1"/>
    <col min="9488" max="9488" width="9.140625" style="371" customWidth="1"/>
    <col min="9489" max="9489" width="17.28515625" style="371" customWidth="1"/>
    <col min="9490" max="9490" width="11.42578125" style="371" customWidth="1"/>
    <col min="9491" max="9491" width="17.140625" style="371" customWidth="1"/>
    <col min="9492" max="9492" width="12" style="371" customWidth="1"/>
    <col min="9493" max="9493" width="17.140625" style="371" customWidth="1"/>
    <col min="9494" max="9494" width="8.85546875" style="371" customWidth="1"/>
    <col min="9495" max="9495" width="9" style="371"/>
    <col min="9496" max="9496" width="12.42578125" style="371" customWidth="1"/>
    <col min="9497" max="9497" width="10.5703125" style="371" customWidth="1"/>
    <col min="9498" max="9498" width="10.85546875" style="371" customWidth="1"/>
    <col min="9499" max="9499" width="9.5703125" style="371" customWidth="1"/>
    <col min="9500" max="9500" width="9.85546875" style="371" customWidth="1"/>
    <col min="9501" max="9741" width="9" style="371"/>
    <col min="9742" max="9742" width="13.7109375" style="371" customWidth="1"/>
    <col min="9743" max="9743" width="18.5703125" style="371" customWidth="1"/>
    <col min="9744" max="9744" width="9.140625" style="371" customWidth="1"/>
    <col min="9745" max="9745" width="17.28515625" style="371" customWidth="1"/>
    <col min="9746" max="9746" width="11.42578125" style="371" customWidth="1"/>
    <col min="9747" max="9747" width="17.140625" style="371" customWidth="1"/>
    <col min="9748" max="9748" width="12" style="371" customWidth="1"/>
    <col min="9749" max="9749" width="17.140625" style="371" customWidth="1"/>
    <col min="9750" max="9750" width="8.85546875" style="371" customWidth="1"/>
    <col min="9751" max="9751" width="9" style="371"/>
    <col min="9752" max="9752" width="12.42578125" style="371" customWidth="1"/>
    <col min="9753" max="9753" width="10.5703125" style="371" customWidth="1"/>
    <col min="9754" max="9754" width="10.85546875" style="371" customWidth="1"/>
    <col min="9755" max="9755" width="9.5703125" style="371" customWidth="1"/>
    <col min="9756" max="9756" width="9.85546875" style="371" customWidth="1"/>
    <col min="9757" max="9997" width="9" style="371"/>
    <col min="9998" max="9998" width="13.7109375" style="371" customWidth="1"/>
    <col min="9999" max="9999" width="18.5703125" style="371" customWidth="1"/>
    <col min="10000" max="10000" width="9.140625" style="371" customWidth="1"/>
    <col min="10001" max="10001" width="17.28515625" style="371" customWidth="1"/>
    <col min="10002" max="10002" width="11.42578125" style="371" customWidth="1"/>
    <col min="10003" max="10003" width="17.140625" style="371" customWidth="1"/>
    <col min="10004" max="10004" width="12" style="371" customWidth="1"/>
    <col min="10005" max="10005" width="17.140625" style="371" customWidth="1"/>
    <col min="10006" max="10006" width="8.85546875" style="371" customWidth="1"/>
    <col min="10007" max="10007" width="9" style="371"/>
    <col min="10008" max="10008" width="12.42578125" style="371" customWidth="1"/>
    <col min="10009" max="10009" width="10.5703125" style="371" customWidth="1"/>
    <col min="10010" max="10010" width="10.85546875" style="371" customWidth="1"/>
    <col min="10011" max="10011" width="9.5703125" style="371" customWidth="1"/>
    <col min="10012" max="10012" width="9.85546875" style="371" customWidth="1"/>
    <col min="10013" max="10253" width="9" style="371"/>
    <col min="10254" max="10254" width="13.7109375" style="371" customWidth="1"/>
    <col min="10255" max="10255" width="18.5703125" style="371" customWidth="1"/>
    <col min="10256" max="10256" width="9.140625" style="371" customWidth="1"/>
    <col min="10257" max="10257" width="17.28515625" style="371" customWidth="1"/>
    <col min="10258" max="10258" width="11.42578125" style="371" customWidth="1"/>
    <col min="10259" max="10259" width="17.140625" style="371" customWidth="1"/>
    <col min="10260" max="10260" width="12" style="371" customWidth="1"/>
    <col min="10261" max="10261" width="17.140625" style="371" customWidth="1"/>
    <col min="10262" max="10262" width="8.85546875" style="371" customWidth="1"/>
    <col min="10263" max="10263" width="9" style="371"/>
    <col min="10264" max="10264" width="12.42578125" style="371" customWidth="1"/>
    <col min="10265" max="10265" width="10.5703125" style="371" customWidth="1"/>
    <col min="10266" max="10266" width="10.85546875" style="371" customWidth="1"/>
    <col min="10267" max="10267" width="9.5703125" style="371" customWidth="1"/>
    <col min="10268" max="10268" width="9.85546875" style="371" customWidth="1"/>
    <col min="10269" max="10509" width="9" style="371"/>
    <col min="10510" max="10510" width="13.7109375" style="371" customWidth="1"/>
    <col min="10511" max="10511" width="18.5703125" style="371" customWidth="1"/>
    <col min="10512" max="10512" width="9.140625" style="371" customWidth="1"/>
    <col min="10513" max="10513" width="17.28515625" style="371" customWidth="1"/>
    <col min="10514" max="10514" width="11.42578125" style="371" customWidth="1"/>
    <col min="10515" max="10515" width="17.140625" style="371" customWidth="1"/>
    <col min="10516" max="10516" width="12" style="371" customWidth="1"/>
    <col min="10517" max="10517" width="17.140625" style="371" customWidth="1"/>
    <col min="10518" max="10518" width="8.85546875" style="371" customWidth="1"/>
    <col min="10519" max="10519" width="9" style="371"/>
    <col min="10520" max="10520" width="12.42578125" style="371" customWidth="1"/>
    <col min="10521" max="10521" width="10.5703125" style="371" customWidth="1"/>
    <col min="10522" max="10522" width="10.85546875" style="371" customWidth="1"/>
    <col min="10523" max="10523" width="9.5703125" style="371" customWidth="1"/>
    <col min="10524" max="10524" width="9.85546875" style="371" customWidth="1"/>
    <col min="10525" max="10765" width="9" style="371"/>
    <col min="10766" max="10766" width="13.7109375" style="371" customWidth="1"/>
    <col min="10767" max="10767" width="18.5703125" style="371" customWidth="1"/>
    <col min="10768" max="10768" width="9.140625" style="371" customWidth="1"/>
    <col min="10769" max="10769" width="17.28515625" style="371" customWidth="1"/>
    <col min="10770" max="10770" width="11.42578125" style="371" customWidth="1"/>
    <col min="10771" max="10771" width="17.140625" style="371" customWidth="1"/>
    <col min="10772" max="10772" width="12" style="371" customWidth="1"/>
    <col min="10773" max="10773" width="17.140625" style="371" customWidth="1"/>
    <col min="10774" max="10774" width="8.85546875" style="371" customWidth="1"/>
    <col min="10775" max="10775" width="9" style="371"/>
    <col min="10776" max="10776" width="12.42578125" style="371" customWidth="1"/>
    <col min="10777" max="10777" width="10.5703125" style="371" customWidth="1"/>
    <col min="10778" max="10778" width="10.85546875" style="371" customWidth="1"/>
    <col min="10779" max="10779" width="9.5703125" style="371" customWidth="1"/>
    <col min="10780" max="10780" width="9.85546875" style="371" customWidth="1"/>
    <col min="10781" max="11021" width="9" style="371"/>
    <col min="11022" max="11022" width="13.7109375" style="371" customWidth="1"/>
    <col min="11023" max="11023" width="18.5703125" style="371" customWidth="1"/>
    <col min="11024" max="11024" width="9.140625" style="371" customWidth="1"/>
    <col min="11025" max="11025" width="17.28515625" style="371" customWidth="1"/>
    <col min="11026" max="11026" width="11.42578125" style="371" customWidth="1"/>
    <col min="11027" max="11027" width="17.140625" style="371" customWidth="1"/>
    <col min="11028" max="11028" width="12" style="371" customWidth="1"/>
    <col min="11029" max="11029" width="17.140625" style="371" customWidth="1"/>
    <col min="11030" max="11030" width="8.85546875" style="371" customWidth="1"/>
    <col min="11031" max="11031" width="9" style="371"/>
    <col min="11032" max="11032" width="12.42578125" style="371" customWidth="1"/>
    <col min="11033" max="11033" width="10.5703125" style="371" customWidth="1"/>
    <col min="11034" max="11034" width="10.85546875" style="371" customWidth="1"/>
    <col min="11035" max="11035" width="9.5703125" style="371" customWidth="1"/>
    <col min="11036" max="11036" width="9.85546875" style="371" customWidth="1"/>
    <col min="11037" max="11277" width="9" style="371"/>
    <col min="11278" max="11278" width="13.7109375" style="371" customWidth="1"/>
    <col min="11279" max="11279" width="18.5703125" style="371" customWidth="1"/>
    <col min="11280" max="11280" width="9.140625" style="371" customWidth="1"/>
    <col min="11281" max="11281" width="17.28515625" style="371" customWidth="1"/>
    <col min="11282" max="11282" width="11.42578125" style="371" customWidth="1"/>
    <col min="11283" max="11283" width="17.140625" style="371" customWidth="1"/>
    <col min="11284" max="11284" width="12" style="371" customWidth="1"/>
    <col min="11285" max="11285" width="17.140625" style="371" customWidth="1"/>
    <col min="11286" max="11286" width="8.85546875" style="371" customWidth="1"/>
    <col min="11287" max="11287" width="9" style="371"/>
    <col min="11288" max="11288" width="12.42578125" style="371" customWidth="1"/>
    <col min="11289" max="11289" width="10.5703125" style="371" customWidth="1"/>
    <col min="11290" max="11290" width="10.85546875" style="371" customWidth="1"/>
    <col min="11291" max="11291" width="9.5703125" style="371" customWidth="1"/>
    <col min="11292" max="11292" width="9.85546875" style="371" customWidth="1"/>
    <col min="11293" max="11533" width="9" style="371"/>
    <col min="11534" max="11534" width="13.7109375" style="371" customWidth="1"/>
    <col min="11535" max="11535" width="18.5703125" style="371" customWidth="1"/>
    <col min="11536" max="11536" width="9.140625" style="371" customWidth="1"/>
    <col min="11537" max="11537" width="17.28515625" style="371" customWidth="1"/>
    <col min="11538" max="11538" width="11.42578125" style="371" customWidth="1"/>
    <col min="11539" max="11539" width="17.140625" style="371" customWidth="1"/>
    <col min="11540" max="11540" width="12" style="371" customWidth="1"/>
    <col min="11541" max="11541" width="17.140625" style="371" customWidth="1"/>
    <col min="11542" max="11542" width="8.85546875" style="371" customWidth="1"/>
    <col min="11543" max="11543" width="9" style="371"/>
    <col min="11544" max="11544" width="12.42578125" style="371" customWidth="1"/>
    <col min="11545" max="11545" width="10.5703125" style="371" customWidth="1"/>
    <col min="11546" max="11546" width="10.85546875" style="371" customWidth="1"/>
    <col min="11547" max="11547" width="9.5703125" style="371" customWidth="1"/>
    <col min="11548" max="11548" width="9.85546875" style="371" customWidth="1"/>
    <col min="11549" max="11789" width="9" style="371"/>
    <col min="11790" max="11790" width="13.7109375" style="371" customWidth="1"/>
    <col min="11791" max="11791" width="18.5703125" style="371" customWidth="1"/>
    <col min="11792" max="11792" width="9.140625" style="371" customWidth="1"/>
    <col min="11793" max="11793" width="17.28515625" style="371" customWidth="1"/>
    <col min="11794" max="11794" width="11.42578125" style="371" customWidth="1"/>
    <col min="11795" max="11795" width="17.140625" style="371" customWidth="1"/>
    <col min="11796" max="11796" width="12" style="371" customWidth="1"/>
    <col min="11797" max="11797" width="17.140625" style="371" customWidth="1"/>
    <col min="11798" max="11798" width="8.85546875" style="371" customWidth="1"/>
    <col min="11799" max="11799" width="9" style="371"/>
    <col min="11800" max="11800" width="12.42578125" style="371" customWidth="1"/>
    <col min="11801" max="11801" width="10.5703125" style="371" customWidth="1"/>
    <col min="11802" max="11802" width="10.85546875" style="371" customWidth="1"/>
    <col min="11803" max="11803" width="9.5703125" style="371" customWidth="1"/>
    <col min="11804" max="11804" width="9.85546875" style="371" customWidth="1"/>
    <col min="11805" max="12045" width="9" style="371"/>
    <col min="12046" max="12046" width="13.7109375" style="371" customWidth="1"/>
    <col min="12047" max="12047" width="18.5703125" style="371" customWidth="1"/>
    <col min="12048" max="12048" width="9.140625" style="371" customWidth="1"/>
    <col min="12049" max="12049" width="17.28515625" style="371" customWidth="1"/>
    <col min="12050" max="12050" width="11.42578125" style="371" customWidth="1"/>
    <col min="12051" max="12051" width="17.140625" style="371" customWidth="1"/>
    <col min="12052" max="12052" width="12" style="371" customWidth="1"/>
    <col min="12053" max="12053" width="17.140625" style="371" customWidth="1"/>
    <col min="12054" max="12054" width="8.85546875" style="371" customWidth="1"/>
    <col min="12055" max="12055" width="9" style="371"/>
    <col min="12056" max="12056" width="12.42578125" style="371" customWidth="1"/>
    <col min="12057" max="12057" width="10.5703125" style="371" customWidth="1"/>
    <col min="12058" max="12058" width="10.85546875" style="371" customWidth="1"/>
    <col min="12059" max="12059" width="9.5703125" style="371" customWidth="1"/>
    <col min="12060" max="12060" width="9.85546875" style="371" customWidth="1"/>
    <col min="12061" max="12301" width="9" style="371"/>
    <col min="12302" max="12302" width="13.7109375" style="371" customWidth="1"/>
    <col min="12303" max="12303" width="18.5703125" style="371" customWidth="1"/>
    <col min="12304" max="12304" width="9.140625" style="371" customWidth="1"/>
    <col min="12305" max="12305" width="17.28515625" style="371" customWidth="1"/>
    <col min="12306" max="12306" width="11.42578125" style="371" customWidth="1"/>
    <col min="12307" max="12307" width="17.140625" style="371" customWidth="1"/>
    <col min="12308" max="12308" width="12" style="371" customWidth="1"/>
    <col min="12309" max="12309" width="17.140625" style="371" customWidth="1"/>
    <col min="12310" max="12310" width="8.85546875" style="371" customWidth="1"/>
    <col min="12311" max="12311" width="9" style="371"/>
    <col min="12312" max="12312" width="12.42578125" style="371" customWidth="1"/>
    <col min="12313" max="12313" width="10.5703125" style="371" customWidth="1"/>
    <col min="12314" max="12314" width="10.85546875" style="371" customWidth="1"/>
    <col min="12315" max="12315" width="9.5703125" style="371" customWidth="1"/>
    <col min="12316" max="12316" width="9.85546875" style="371" customWidth="1"/>
    <col min="12317" max="12557" width="9" style="371"/>
    <col min="12558" max="12558" width="13.7109375" style="371" customWidth="1"/>
    <col min="12559" max="12559" width="18.5703125" style="371" customWidth="1"/>
    <col min="12560" max="12560" width="9.140625" style="371" customWidth="1"/>
    <col min="12561" max="12561" width="17.28515625" style="371" customWidth="1"/>
    <col min="12562" max="12562" width="11.42578125" style="371" customWidth="1"/>
    <col min="12563" max="12563" width="17.140625" style="371" customWidth="1"/>
    <col min="12564" max="12564" width="12" style="371" customWidth="1"/>
    <col min="12565" max="12565" width="17.140625" style="371" customWidth="1"/>
    <col min="12566" max="12566" width="8.85546875" style="371" customWidth="1"/>
    <col min="12567" max="12567" width="9" style="371"/>
    <col min="12568" max="12568" width="12.42578125" style="371" customWidth="1"/>
    <col min="12569" max="12569" width="10.5703125" style="371" customWidth="1"/>
    <col min="12570" max="12570" width="10.85546875" style="371" customWidth="1"/>
    <col min="12571" max="12571" width="9.5703125" style="371" customWidth="1"/>
    <col min="12572" max="12572" width="9.85546875" style="371" customWidth="1"/>
    <col min="12573" max="12813" width="9" style="371"/>
    <col min="12814" max="12814" width="13.7109375" style="371" customWidth="1"/>
    <col min="12815" max="12815" width="18.5703125" style="371" customWidth="1"/>
    <col min="12816" max="12816" width="9.140625" style="371" customWidth="1"/>
    <col min="12817" max="12817" width="17.28515625" style="371" customWidth="1"/>
    <col min="12818" max="12818" width="11.42578125" style="371" customWidth="1"/>
    <col min="12819" max="12819" width="17.140625" style="371" customWidth="1"/>
    <col min="12820" max="12820" width="12" style="371" customWidth="1"/>
    <col min="12821" max="12821" width="17.140625" style="371" customWidth="1"/>
    <col min="12822" max="12822" width="8.85546875" style="371" customWidth="1"/>
    <col min="12823" max="12823" width="9" style="371"/>
    <col min="12824" max="12824" width="12.42578125" style="371" customWidth="1"/>
    <col min="12825" max="12825" width="10.5703125" style="371" customWidth="1"/>
    <col min="12826" max="12826" width="10.85546875" style="371" customWidth="1"/>
    <col min="12827" max="12827" width="9.5703125" style="371" customWidth="1"/>
    <col min="12828" max="12828" width="9.85546875" style="371" customWidth="1"/>
    <col min="12829" max="13069" width="9" style="371"/>
    <col min="13070" max="13070" width="13.7109375" style="371" customWidth="1"/>
    <col min="13071" max="13071" width="18.5703125" style="371" customWidth="1"/>
    <col min="13072" max="13072" width="9.140625" style="371" customWidth="1"/>
    <col min="13073" max="13073" width="17.28515625" style="371" customWidth="1"/>
    <col min="13074" max="13074" width="11.42578125" style="371" customWidth="1"/>
    <col min="13075" max="13075" width="17.140625" style="371" customWidth="1"/>
    <col min="13076" max="13076" width="12" style="371" customWidth="1"/>
    <col min="13077" max="13077" width="17.140625" style="371" customWidth="1"/>
    <col min="13078" max="13078" width="8.85546875" style="371" customWidth="1"/>
    <col min="13079" max="13079" width="9" style="371"/>
    <col min="13080" max="13080" width="12.42578125" style="371" customWidth="1"/>
    <col min="13081" max="13081" width="10.5703125" style="371" customWidth="1"/>
    <col min="13082" max="13082" width="10.85546875" style="371" customWidth="1"/>
    <col min="13083" max="13083" width="9.5703125" style="371" customWidth="1"/>
    <col min="13084" max="13084" width="9.85546875" style="371" customWidth="1"/>
    <col min="13085" max="13325" width="9" style="371"/>
    <col min="13326" max="13326" width="13.7109375" style="371" customWidth="1"/>
    <col min="13327" max="13327" width="18.5703125" style="371" customWidth="1"/>
    <col min="13328" max="13328" width="9.140625" style="371" customWidth="1"/>
    <col min="13329" max="13329" width="17.28515625" style="371" customWidth="1"/>
    <col min="13330" max="13330" width="11.42578125" style="371" customWidth="1"/>
    <col min="13331" max="13331" width="17.140625" style="371" customWidth="1"/>
    <col min="13332" max="13332" width="12" style="371" customWidth="1"/>
    <col min="13333" max="13333" width="17.140625" style="371" customWidth="1"/>
    <col min="13334" max="13334" width="8.85546875" style="371" customWidth="1"/>
    <col min="13335" max="13335" width="9" style="371"/>
    <col min="13336" max="13336" width="12.42578125" style="371" customWidth="1"/>
    <col min="13337" max="13337" width="10.5703125" style="371" customWidth="1"/>
    <col min="13338" max="13338" width="10.85546875" style="371" customWidth="1"/>
    <col min="13339" max="13339" width="9.5703125" style="371" customWidth="1"/>
    <col min="13340" max="13340" width="9.85546875" style="371" customWidth="1"/>
    <col min="13341" max="13581" width="9" style="371"/>
    <col min="13582" max="13582" width="13.7109375" style="371" customWidth="1"/>
    <col min="13583" max="13583" width="18.5703125" style="371" customWidth="1"/>
    <col min="13584" max="13584" width="9.140625" style="371" customWidth="1"/>
    <col min="13585" max="13585" width="17.28515625" style="371" customWidth="1"/>
    <col min="13586" max="13586" width="11.42578125" style="371" customWidth="1"/>
    <col min="13587" max="13587" width="17.140625" style="371" customWidth="1"/>
    <col min="13588" max="13588" width="12" style="371" customWidth="1"/>
    <col min="13589" max="13589" width="17.140625" style="371" customWidth="1"/>
    <col min="13590" max="13590" width="8.85546875" style="371" customWidth="1"/>
    <col min="13591" max="13591" width="9" style="371"/>
    <col min="13592" max="13592" width="12.42578125" style="371" customWidth="1"/>
    <col min="13593" max="13593" width="10.5703125" style="371" customWidth="1"/>
    <col min="13594" max="13594" width="10.85546875" style="371" customWidth="1"/>
    <col min="13595" max="13595" width="9.5703125" style="371" customWidth="1"/>
    <col min="13596" max="13596" width="9.85546875" style="371" customWidth="1"/>
    <col min="13597" max="13837" width="9" style="371"/>
    <col min="13838" max="13838" width="13.7109375" style="371" customWidth="1"/>
    <col min="13839" max="13839" width="18.5703125" style="371" customWidth="1"/>
    <col min="13840" max="13840" width="9.140625" style="371" customWidth="1"/>
    <col min="13841" max="13841" width="17.28515625" style="371" customWidth="1"/>
    <col min="13842" max="13842" width="11.42578125" style="371" customWidth="1"/>
    <col min="13843" max="13843" width="17.140625" style="371" customWidth="1"/>
    <col min="13844" max="13844" width="12" style="371" customWidth="1"/>
    <col min="13845" max="13845" width="17.140625" style="371" customWidth="1"/>
    <col min="13846" max="13846" width="8.85546875" style="371" customWidth="1"/>
    <col min="13847" max="13847" width="9" style="371"/>
    <col min="13848" max="13848" width="12.42578125" style="371" customWidth="1"/>
    <col min="13849" max="13849" width="10.5703125" style="371" customWidth="1"/>
    <col min="13850" max="13850" width="10.85546875" style="371" customWidth="1"/>
    <col min="13851" max="13851" width="9.5703125" style="371" customWidth="1"/>
    <col min="13852" max="13852" width="9.85546875" style="371" customWidth="1"/>
    <col min="13853" max="14093" width="9" style="371"/>
    <col min="14094" max="14094" width="13.7109375" style="371" customWidth="1"/>
    <col min="14095" max="14095" width="18.5703125" style="371" customWidth="1"/>
    <col min="14096" max="14096" width="9.140625" style="371" customWidth="1"/>
    <col min="14097" max="14097" width="17.28515625" style="371" customWidth="1"/>
    <col min="14098" max="14098" width="11.42578125" style="371" customWidth="1"/>
    <col min="14099" max="14099" width="17.140625" style="371" customWidth="1"/>
    <col min="14100" max="14100" width="12" style="371" customWidth="1"/>
    <col min="14101" max="14101" width="17.140625" style="371" customWidth="1"/>
    <col min="14102" max="14102" width="8.85546875" style="371" customWidth="1"/>
    <col min="14103" max="14103" width="9" style="371"/>
    <col min="14104" max="14104" width="12.42578125" style="371" customWidth="1"/>
    <col min="14105" max="14105" width="10.5703125" style="371" customWidth="1"/>
    <col min="14106" max="14106" width="10.85546875" style="371" customWidth="1"/>
    <col min="14107" max="14107" width="9.5703125" style="371" customWidth="1"/>
    <col min="14108" max="14108" width="9.85546875" style="371" customWidth="1"/>
    <col min="14109" max="14349" width="9" style="371"/>
    <col min="14350" max="14350" width="13.7109375" style="371" customWidth="1"/>
    <col min="14351" max="14351" width="18.5703125" style="371" customWidth="1"/>
    <col min="14352" max="14352" width="9.140625" style="371" customWidth="1"/>
    <col min="14353" max="14353" width="17.28515625" style="371" customWidth="1"/>
    <col min="14354" max="14354" width="11.42578125" style="371" customWidth="1"/>
    <col min="14355" max="14355" width="17.140625" style="371" customWidth="1"/>
    <col min="14356" max="14356" width="12" style="371" customWidth="1"/>
    <col min="14357" max="14357" width="17.140625" style="371" customWidth="1"/>
    <col min="14358" max="14358" width="8.85546875" style="371" customWidth="1"/>
    <col min="14359" max="14359" width="9" style="371"/>
    <col min="14360" max="14360" width="12.42578125" style="371" customWidth="1"/>
    <col min="14361" max="14361" width="10.5703125" style="371" customWidth="1"/>
    <col min="14362" max="14362" width="10.85546875" style="371" customWidth="1"/>
    <col min="14363" max="14363" width="9.5703125" style="371" customWidth="1"/>
    <col min="14364" max="14364" width="9.85546875" style="371" customWidth="1"/>
    <col min="14365" max="14605" width="9" style="371"/>
    <col min="14606" max="14606" width="13.7109375" style="371" customWidth="1"/>
    <col min="14607" max="14607" width="18.5703125" style="371" customWidth="1"/>
    <col min="14608" max="14608" width="9.140625" style="371" customWidth="1"/>
    <col min="14609" max="14609" width="17.28515625" style="371" customWidth="1"/>
    <col min="14610" max="14610" width="11.42578125" style="371" customWidth="1"/>
    <col min="14611" max="14611" width="17.140625" style="371" customWidth="1"/>
    <col min="14612" max="14612" width="12" style="371" customWidth="1"/>
    <col min="14613" max="14613" width="17.140625" style="371" customWidth="1"/>
    <col min="14614" max="14614" width="8.85546875" style="371" customWidth="1"/>
    <col min="14615" max="14615" width="9" style="371"/>
    <col min="14616" max="14616" width="12.42578125" style="371" customWidth="1"/>
    <col min="14617" max="14617" width="10.5703125" style="371" customWidth="1"/>
    <col min="14618" max="14618" width="10.85546875" style="371" customWidth="1"/>
    <col min="14619" max="14619" width="9.5703125" style="371" customWidth="1"/>
    <col min="14620" max="14620" width="9.85546875" style="371" customWidth="1"/>
    <col min="14621" max="14861" width="9" style="371"/>
    <col min="14862" max="14862" width="13.7109375" style="371" customWidth="1"/>
    <col min="14863" max="14863" width="18.5703125" style="371" customWidth="1"/>
    <col min="14864" max="14864" width="9.140625" style="371" customWidth="1"/>
    <col min="14865" max="14865" width="17.28515625" style="371" customWidth="1"/>
    <col min="14866" max="14866" width="11.42578125" style="371" customWidth="1"/>
    <col min="14867" max="14867" width="17.140625" style="371" customWidth="1"/>
    <col min="14868" max="14868" width="12" style="371" customWidth="1"/>
    <col min="14869" max="14869" width="17.140625" style="371" customWidth="1"/>
    <col min="14870" max="14870" width="8.85546875" style="371" customWidth="1"/>
    <col min="14871" max="14871" width="9" style="371"/>
    <col min="14872" max="14872" width="12.42578125" style="371" customWidth="1"/>
    <col min="14873" max="14873" width="10.5703125" style="371" customWidth="1"/>
    <col min="14874" max="14874" width="10.85546875" style="371" customWidth="1"/>
    <col min="14875" max="14875" width="9.5703125" style="371" customWidth="1"/>
    <col min="14876" max="14876" width="9.85546875" style="371" customWidth="1"/>
    <col min="14877" max="15117" width="9" style="371"/>
    <col min="15118" max="15118" width="13.7109375" style="371" customWidth="1"/>
    <col min="15119" max="15119" width="18.5703125" style="371" customWidth="1"/>
    <col min="15120" max="15120" width="9.140625" style="371" customWidth="1"/>
    <col min="15121" max="15121" width="17.28515625" style="371" customWidth="1"/>
    <col min="15122" max="15122" width="11.42578125" style="371" customWidth="1"/>
    <col min="15123" max="15123" width="17.140625" style="371" customWidth="1"/>
    <col min="15124" max="15124" width="12" style="371" customWidth="1"/>
    <col min="15125" max="15125" width="17.140625" style="371" customWidth="1"/>
    <col min="15126" max="15126" width="8.85546875" style="371" customWidth="1"/>
    <col min="15127" max="15127" width="9" style="371"/>
    <col min="15128" max="15128" width="12.42578125" style="371" customWidth="1"/>
    <col min="15129" max="15129" width="10.5703125" style="371" customWidth="1"/>
    <col min="15130" max="15130" width="10.85546875" style="371" customWidth="1"/>
    <col min="15131" max="15131" width="9.5703125" style="371" customWidth="1"/>
    <col min="15132" max="15132" width="9.85546875" style="371" customWidth="1"/>
    <col min="15133" max="15373" width="9" style="371"/>
    <col min="15374" max="15374" width="13.7109375" style="371" customWidth="1"/>
    <col min="15375" max="15375" width="18.5703125" style="371" customWidth="1"/>
    <col min="15376" max="15376" width="9.140625" style="371" customWidth="1"/>
    <col min="15377" max="15377" width="17.28515625" style="371" customWidth="1"/>
    <col min="15378" max="15378" width="11.42578125" style="371" customWidth="1"/>
    <col min="15379" max="15379" width="17.140625" style="371" customWidth="1"/>
    <col min="15380" max="15380" width="12" style="371" customWidth="1"/>
    <col min="15381" max="15381" width="17.140625" style="371" customWidth="1"/>
    <col min="15382" max="15382" width="8.85546875" style="371" customWidth="1"/>
    <col min="15383" max="15383" width="9" style="371"/>
    <col min="15384" max="15384" width="12.42578125" style="371" customWidth="1"/>
    <col min="15385" max="15385" width="10.5703125" style="371" customWidth="1"/>
    <col min="15386" max="15386" width="10.85546875" style="371" customWidth="1"/>
    <col min="15387" max="15387" width="9.5703125" style="371" customWidth="1"/>
    <col min="15388" max="15388" width="9.85546875" style="371" customWidth="1"/>
    <col min="15389" max="15629" width="9" style="371"/>
    <col min="15630" max="15630" width="13.7109375" style="371" customWidth="1"/>
    <col min="15631" max="15631" width="18.5703125" style="371" customWidth="1"/>
    <col min="15632" max="15632" width="9.140625" style="371" customWidth="1"/>
    <col min="15633" max="15633" width="17.28515625" style="371" customWidth="1"/>
    <col min="15634" max="15634" width="11.42578125" style="371" customWidth="1"/>
    <col min="15635" max="15635" width="17.140625" style="371" customWidth="1"/>
    <col min="15636" max="15636" width="12" style="371" customWidth="1"/>
    <col min="15637" max="15637" width="17.140625" style="371" customWidth="1"/>
    <col min="15638" max="15638" width="8.85546875" style="371" customWidth="1"/>
    <col min="15639" max="15639" width="9" style="371"/>
    <col min="15640" max="15640" width="12.42578125" style="371" customWidth="1"/>
    <col min="15641" max="15641" width="10.5703125" style="371" customWidth="1"/>
    <col min="15642" max="15642" width="10.85546875" style="371" customWidth="1"/>
    <col min="15643" max="15643" width="9.5703125" style="371" customWidth="1"/>
    <col min="15644" max="15644" width="9.85546875" style="371" customWidth="1"/>
    <col min="15645" max="15885" width="9" style="371"/>
    <col min="15886" max="15886" width="13.7109375" style="371" customWidth="1"/>
    <col min="15887" max="15887" width="18.5703125" style="371" customWidth="1"/>
    <col min="15888" max="15888" width="9.140625" style="371" customWidth="1"/>
    <col min="15889" max="15889" width="17.28515625" style="371" customWidth="1"/>
    <col min="15890" max="15890" width="11.42578125" style="371" customWidth="1"/>
    <col min="15891" max="15891" width="17.140625" style="371" customWidth="1"/>
    <col min="15892" max="15892" width="12" style="371" customWidth="1"/>
    <col min="15893" max="15893" width="17.140625" style="371" customWidth="1"/>
    <col min="15894" max="15894" width="8.85546875" style="371" customWidth="1"/>
    <col min="15895" max="15895" width="9" style="371"/>
    <col min="15896" max="15896" width="12.42578125" style="371" customWidth="1"/>
    <col min="15897" max="15897" width="10.5703125" style="371" customWidth="1"/>
    <col min="15898" max="15898" width="10.85546875" style="371" customWidth="1"/>
    <col min="15899" max="15899" width="9.5703125" style="371" customWidth="1"/>
    <col min="15900" max="15900" width="9.85546875" style="371" customWidth="1"/>
    <col min="15901" max="16141" width="9" style="371"/>
    <col min="16142" max="16142" width="13.7109375" style="371" customWidth="1"/>
    <col min="16143" max="16143" width="18.5703125" style="371" customWidth="1"/>
    <col min="16144" max="16144" width="9.140625" style="371" customWidth="1"/>
    <col min="16145" max="16145" width="17.28515625" style="371" customWidth="1"/>
    <col min="16146" max="16146" width="11.42578125" style="371" customWidth="1"/>
    <col min="16147" max="16147" width="17.140625" style="371" customWidth="1"/>
    <col min="16148" max="16148" width="12" style="371" customWidth="1"/>
    <col min="16149" max="16149" width="17.140625" style="371" customWidth="1"/>
    <col min="16150" max="16150" width="8.85546875" style="371" customWidth="1"/>
    <col min="16151" max="16151" width="9" style="371"/>
    <col min="16152" max="16152" width="12.42578125" style="371" customWidth="1"/>
    <col min="16153" max="16153" width="10.5703125" style="371" customWidth="1"/>
    <col min="16154" max="16154" width="10.85546875" style="371" customWidth="1"/>
    <col min="16155" max="16155" width="9.5703125" style="371" customWidth="1"/>
    <col min="16156" max="16156" width="9.85546875" style="371" customWidth="1"/>
    <col min="16157" max="16384" width="9" style="371"/>
  </cols>
  <sheetData>
    <row r="1" spans="1:29" ht="15.75">
      <c r="B1" s="668" t="s">
        <v>165</v>
      </c>
      <c r="C1" s="668"/>
      <c r="D1" s="668"/>
      <c r="E1" s="668"/>
      <c r="F1" s="668"/>
      <c r="G1" s="668"/>
      <c r="H1" s="668"/>
      <c r="I1" s="668"/>
      <c r="J1" s="668"/>
      <c r="K1" s="668"/>
      <c r="L1" s="668"/>
      <c r="M1" s="668"/>
      <c r="N1" s="668"/>
      <c r="O1" s="668"/>
      <c r="P1" s="668"/>
      <c r="Q1" s="668"/>
      <c r="R1" s="668"/>
      <c r="S1" s="668"/>
      <c r="T1" s="668"/>
      <c r="U1" s="668"/>
      <c r="V1" s="668"/>
      <c r="W1" s="668"/>
      <c r="X1" s="668"/>
      <c r="Y1" s="668"/>
      <c r="Z1" s="668"/>
      <c r="AA1" s="668"/>
      <c r="AB1" s="668"/>
    </row>
    <row r="2" spans="1:29" ht="16.5" customHeight="1">
      <c r="B2" s="668" t="s">
        <v>191</v>
      </c>
      <c r="C2" s="668"/>
      <c r="D2" s="668"/>
      <c r="E2" s="668"/>
      <c r="F2" s="668"/>
      <c r="G2" s="668"/>
      <c r="H2" s="668"/>
      <c r="I2" s="668"/>
      <c r="J2" s="668"/>
      <c r="K2" s="668"/>
      <c r="L2" s="668"/>
      <c r="M2" s="668"/>
      <c r="N2" s="668"/>
      <c r="O2" s="668"/>
      <c r="P2" s="668"/>
      <c r="Q2" s="668"/>
      <c r="R2" s="668"/>
      <c r="S2" s="668"/>
      <c r="T2" s="668"/>
      <c r="U2" s="668"/>
      <c r="V2" s="668"/>
      <c r="W2" s="668"/>
      <c r="X2" s="668"/>
      <c r="Y2" s="668"/>
      <c r="Z2" s="668"/>
      <c r="AA2" s="668"/>
      <c r="AB2" s="668"/>
    </row>
    <row r="3" spans="1:29" ht="16.5" customHeight="1">
      <c r="B3" s="669" t="s">
        <v>192</v>
      </c>
      <c r="C3" s="669"/>
      <c r="D3" s="669"/>
      <c r="E3" s="669"/>
      <c r="F3" s="669"/>
      <c r="G3" s="669"/>
      <c r="H3" s="669"/>
      <c r="I3" s="669"/>
      <c r="J3" s="669"/>
      <c r="K3" s="669"/>
      <c r="L3" s="669"/>
      <c r="M3" s="669"/>
      <c r="N3" s="669"/>
      <c r="O3" s="669"/>
      <c r="P3" s="669"/>
      <c r="Q3" s="669"/>
      <c r="R3" s="669"/>
      <c r="S3" s="669"/>
      <c r="T3" s="669"/>
      <c r="U3" s="669"/>
      <c r="V3" s="669"/>
      <c r="W3" s="669"/>
      <c r="X3" s="669"/>
      <c r="Y3" s="669"/>
      <c r="Z3" s="669"/>
      <c r="AA3" s="669"/>
      <c r="AB3" s="669"/>
    </row>
    <row r="4" spans="1:29" ht="18" customHeight="1">
      <c r="B4" s="668" t="s">
        <v>193</v>
      </c>
      <c r="C4" s="668"/>
      <c r="D4" s="668"/>
      <c r="E4" s="668"/>
      <c r="F4" s="668"/>
      <c r="G4" s="668"/>
      <c r="H4" s="668"/>
      <c r="I4" s="668"/>
      <c r="J4" s="668"/>
      <c r="K4" s="668"/>
      <c r="L4" s="668"/>
      <c r="M4" s="668"/>
      <c r="N4" s="668"/>
      <c r="O4" s="668"/>
      <c r="P4" s="668"/>
      <c r="Q4" s="668"/>
      <c r="R4" s="668"/>
      <c r="S4" s="668"/>
      <c r="T4" s="668"/>
      <c r="U4" s="668"/>
      <c r="V4" s="668"/>
      <c r="W4" s="668"/>
      <c r="X4" s="668"/>
      <c r="Y4" s="668"/>
      <c r="Z4" s="668"/>
      <c r="AA4" s="668"/>
      <c r="AB4" s="668"/>
    </row>
    <row r="5" spans="1:29" ht="20.25" customHeight="1">
      <c r="A5" s="670" t="s">
        <v>194</v>
      </c>
      <c r="B5" s="670"/>
      <c r="C5" s="670"/>
      <c r="D5" s="670"/>
      <c r="E5" s="670"/>
      <c r="F5" s="670"/>
      <c r="G5" s="372"/>
      <c r="H5" s="372"/>
      <c r="I5" s="372"/>
      <c r="J5" s="372"/>
      <c r="K5" s="372"/>
      <c r="M5" s="671"/>
      <c r="N5" s="671"/>
      <c r="O5" s="491"/>
      <c r="P5" s="491"/>
      <c r="Q5" s="672"/>
      <c r="R5" s="672"/>
      <c r="S5" s="521"/>
      <c r="T5" s="521"/>
      <c r="U5" s="521"/>
      <c r="V5" s="521"/>
      <c r="W5" s="398"/>
      <c r="X5" s="521"/>
      <c r="Y5" s="521"/>
      <c r="Z5" s="671" t="s">
        <v>166</v>
      </c>
      <c r="AA5" s="671"/>
      <c r="AB5" s="671"/>
      <c r="AC5" s="352"/>
    </row>
    <row r="6" spans="1:29" ht="106.15" customHeight="1">
      <c r="A6" s="512" t="s">
        <v>167</v>
      </c>
      <c r="B6" s="512" t="s">
        <v>195</v>
      </c>
      <c r="C6" s="512" t="s">
        <v>169</v>
      </c>
      <c r="D6" s="512" t="s">
        <v>196</v>
      </c>
      <c r="E6" s="512" t="s">
        <v>197</v>
      </c>
      <c r="F6" s="512" t="s">
        <v>198</v>
      </c>
      <c r="G6" s="510" t="s">
        <v>170</v>
      </c>
      <c r="H6" s="355" t="s">
        <v>252</v>
      </c>
      <c r="I6" s="512" t="s">
        <v>171</v>
      </c>
      <c r="J6" s="512" t="s">
        <v>200</v>
      </c>
      <c r="K6" s="512" t="s">
        <v>201</v>
      </c>
      <c r="L6" s="512" t="s">
        <v>202</v>
      </c>
      <c r="M6" s="512" t="s">
        <v>172</v>
      </c>
      <c r="N6" s="354" t="s">
        <v>253</v>
      </c>
      <c r="O6" s="355" t="s">
        <v>203</v>
      </c>
      <c r="P6" s="353" t="s">
        <v>173</v>
      </c>
      <c r="Q6" s="512" t="s">
        <v>204</v>
      </c>
      <c r="R6" s="501" t="s">
        <v>205</v>
      </c>
      <c r="S6" s="510" t="s">
        <v>174</v>
      </c>
      <c r="T6" s="512" t="s">
        <v>175</v>
      </c>
      <c r="U6" s="510" t="s">
        <v>176</v>
      </c>
      <c r="V6" s="510" t="s">
        <v>177</v>
      </c>
      <c r="W6" s="399" t="s">
        <v>206</v>
      </c>
      <c r="X6" s="355" t="s">
        <v>189</v>
      </c>
      <c r="Y6" s="355" t="s">
        <v>179</v>
      </c>
      <c r="Z6" s="510" t="s">
        <v>190</v>
      </c>
      <c r="AA6" s="400" t="s">
        <v>180</v>
      </c>
      <c r="AB6" s="512" t="s">
        <v>207</v>
      </c>
    </row>
    <row r="7" spans="1:29" ht="21" customHeight="1">
      <c r="A7" s="357">
        <v>45352</v>
      </c>
      <c r="B7" s="374" t="s">
        <v>254</v>
      </c>
      <c r="C7" s="375" t="s">
        <v>255</v>
      </c>
      <c r="D7" s="374" t="s">
        <v>256</v>
      </c>
      <c r="E7" s="401">
        <v>41.43</v>
      </c>
      <c r="F7" s="402"/>
      <c r="G7" s="374">
        <v>8</v>
      </c>
      <c r="H7" s="403">
        <f t="shared" ref="H7:H13" si="0">IFERROR(IF(G7&lt;&gt;"",W7*G7*AA7,""),"input error""")</f>
        <v>9267.9768205616365</v>
      </c>
      <c r="I7" s="376">
        <v>3</v>
      </c>
      <c r="J7" s="379" t="s">
        <v>245</v>
      </c>
      <c r="K7" s="500">
        <f>1947+1502</f>
        <v>3449</v>
      </c>
      <c r="L7" s="377">
        <f>(K7*11.4375)/1000</f>
        <v>39.447937500000002</v>
      </c>
      <c r="M7" s="496">
        <v>0</v>
      </c>
      <c r="N7" s="383">
        <f t="shared" ref="N7:N64" si="1">IFERROR(IF(K7&lt;&gt;"",K7/H7,""),"input error")</f>
        <v>0.37214162991303118</v>
      </c>
      <c r="O7" s="358">
        <f t="shared" ref="O7:O13" si="2">IFERROR(IF(I7&lt;&gt;"",K7/(I7*W7*AA7),""),"input error")</f>
        <v>0.99237767976808333</v>
      </c>
      <c r="P7" s="359">
        <f t="shared" ref="P7:P13" si="3">IFERROR(IF(L7&lt;&gt;"",M7/(M7+L7),""),"input error")</f>
        <v>0</v>
      </c>
      <c r="Q7" s="401" t="s">
        <v>257</v>
      </c>
      <c r="R7" s="500">
        <v>7.5</v>
      </c>
      <c r="S7" s="676">
        <v>2</v>
      </c>
      <c r="T7" s="679">
        <v>7.5</v>
      </c>
      <c r="U7" s="676">
        <v>0</v>
      </c>
      <c r="V7" s="676">
        <f>IFERROR(IF(S7&gt;0,S7*T7-U7,""),"input error")</f>
        <v>15</v>
      </c>
      <c r="W7" s="380">
        <f>'[2]缠绕 编织工时Winding, Braiding,'!G27</f>
        <v>188.19</v>
      </c>
      <c r="X7" s="404">
        <f t="shared" ref="X7:X13" si="4">IFERROR(IF(W7&lt;&gt;"",1/W7,""),"input error")</f>
        <v>5.3137786279823587E-3</v>
      </c>
      <c r="Y7" s="360">
        <f t="shared" ref="Y7:Y13" si="5">IFERROR(IF(K7&lt;&gt;"",K7*X7,""),"input error")</f>
        <v>18.327222487911154</v>
      </c>
      <c r="Z7" s="690">
        <f>SUM(Y7:Y9)</f>
        <v>44.656995589563742</v>
      </c>
      <c r="AA7" s="405">
        <f>IFERROR(IF(Y7&lt;&gt;"",$V$7*Y7/$Z$7,""),"input error")</f>
        <v>6.1559971442170385</v>
      </c>
      <c r="AB7" s="501"/>
    </row>
    <row r="8" spans="1:29" ht="21" customHeight="1">
      <c r="A8" s="357">
        <v>45352</v>
      </c>
      <c r="B8" s="374" t="s">
        <v>258</v>
      </c>
      <c r="C8" s="375" t="s">
        <v>255</v>
      </c>
      <c r="D8" s="374" t="s">
        <v>256</v>
      </c>
      <c r="E8" s="401">
        <v>41.43</v>
      </c>
      <c r="F8" s="402"/>
      <c r="G8" s="374">
        <v>8</v>
      </c>
      <c r="H8" s="403">
        <f t="shared" si="0"/>
        <v>8491.3907663017617</v>
      </c>
      <c r="I8" s="376">
        <v>3</v>
      </c>
      <c r="J8" s="379" t="s">
        <v>245</v>
      </c>
      <c r="K8" s="500">
        <f>1550+1610</f>
        <v>3160</v>
      </c>
      <c r="L8" s="377">
        <f>(K8*11.4375)/1000</f>
        <v>36.142499999999998</v>
      </c>
      <c r="M8" s="496">
        <v>0</v>
      </c>
      <c r="N8" s="383">
        <f t="shared" si="1"/>
        <v>0.37214162991303112</v>
      </c>
      <c r="O8" s="358">
        <f t="shared" si="2"/>
        <v>0.99237767976808311</v>
      </c>
      <c r="P8" s="359">
        <f t="shared" si="3"/>
        <v>0</v>
      </c>
      <c r="Q8" s="401" t="s">
        <v>257</v>
      </c>
      <c r="R8" s="500">
        <v>7.5</v>
      </c>
      <c r="S8" s="677"/>
      <c r="T8" s="680"/>
      <c r="U8" s="677"/>
      <c r="V8" s="677"/>
      <c r="W8" s="380">
        <f>'[2]缠绕 编织工时Winding, Braiding,'!G27</f>
        <v>188.19</v>
      </c>
      <c r="X8" s="404">
        <f t="shared" si="4"/>
        <v>5.3137786279823587E-3</v>
      </c>
      <c r="Y8" s="360">
        <f t="shared" si="5"/>
        <v>16.791540464424255</v>
      </c>
      <c r="Z8" s="691"/>
      <c r="AA8" s="405">
        <f t="shared" ref="AA8:AA9" si="6">IFERROR(IF(Y8&lt;&gt;"",$V$7*Y8/$Z$7,""),"input error")</f>
        <v>5.6401713469776302</v>
      </c>
      <c r="AB8" s="501"/>
    </row>
    <row r="9" spans="1:29" ht="21" customHeight="1">
      <c r="A9" s="357">
        <v>45352</v>
      </c>
      <c r="B9" s="374" t="s">
        <v>259</v>
      </c>
      <c r="C9" s="375" t="s">
        <v>255</v>
      </c>
      <c r="D9" s="374" t="s">
        <v>256</v>
      </c>
      <c r="E9" s="401">
        <v>41.43</v>
      </c>
      <c r="F9" s="402"/>
      <c r="G9" s="374">
        <v>8</v>
      </c>
      <c r="H9" s="403">
        <f t="shared" si="0"/>
        <v>4823.4324131366011</v>
      </c>
      <c r="I9" s="376">
        <v>3</v>
      </c>
      <c r="J9" s="379" t="s">
        <v>245</v>
      </c>
      <c r="K9" s="500">
        <f>1322+473</f>
        <v>1795</v>
      </c>
      <c r="L9" s="377">
        <f>(K9*11.4375)/1000</f>
        <v>20.530312500000001</v>
      </c>
      <c r="M9" s="496">
        <v>0</v>
      </c>
      <c r="N9" s="383">
        <f t="shared" si="1"/>
        <v>0.37214162991303118</v>
      </c>
      <c r="O9" s="358">
        <f t="shared" si="2"/>
        <v>0.99237767976808333</v>
      </c>
      <c r="P9" s="359">
        <f t="shared" si="3"/>
        <v>0</v>
      </c>
      <c r="Q9" s="401" t="s">
        <v>257</v>
      </c>
      <c r="R9" s="500">
        <v>7.5</v>
      </c>
      <c r="S9" s="678"/>
      <c r="T9" s="681"/>
      <c r="U9" s="678"/>
      <c r="V9" s="678"/>
      <c r="W9" s="380">
        <f>'[2]缠绕 编织工时Winding, Braiding,'!G27</f>
        <v>188.19</v>
      </c>
      <c r="X9" s="404">
        <f t="shared" si="4"/>
        <v>5.3137786279823587E-3</v>
      </c>
      <c r="Y9" s="360">
        <f t="shared" si="5"/>
        <v>9.538232637228333</v>
      </c>
      <c r="Z9" s="659"/>
      <c r="AA9" s="405">
        <f t="shared" si="6"/>
        <v>3.2038315088053304</v>
      </c>
      <c r="AB9" s="501"/>
    </row>
    <row r="10" spans="1:29" ht="21" customHeight="1">
      <c r="A10" s="357">
        <v>45352</v>
      </c>
      <c r="B10" s="374" t="s">
        <v>260</v>
      </c>
      <c r="C10" s="375" t="s">
        <v>255</v>
      </c>
      <c r="D10" s="374" t="s">
        <v>261</v>
      </c>
      <c r="E10" s="401">
        <v>13.8</v>
      </c>
      <c r="F10" s="402"/>
      <c r="G10" s="374">
        <v>6</v>
      </c>
      <c r="H10" s="403">
        <f t="shared" si="0"/>
        <v>21689.043813304797</v>
      </c>
      <c r="I10" s="376">
        <v>4</v>
      </c>
      <c r="J10" s="387" t="s">
        <v>57</v>
      </c>
      <c r="K10" s="501">
        <f>2000+2006+2208</f>
        <v>6214</v>
      </c>
      <c r="L10" s="377">
        <f>(K10*4.6608)/1000</f>
        <v>28.962211200000002</v>
      </c>
      <c r="M10" s="496">
        <v>0</v>
      </c>
      <c r="N10" s="383">
        <f t="shared" si="1"/>
        <v>0.28650410103317331</v>
      </c>
      <c r="O10" s="358">
        <f t="shared" si="2"/>
        <v>0.42975615154975993</v>
      </c>
      <c r="P10" s="359">
        <f t="shared" si="3"/>
        <v>0</v>
      </c>
      <c r="Q10" s="401" t="s">
        <v>262</v>
      </c>
      <c r="R10" s="500">
        <v>7.5</v>
      </c>
      <c r="S10" s="676">
        <v>3</v>
      </c>
      <c r="T10" s="679">
        <v>7.5</v>
      </c>
      <c r="U10" s="676">
        <v>0</v>
      </c>
      <c r="V10" s="679">
        <f>IFERROR(IF(S10&gt;0,S10*T10-U10,""),"input error")</f>
        <v>22.5</v>
      </c>
      <c r="W10" s="380">
        <f>'[2]缠绕 编织工时Winding, Braiding,'!G10</f>
        <v>447.12</v>
      </c>
      <c r="X10" s="404">
        <f t="shared" si="4"/>
        <v>2.2365360529611735E-3</v>
      </c>
      <c r="Y10" s="360">
        <f t="shared" si="5"/>
        <v>13.897835033100732</v>
      </c>
      <c r="Z10" s="690">
        <f>SUM(Y10:Y13)</f>
        <v>38.678053639478392</v>
      </c>
      <c r="AA10" s="405">
        <f>IFERROR(IF(Y10&lt;&gt;"",$V$10*Y10/$Z$10,""),"input error")</f>
        <v>8.0847214071184457</v>
      </c>
      <c r="AB10" s="501"/>
    </row>
    <row r="11" spans="1:29" ht="21" customHeight="1">
      <c r="A11" s="357">
        <v>45352</v>
      </c>
      <c r="B11" s="374" t="s">
        <v>263</v>
      </c>
      <c r="C11" s="375" t="s">
        <v>264</v>
      </c>
      <c r="D11" s="374" t="s">
        <v>237</v>
      </c>
      <c r="E11" s="401">
        <v>20.100000000000001</v>
      </c>
      <c r="F11" s="402"/>
      <c r="G11" s="374">
        <v>6</v>
      </c>
      <c r="H11" s="403">
        <f t="shared" si="0"/>
        <v>16666.428099216351</v>
      </c>
      <c r="I11" s="376">
        <v>4</v>
      </c>
      <c r="J11" s="379" t="s">
        <v>39</v>
      </c>
      <c r="K11" s="501">
        <f>1200+1675+1900</f>
        <v>4775</v>
      </c>
      <c r="L11" s="377">
        <f t="shared" ref="L11:L12" si="7">(K11*12.528)/1000</f>
        <v>59.821200000000005</v>
      </c>
      <c r="M11" s="496">
        <v>0</v>
      </c>
      <c r="N11" s="383">
        <f t="shared" si="1"/>
        <v>0.28650410103317331</v>
      </c>
      <c r="O11" s="358">
        <f t="shared" si="2"/>
        <v>0.42975615154975993</v>
      </c>
      <c r="P11" s="359">
        <f t="shared" si="3"/>
        <v>0</v>
      </c>
      <c r="Q11" s="401" t="s">
        <v>262</v>
      </c>
      <c r="R11" s="500">
        <v>7.5</v>
      </c>
      <c r="S11" s="677"/>
      <c r="T11" s="680"/>
      <c r="U11" s="677"/>
      <c r="V11" s="680"/>
      <c r="W11" s="380">
        <f>'[2]缠绕 编织工时Winding, Braiding,'!G12</f>
        <v>651.24</v>
      </c>
      <c r="X11" s="404">
        <f t="shared" si="4"/>
        <v>1.5355322154658804E-3</v>
      </c>
      <c r="Y11" s="360">
        <f t="shared" si="5"/>
        <v>7.3321663288495786</v>
      </c>
      <c r="Z11" s="691"/>
      <c r="AA11" s="405">
        <f t="shared" ref="AA11:AA13" si="8">IFERROR(IF(Y11&lt;&gt;"",$V$10*Y11/$Z$10,""),"input error")</f>
        <v>4.2653062105154147</v>
      </c>
      <c r="AB11" s="501"/>
    </row>
    <row r="12" spans="1:29" ht="21" customHeight="1">
      <c r="A12" s="357">
        <v>45352</v>
      </c>
      <c r="B12" s="374" t="s">
        <v>266</v>
      </c>
      <c r="C12" s="375" t="s">
        <v>264</v>
      </c>
      <c r="D12" s="374" t="s">
        <v>237</v>
      </c>
      <c r="E12" s="401">
        <v>20.100000000000001</v>
      </c>
      <c r="F12" s="374"/>
      <c r="G12" s="374">
        <v>6</v>
      </c>
      <c r="H12" s="403">
        <f t="shared" si="0"/>
        <v>14739.754107432598</v>
      </c>
      <c r="I12" s="376">
        <v>4</v>
      </c>
      <c r="J12" s="379" t="s">
        <v>39</v>
      </c>
      <c r="K12" s="501">
        <f>1000+1723+1500</f>
        <v>4223</v>
      </c>
      <c r="L12" s="377">
        <f t="shared" si="7"/>
        <v>52.905743999999999</v>
      </c>
      <c r="M12" s="496">
        <v>0</v>
      </c>
      <c r="N12" s="383">
        <f t="shared" si="1"/>
        <v>0.28650410103317331</v>
      </c>
      <c r="O12" s="358">
        <f t="shared" si="2"/>
        <v>0.42975615154975993</v>
      </c>
      <c r="P12" s="359">
        <f t="shared" si="3"/>
        <v>0</v>
      </c>
      <c r="Q12" s="401" t="s">
        <v>262</v>
      </c>
      <c r="R12" s="500">
        <v>7.5</v>
      </c>
      <c r="S12" s="677"/>
      <c r="T12" s="680"/>
      <c r="U12" s="677"/>
      <c r="V12" s="680"/>
      <c r="W12" s="380">
        <f>'[2]缠绕 编织工时Winding, Braiding,'!G12</f>
        <v>651.24</v>
      </c>
      <c r="X12" s="404">
        <f t="shared" si="4"/>
        <v>1.5355322154658804E-3</v>
      </c>
      <c r="Y12" s="360">
        <f t="shared" si="5"/>
        <v>6.4845525459124129</v>
      </c>
      <c r="Z12" s="691"/>
      <c r="AA12" s="405">
        <f t="shared" si="8"/>
        <v>3.7722278800013815</v>
      </c>
      <c r="AB12" s="402"/>
    </row>
    <row r="13" spans="1:29" ht="21" customHeight="1">
      <c r="A13" s="357">
        <v>45352</v>
      </c>
      <c r="B13" s="374" t="s">
        <v>267</v>
      </c>
      <c r="C13" s="375" t="s">
        <v>264</v>
      </c>
      <c r="D13" s="374" t="s">
        <v>261</v>
      </c>
      <c r="E13" s="401">
        <v>13.8</v>
      </c>
      <c r="F13" s="374"/>
      <c r="G13" s="374">
        <v>6</v>
      </c>
      <c r="H13" s="403">
        <f t="shared" si="0"/>
        <v>17109.702731383994</v>
      </c>
      <c r="I13" s="376">
        <v>4</v>
      </c>
      <c r="J13" s="381" t="s">
        <v>57</v>
      </c>
      <c r="K13" s="501">
        <f>860+2242+1800</f>
        <v>4902</v>
      </c>
      <c r="L13" s="377">
        <f>(K13*4.6608)/1000</f>
        <v>22.8472416</v>
      </c>
      <c r="M13" s="496">
        <v>0</v>
      </c>
      <c r="N13" s="383">
        <f t="shared" si="1"/>
        <v>0.28650410103317325</v>
      </c>
      <c r="O13" s="358">
        <f t="shared" si="2"/>
        <v>0.42975615154975988</v>
      </c>
      <c r="P13" s="359">
        <f t="shared" si="3"/>
        <v>0</v>
      </c>
      <c r="Q13" s="401" t="s">
        <v>262</v>
      </c>
      <c r="R13" s="500">
        <v>7.5</v>
      </c>
      <c r="S13" s="678"/>
      <c r="T13" s="681"/>
      <c r="U13" s="678"/>
      <c r="V13" s="681"/>
      <c r="W13" s="380">
        <f>'[2]缠绕 编织工时Winding, Braiding,'!G10</f>
        <v>447.12</v>
      </c>
      <c r="X13" s="404">
        <f t="shared" si="4"/>
        <v>2.2365360529611735E-3</v>
      </c>
      <c r="Y13" s="360">
        <f t="shared" si="5"/>
        <v>10.963499731615673</v>
      </c>
      <c r="Z13" s="692"/>
      <c r="AA13" s="405">
        <f t="shared" si="8"/>
        <v>6.3777445023647612</v>
      </c>
      <c r="AB13" s="402"/>
    </row>
    <row r="14" spans="1:29" ht="21" customHeight="1">
      <c r="A14" s="357"/>
      <c r="B14" s="374"/>
      <c r="C14" s="375"/>
      <c r="D14" s="374"/>
      <c r="E14" s="401"/>
      <c r="F14" s="374"/>
      <c r="G14" s="374"/>
      <c r="H14" s="403"/>
      <c r="I14" s="376"/>
      <c r="J14" s="381"/>
      <c r="K14" s="501"/>
      <c r="L14" s="377"/>
      <c r="M14" s="496"/>
      <c r="N14" s="383" t="str">
        <f t="shared" si="1"/>
        <v/>
      </c>
      <c r="O14" s="358"/>
      <c r="P14" s="359"/>
      <c r="Q14" s="401"/>
      <c r="R14" s="500"/>
      <c r="S14" s="503"/>
      <c r="T14" s="504"/>
      <c r="U14" s="503"/>
      <c r="V14" s="504"/>
      <c r="W14" s="380"/>
      <c r="X14" s="404"/>
      <c r="Y14" s="360"/>
      <c r="Z14" s="505"/>
      <c r="AA14" s="405"/>
      <c r="AB14" s="402"/>
    </row>
    <row r="15" spans="1:29" ht="21" customHeight="1">
      <c r="A15" s="357">
        <v>45353</v>
      </c>
      <c r="B15" s="374" t="s">
        <v>254</v>
      </c>
      <c r="C15" s="375" t="s">
        <v>255</v>
      </c>
      <c r="D15" s="374" t="s">
        <v>256</v>
      </c>
      <c r="E15" s="401">
        <v>41.43</v>
      </c>
      <c r="F15" s="374"/>
      <c r="G15" s="374">
        <v>8</v>
      </c>
      <c r="H15" s="403">
        <f t="shared" ref="H15:H25" si="9">IFERROR(IF(G15&lt;&gt;"",W15*G15*AA15,""),"input error""")</f>
        <v>1236.2187494493535</v>
      </c>
      <c r="I15" s="376">
        <v>5</v>
      </c>
      <c r="J15" s="379" t="s">
        <v>245</v>
      </c>
      <c r="K15" s="501">
        <f>466</f>
        <v>466</v>
      </c>
      <c r="L15" s="377">
        <f t="shared" ref="L15:L16" si="10">(K15*11.4375)/1000</f>
        <v>5.3298750000000004</v>
      </c>
      <c r="M15" s="496">
        <v>0</v>
      </c>
      <c r="N15" s="383">
        <f t="shared" si="1"/>
        <v>0.37695593939791761</v>
      </c>
      <c r="O15" s="358">
        <f t="shared" ref="O15:O25" si="11">IFERROR(IF(I15&lt;&gt;"",K15/(I15*W15*AA15),""),"input error")</f>
        <v>0.60312950303666812</v>
      </c>
      <c r="P15" s="359">
        <f t="shared" ref="P15:P25" si="12">IFERROR(IF(L15&lt;&gt;"",M15/(M15+L15),""),"input error")</f>
        <v>0</v>
      </c>
      <c r="Q15" s="401" t="s">
        <v>257</v>
      </c>
      <c r="R15" s="500">
        <v>5</v>
      </c>
      <c r="S15" s="676">
        <v>2</v>
      </c>
      <c r="T15" s="676">
        <v>5</v>
      </c>
      <c r="U15" s="676">
        <v>0</v>
      </c>
      <c r="V15" s="676">
        <f>IFERROR(IF(S15&gt;0,S15*T15-U15,""),"input error")</f>
        <v>10</v>
      </c>
      <c r="W15" s="380">
        <f>'[2]缠绕 编织工时Winding, Braiding,'!G27</f>
        <v>188.19</v>
      </c>
      <c r="X15" s="404">
        <f t="shared" ref="X15:X25" si="13">IFERROR(IF(W15&lt;&gt;"",1/W15,""),"input error")</f>
        <v>5.3137786279823587E-3</v>
      </c>
      <c r="Y15" s="360">
        <f t="shared" ref="Y15:Y25" si="14">IFERROR(IF(K15&lt;&gt;"",K15*X15,""),"input error")</f>
        <v>2.4762208406397792</v>
      </c>
      <c r="Z15" s="690">
        <f>SUM(Y15:Y19)</f>
        <v>30.156475151833416</v>
      </c>
      <c r="AA15" s="405">
        <f>IFERROR(IF(Y15&lt;&gt;"",$V$15*Y15/$Z$15,""),"input error")</f>
        <v>0.82112409629188154</v>
      </c>
      <c r="AB15" s="402"/>
    </row>
    <row r="16" spans="1:29" ht="21" customHeight="1">
      <c r="A16" s="357">
        <v>45353</v>
      </c>
      <c r="B16" s="374" t="s">
        <v>268</v>
      </c>
      <c r="C16" s="375" t="s">
        <v>255</v>
      </c>
      <c r="D16" s="374" t="s">
        <v>256</v>
      </c>
      <c r="E16" s="401">
        <v>41.43</v>
      </c>
      <c r="F16" s="374"/>
      <c r="G16" s="374">
        <v>8</v>
      </c>
      <c r="H16" s="403">
        <f t="shared" si="9"/>
        <v>4475.324099401415</v>
      </c>
      <c r="I16" s="376">
        <v>5</v>
      </c>
      <c r="J16" s="379" t="s">
        <v>245</v>
      </c>
      <c r="K16" s="501">
        <f>958+729</f>
        <v>1687</v>
      </c>
      <c r="L16" s="377">
        <f t="shared" si="10"/>
        <v>19.2950625</v>
      </c>
      <c r="M16" s="496">
        <v>0</v>
      </c>
      <c r="N16" s="383">
        <f t="shared" si="1"/>
        <v>0.37695593939791761</v>
      </c>
      <c r="O16" s="358">
        <f t="shared" si="11"/>
        <v>0.60312950303666812</v>
      </c>
      <c r="P16" s="359">
        <f t="shared" si="12"/>
        <v>0</v>
      </c>
      <c r="Q16" s="401" t="s">
        <v>257</v>
      </c>
      <c r="R16" s="500">
        <v>5</v>
      </c>
      <c r="S16" s="677"/>
      <c r="T16" s="677"/>
      <c r="U16" s="677"/>
      <c r="V16" s="677"/>
      <c r="W16" s="380">
        <f>'[2]缠绕 编织工时Winding, Braiding,'!G27</f>
        <v>188.19</v>
      </c>
      <c r="X16" s="404">
        <f t="shared" si="13"/>
        <v>5.3137786279823587E-3</v>
      </c>
      <c r="Y16" s="360">
        <f t="shared" si="14"/>
        <v>8.9643445454062398</v>
      </c>
      <c r="Z16" s="691"/>
      <c r="AA16" s="405">
        <f t="shared" ref="AA16:AA19" si="15">IFERROR(IF(Y16&lt;&gt;"",$V$15*Y16/$Z$15,""),"input error")</f>
        <v>2.972610194086704</v>
      </c>
      <c r="AB16" s="402"/>
    </row>
    <row r="17" spans="1:28" ht="21" customHeight="1">
      <c r="A17" s="357">
        <v>45353</v>
      </c>
      <c r="B17" s="374" t="s">
        <v>269</v>
      </c>
      <c r="C17" s="375" t="s">
        <v>255</v>
      </c>
      <c r="D17" s="374" t="s">
        <v>270</v>
      </c>
      <c r="E17" s="401">
        <v>33.89</v>
      </c>
      <c r="F17" s="374"/>
      <c r="G17" s="374">
        <v>8</v>
      </c>
      <c r="H17" s="403">
        <f t="shared" si="9"/>
        <v>2501.6186281775535</v>
      </c>
      <c r="I17" s="376">
        <v>5</v>
      </c>
      <c r="J17" s="379" t="s">
        <v>271</v>
      </c>
      <c r="K17" s="501">
        <f>943</f>
        <v>943</v>
      </c>
      <c r="L17" s="377">
        <f t="shared" ref="L17" si="16">(K17*7.6475)/1000</f>
        <v>7.2115925000000001</v>
      </c>
      <c r="M17" s="496">
        <v>0</v>
      </c>
      <c r="N17" s="383">
        <f t="shared" si="1"/>
        <v>0.37695593939791777</v>
      </c>
      <c r="O17" s="358">
        <f t="shared" si="11"/>
        <v>0.60312950303666835</v>
      </c>
      <c r="P17" s="359">
        <f t="shared" si="12"/>
        <v>0</v>
      </c>
      <c r="Q17" s="401" t="s">
        <v>257</v>
      </c>
      <c r="R17" s="500">
        <v>5</v>
      </c>
      <c r="S17" s="677"/>
      <c r="T17" s="677"/>
      <c r="U17" s="677"/>
      <c r="V17" s="677"/>
      <c r="W17" s="380">
        <f>'[2]缠绕 编织工时Winding, Braiding,'!G26</f>
        <v>156.06</v>
      </c>
      <c r="X17" s="404">
        <f t="shared" si="13"/>
        <v>6.4077918749199025E-3</v>
      </c>
      <c r="Y17" s="360">
        <f t="shared" si="14"/>
        <v>6.0425477380494677</v>
      </c>
      <c r="Z17" s="691"/>
      <c r="AA17" s="405">
        <f t="shared" si="15"/>
        <v>2.0037314399730501</v>
      </c>
      <c r="AB17" s="402"/>
    </row>
    <row r="18" spans="1:28" ht="21" customHeight="1">
      <c r="A18" s="357">
        <v>45353</v>
      </c>
      <c r="B18" s="374" t="s">
        <v>258</v>
      </c>
      <c r="C18" s="375" t="s">
        <v>255</v>
      </c>
      <c r="D18" s="374" t="s">
        <v>256</v>
      </c>
      <c r="E18" s="401">
        <v>41.43</v>
      </c>
      <c r="F18" s="374"/>
      <c r="G18" s="374">
        <v>8</v>
      </c>
      <c r="H18" s="403">
        <f t="shared" si="9"/>
        <v>1464.362123811251</v>
      </c>
      <c r="I18" s="376">
        <v>5</v>
      </c>
      <c r="J18" s="379" t="s">
        <v>245</v>
      </c>
      <c r="K18" s="501">
        <f>552</f>
        <v>552</v>
      </c>
      <c r="L18" s="377">
        <f t="shared" ref="L18:L19" si="17">(K18*11.4375)/1000</f>
        <v>6.3135000000000003</v>
      </c>
      <c r="M18" s="496">
        <v>0</v>
      </c>
      <c r="N18" s="383">
        <f t="shared" si="1"/>
        <v>0.37695593939791772</v>
      </c>
      <c r="O18" s="358">
        <f t="shared" si="11"/>
        <v>0.60312950303666824</v>
      </c>
      <c r="P18" s="359">
        <f t="shared" si="12"/>
        <v>0</v>
      </c>
      <c r="Q18" s="401" t="s">
        <v>257</v>
      </c>
      <c r="R18" s="500">
        <v>5</v>
      </c>
      <c r="S18" s="677"/>
      <c r="T18" s="677"/>
      <c r="U18" s="677"/>
      <c r="V18" s="677"/>
      <c r="W18" s="380">
        <f>'[2]缠绕 编织工时Winding, Braiding,'!G27</f>
        <v>188.19</v>
      </c>
      <c r="X18" s="404">
        <f t="shared" si="13"/>
        <v>5.3137786279823587E-3</v>
      </c>
      <c r="Y18" s="360">
        <f t="shared" si="14"/>
        <v>2.933205802646262</v>
      </c>
      <c r="Z18" s="691"/>
      <c r="AA18" s="405">
        <f t="shared" si="15"/>
        <v>0.97266201964188526</v>
      </c>
      <c r="AB18" s="402"/>
    </row>
    <row r="19" spans="1:28" ht="21" customHeight="1">
      <c r="A19" s="357">
        <v>45353</v>
      </c>
      <c r="B19" s="374" t="s">
        <v>259</v>
      </c>
      <c r="C19" s="375" t="s">
        <v>255</v>
      </c>
      <c r="D19" s="374" t="s">
        <v>256</v>
      </c>
      <c r="E19" s="401">
        <v>41.43</v>
      </c>
      <c r="F19" s="374"/>
      <c r="G19" s="374">
        <v>8</v>
      </c>
      <c r="H19" s="403">
        <f t="shared" si="9"/>
        <v>4862.6372698297528</v>
      </c>
      <c r="I19" s="376">
        <v>5</v>
      </c>
      <c r="J19" s="379" t="s">
        <v>245</v>
      </c>
      <c r="K19" s="401">
        <f>932+901</f>
        <v>1833</v>
      </c>
      <c r="L19" s="377">
        <f t="shared" si="17"/>
        <v>20.964937500000001</v>
      </c>
      <c r="M19" s="496">
        <v>0</v>
      </c>
      <c r="N19" s="383">
        <f t="shared" si="1"/>
        <v>0.37695593939791766</v>
      </c>
      <c r="O19" s="358">
        <f t="shared" si="11"/>
        <v>0.60312950303666824</v>
      </c>
      <c r="P19" s="359">
        <f t="shared" si="12"/>
        <v>0</v>
      </c>
      <c r="Q19" s="401" t="s">
        <v>257</v>
      </c>
      <c r="R19" s="374">
        <v>5</v>
      </c>
      <c r="S19" s="678"/>
      <c r="T19" s="678"/>
      <c r="U19" s="678"/>
      <c r="V19" s="678"/>
      <c r="W19" s="380">
        <f>'[2]缠绕 编织工时Winding, Braiding,'!G27</f>
        <v>188.19</v>
      </c>
      <c r="X19" s="404">
        <f t="shared" si="13"/>
        <v>5.3137786279823587E-3</v>
      </c>
      <c r="Y19" s="360">
        <f t="shared" si="14"/>
        <v>9.7401562250916633</v>
      </c>
      <c r="Z19" s="692"/>
      <c r="AA19" s="405">
        <f t="shared" si="15"/>
        <v>3.229872250006478</v>
      </c>
      <c r="AB19" s="501"/>
    </row>
    <row r="20" spans="1:28" ht="21" customHeight="1">
      <c r="A20" s="357">
        <v>45353</v>
      </c>
      <c r="B20" s="374" t="s">
        <v>260</v>
      </c>
      <c r="C20" s="375" t="s">
        <v>255</v>
      </c>
      <c r="D20" s="374" t="s">
        <v>261</v>
      </c>
      <c r="E20" s="401">
        <v>13.8</v>
      </c>
      <c r="F20" s="374"/>
      <c r="G20" s="374">
        <v>6</v>
      </c>
      <c r="H20" s="403">
        <f t="shared" si="9"/>
        <v>11935.995100127158</v>
      </c>
      <c r="I20" s="376">
        <v>6</v>
      </c>
      <c r="J20" s="387" t="s">
        <v>57</v>
      </c>
      <c r="K20" s="401">
        <f>1400+1111+1153</f>
        <v>3664</v>
      </c>
      <c r="L20" s="377">
        <f>(K20*4.6608)/1000</f>
        <v>17.077171200000002</v>
      </c>
      <c r="M20" s="496">
        <v>0</v>
      </c>
      <c r="N20" s="383">
        <f t="shared" si="1"/>
        <v>0.30697063539854891</v>
      </c>
      <c r="O20" s="358">
        <f t="shared" si="11"/>
        <v>0.30697063539854891</v>
      </c>
      <c r="P20" s="359">
        <f t="shared" si="12"/>
        <v>0</v>
      </c>
      <c r="Q20" s="401" t="s">
        <v>272</v>
      </c>
      <c r="R20" s="374">
        <v>5</v>
      </c>
      <c r="S20" s="684">
        <v>3</v>
      </c>
      <c r="T20" s="684">
        <v>5</v>
      </c>
      <c r="U20" s="687">
        <v>0</v>
      </c>
      <c r="V20" s="687">
        <f>IFERROR(IF(S20&gt;0,S20*T20-U20,""),"input error")</f>
        <v>15</v>
      </c>
      <c r="W20" s="380">
        <f>'[2]缠绕 编织工时Winding, Braiding,'!G10</f>
        <v>447.12</v>
      </c>
      <c r="X20" s="404">
        <f t="shared" si="13"/>
        <v>2.2365360529611735E-3</v>
      </c>
      <c r="Y20" s="360">
        <f t="shared" si="14"/>
        <v>8.1946680980497391</v>
      </c>
      <c r="Z20" s="682">
        <f>SUM(Y20:Y25)</f>
        <v>27.627357185869403</v>
      </c>
      <c r="AA20" s="405">
        <f>IFERROR(IF(Y20&lt;&gt;"",$V$20*Y20/$Z$20,""),"input error")</f>
        <v>4.4492138949003834</v>
      </c>
      <c r="AB20" s="501"/>
    </row>
    <row r="21" spans="1:28" ht="21" customHeight="1">
      <c r="A21" s="357">
        <v>45353</v>
      </c>
      <c r="B21" s="374" t="s">
        <v>263</v>
      </c>
      <c r="C21" s="375" t="s">
        <v>264</v>
      </c>
      <c r="D21" s="374" t="s">
        <v>237</v>
      </c>
      <c r="E21" s="401">
        <v>20.100000000000001</v>
      </c>
      <c r="F21" s="374"/>
      <c r="G21" s="374">
        <v>6</v>
      </c>
      <c r="H21" s="403">
        <f t="shared" si="9"/>
        <v>9935.8037814923118</v>
      </c>
      <c r="I21" s="376">
        <v>6</v>
      </c>
      <c r="J21" s="379" t="s">
        <v>39</v>
      </c>
      <c r="K21" s="401">
        <f>1050+1000+1000</f>
        <v>3050</v>
      </c>
      <c r="L21" s="377">
        <f t="shared" ref="L21:L22" si="18">(K21*12.528)/1000</f>
        <v>38.2104</v>
      </c>
      <c r="M21" s="496">
        <v>0</v>
      </c>
      <c r="N21" s="383">
        <f t="shared" si="1"/>
        <v>0.30697063539854891</v>
      </c>
      <c r="O21" s="358">
        <f t="shared" si="11"/>
        <v>0.30697063539854891</v>
      </c>
      <c r="P21" s="359">
        <f t="shared" si="12"/>
        <v>0</v>
      </c>
      <c r="Q21" s="401" t="s">
        <v>272</v>
      </c>
      <c r="R21" s="374">
        <v>5</v>
      </c>
      <c r="S21" s="685"/>
      <c r="T21" s="685"/>
      <c r="U21" s="688"/>
      <c r="V21" s="688"/>
      <c r="W21" s="380">
        <f>'[2]缠绕 编织工时Winding, Braiding,'!G12</f>
        <v>651.24</v>
      </c>
      <c r="X21" s="404">
        <f t="shared" si="13"/>
        <v>1.5355322154658804E-3</v>
      </c>
      <c r="Y21" s="360">
        <f t="shared" si="14"/>
        <v>4.6833732571709357</v>
      </c>
      <c r="Z21" s="661"/>
      <c r="AA21" s="405">
        <f t="shared" ref="AA21:AA25" si="19">IFERROR(IF(Y21&lt;&gt;"",$V$20*Y21/$Z$20,""),"input error")</f>
        <v>2.5427911321715269</v>
      </c>
      <c r="AB21" s="501"/>
    </row>
    <row r="22" spans="1:28" ht="21" customHeight="1">
      <c r="A22" s="357">
        <v>45353</v>
      </c>
      <c r="B22" s="374" t="s">
        <v>266</v>
      </c>
      <c r="C22" s="375" t="s">
        <v>264</v>
      </c>
      <c r="D22" s="374" t="s">
        <v>237</v>
      </c>
      <c r="E22" s="401">
        <v>20.100000000000001</v>
      </c>
      <c r="F22" s="374"/>
      <c r="G22" s="374">
        <v>6</v>
      </c>
      <c r="H22" s="403">
        <f t="shared" si="9"/>
        <v>3518.2518308235076</v>
      </c>
      <c r="I22" s="376">
        <v>6</v>
      </c>
      <c r="J22" s="379" t="s">
        <v>39</v>
      </c>
      <c r="K22" s="401">
        <f>880+200</f>
        <v>1080</v>
      </c>
      <c r="L22" s="377">
        <f t="shared" si="18"/>
        <v>13.530239999999999</v>
      </c>
      <c r="M22" s="496">
        <v>0</v>
      </c>
      <c r="N22" s="383">
        <f t="shared" si="1"/>
        <v>0.30697063539854885</v>
      </c>
      <c r="O22" s="358">
        <f t="shared" si="11"/>
        <v>0.30697063539854885</v>
      </c>
      <c r="P22" s="359">
        <f t="shared" si="12"/>
        <v>0</v>
      </c>
      <c r="Q22" s="401" t="s">
        <v>272</v>
      </c>
      <c r="R22" s="374">
        <v>5</v>
      </c>
      <c r="S22" s="685"/>
      <c r="T22" s="685"/>
      <c r="U22" s="688"/>
      <c r="V22" s="688"/>
      <c r="W22" s="380">
        <f>'[2]缠绕 编织工时Winding, Braiding,'!G12</f>
        <v>651.24</v>
      </c>
      <c r="X22" s="404">
        <f t="shared" si="13"/>
        <v>1.5355322154658804E-3</v>
      </c>
      <c r="Y22" s="360">
        <f t="shared" si="14"/>
        <v>1.6583747927031509</v>
      </c>
      <c r="Z22" s="661"/>
      <c r="AA22" s="405">
        <f t="shared" si="19"/>
        <v>0.90039817139188505</v>
      </c>
      <c r="AB22" s="501"/>
    </row>
    <row r="23" spans="1:28" ht="21" customHeight="1">
      <c r="A23" s="357">
        <v>45353</v>
      </c>
      <c r="B23" s="374" t="s">
        <v>273</v>
      </c>
      <c r="C23" s="375" t="s">
        <v>264</v>
      </c>
      <c r="D23" s="374" t="s">
        <v>226</v>
      </c>
      <c r="E23" s="401">
        <v>16.7</v>
      </c>
      <c r="F23" s="374"/>
      <c r="G23" s="374">
        <v>6</v>
      </c>
      <c r="H23" s="403">
        <f t="shared" si="9"/>
        <v>4443.4217567067253</v>
      </c>
      <c r="I23" s="376">
        <v>6</v>
      </c>
      <c r="J23" s="374" t="s">
        <v>50</v>
      </c>
      <c r="K23" s="501">
        <f>910+454</f>
        <v>1364</v>
      </c>
      <c r="L23" s="377">
        <f t="shared" ref="L23:L24" si="20">(K23*5.7865)/1000</f>
        <v>7.8927860000000001</v>
      </c>
      <c r="M23" s="496">
        <v>0</v>
      </c>
      <c r="N23" s="383">
        <f t="shared" si="1"/>
        <v>0.30697063539854896</v>
      </c>
      <c r="O23" s="358">
        <f t="shared" si="11"/>
        <v>0.30697063539854896</v>
      </c>
      <c r="P23" s="359">
        <f t="shared" si="12"/>
        <v>0</v>
      </c>
      <c r="Q23" s="401" t="s">
        <v>272</v>
      </c>
      <c r="R23" s="374">
        <v>5</v>
      </c>
      <c r="S23" s="685"/>
      <c r="T23" s="685"/>
      <c r="U23" s="688"/>
      <c r="V23" s="688"/>
      <c r="W23" s="380">
        <f>'[2]缠绕 编织工时Winding, Braiding,'!G11</f>
        <v>541.08000000000004</v>
      </c>
      <c r="X23" s="404">
        <f t="shared" si="13"/>
        <v>1.8481555407703111E-3</v>
      </c>
      <c r="Y23" s="360">
        <f t="shared" si="14"/>
        <v>2.5208841576107042</v>
      </c>
      <c r="Z23" s="661"/>
      <c r="AA23" s="405">
        <f t="shared" si="19"/>
        <v>1.3686890899394806</v>
      </c>
      <c r="AB23" s="501"/>
    </row>
    <row r="24" spans="1:28" ht="21" customHeight="1">
      <c r="A24" s="357">
        <v>45353</v>
      </c>
      <c r="B24" s="374" t="s">
        <v>274</v>
      </c>
      <c r="C24" s="375" t="s">
        <v>264</v>
      </c>
      <c r="D24" s="374" t="s">
        <v>226</v>
      </c>
      <c r="E24" s="401">
        <v>16.7</v>
      </c>
      <c r="F24" s="374"/>
      <c r="G24" s="374">
        <v>6</v>
      </c>
      <c r="H24" s="403">
        <f t="shared" si="9"/>
        <v>5401.1680884309026</v>
      </c>
      <c r="I24" s="376">
        <v>6</v>
      </c>
      <c r="J24" s="374" t="s">
        <v>50</v>
      </c>
      <c r="K24" s="501">
        <f>1063+595</f>
        <v>1658</v>
      </c>
      <c r="L24" s="377">
        <f t="shared" si="20"/>
        <v>9.5940169999999991</v>
      </c>
      <c r="M24" s="496">
        <v>0</v>
      </c>
      <c r="N24" s="383">
        <f t="shared" si="1"/>
        <v>0.30697063539854891</v>
      </c>
      <c r="O24" s="358">
        <f t="shared" si="11"/>
        <v>0.30697063539854891</v>
      </c>
      <c r="P24" s="359">
        <f t="shared" si="12"/>
        <v>0</v>
      </c>
      <c r="Q24" s="401" t="s">
        <v>272</v>
      </c>
      <c r="R24" s="374">
        <v>5</v>
      </c>
      <c r="S24" s="685"/>
      <c r="T24" s="685"/>
      <c r="U24" s="688"/>
      <c r="V24" s="688"/>
      <c r="W24" s="380">
        <f>'[2]缠绕 编织工时Winding, Braiding,'!G11</f>
        <v>541.08000000000004</v>
      </c>
      <c r="X24" s="404">
        <f t="shared" si="13"/>
        <v>1.8481555407703111E-3</v>
      </c>
      <c r="Y24" s="360">
        <f t="shared" si="14"/>
        <v>3.0642418865971757</v>
      </c>
      <c r="Z24" s="661"/>
      <c r="AA24" s="405">
        <f t="shared" si="19"/>
        <v>1.6636997882108937</v>
      </c>
      <c r="AB24" s="501"/>
    </row>
    <row r="25" spans="1:28" ht="21" customHeight="1">
      <c r="A25" s="357">
        <v>45353</v>
      </c>
      <c r="B25" s="374" t="s">
        <v>267</v>
      </c>
      <c r="C25" s="375" t="s">
        <v>264</v>
      </c>
      <c r="D25" s="374" t="s">
        <v>261</v>
      </c>
      <c r="E25" s="401">
        <v>13.8</v>
      </c>
      <c r="F25" s="402"/>
      <c r="G25" s="374">
        <v>6</v>
      </c>
      <c r="H25" s="403">
        <f t="shared" si="9"/>
        <v>10932.64180022564</v>
      </c>
      <c r="I25" s="376">
        <v>6</v>
      </c>
      <c r="J25" s="381" t="s">
        <v>57</v>
      </c>
      <c r="K25" s="500">
        <f>1300+800+1256</f>
        <v>3356</v>
      </c>
      <c r="L25" s="377">
        <f>(K25*4.6608)/1000</f>
        <v>15.6416448</v>
      </c>
      <c r="M25" s="496">
        <v>0</v>
      </c>
      <c r="N25" s="383">
        <f t="shared" si="1"/>
        <v>0.30697063539854891</v>
      </c>
      <c r="O25" s="358">
        <f t="shared" si="11"/>
        <v>0.30697063539854891</v>
      </c>
      <c r="P25" s="359">
        <f t="shared" si="12"/>
        <v>0</v>
      </c>
      <c r="Q25" s="401" t="s">
        <v>272</v>
      </c>
      <c r="R25" s="374">
        <v>5</v>
      </c>
      <c r="S25" s="686"/>
      <c r="T25" s="686"/>
      <c r="U25" s="689"/>
      <c r="V25" s="689"/>
      <c r="W25" s="380">
        <f>'[2]缠绕 编织工时Winding, Braiding,'!G10</f>
        <v>447.12</v>
      </c>
      <c r="X25" s="404">
        <f t="shared" si="13"/>
        <v>2.2365360529611735E-3</v>
      </c>
      <c r="Y25" s="360">
        <f t="shared" si="14"/>
        <v>7.5058149937376983</v>
      </c>
      <c r="Z25" s="662"/>
      <c r="AA25" s="405">
        <f t="shared" si="19"/>
        <v>4.0752079233858316</v>
      </c>
      <c r="AB25" s="402"/>
    </row>
    <row r="26" spans="1:28" ht="21" customHeight="1">
      <c r="A26" s="357"/>
      <c r="B26" s="374"/>
      <c r="C26" s="375"/>
      <c r="D26" s="374"/>
      <c r="E26" s="401"/>
      <c r="F26" s="402"/>
      <c r="G26" s="374"/>
      <c r="H26" s="403"/>
      <c r="I26" s="376"/>
      <c r="J26" s="381"/>
      <c r="K26" s="500"/>
      <c r="L26" s="377"/>
      <c r="M26" s="496"/>
      <c r="N26" s="383" t="str">
        <f t="shared" si="1"/>
        <v/>
      </c>
      <c r="O26" s="358"/>
      <c r="P26" s="359"/>
      <c r="Q26" s="401"/>
      <c r="R26" s="374"/>
      <c r="S26" s="506"/>
      <c r="T26" s="506"/>
      <c r="U26" s="508"/>
      <c r="V26" s="508"/>
      <c r="W26" s="500"/>
      <c r="X26" s="404"/>
      <c r="Y26" s="360"/>
      <c r="Z26" s="498"/>
      <c r="AA26" s="405"/>
      <c r="AB26" s="402"/>
    </row>
    <row r="27" spans="1:28" ht="21" customHeight="1">
      <c r="A27" s="357">
        <v>45355</v>
      </c>
      <c r="B27" s="374" t="s">
        <v>268</v>
      </c>
      <c r="C27" s="375" t="s">
        <v>255</v>
      </c>
      <c r="D27" s="374" t="s">
        <v>256</v>
      </c>
      <c r="E27" s="401">
        <v>41.43</v>
      </c>
      <c r="F27" s="402"/>
      <c r="G27" s="374">
        <v>8</v>
      </c>
      <c r="H27" s="403">
        <f t="shared" ref="H27:H37" si="21">IFERROR(IF(G27&lt;&gt;"",W27*G27*AA27,""),"input error""")</f>
        <v>3818.2206156716416</v>
      </c>
      <c r="I27" s="376">
        <v>5</v>
      </c>
      <c r="J27" s="379" t="s">
        <v>245</v>
      </c>
      <c r="K27" s="500">
        <f>725</f>
        <v>725</v>
      </c>
      <c r="L27" s="377">
        <f t="shared" ref="L27:L28" si="22">(K27*11.4375)/1000</f>
        <v>8.2921875000000007</v>
      </c>
      <c r="M27" s="496">
        <v>0</v>
      </c>
      <c r="N27" s="383">
        <f t="shared" si="1"/>
        <v>0.18987902297323628</v>
      </c>
      <c r="O27" s="358">
        <f t="shared" ref="O27:O37" si="23">IFERROR(IF(I27&lt;&gt;"",K27/(I27*W27*AA27),""),"input error")</f>
        <v>0.303806436757178</v>
      </c>
      <c r="P27" s="359">
        <f t="shared" ref="P27:P37" si="24">IFERROR(IF(L27&lt;&gt;"",M27/(M27+L27),""),"input error")</f>
        <v>0</v>
      </c>
      <c r="Q27" s="401" t="s">
        <v>257</v>
      </c>
      <c r="R27" s="374">
        <v>7.5</v>
      </c>
      <c r="S27" s="684">
        <v>1</v>
      </c>
      <c r="T27" s="687">
        <v>7.5</v>
      </c>
      <c r="U27" s="684">
        <v>0</v>
      </c>
      <c r="V27" s="684">
        <f>IFERROR(IF(S27&gt;0,S27*T27-U27,""),"input error")</f>
        <v>7.5</v>
      </c>
      <c r="W27" s="380">
        <f>'[2]缠绕 编织工时Winding, Braiding,'!G27</f>
        <v>188.19</v>
      </c>
      <c r="X27" s="404">
        <f t="shared" ref="X27:X37" si="25">IFERROR(IF(W27&lt;&gt;"",1/W27,""),"input error")</f>
        <v>5.3137786279823587E-3</v>
      </c>
      <c r="Y27" s="360">
        <f t="shared" ref="Y27:Y37" si="26">IFERROR(IF(K27&lt;&gt;"",K27*X27,""),"input error")</f>
        <v>3.8524895052872101</v>
      </c>
      <c r="Z27" s="682">
        <f>SUM(Y27:Y28)</f>
        <v>11.392741378394177</v>
      </c>
      <c r="AA27" s="405">
        <f>IFERROR(IF(Y27&lt;&gt;"",$V$27*Y27/$Z$27,""),"input error")</f>
        <v>2.5361473880597014</v>
      </c>
      <c r="AB27" s="402"/>
    </row>
    <row r="28" spans="1:28" ht="21" customHeight="1">
      <c r="A28" s="357">
        <v>45355</v>
      </c>
      <c r="B28" s="374" t="s">
        <v>259</v>
      </c>
      <c r="C28" s="375" t="s">
        <v>255</v>
      </c>
      <c r="D28" s="374" t="s">
        <v>256</v>
      </c>
      <c r="E28" s="401">
        <v>41.43</v>
      </c>
      <c r="F28" s="402"/>
      <c r="G28" s="374">
        <v>8</v>
      </c>
      <c r="H28" s="403">
        <f>IFERROR(IF(G28&lt;&gt;"",W28*G28*AA28,""),"input error""")</f>
        <v>7473.1793843283585</v>
      </c>
      <c r="I28" s="376">
        <v>5</v>
      </c>
      <c r="J28" s="379" t="s">
        <v>245</v>
      </c>
      <c r="K28" s="500">
        <f>1419</f>
        <v>1419</v>
      </c>
      <c r="L28" s="377">
        <f t="shared" si="22"/>
        <v>16.229812500000001</v>
      </c>
      <c r="M28" s="496">
        <v>0</v>
      </c>
      <c r="N28" s="383">
        <f>IFERROR(IF(K28&lt;&gt;"",K28/H28,""),"input error")</f>
        <v>0.18987902297323625</v>
      </c>
      <c r="O28" s="358">
        <f>IFERROR(IF(I28&lt;&gt;"",K28/(I28*W28*AA28),""),"input error")</f>
        <v>0.30380643675717806</v>
      </c>
      <c r="P28" s="359">
        <f>IFERROR(IF(L28&lt;&gt;"",M28/(M28+L28),""),"input error")</f>
        <v>0</v>
      </c>
      <c r="Q28" s="401" t="s">
        <v>257</v>
      </c>
      <c r="R28" s="374">
        <v>7.5</v>
      </c>
      <c r="S28" s="686"/>
      <c r="T28" s="689"/>
      <c r="U28" s="686"/>
      <c r="V28" s="686"/>
      <c r="W28" s="380">
        <f>'[2]缠绕 编织工时Winding, Braiding,'!G27</f>
        <v>188.19</v>
      </c>
      <c r="X28" s="404">
        <f t="shared" si="25"/>
        <v>5.3137786279823587E-3</v>
      </c>
      <c r="Y28" s="360">
        <f t="shared" si="26"/>
        <v>7.5402518731069668</v>
      </c>
      <c r="Z28" s="662"/>
      <c r="AA28" s="405">
        <f>IFERROR(IF(Y28&lt;&gt;"",$V$27*Y28/$Z$27,""),"input error")</f>
        <v>4.9638526119402986</v>
      </c>
      <c r="AB28" s="402"/>
    </row>
    <row r="29" spans="1:28" ht="21" customHeight="1">
      <c r="A29" s="357">
        <v>45355</v>
      </c>
      <c r="B29" s="374" t="s">
        <v>275</v>
      </c>
      <c r="C29" s="375" t="s">
        <v>255</v>
      </c>
      <c r="D29" s="374" t="s">
        <v>270</v>
      </c>
      <c r="E29" s="401">
        <v>33.89</v>
      </c>
      <c r="F29" s="402"/>
      <c r="G29" s="374">
        <v>8</v>
      </c>
      <c r="H29" s="403">
        <f t="shared" si="21"/>
        <v>4438.8377842565596</v>
      </c>
      <c r="I29" s="376">
        <v>5</v>
      </c>
      <c r="J29" s="379" t="s">
        <v>271</v>
      </c>
      <c r="K29" s="500">
        <f>741+885</f>
        <v>1626</v>
      </c>
      <c r="L29" s="377">
        <f t="shared" ref="L29:L31" si="27">(K29*7.6475)/1000</f>
        <v>12.434835</v>
      </c>
      <c r="M29" s="496">
        <v>0</v>
      </c>
      <c r="N29" s="383">
        <f t="shared" si="1"/>
        <v>0.3663121021829211</v>
      </c>
      <c r="O29" s="358">
        <f t="shared" si="23"/>
        <v>0.58609936349267389</v>
      </c>
      <c r="P29" s="359">
        <f t="shared" si="24"/>
        <v>0</v>
      </c>
      <c r="Q29" s="401" t="s">
        <v>257</v>
      </c>
      <c r="R29" s="374">
        <v>7.5</v>
      </c>
      <c r="S29" s="676">
        <v>2</v>
      </c>
      <c r="T29" s="679">
        <v>7.5</v>
      </c>
      <c r="U29" s="676">
        <v>0</v>
      </c>
      <c r="V29" s="676">
        <f>IFERROR(IF(S29&gt;0,S29*T29-U29,""),"input error")</f>
        <v>15</v>
      </c>
      <c r="W29" s="380">
        <f>'[2]缠绕 编织工时Winding, Braiding,'!G26</f>
        <v>156.06</v>
      </c>
      <c r="X29" s="404">
        <f t="shared" si="25"/>
        <v>6.4077918749199025E-3</v>
      </c>
      <c r="Y29" s="360">
        <f t="shared" si="26"/>
        <v>10.419069588619761</v>
      </c>
      <c r="Z29" s="690">
        <f>SUM(Y29:Y31)</f>
        <v>43.957452261950536</v>
      </c>
      <c r="AA29" s="405">
        <f>IFERROR(IF(Y29&lt;&gt;"",$V$29*Y29/$Z$29,""),"input error")</f>
        <v>3.5553935860058306</v>
      </c>
      <c r="AB29" s="402"/>
    </row>
    <row r="30" spans="1:28" ht="21" customHeight="1">
      <c r="A30" s="357">
        <v>45355</v>
      </c>
      <c r="B30" s="374" t="s">
        <v>269</v>
      </c>
      <c r="C30" s="375" t="s">
        <v>255</v>
      </c>
      <c r="D30" s="374" t="s">
        <v>270</v>
      </c>
      <c r="E30" s="401">
        <v>33.89</v>
      </c>
      <c r="F30" s="402"/>
      <c r="G30" s="374">
        <v>8</v>
      </c>
      <c r="H30" s="403">
        <f t="shared" si="21"/>
        <v>7343.4647230320697</v>
      </c>
      <c r="I30" s="376">
        <v>5</v>
      </c>
      <c r="J30" s="379" t="s">
        <v>271</v>
      </c>
      <c r="K30" s="500">
        <f>1324+1366</f>
        <v>2690</v>
      </c>
      <c r="L30" s="377">
        <f t="shared" si="27"/>
        <v>20.571775000000002</v>
      </c>
      <c r="M30" s="496">
        <v>0</v>
      </c>
      <c r="N30" s="383">
        <f t="shared" si="1"/>
        <v>0.3663121021829211</v>
      </c>
      <c r="O30" s="358">
        <f t="shared" si="23"/>
        <v>0.58609936349267389</v>
      </c>
      <c r="P30" s="359">
        <f t="shared" si="24"/>
        <v>0</v>
      </c>
      <c r="Q30" s="401" t="s">
        <v>257</v>
      </c>
      <c r="R30" s="374">
        <v>7.5</v>
      </c>
      <c r="S30" s="677"/>
      <c r="T30" s="680"/>
      <c r="U30" s="677"/>
      <c r="V30" s="677"/>
      <c r="W30" s="380">
        <f>'[2]缠绕 编织工时Winding, Braiding,'!G26</f>
        <v>156.06</v>
      </c>
      <c r="X30" s="404">
        <f t="shared" si="25"/>
        <v>6.4077918749199025E-3</v>
      </c>
      <c r="Y30" s="360">
        <f t="shared" si="26"/>
        <v>17.236960143534539</v>
      </c>
      <c r="Z30" s="691"/>
      <c r="AA30" s="405">
        <f t="shared" ref="AA30:AA31" si="28">IFERROR(IF(Y30&lt;&gt;"",$V$29*Y30/$Z$29,""),"input error")</f>
        <v>5.8819241982507284</v>
      </c>
      <c r="AB30" s="402"/>
    </row>
    <row r="31" spans="1:28" ht="21" customHeight="1">
      <c r="A31" s="357">
        <v>45355</v>
      </c>
      <c r="B31" s="374" t="s">
        <v>276</v>
      </c>
      <c r="C31" s="375" t="s">
        <v>255</v>
      </c>
      <c r="D31" s="374" t="s">
        <v>270</v>
      </c>
      <c r="E31" s="401">
        <v>33.89</v>
      </c>
      <c r="F31" s="402"/>
      <c r="G31" s="374">
        <v>8</v>
      </c>
      <c r="H31" s="403">
        <f t="shared" si="21"/>
        <v>6944.8974927113686</v>
      </c>
      <c r="I31" s="376">
        <v>5</v>
      </c>
      <c r="J31" s="379" t="s">
        <v>271</v>
      </c>
      <c r="K31" s="500">
        <f>1342+1202</f>
        <v>2544</v>
      </c>
      <c r="L31" s="377">
        <f t="shared" si="27"/>
        <v>19.45524</v>
      </c>
      <c r="M31" s="496">
        <v>0</v>
      </c>
      <c r="N31" s="383">
        <f t="shared" si="1"/>
        <v>0.36631210218292121</v>
      </c>
      <c r="O31" s="358">
        <f t="shared" si="23"/>
        <v>0.58609936349267389</v>
      </c>
      <c r="P31" s="359">
        <f t="shared" si="24"/>
        <v>0</v>
      </c>
      <c r="Q31" s="401" t="s">
        <v>257</v>
      </c>
      <c r="R31" s="374">
        <v>7.5</v>
      </c>
      <c r="S31" s="678"/>
      <c r="T31" s="681"/>
      <c r="U31" s="678"/>
      <c r="V31" s="678"/>
      <c r="W31" s="380">
        <f>'[2]缠绕 编织工时Winding, Braiding,'!G26</f>
        <v>156.06</v>
      </c>
      <c r="X31" s="404">
        <f t="shared" si="25"/>
        <v>6.4077918749199025E-3</v>
      </c>
      <c r="Y31" s="360">
        <f t="shared" si="26"/>
        <v>16.301422529796231</v>
      </c>
      <c r="Z31" s="659"/>
      <c r="AA31" s="405">
        <f t="shared" si="28"/>
        <v>5.5626822157434388</v>
      </c>
      <c r="AB31" s="402"/>
    </row>
    <row r="32" spans="1:28" ht="21" customHeight="1">
      <c r="A32" s="357">
        <v>45355</v>
      </c>
      <c r="B32" s="374" t="s">
        <v>260</v>
      </c>
      <c r="C32" s="375" t="s">
        <v>255</v>
      </c>
      <c r="D32" s="374" t="s">
        <v>261</v>
      </c>
      <c r="E32" s="401">
        <v>13.8</v>
      </c>
      <c r="F32" s="402"/>
      <c r="G32" s="374">
        <v>6</v>
      </c>
      <c r="H32" s="403">
        <f t="shared" si="21"/>
        <v>15763.076916672853</v>
      </c>
      <c r="I32" s="376">
        <v>6</v>
      </c>
      <c r="J32" s="387" t="s">
        <v>57</v>
      </c>
      <c r="K32" s="500">
        <f>2155+1998+2400</f>
        <v>6553</v>
      </c>
      <c r="L32" s="377">
        <f>(K32*4.6608)/1000</f>
        <v>30.5422224</v>
      </c>
      <c r="M32" s="496">
        <v>0</v>
      </c>
      <c r="N32" s="383">
        <f t="shared" si="1"/>
        <v>0.41571832927293462</v>
      </c>
      <c r="O32" s="358">
        <f t="shared" si="23"/>
        <v>0.41571832927293462</v>
      </c>
      <c r="P32" s="359">
        <f t="shared" si="24"/>
        <v>0</v>
      </c>
      <c r="Q32" s="401" t="s">
        <v>277</v>
      </c>
      <c r="R32" s="374">
        <v>7.5</v>
      </c>
      <c r="S32" s="684">
        <v>3</v>
      </c>
      <c r="T32" s="687">
        <v>7.5</v>
      </c>
      <c r="U32" s="687">
        <v>0</v>
      </c>
      <c r="V32" s="687">
        <f>IFERROR(IF(S32&gt;0,S32*T32-U32,""),"input error")</f>
        <v>22.5</v>
      </c>
      <c r="W32" s="380">
        <f>'[2]缠绕 编织工时Winding, Braiding,'!G10</f>
        <v>447.12</v>
      </c>
      <c r="X32" s="404">
        <f t="shared" si="25"/>
        <v>2.2365360529611735E-3</v>
      </c>
      <c r="Y32" s="360">
        <f t="shared" si="26"/>
        <v>14.65602075505457</v>
      </c>
      <c r="Z32" s="682">
        <f>SUM(Y32:Y37)</f>
        <v>56.121974451846178</v>
      </c>
      <c r="AA32" s="405">
        <f>IFERROR(IF(Y32&lt;&gt;"",$V$32*Y32/$Z$32,""),"input error")</f>
        <v>5.8757816382898147</v>
      </c>
      <c r="AB32" s="402"/>
    </row>
    <row r="33" spans="1:28" ht="21" customHeight="1">
      <c r="A33" s="357">
        <v>45355</v>
      </c>
      <c r="B33" s="374" t="s">
        <v>263</v>
      </c>
      <c r="C33" s="375" t="s">
        <v>264</v>
      </c>
      <c r="D33" s="374" t="s">
        <v>237</v>
      </c>
      <c r="E33" s="401">
        <v>20.100000000000001</v>
      </c>
      <c r="F33" s="402"/>
      <c r="G33" s="374">
        <v>6</v>
      </c>
      <c r="H33" s="403">
        <f t="shared" si="21"/>
        <v>5229.502398420078</v>
      </c>
      <c r="I33" s="376">
        <v>6</v>
      </c>
      <c r="J33" s="379" t="s">
        <v>39</v>
      </c>
      <c r="K33" s="500">
        <f>1884+290</f>
        <v>2174</v>
      </c>
      <c r="L33" s="377">
        <f t="shared" ref="L33:L34" si="29">(K33*12.528)/1000</f>
        <v>27.235872000000001</v>
      </c>
      <c r="M33" s="496">
        <v>0</v>
      </c>
      <c r="N33" s="383">
        <f t="shared" si="1"/>
        <v>0.41571832927293473</v>
      </c>
      <c r="O33" s="358">
        <f t="shared" si="23"/>
        <v>0.41571832927293473</v>
      </c>
      <c r="P33" s="359">
        <f t="shared" si="24"/>
        <v>0</v>
      </c>
      <c r="Q33" s="401" t="s">
        <v>277</v>
      </c>
      <c r="R33" s="374">
        <v>7.5</v>
      </c>
      <c r="S33" s="685"/>
      <c r="T33" s="688"/>
      <c r="U33" s="688"/>
      <c r="V33" s="688"/>
      <c r="W33" s="380">
        <f>'[2]缠绕 编织工时Winding, Braiding,'!G12</f>
        <v>651.24</v>
      </c>
      <c r="X33" s="404">
        <f t="shared" si="25"/>
        <v>1.5355322154658804E-3</v>
      </c>
      <c r="Y33" s="360">
        <f t="shared" si="26"/>
        <v>3.3382470364228238</v>
      </c>
      <c r="Z33" s="661"/>
      <c r="AA33" s="405">
        <f t="shared" ref="AA33:AA37" si="30">IFERROR(IF(Y33&lt;&gt;"",$V$32*Y33/$Z$32,""),"input error")</f>
        <v>1.3383449006050196</v>
      </c>
      <c r="AB33" s="402"/>
    </row>
    <row r="34" spans="1:28" ht="21" customHeight="1">
      <c r="A34" s="357">
        <v>45355</v>
      </c>
      <c r="B34" s="374" t="s">
        <v>266</v>
      </c>
      <c r="C34" s="375" t="s">
        <v>264</v>
      </c>
      <c r="D34" s="374" t="s">
        <v>237</v>
      </c>
      <c r="E34" s="401">
        <v>20.100000000000001</v>
      </c>
      <c r="F34" s="402"/>
      <c r="G34" s="374">
        <v>6</v>
      </c>
      <c r="H34" s="403">
        <f t="shared" si="21"/>
        <v>4209.5810474862637</v>
      </c>
      <c r="I34" s="376">
        <v>6</v>
      </c>
      <c r="J34" s="379" t="s">
        <v>39</v>
      </c>
      <c r="K34" s="500">
        <f>1750</f>
        <v>1750</v>
      </c>
      <c r="L34" s="377">
        <f t="shared" si="29"/>
        <v>21.923999999999999</v>
      </c>
      <c r="M34" s="496">
        <v>0</v>
      </c>
      <c r="N34" s="383">
        <f t="shared" si="1"/>
        <v>0.41571832927293473</v>
      </c>
      <c r="O34" s="358">
        <f t="shared" si="23"/>
        <v>0.41571832927293473</v>
      </c>
      <c r="P34" s="359">
        <f t="shared" si="24"/>
        <v>0</v>
      </c>
      <c r="Q34" s="401" t="s">
        <v>277</v>
      </c>
      <c r="R34" s="374">
        <v>7.5</v>
      </c>
      <c r="S34" s="685"/>
      <c r="T34" s="688"/>
      <c r="U34" s="688"/>
      <c r="V34" s="688"/>
      <c r="W34" s="380">
        <f>'[2]缠绕 编织工时Winding, Braiding,'!G12</f>
        <v>651.24</v>
      </c>
      <c r="X34" s="404">
        <f t="shared" si="25"/>
        <v>1.5355322154658804E-3</v>
      </c>
      <c r="Y34" s="360">
        <f t="shared" si="26"/>
        <v>2.6871813770652908</v>
      </c>
      <c r="Z34" s="661"/>
      <c r="AA34" s="405">
        <f t="shared" si="30"/>
        <v>1.0773245520049608</v>
      </c>
      <c r="AB34" s="402"/>
    </row>
    <row r="35" spans="1:28" ht="21" customHeight="1">
      <c r="A35" s="357">
        <v>45355</v>
      </c>
      <c r="B35" s="374" t="s">
        <v>273</v>
      </c>
      <c r="C35" s="375" t="s">
        <v>264</v>
      </c>
      <c r="D35" s="374" t="s">
        <v>226</v>
      </c>
      <c r="E35" s="401">
        <v>16.7</v>
      </c>
      <c r="F35" s="402"/>
      <c r="G35" s="374">
        <v>6</v>
      </c>
      <c r="H35" s="403">
        <f t="shared" si="21"/>
        <v>13679.935666888221</v>
      </c>
      <c r="I35" s="376">
        <v>6</v>
      </c>
      <c r="J35" s="374" t="s">
        <v>50</v>
      </c>
      <c r="K35" s="500">
        <f>1978+1689+2020</f>
        <v>5687</v>
      </c>
      <c r="L35" s="377">
        <f t="shared" ref="L35:L36" si="31">(K35*5.7865)/1000</f>
        <v>32.907825500000001</v>
      </c>
      <c r="M35" s="496">
        <v>0</v>
      </c>
      <c r="N35" s="383">
        <f t="shared" si="1"/>
        <v>0.41571832927293462</v>
      </c>
      <c r="O35" s="358">
        <f t="shared" si="23"/>
        <v>0.41571832927293462</v>
      </c>
      <c r="P35" s="359">
        <f t="shared" si="24"/>
        <v>0</v>
      </c>
      <c r="Q35" s="401" t="s">
        <v>278</v>
      </c>
      <c r="R35" s="374">
        <v>7.5</v>
      </c>
      <c r="S35" s="685"/>
      <c r="T35" s="688"/>
      <c r="U35" s="688"/>
      <c r="V35" s="688"/>
      <c r="W35" s="380">
        <f>'[2]缠绕 编织工时Winding, Braiding,'!G11</f>
        <v>541.08000000000004</v>
      </c>
      <c r="X35" s="404">
        <f t="shared" si="25"/>
        <v>1.8481555407703111E-3</v>
      </c>
      <c r="Y35" s="360">
        <f t="shared" si="26"/>
        <v>10.510460560360759</v>
      </c>
      <c r="Z35" s="661"/>
      <c r="AA35" s="405">
        <f t="shared" si="30"/>
        <v>4.2137748166901439</v>
      </c>
      <c r="AB35" s="402"/>
    </row>
    <row r="36" spans="1:28" ht="21" customHeight="1">
      <c r="A36" s="357">
        <v>45355</v>
      </c>
      <c r="B36" s="374" t="s">
        <v>274</v>
      </c>
      <c r="C36" s="375" t="s">
        <v>264</v>
      </c>
      <c r="D36" s="374" t="s">
        <v>226</v>
      </c>
      <c r="E36" s="401">
        <v>16.7</v>
      </c>
      <c r="F36" s="402"/>
      <c r="G36" s="374">
        <v>6</v>
      </c>
      <c r="H36" s="403">
        <f t="shared" si="21"/>
        <v>14382.334333097358</v>
      </c>
      <c r="I36" s="376">
        <v>6</v>
      </c>
      <c r="J36" s="374" t="s">
        <v>50</v>
      </c>
      <c r="K36" s="500">
        <f>2218+1783+1978</f>
        <v>5979</v>
      </c>
      <c r="L36" s="377">
        <f t="shared" si="31"/>
        <v>34.597483500000003</v>
      </c>
      <c r="M36" s="496">
        <v>0</v>
      </c>
      <c r="N36" s="383">
        <f t="shared" si="1"/>
        <v>0.41571832927293462</v>
      </c>
      <c r="O36" s="358">
        <f t="shared" si="23"/>
        <v>0.41571832927293462</v>
      </c>
      <c r="P36" s="359">
        <f t="shared" si="24"/>
        <v>0</v>
      </c>
      <c r="Q36" s="401" t="s">
        <v>278</v>
      </c>
      <c r="R36" s="374">
        <v>7.5</v>
      </c>
      <c r="S36" s="685"/>
      <c r="T36" s="688"/>
      <c r="U36" s="688"/>
      <c r="V36" s="688"/>
      <c r="W36" s="380">
        <f>'[2]缠绕 编织工时Winding, Braiding,'!G11</f>
        <v>541.08000000000004</v>
      </c>
      <c r="X36" s="404">
        <f t="shared" si="25"/>
        <v>1.8481555407703111E-3</v>
      </c>
      <c r="Y36" s="360">
        <f t="shared" si="26"/>
        <v>11.05012197826569</v>
      </c>
      <c r="Z36" s="661"/>
      <c r="AA36" s="405">
        <f t="shared" si="30"/>
        <v>4.4301318144874928</v>
      </c>
      <c r="AB36" s="402"/>
    </row>
    <row r="37" spans="1:28" ht="21" customHeight="1">
      <c r="A37" s="357">
        <v>45355</v>
      </c>
      <c r="B37" s="374" t="s">
        <v>267</v>
      </c>
      <c r="C37" s="375" t="s">
        <v>264</v>
      </c>
      <c r="D37" s="374" t="s">
        <v>261</v>
      </c>
      <c r="E37" s="401">
        <v>13.8</v>
      </c>
      <c r="F37" s="511"/>
      <c r="G37" s="374">
        <v>6</v>
      </c>
      <c r="H37" s="403">
        <f t="shared" si="21"/>
        <v>14928.377131828433</v>
      </c>
      <c r="I37" s="376">
        <v>6</v>
      </c>
      <c r="J37" s="381" t="s">
        <v>57</v>
      </c>
      <c r="K37" s="501">
        <f>2198+1965+2043</f>
        <v>6206</v>
      </c>
      <c r="L37" s="377">
        <f>(K37*4.6608)/1000</f>
        <v>28.924924799999999</v>
      </c>
      <c r="M37" s="496">
        <v>0</v>
      </c>
      <c r="N37" s="383">
        <f t="shared" si="1"/>
        <v>0.41571832927293467</v>
      </c>
      <c r="O37" s="358">
        <f t="shared" si="23"/>
        <v>0.41571832927293467</v>
      </c>
      <c r="P37" s="359">
        <f t="shared" si="24"/>
        <v>0</v>
      </c>
      <c r="Q37" s="401" t="s">
        <v>278</v>
      </c>
      <c r="R37" s="374">
        <v>7.5</v>
      </c>
      <c r="S37" s="686"/>
      <c r="T37" s="689"/>
      <c r="U37" s="689"/>
      <c r="V37" s="689"/>
      <c r="W37" s="363">
        <f>'[2]缠绕 编织工时Winding, Braiding,'!G10</f>
        <v>447.12</v>
      </c>
      <c r="X37" s="404">
        <f t="shared" si="25"/>
        <v>2.2365360529611735E-3</v>
      </c>
      <c r="Y37" s="360">
        <f t="shared" si="26"/>
        <v>13.879942744677043</v>
      </c>
      <c r="Z37" s="662"/>
      <c r="AA37" s="405">
        <f t="shared" si="30"/>
        <v>5.5646422779225677</v>
      </c>
      <c r="AB37" s="501"/>
    </row>
    <row r="38" spans="1:28" ht="21" customHeight="1">
      <c r="A38" s="357"/>
      <c r="B38" s="374"/>
      <c r="C38" s="375"/>
      <c r="D38" s="374"/>
      <c r="E38" s="401"/>
      <c r="F38" s="511"/>
      <c r="G38" s="374"/>
      <c r="H38" s="403"/>
      <c r="I38" s="376"/>
      <c r="J38" s="381"/>
      <c r="K38" s="501"/>
      <c r="L38" s="377"/>
      <c r="M38" s="496"/>
      <c r="N38" s="383" t="str">
        <f t="shared" si="1"/>
        <v/>
      </c>
      <c r="O38" s="358"/>
      <c r="P38" s="359"/>
      <c r="Q38" s="401"/>
      <c r="R38" s="374"/>
      <c r="S38" s="506"/>
      <c r="T38" s="508"/>
      <c r="U38" s="508"/>
      <c r="V38" s="508"/>
      <c r="W38" s="363"/>
      <c r="X38" s="404"/>
      <c r="Y38" s="360"/>
      <c r="Z38" s="498"/>
      <c r="AA38" s="405"/>
      <c r="AB38" s="501"/>
    </row>
    <row r="39" spans="1:28" ht="21" customHeight="1">
      <c r="A39" s="357">
        <v>45356</v>
      </c>
      <c r="B39" s="374" t="s">
        <v>275</v>
      </c>
      <c r="C39" s="375" t="s">
        <v>255</v>
      </c>
      <c r="D39" s="374" t="s">
        <v>270</v>
      </c>
      <c r="E39" s="401">
        <v>33.89</v>
      </c>
      <c r="F39" s="511"/>
      <c r="G39" s="374">
        <v>8</v>
      </c>
      <c r="H39" s="403">
        <f t="shared" ref="H39:H48" si="32">IFERROR(IF(G39&lt;&gt;"",W39*G39*AA39,""),"input error""")</f>
        <v>6158.8452339254436</v>
      </c>
      <c r="I39" s="376">
        <v>3</v>
      </c>
      <c r="J39" s="379" t="s">
        <v>271</v>
      </c>
      <c r="K39" s="501">
        <f>1319+1310</f>
        <v>2629</v>
      </c>
      <c r="L39" s="377">
        <f t="shared" ref="L39:L41" si="33">(K39*7.6475)/1000</f>
        <v>20.1052775</v>
      </c>
      <c r="M39" s="496">
        <v>0</v>
      </c>
      <c r="N39" s="383">
        <f t="shared" si="1"/>
        <v>0.42686573540091421</v>
      </c>
      <c r="O39" s="358">
        <f t="shared" ref="O39:O48" si="34">IFERROR(IF(I39&lt;&gt;"",K39/(I39*W39*AA39),""),"input error")</f>
        <v>1.1383086277357712</v>
      </c>
      <c r="P39" s="359">
        <f t="shared" ref="P39:P48" si="35">IFERROR(IF(L39&lt;&gt;"",M39/(M39+L39),""),"input error")</f>
        <v>0</v>
      </c>
      <c r="Q39" s="401" t="s">
        <v>257</v>
      </c>
      <c r="R39" s="374">
        <v>7.5</v>
      </c>
      <c r="S39" s="676">
        <v>2</v>
      </c>
      <c r="T39" s="679">
        <v>7.5</v>
      </c>
      <c r="U39" s="676">
        <v>0</v>
      </c>
      <c r="V39" s="676">
        <f>IFERROR(IF(S39&gt;0,S39*T39-U39,""),"input error")</f>
        <v>15</v>
      </c>
      <c r="W39" s="363">
        <f>'[2]缠绕 编织工时Winding, Braiding,'!G26</f>
        <v>156.06</v>
      </c>
      <c r="X39" s="404">
        <f t="shared" ref="X39:X48" si="36">IFERROR(IF(W39&lt;&gt;"",1/W39,""),"input error")</f>
        <v>6.4077918749199025E-3</v>
      </c>
      <c r="Y39" s="360">
        <f t="shared" ref="Y39:Y48" si="37">IFERROR(IF(K39&lt;&gt;"",K39*X39,""),"input error")</f>
        <v>16.846084839164423</v>
      </c>
      <c r="Z39" s="690">
        <f>SUM(Y39:Y41)</f>
        <v>51.223888248109702</v>
      </c>
      <c r="AA39" s="405">
        <f>IFERROR(IF(Y39&lt;&gt;"",$V$39*Y39/$Z$39,""),"input error")</f>
        <v>4.9330748061045782</v>
      </c>
      <c r="AB39" s="501"/>
    </row>
    <row r="40" spans="1:28" ht="21" customHeight="1">
      <c r="A40" s="357">
        <v>45356</v>
      </c>
      <c r="B40" s="374" t="s">
        <v>269</v>
      </c>
      <c r="C40" s="375" t="s">
        <v>255</v>
      </c>
      <c r="D40" s="374" t="s">
        <v>270</v>
      </c>
      <c r="E40" s="401">
        <v>33.89</v>
      </c>
      <c r="F40" s="511"/>
      <c r="G40" s="374">
        <v>8</v>
      </c>
      <c r="H40" s="403">
        <f t="shared" si="32"/>
        <v>6596.9220915686765</v>
      </c>
      <c r="I40" s="376">
        <v>3</v>
      </c>
      <c r="J40" s="379" t="s">
        <v>271</v>
      </c>
      <c r="K40" s="501">
        <f>1361+1455</f>
        <v>2816</v>
      </c>
      <c r="L40" s="377">
        <f t="shared" si="33"/>
        <v>21.535360000000001</v>
      </c>
      <c r="M40" s="496">
        <v>0</v>
      </c>
      <c r="N40" s="383">
        <f t="shared" si="1"/>
        <v>0.42686573540091416</v>
      </c>
      <c r="O40" s="358">
        <f t="shared" si="34"/>
        <v>1.1383086277357712</v>
      </c>
      <c r="P40" s="359">
        <f t="shared" si="35"/>
        <v>0</v>
      </c>
      <c r="Q40" s="401" t="s">
        <v>257</v>
      </c>
      <c r="R40" s="374">
        <v>7.5</v>
      </c>
      <c r="S40" s="677"/>
      <c r="T40" s="680"/>
      <c r="U40" s="677"/>
      <c r="V40" s="677"/>
      <c r="W40" s="363">
        <f>'[2]缠绕 编织工时Winding, Braiding,'!G26</f>
        <v>156.06</v>
      </c>
      <c r="X40" s="404">
        <f t="shared" si="36"/>
        <v>6.4077918749199025E-3</v>
      </c>
      <c r="Y40" s="360">
        <f t="shared" si="37"/>
        <v>18.044341919774446</v>
      </c>
      <c r="Z40" s="691"/>
      <c r="AA40" s="405">
        <f t="shared" ref="AA40:AA41" si="38">IFERROR(IF(Y40&lt;&gt;"",$V$39*Y40/$Z$39,""),"input error")</f>
        <v>5.2839629722291717</v>
      </c>
      <c r="AB40" s="501"/>
    </row>
    <row r="41" spans="1:28" ht="21" customHeight="1">
      <c r="A41" s="357">
        <v>45356</v>
      </c>
      <c r="B41" s="374" t="s">
        <v>276</v>
      </c>
      <c r="C41" s="375" t="s">
        <v>255</v>
      </c>
      <c r="D41" s="374" t="s">
        <v>270</v>
      </c>
      <c r="E41" s="401">
        <v>33.89</v>
      </c>
      <c r="F41" s="511"/>
      <c r="G41" s="374">
        <v>8</v>
      </c>
      <c r="H41" s="403">
        <f t="shared" si="32"/>
        <v>5971.4326745058788</v>
      </c>
      <c r="I41" s="376">
        <v>3</v>
      </c>
      <c r="J41" s="379" t="s">
        <v>271</v>
      </c>
      <c r="K41" s="501">
        <f>1257+1292</f>
        <v>2549</v>
      </c>
      <c r="L41" s="377">
        <f t="shared" si="33"/>
        <v>19.493477500000001</v>
      </c>
      <c r="M41" s="496">
        <v>0</v>
      </c>
      <c r="N41" s="383">
        <f t="shared" si="1"/>
        <v>0.42686573540091421</v>
      </c>
      <c r="O41" s="358">
        <f t="shared" si="34"/>
        <v>1.1383086277357712</v>
      </c>
      <c r="P41" s="359">
        <f t="shared" si="35"/>
        <v>0</v>
      </c>
      <c r="Q41" s="401" t="s">
        <v>257</v>
      </c>
      <c r="R41" s="374">
        <v>7.5</v>
      </c>
      <c r="S41" s="678"/>
      <c r="T41" s="681"/>
      <c r="U41" s="678"/>
      <c r="V41" s="678"/>
      <c r="W41" s="363">
        <f>'[2]缠绕 编织工时Winding, Braiding,'!G26</f>
        <v>156.06</v>
      </c>
      <c r="X41" s="404">
        <f t="shared" si="36"/>
        <v>6.4077918749199025E-3</v>
      </c>
      <c r="Y41" s="360">
        <f t="shared" si="37"/>
        <v>16.33346148917083</v>
      </c>
      <c r="Z41" s="659"/>
      <c r="AA41" s="405">
        <f t="shared" si="38"/>
        <v>4.7829622216662493</v>
      </c>
      <c r="AB41" s="501"/>
    </row>
    <row r="42" spans="1:28" ht="21" customHeight="1">
      <c r="A42" s="357">
        <v>45356</v>
      </c>
      <c r="B42" s="374" t="s">
        <v>279</v>
      </c>
      <c r="C42" s="375" t="s">
        <v>255</v>
      </c>
      <c r="D42" s="374" t="s">
        <v>229</v>
      </c>
      <c r="E42" s="401">
        <v>24.1</v>
      </c>
      <c r="F42" s="511"/>
      <c r="G42" s="374">
        <v>6</v>
      </c>
      <c r="H42" s="403">
        <f t="shared" si="32"/>
        <v>278.50270294186208</v>
      </c>
      <c r="I42" s="376">
        <v>7</v>
      </c>
      <c r="J42" s="406" t="s">
        <v>61</v>
      </c>
      <c r="K42" s="501">
        <f>136</f>
        <v>136</v>
      </c>
      <c r="L42" s="377">
        <f>(K42*27.0168)/1000</f>
        <v>3.6742847999999997</v>
      </c>
      <c r="M42" s="496">
        <v>0</v>
      </c>
      <c r="N42" s="383">
        <f t="shared" si="1"/>
        <v>0.48832560173891826</v>
      </c>
      <c r="O42" s="358">
        <f t="shared" si="34"/>
        <v>0.4185648014905014</v>
      </c>
      <c r="P42" s="359">
        <f t="shared" si="35"/>
        <v>0</v>
      </c>
      <c r="Q42" s="401" t="s">
        <v>277</v>
      </c>
      <c r="R42" s="374">
        <v>7.5</v>
      </c>
      <c r="S42" s="684">
        <v>3</v>
      </c>
      <c r="T42" s="687">
        <v>7.5</v>
      </c>
      <c r="U42" s="684">
        <v>0</v>
      </c>
      <c r="V42" s="687">
        <f>IFERROR(IF(S42&gt;0,S42*T42-U42,""),"input error")</f>
        <v>22.5</v>
      </c>
      <c r="W42" s="363">
        <f>'[2]缠绕 编织工时Winding, Braiding,'!G13</f>
        <v>780.84</v>
      </c>
      <c r="X42" s="404">
        <f t="shared" si="36"/>
        <v>1.2806720967163568E-3</v>
      </c>
      <c r="Y42" s="360">
        <f t="shared" si="37"/>
        <v>0.17417140515342452</v>
      </c>
      <c r="Z42" s="690">
        <f>SUM(Y42:Y48)</f>
        <v>65.923956234753973</v>
      </c>
      <c r="AA42" s="405">
        <f>IFERROR(IF(Y42&lt;&gt;"",$V$42*Y42/$Z$42,""),"input error")</f>
        <v>5.9445106752954523E-2</v>
      </c>
      <c r="AB42" s="501"/>
    </row>
    <row r="43" spans="1:28" ht="21" customHeight="1">
      <c r="A43" s="357">
        <v>45356</v>
      </c>
      <c r="B43" s="374" t="s">
        <v>260</v>
      </c>
      <c r="C43" s="375" t="s">
        <v>255</v>
      </c>
      <c r="D43" s="374" t="s">
        <v>261</v>
      </c>
      <c r="E43" s="401">
        <v>13.8</v>
      </c>
      <c r="F43" s="511"/>
      <c r="G43" s="374">
        <v>6</v>
      </c>
      <c r="H43" s="403">
        <f t="shared" si="32"/>
        <v>10105.962051603598</v>
      </c>
      <c r="I43" s="376">
        <v>7</v>
      </c>
      <c r="J43" s="381" t="s">
        <v>57</v>
      </c>
      <c r="K43" s="501">
        <f>2161+1312+1462</f>
        <v>4935</v>
      </c>
      <c r="L43" s="377">
        <f>(K43*4.6608)/1000</f>
        <v>23.001047999999997</v>
      </c>
      <c r="M43" s="496">
        <v>0</v>
      </c>
      <c r="N43" s="383">
        <f t="shared" si="1"/>
        <v>0.48832560173891831</v>
      </c>
      <c r="O43" s="358">
        <f t="shared" si="34"/>
        <v>0.4185648014905014</v>
      </c>
      <c r="P43" s="359">
        <f t="shared" si="35"/>
        <v>0</v>
      </c>
      <c r="Q43" s="401" t="s">
        <v>277</v>
      </c>
      <c r="R43" s="374">
        <v>7.5</v>
      </c>
      <c r="S43" s="685"/>
      <c r="T43" s="688"/>
      <c r="U43" s="685"/>
      <c r="V43" s="688"/>
      <c r="W43" s="363">
        <f>'[2]缠绕 编织工时Winding, Braiding,'!G10</f>
        <v>447.12</v>
      </c>
      <c r="X43" s="404">
        <f t="shared" si="36"/>
        <v>2.2365360529611735E-3</v>
      </c>
      <c r="Y43" s="360">
        <f t="shared" si="37"/>
        <v>11.037305421363392</v>
      </c>
      <c r="Z43" s="691"/>
      <c r="AA43" s="405">
        <f t="shared" ref="AA43:AA48" si="39">IFERROR(IF(Y43&lt;&gt;"",$V$42*Y43/$Z$42,""),"input error")</f>
        <v>3.7670580797114859</v>
      </c>
      <c r="AB43" s="501"/>
    </row>
    <row r="44" spans="1:28" ht="21" customHeight="1">
      <c r="A44" s="357">
        <v>45356</v>
      </c>
      <c r="B44" s="374" t="s">
        <v>263</v>
      </c>
      <c r="C44" s="375" t="s">
        <v>264</v>
      </c>
      <c r="D44" s="374" t="s">
        <v>237</v>
      </c>
      <c r="E44" s="401">
        <v>20.100000000000001</v>
      </c>
      <c r="F44" s="511"/>
      <c r="G44" s="374">
        <v>6</v>
      </c>
      <c r="H44" s="403">
        <f t="shared" si="32"/>
        <v>6368.7015158028744</v>
      </c>
      <c r="I44" s="376">
        <v>7</v>
      </c>
      <c r="J44" s="379" t="s">
        <v>39</v>
      </c>
      <c r="K44" s="501">
        <f>1970+1140</f>
        <v>3110</v>
      </c>
      <c r="L44" s="377">
        <f t="shared" ref="L44:L45" si="40">(K44*12.528)/1000</f>
        <v>38.96208</v>
      </c>
      <c r="M44" s="496">
        <v>0</v>
      </c>
      <c r="N44" s="383">
        <f t="shared" si="1"/>
        <v>0.48832560173891837</v>
      </c>
      <c r="O44" s="358">
        <f t="shared" si="34"/>
        <v>0.4185648014905014</v>
      </c>
      <c r="P44" s="359">
        <f t="shared" si="35"/>
        <v>0</v>
      </c>
      <c r="Q44" s="401" t="s">
        <v>277</v>
      </c>
      <c r="R44" s="374">
        <v>7.5</v>
      </c>
      <c r="S44" s="685"/>
      <c r="T44" s="688"/>
      <c r="U44" s="685"/>
      <c r="V44" s="688"/>
      <c r="W44" s="363">
        <f>'[2]缠绕 编织工时Winding, Braiding,'!G12</f>
        <v>651.24</v>
      </c>
      <c r="X44" s="404">
        <f t="shared" si="36"/>
        <v>1.5355322154658804E-3</v>
      </c>
      <c r="Y44" s="360">
        <f t="shared" si="37"/>
        <v>4.7755051900988885</v>
      </c>
      <c r="Z44" s="691"/>
      <c r="AA44" s="405">
        <f t="shared" si="39"/>
        <v>1.6298910580336166</v>
      </c>
      <c r="AB44" s="501"/>
    </row>
    <row r="45" spans="1:28" ht="21" customHeight="1">
      <c r="A45" s="357">
        <v>45356</v>
      </c>
      <c r="B45" s="374" t="s">
        <v>266</v>
      </c>
      <c r="C45" s="375" t="s">
        <v>264</v>
      </c>
      <c r="D45" s="374" t="s">
        <v>237</v>
      </c>
      <c r="E45" s="401">
        <v>20.100000000000001</v>
      </c>
      <c r="F45" s="511"/>
      <c r="G45" s="374">
        <v>6</v>
      </c>
      <c r="H45" s="403">
        <f t="shared" si="32"/>
        <v>9962.6150721482263</v>
      </c>
      <c r="I45" s="376">
        <v>7</v>
      </c>
      <c r="J45" s="379" t="s">
        <v>39</v>
      </c>
      <c r="K45" s="501">
        <f>1850+1698+1317</f>
        <v>4865</v>
      </c>
      <c r="L45" s="377">
        <f t="shared" si="40"/>
        <v>60.948720000000002</v>
      </c>
      <c r="M45" s="496">
        <v>0</v>
      </c>
      <c r="N45" s="383">
        <f t="shared" si="1"/>
        <v>0.48832560173891837</v>
      </c>
      <c r="O45" s="358">
        <f t="shared" si="34"/>
        <v>0.41856480149050146</v>
      </c>
      <c r="P45" s="359">
        <f t="shared" si="35"/>
        <v>0</v>
      </c>
      <c r="Q45" s="401" t="s">
        <v>280</v>
      </c>
      <c r="R45" s="374">
        <v>7.5</v>
      </c>
      <c r="S45" s="685"/>
      <c r="T45" s="688"/>
      <c r="U45" s="685"/>
      <c r="V45" s="688"/>
      <c r="W45" s="363">
        <f>'[2]缠绕 编织工时Winding, Braiding,'!G12</f>
        <v>651.24</v>
      </c>
      <c r="X45" s="404">
        <f t="shared" si="36"/>
        <v>1.5355322154658804E-3</v>
      </c>
      <c r="Y45" s="360">
        <f t="shared" si="37"/>
        <v>7.4703642282415084</v>
      </c>
      <c r="Z45" s="691"/>
      <c r="AA45" s="405">
        <f t="shared" si="39"/>
        <v>2.5496527322615896</v>
      </c>
      <c r="AB45" s="501"/>
    </row>
    <row r="46" spans="1:28" ht="21" customHeight="1">
      <c r="A46" s="357">
        <v>45356</v>
      </c>
      <c r="B46" s="374" t="s">
        <v>273</v>
      </c>
      <c r="C46" s="375" t="s">
        <v>264</v>
      </c>
      <c r="D46" s="374" t="s">
        <v>226</v>
      </c>
      <c r="E46" s="401">
        <v>16.7</v>
      </c>
      <c r="F46" s="511"/>
      <c r="G46" s="374">
        <v>6</v>
      </c>
      <c r="H46" s="403">
        <f t="shared" si="32"/>
        <v>14093.055894455109</v>
      </c>
      <c r="I46" s="376">
        <v>7</v>
      </c>
      <c r="J46" s="374" t="s">
        <v>50</v>
      </c>
      <c r="K46" s="501">
        <f>2132+2500+2250</f>
        <v>6882</v>
      </c>
      <c r="L46" s="377">
        <f t="shared" ref="L46:L47" si="41">(K46*5.7865)/1000</f>
        <v>39.822693000000001</v>
      </c>
      <c r="M46" s="496">
        <v>0</v>
      </c>
      <c r="N46" s="383">
        <f t="shared" si="1"/>
        <v>0.48832560173891826</v>
      </c>
      <c r="O46" s="358">
        <f t="shared" si="34"/>
        <v>0.4185648014905014</v>
      </c>
      <c r="P46" s="359">
        <f t="shared" si="35"/>
        <v>0</v>
      </c>
      <c r="Q46" s="401" t="s">
        <v>280</v>
      </c>
      <c r="R46" s="374">
        <v>7.5</v>
      </c>
      <c r="S46" s="685"/>
      <c r="T46" s="688"/>
      <c r="U46" s="685"/>
      <c r="V46" s="688"/>
      <c r="W46" s="363">
        <f>'[2]缠绕 编织工时Winding, Braiding,'!G11</f>
        <v>541.08000000000004</v>
      </c>
      <c r="X46" s="404">
        <f t="shared" si="36"/>
        <v>1.8481555407703111E-3</v>
      </c>
      <c r="Y46" s="360">
        <f t="shared" si="37"/>
        <v>12.719006431581281</v>
      </c>
      <c r="Z46" s="691"/>
      <c r="AA46" s="405">
        <f t="shared" si="39"/>
        <v>4.34102655628715</v>
      </c>
      <c r="AB46" s="501"/>
    </row>
    <row r="47" spans="1:28" ht="21" customHeight="1">
      <c r="A47" s="357">
        <v>45356</v>
      </c>
      <c r="B47" s="374" t="s">
        <v>274</v>
      </c>
      <c r="C47" s="375" t="s">
        <v>264</v>
      </c>
      <c r="D47" s="374" t="s">
        <v>226</v>
      </c>
      <c r="E47" s="401">
        <v>16.7</v>
      </c>
      <c r="F47" s="511"/>
      <c r="G47" s="374">
        <v>6</v>
      </c>
      <c r="H47" s="403">
        <f t="shared" si="32"/>
        <v>15805.028391950671</v>
      </c>
      <c r="I47" s="376">
        <v>7</v>
      </c>
      <c r="J47" s="374" t="s">
        <v>50</v>
      </c>
      <c r="K47" s="501">
        <f>2218+2600+2900</f>
        <v>7718</v>
      </c>
      <c r="L47" s="377">
        <f t="shared" si="41"/>
        <v>44.660207</v>
      </c>
      <c r="M47" s="496">
        <v>0</v>
      </c>
      <c r="N47" s="383">
        <f t="shared" si="1"/>
        <v>0.48832560173891831</v>
      </c>
      <c r="O47" s="358">
        <f t="shared" si="34"/>
        <v>0.4185648014905014</v>
      </c>
      <c r="P47" s="359">
        <f t="shared" si="35"/>
        <v>0</v>
      </c>
      <c r="Q47" s="401" t="s">
        <v>280</v>
      </c>
      <c r="R47" s="374">
        <v>7.5</v>
      </c>
      <c r="S47" s="685"/>
      <c r="T47" s="688"/>
      <c r="U47" s="685"/>
      <c r="V47" s="688"/>
      <c r="W47" s="363">
        <f>'[2]缠绕 编织工时Winding, Braiding,'!G11</f>
        <v>541.08000000000004</v>
      </c>
      <c r="X47" s="404">
        <f t="shared" si="36"/>
        <v>1.8481555407703111E-3</v>
      </c>
      <c r="Y47" s="360">
        <f t="shared" si="37"/>
        <v>14.26406446366526</v>
      </c>
      <c r="Z47" s="691"/>
      <c r="AA47" s="405">
        <f t="shared" si="39"/>
        <v>4.8683584657692851</v>
      </c>
      <c r="AB47" s="501"/>
    </row>
    <row r="48" spans="1:28" ht="21" customHeight="1">
      <c r="A48" s="357">
        <v>45356</v>
      </c>
      <c r="B48" s="374" t="s">
        <v>267</v>
      </c>
      <c r="C48" s="375" t="s">
        <v>264</v>
      </c>
      <c r="D48" s="374" t="s">
        <v>261</v>
      </c>
      <c r="E48" s="401">
        <v>13.8</v>
      </c>
      <c r="F48" s="511"/>
      <c r="G48" s="374">
        <v>6</v>
      </c>
      <c r="H48" s="403">
        <f t="shared" si="32"/>
        <v>14177.016268136111</v>
      </c>
      <c r="I48" s="376">
        <v>7</v>
      </c>
      <c r="J48" s="381" t="s">
        <v>57</v>
      </c>
      <c r="K48" s="501">
        <f>2243+2400+2280</f>
        <v>6923</v>
      </c>
      <c r="L48" s="377">
        <f>(K48*4.6608)/1000</f>
        <v>32.266718400000002</v>
      </c>
      <c r="M48" s="496">
        <v>0</v>
      </c>
      <c r="N48" s="383">
        <f t="shared" si="1"/>
        <v>0.48832560173891831</v>
      </c>
      <c r="O48" s="358">
        <f t="shared" si="34"/>
        <v>0.41856480149050146</v>
      </c>
      <c r="P48" s="359">
        <f t="shared" si="35"/>
        <v>0</v>
      </c>
      <c r="Q48" s="401" t="s">
        <v>280</v>
      </c>
      <c r="R48" s="374">
        <v>7.5</v>
      </c>
      <c r="S48" s="686"/>
      <c r="T48" s="689"/>
      <c r="U48" s="686"/>
      <c r="V48" s="689"/>
      <c r="W48" s="363">
        <f>'[2]缠绕 编织工时Winding, Braiding,'!G10</f>
        <v>447.12</v>
      </c>
      <c r="X48" s="404">
        <f t="shared" si="36"/>
        <v>2.2365360529611735E-3</v>
      </c>
      <c r="Y48" s="360">
        <f t="shared" si="37"/>
        <v>15.483539094650205</v>
      </c>
      <c r="Z48" s="692"/>
      <c r="AA48" s="405">
        <f t="shared" si="39"/>
        <v>5.2845680011839136</v>
      </c>
      <c r="AB48" s="501"/>
    </row>
    <row r="49" spans="1:28" ht="21" customHeight="1">
      <c r="A49" s="357"/>
      <c r="B49" s="374"/>
      <c r="C49" s="375"/>
      <c r="D49" s="374"/>
      <c r="E49" s="401"/>
      <c r="F49" s="511"/>
      <c r="G49" s="374"/>
      <c r="H49" s="403"/>
      <c r="I49" s="376"/>
      <c r="J49" s="381"/>
      <c r="K49" s="501"/>
      <c r="L49" s="377"/>
      <c r="M49" s="496"/>
      <c r="N49" s="383" t="str">
        <f t="shared" si="1"/>
        <v/>
      </c>
      <c r="O49" s="358"/>
      <c r="P49" s="359"/>
      <c r="Q49" s="401"/>
      <c r="R49" s="374"/>
      <c r="S49" s="506"/>
      <c r="T49" s="508"/>
      <c r="U49" s="508"/>
      <c r="V49" s="508"/>
      <c r="W49" s="363"/>
      <c r="X49" s="404"/>
      <c r="Y49" s="360"/>
      <c r="Z49" s="498"/>
      <c r="AA49" s="405"/>
      <c r="AB49" s="501"/>
    </row>
    <row r="50" spans="1:28" ht="21" customHeight="1">
      <c r="A50" s="357">
        <v>45357</v>
      </c>
      <c r="B50" s="374" t="s">
        <v>275</v>
      </c>
      <c r="C50" s="375" t="s">
        <v>255</v>
      </c>
      <c r="D50" s="374" t="s">
        <v>270</v>
      </c>
      <c r="E50" s="401">
        <v>33.89</v>
      </c>
      <c r="F50" s="511"/>
      <c r="G50" s="374">
        <v>8</v>
      </c>
      <c r="H50" s="403">
        <f t="shared" ref="H50:H58" si="42">IFERROR(IF(G50&lt;&gt;"",W50*G50*AA50,""),"input error""")</f>
        <v>4890.8409502759196</v>
      </c>
      <c r="I50" s="376">
        <v>4</v>
      </c>
      <c r="J50" s="379" t="s">
        <v>271</v>
      </c>
      <c r="K50" s="501">
        <f>1356+1255</f>
        <v>2611</v>
      </c>
      <c r="L50" s="377">
        <f t="shared" ref="L50:L52" si="43">(K50*7.6475)/1000</f>
        <v>19.967622500000001</v>
      </c>
      <c r="M50" s="496">
        <v>0</v>
      </c>
      <c r="N50" s="383">
        <f t="shared" si="1"/>
        <v>0.53385502136451579</v>
      </c>
      <c r="O50" s="358">
        <f t="shared" ref="O50:O58" si="44">IFERROR(IF(I50&lt;&gt;"",K50/(I50*W50*AA50),""),"input error")</f>
        <v>1.0677100427290316</v>
      </c>
      <c r="P50" s="359">
        <f t="shared" ref="P50:P58" si="45">IFERROR(IF(L50&lt;&gt;"",M50/(M50+L50),""),"input error")</f>
        <v>0</v>
      </c>
      <c r="Q50" s="401" t="s">
        <v>257</v>
      </c>
      <c r="R50" s="374">
        <v>7.5</v>
      </c>
      <c r="S50" s="676">
        <v>2</v>
      </c>
      <c r="T50" s="679">
        <v>7.5</v>
      </c>
      <c r="U50" s="676">
        <v>0</v>
      </c>
      <c r="V50" s="679">
        <f>IFERROR(IF(S50&gt;0,S50*T50-U50,""),"input error")</f>
        <v>15</v>
      </c>
      <c r="W50" s="363">
        <f>'[2]缠绕 编织工时Winding, Braiding,'!G26</f>
        <v>156.06</v>
      </c>
      <c r="X50" s="404">
        <f t="shared" ref="X50:X58" si="46">IFERROR(IF(W50&lt;&gt;"",1/W50,""),"input error")</f>
        <v>6.4077918749199025E-3</v>
      </c>
      <c r="Y50" s="360">
        <f t="shared" ref="Y50:Y58" si="47">IFERROR(IF(K50&lt;&gt;"",K50*X50,""),"input error")</f>
        <v>16.730744585415867</v>
      </c>
      <c r="Z50" s="690">
        <f>SUM(Y50:Y53)</f>
        <v>64.062602563741905</v>
      </c>
      <c r="AA50" s="405">
        <f>IFERROR(IF(Y50&lt;&gt;"",$V$50*Y50/$Z$50,""),"input error")</f>
        <v>3.9174363628379467</v>
      </c>
      <c r="AB50" s="501"/>
    </row>
    <row r="51" spans="1:28" ht="21" customHeight="1">
      <c r="A51" s="357">
        <v>45357</v>
      </c>
      <c r="B51" s="374" t="s">
        <v>269</v>
      </c>
      <c r="C51" s="375" t="s">
        <v>255</v>
      </c>
      <c r="D51" s="374" t="s">
        <v>270</v>
      </c>
      <c r="E51" s="401">
        <v>33.89</v>
      </c>
      <c r="F51" s="511"/>
      <c r="G51" s="374">
        <v>8</v>
      </c>
      <c r="H51" s="403">
        <f t="shared" si="42"/>
        <v>4568.6561002385934</v>
      </c>
      <c r="I51" s="376">
        <v>4</v>
      </c>
      <c r="J51" s="379" t="s">
        <v>271</v>
      </c>
      <c r="K51" s="501">
        <f>1165+1274</f>
        <v>2439</v>
      </c>
      <c r="L51" s="377">
        <f t="shared" si="43"/>
        <v>18.652252499999999</v>
      </c>
      <c r="M51" s="496">
        <v>0</v>
      </c>
      <c r="N51" s="383">
        <f t="shared" si="1"/>
        <v>0.5338550213645159</v>
      </c>
      <c r="O51" s="358">
        <f t="shared" si="44"/>
        <v>1.0677100427290318</v>
      </c>
      <c r="P51" s="359">
        <f t="shared" si="45"/>
        <v>0</v>
      </c>
      <c r="Q51" s="401" t="s">
        <v>257</v>
      </c>
      <c r="R51" s="374">
        <v>7.5</v>
      </c>
      <c r="S51" s="677"/>
      <c r="T51" s="680"/>
      <c r="U51" s="677"/>
      <c r="V51" s="680"/>
      <c r="W51" s="363">
        <f>'[2]缠绕 编织工时Winding, Braiding,'!G26</f>
        <v>156.06</v>
      </c>
      <c r="X51" s="404">
        <f t="shared" si="46"/>
        <v>6.4077918749199025E-3</v>
      </c>
      <c r="Y51" s="360">
        <f t="shared" si="47"/>
        <v>15.628604382929643</v>
      </c>
      <c r="Z51" s="691"/>
      <c r="AA51" s="405">
        <f t="shared" ref="AA51:AA53" si="48">IFERROR(IF(Y51&lt;&gt;"",$V$50*Y51/$Z$50,""),"input error")</f>
        <v>3.6593746798015134</v>
      </c>
      <c r="AB51" s="501"/>
    </row>
    <row r="52" spans="1:28" ht="21" customHeight="1">
      <c r="A52" s="357">
        <v>45357</v>
      </c>
      <c r="B52" s="374" t="s">
        <v>276</v>
      </c>
      <c r="C52" s="375" t="s">
        <v>255</v>
      </c>
      <c r="D52" s="374" t="s">
        <v>270</v>
      </c>
      <c r="E52" s="401">
        <v>33.89</v>
      </c>
      <c r="F52" s="511"/>
      <c r="G52" s="374">
        <v>8</v>
      </c>
      <c r="H52" s="403">
        <f t="shared" si="42"/>
        <v>4978.8798337163516</v>
      </c>
      <c r="I52" s="376">
        <v>4</v>
      </c>
      <c r="J52" s="379" t="s">
        <v>271</v>
      </c>
      <c r="K52" s="501">
        <f>1402+1256</f>
        <v>2658</v>
      </c>
      <c r="L52" s="377">
        <f t="shared" si="43"/>
        <v>20.327055000000001</v>
      </c>
      <c r="M52" s="496">
        <v>0</v>
      </c>
      <c r="N52" s="383">
        <f t="shared" si="1"/>
        <v>0.53385502136451579</v>
      </c>
      <c r="O52" s="358">
        <f t="shared" si="44"/>
        <v>1.0677100427290316</v>
      </c>
      <c r="P52" s="359">
        <f t="shared" si="45"/>
        <v>0</v>
      </c>
      <c r="Q52" s="401" t="s">
        <v>257</v>
      </c>
      <c r="R52" s="374">
        <v>7.5</v>
      </c>
      <c r="S52" s="677"/>
      <c r="T52" s="680"/>
      <c r="U52" s="677"/>
      <c r="V52" s="680"/>
      <c r="W52" s="363">
        <f>'[2]缠绕 编织工时Winding, Braiding,'!G26</f>
        <v>156.06</v>
      </c>
      <c r="X52" s="404">
        <f t="shared" si="46"/>
        <v>6.4077918749199025E-3</v>
      </c>
      <c r="Y52" s="360">
        <f t="shared" si="47"/>
        <v>17.031910803537102</v>
      </c>
      <c r="Z52" s="691"/>
      <c r="AA52" s="405">
        <f t="shared" si="48"/>
        <v>3.987953218086274</v>
      </c>
      <c r="AB52" s="501"/>
    </row>
    <row r="53" spans="1:28" ht="21" customHeight="1">
      <c r="A53" s="357">
        <v>45357</v>
      </c>
      <c r="B53" s="374" t="s">
        <v>258</v>
      </c>
      <c r="C53" s="375" t="s">
        <v>255</v>
      </c>
      <c r="D53" s="374" t="s">
        <v>256</v>
      </c>
      <c r="E53" s="401">
        <v>41.43</v>
      </c>
      <c r="F53" s="511"/>
      <c r="G53" s="374">
        <v>8</v>
      </c>
      <c r="H53" s="403">
        <f t="shared" si="42"/>
        <v>5171.8161101921924</v>
      </c>
      <c r="I53" s="376">
        <v>4</v>
      </c>
      <c r="J53" s="379" t="s">
        <v>245</v>
      </c>
      <c r="K53" s="501">
        <f>1539+1222</f>
        <v>2761</v>
      </c>
      <c r="L53" s="377">
        <f t="shared" ref="L53" si="49">(K53*11.4375)/1000</f>
        <v>31.578937499999999</v>
      </c>
      <c r="M53" s="496">
        <v>0</v>
      </c>
      <c r="N53" s="383">
        <f t="shared" si="1"/>
        <v>0.53385502136451579</v>
      </c>
      <c r="O53" s="358">
        <f t="shared" si="44"/>
        <v>1.0677100427290316</v>
      </c>
      <c r="P53" s="359">
        <f t="shared" si="45"/>
        <v>0</v>
      </c>
      <c r="Q53" s="401" t="s">
        <v>257</v>
      </c>
      <c r="R53" s="374">
        <v>7.5</v>
      </c>
      <c r="S53" s="678"/>
      <c r="T53" s="681"/>
      <c r="U53" s="678"/>
      <c r="V53" s="681"/>
      <c r="W53" s="363">
        <f>'[2]缠绕 编织工时Winding, Braiding,'!G27</f>
        <v>188.19</v>
      </c>
      <c r="X53" s="404">
        <f t="shared" si="46"/>
        <v>5.3137786279823587E-3</v>
      </c>
      <c r="Y53" s="360">
        <f t="shared" si="47"/>
        <v>14.671342791859292</v>
      </c>
      <c r="Z53" s="692"/>
      <c r="AA53" s="405">
        <f t="shared" si="48"/>
        <v>3.4352357392742654</v>
      </c>
      <c r="AB53" s="501"/>
    </row>
    <row r="54" spans="1:28" ht="21" customHeight="1">
      <c r="A54" s="357">
        <v>45357</v>
      </c>
      <c r="B54" s="374" t="s">
        <v>279</v>
      </c>
      <c r="C54" s="375" t="s">
        <v>255</v>
      </c>
      <c r="D54" s="374" t="s">
        <v>229</v>
      </c>
      <c r="E54" s="401">
        <v>24.1</v>
      </c>
      <c r="F54" s="511"/>
      <c r="G54" s="374">
        <v>6</v>
      </c>
      <c r="H54" s="403">
        <f t="shared" si="42"/>
        <v>10124.255800872803</v>
      </c>
      <c r="I54" s="376">
        <v>5</v>
      </c>
      <c r="J54" s="406" t="s">
        <v>61</v>
      </c>
      <c r="K54" s="501">
        <f>1384+3080</f>
        <v>4464</v>
      </c>
      <c r="L54" s="377">
        <f>(K54*27.0168)/1000</f>
        <v>120.60299520000001</v>
      </c>
      <c r="M54" s="496">
        <v>0</v>
      </c>
      <c r="N54" s="383">
        <f t="shared" si="1"/>
        <v>0.44092129711056516</v>
      </c>
      <c r="O54" s="358">
        <f t="shared" si="44"/>
        <v>0.5291055565326781</v>
      </c>
      <c r="P54" s="359">
        <f t="shared" si="45"/>
        <v>0</v>
      </c>
      <c r="Q54" s="401" t="s">
        <v>277</v>
      </c>
      <c r="R54" s="374">
        <v>7.5</v>
      </c>
      <c r="S54" s="676">
        <v>3</v>
      </c>
      <c r="T54" s="679">
        <v>7.5</v>
      </c>
      <c r="U54" s="676">
        <v>0</v>
      </c>
      <c r="V54" s="679">
        <f>IFERROR(IF(S54&gt;0,S54*T54-U54,""),"input error")</f>
        <v>22.5</v>
      </c>
      <c r="W54" s="363">
        <f>'[2]缠绕 编织工时Winding, Braiding,'!G13</f>
        <v>780.84</v>
      </c>
      <c r="X54" s="404">
        <f t="shared" si="46"/>
        <v>1.2806720967163568E-3</v>
      </c>
      <c r="Y54" s="360">
        <f t="shared" si="47"/>
        <v>5.7169202397418166</v>
      </c>
      <c r="Z54" s="682">
        <f>SUM(Y54:Y58)</f>
        <v>59.524375109926297</v>
      </c>
      <c r="AA54" s="405">
        <f>IFERROR(IF(Y54&lt;&gt;"",$V$54*Y54/$Z$54,""),"input error")</f>
        <v>2.1609753173660851</v>
      </c>
      <c r="AB54" s="501"/>
    </row>
    <row r="55" spans="1:28" ht="21" customHeight="1">
      <c r="A55" s="357">
        <v>45357</v>
      </c>
      <c r="B55" s="374" t="s">
        <v>260</v>
      </c>
      <c r="C55" s="375" t="s">
        <v>255</v>
      </c>
      <c r="D55" s="374" t="s">
        <v>261</v>
      </c>
      <c r="E55" s="401">
        <v>13.8</v>
      </c>
      <c r="F55" s="511"/>
      <c r="G55" s="374">
        <v>6</v>
      </c>
      <c r="H55" s="403">
        <f t="shared" si="42"/>
        <v>13671.37409669831</v>
      </c>
      <c r="I55" s="376">
        <v>5</v>
      </c>
      <c r="J55" s="381" t="s">
        <v>57</v>
      </c>
      <c r="K55" s="501">
        <f>1981+1747+2300</f>
        <v>6028</v>
      </c>
      <c r="L55" s="377">
        <f>(K55*4.6608)/1000</f>
        <v>28.095302400000001</v>
      </c>
      <c r="M55" s="496">
        <v>0</v>
      </c>
      <c r="N55" s="383">
        <f t="shared" si="1"/>
        <v>0.44092129711056516</v>
      </c>
      <c r="O55" s="358">
        <f t="shared" si="44"/>
        <v>0.52910555653267832</v>
      </c>
      <c r="P55" s="359">
        <f t="shared" si="45"/>
        <v>0</v>
      </c>
      <c r="Q55" s="401" t="s">
        <v>277</v>
      </c>
      <c r="R55" s="374">
        <v>7.5</v>
      </c>
      <c r="S55" s="677"/>
      <c r="T55" s="680"/>
      <c r="U55" s="677"/>
      <c r="V55" s="680"/>
      <c r="W55" s="363">
        <f>'[2]缠绕 编织工时Winding, Braiding,'!G10</f>
        <v>447.12</v>
      </c>
      <c r="X55" s="404">
        <f t="shared" si="46"/>
        <v>2.2365360529611735E-3</v>
      </c>
      <c r="Y55" s="360">
        <f t="shared" si="47"/>
        <v>13.481839327249954</v>
      </c>
      <c r="Z55" s="661"/>
      <c r="AA55" s="405">
        <f t="shared" ref="AA55:AA58" si="50">IFERROR(IF(Y55&lt;&gt;"",$V$54*Y55/$Z$54,""),"input error")</f>
        <v>5.096086843464211</v>
      </c>
      <c r="AB55" s="501"/>
    </row>
    <row r="56" spans="1:28" ht="21" customHeight="1">
      <c r="A56" s="357">
        <v>45357</v>
      </c>
      <c r="B56" s="374" t="s">
        <v>273</v>
      </c>
      <c r="C56" s="375" t="s">
        <v>264</v>
      </c>
      <c r="D56" s="374" t="s">
        <v>226</v>
      </c>
      <c r="E56" s="401">
        <v>16.7</v>
      </c>
      <c r="F56" s="511"/>
      <c r="G56" s="374">
        <v>6</v>
      </c>
      <c r="H56" s="403">
        <f t="shared" si="42"/>
        <v>16134.398693416022</v>
      </c>
      <c r="I56" s="376">
        <v>5</v>
      </c>
      <c r="J56" s="374" t="s">
        <v>50</v>
      </c>
      <c r="K56" s="501">
        <f>2514+2170+2430</f>
        <v>7114</v>
      </c>
      <c r="L56" s="377">
        <f t="shared" ref="L56:L57" si="51">(K56*5.7865)/1000</f>
        <v>41.165160999999998</v>
      </c>
      <c r="M56" s="496">
        <v>0</v>
      </c>
      <c r="N56" s="383">
        <f t="shared" si="1"/>
        <v>0.44092129711056516</v>
      </c>
      <c r="O56" s="358">
        <f t="shared" si="44"/>
        <v>0.52910555653267821</v>
      </c>
      <c r="P56" s="359">
        <f t="shared" si="45"/>
        <v>0</v>
      </c>
      <c r="Q56" s="401" t="s">
        <v>277</v>
      </c>
      <c r="R56" s="374">
        <v>7.5</v>
      </c>
      <c r="S56" s="677"/>
      <c r="T56" s="680"/>
      <c r="U56" s="677"/>
      <c r="V56" s="680"/>
      <c r="W56" s="363">
        <f>'[2]缠绕 编织工时Winding, Braiding,'!G11</f>
        <v>541.08000000000004</v>
      </c>
      <c r="X56" s="404">
        <f t="shared" si="46"/>
        <v>1.8481555407703111E-3</v>
      </c>
      <c r="Y56" s="360">
        <f t="shared" si="47"/>
        <v>13.147778517039994</v>
      </c>
      <c r="Z56" s="661"/>
      <c r="AA56" s="405">
        <f t="shared" si="50"/>
        <v>4.9698130570390147</v>
      </c>
      <c r="AB56" s="501"/>
    </row>
    <row r="57" spans="1:28" ht="21" customHeight="1">
      <c r="A57" s="357">
        <v>45357</v>
      </c>
      <c r="B57" s="374" t="s">
        <v>274</v>
      </c>
      <c r="C57" s="375" t="s">
        <v>264</v>
      </c>
      <c r="D57" s="374" t="s">
        <v>226</v>
      </c>
      <c r="E57" s="401">
        <v>16.7</v>
      </c>
      <c r="F57" s="511"/>
      <c r="G57" s="374">
        <v>6</v>
      </c>
      <c r="H57" s="403">
        <f t="shared" si="42"/>
        <v>16798.916379270802</v>
      </c>
      <c r="I57" s="376">
        <v>5</v>
      </c>
      <c r="J57" s="374" t="s">
        <v>50</v>
      </c>
      <c r="K57" s="501">
        <f>2738+2219+2450</f>
        <v>7407</v>
      </c>
      <c r="L57" s="377">
        <f t="shared" si="51"/>
        <v>42.860605499999998</v>
      </c>
      <c r="M57" s="496">
        <v>0</v>
      </c>
      <c r="N57" s="383">
        <f t="shared" si="1"/>
        <v>0.4409212971105651</v>
      </c>
      <c r="O57" s="358">
        <f t="shared" si="44"/>
        <v>0.52910555653267821</v>
      </c>
      <c r="P57" s="359">
        <f t="shared" si="45"/>
        <v>0</v>
      </c>
      <c r="Q57" s="401" t="s">
        <v>281</v>
      </c>
      <c r="R57" s="374">
        <v>7.5</v>
      </c>
      <c r="S57" s="677"/>
      <c r="T57" s="680"/>
      <c r="U57" s="677"/>
      <c r="V57" s="680"/>
      <c r="W57" s="363">
        <f>'[2]缠绕 编织工时Winding, Braiding,'!G11</f>
        <v>541.08000000000004</v>
      </c>
      <c r="X57" s="404">
        <f t="shared" si="46"/>
        <v>1.8481555407703111E-3</v>
      </c>
      <c r="Y57" s="360">
        <f t="shared" si="47"/>
        <v>13.689288090485695</v>
      </c>
      <c r="Z57" s="661"/>
      <c r="AA57" s="405">
        <f t="shared" si="50"/>
        <v>5.1745017308810768</v>
      </c>
      <c r="AB57" s="501"/>
    </row>
    <row r="58" spans="1:28" ht="21" customHeight="1">
      <c r="A58" s="357">
        <v>45357</v>
      </c>
      <c r="B58" s="374" t="s">
        <v>267</v>
      </c>
      <c r="C58" s="375" t="s">
        <v>264</v>
      </c>
      <c r="D58" s="374" t="s">
        <v>261</v>
      </c>
      <c r="E58" s="401">
        <v>13.8</v>
      </c>
      <c r="F58" s="511"/>
      <c r="G58" s="374">
        <v>6</v>
      </c>
      <c r="H58" s="403">
        <f t="shared" si="42"/>
        <v>13678.178032048359</v>
      </c>
      <c r="I58" s="376">
        <v>5</v>
      </c>
      <c r="J58" s="381" t="s">
        <v>57</v>
      </c>
      <c r="K58" s="501">
        <f>1981+2000+2050</f>
        <v>6031</v>
      </c>
      <c r="L58" s="377">
        <f>(K58*4.6608)/1000</f>
        <v>28.109284800000001</v>
      </c>
      <c r="M58" s="496">
        <v>0</v>
      </c>
      <c r="N58" s="383">
        <f t="shared" si="1"/>
        <v>0.44092129711056516</v>
      </c>
      <c r="O58" s="358">
        <f t="shared" si="44"/>
        <v>0.52910555653267821</v>
      </c>
      <c r="P58" s="359">
        <f t="shared" si="45"/>
        <v>0</v>
      </c>
      <c r="Q58" s="401" t="s">
        <v>281</v>
      </c>
      <c r="R58" s="374">
        <v>7.5</v>
      </c>
      <c r="S58" s="678"/>
      <c r="T58" s="681"/>
      <c r="U58" s="678"/>
      <c r="V58" s="681"/>
      <c r="W58" s="363">
        <f>'[2]缠绕 编织工时Winding, Braiding,'!G10</f>
        <v>447.12</v>
      </c>
      <c r="X58" s="404">
        <f t="shared" si="46"/>
        <v>2.2365360529611735E-3</v>
      </c>
      <c r="Y58" s="360">
        <f t="shared" si="47"/>
        <v>13.488548935408838</v>
      </c>
      <c r="Z58" s="662"/>
      <c r="AA58" s="405">
        <f t="shared" si="50"/>
        <v>5.0986230512496116</v>
      </c>
      <c r="AB58" s="501"/>
    </row>
    <row r="59" spans="1:28" ht="21" customHeight="1">
      <c r="A59" s="357"/>
      <c r="B59" s="374"/>
      <c r="C59" s="375"/>
      <c r="D59" s="374"/>
      <c r="E59" s="401"/>
      <c r="F59" s="511"/>
      <c r="G59" s="374"/>
      <c r="H59" s="403"/>
      <c r="I59" s="376"/>
      <c r="J59" s="381"/>
      <c r="K59" s="501"/>
      <c r="L59" s="377"/>
      <c r="M59" s="496"/>
      <c r="N59" s="383" t="str">
        <f t="shared" si="1"/>
        <v/>
      </c>
      <c r="O59" s="358"/>
      <c r="P59" s="359"/>
      <c r="Q59" s="401"/>
      <c r="R59" s="374"/>
      <c r="S59" s="503"/>
      <c r="T59" s="504"/>
      <c r="U59" s="503"/>
      <c r="V59" s="504"/>
      <c r="W59" s="363"/>
      <c r="X59" s="404"/>
      <c r="Y59" s="360"/>
      <c r="Z59" s="498"/>
      <c r="AA59" s="405"/>
      <c r="AB59" s="501"/>
    </row>
    <row r="60" spans="1:28" ht="40.5" customHeight="1">
      <c r="A60" s="357">
        <v>45358</v>
      </c>
      <c r="B60" s="374" t="s">
        <v>275</v>
      </c>
      <c r="C60" s="375" t="s">
        <v>255</v>
      </c>
      <c r="D60" s="374" t="s">
        <v>270</v>
      </c>
      <c r="E60" s="401">
        <v>33.89</v>
      </c>
      <c r="F60" s="511"/>
      <c r="G60" s="374">
        <v>8</v>
      </c>
      <c r="H60" s="403">
        <f t="shared" ref="H60:H64" si="52">IFERROR(IF(G60&lt;&gt;"",W60*G60*AA60,""),"input error""")</f>
        <v>10901.561441272814</v>
      </c>
      <c r="I60" s="376">
        <v>4</v>
      </c>
      <c r="J60" s="379" t="s">
        <v>271</v>
      </c>
      <c r="K60" s="501">
        <f>1134+1354</f>
        <v>2488</v>
      </c>
      <c r="L60" s="377">
        <f t="shared" ref="L60:L62" si="53">(K60*7.6475)/1000</f>
        <v>19.026979999999998</v>
      </c>
      <c r="M60" s="496">
        <v>0</v>
      </c>
      <c r="N60" s="383">
        <f t="shared" si="1"/>
        <v>0.22822418727839716</v>
      </c>
      <c r="O60" s="358">
        <f t="shared" ref="O60:O64" si="54">IFERROR(IF(I60&lt;&gt;"",K60/(I60*W60*AA60),""),"input error")</f>
        <v>0.45644837455679432</v>
      </c>
      <c r="P60" s="359">
        <f t="shared" ref="P60:P64" si="55">IFERROR(IF(L60&lt;&gt;"",M60/(M60+L60),""),"input error")</f>
        <v>0</v>
      </c>
      <c r="Q60" s="401" t="s">
        <v>455</v>
      </c>
      <c r="R60" s="374">
        <v>7.5</v>
      </c>
      <c r="S60" s="684">
        <v>2</v>
      </c>
      <c r="T60" s="687">
        <v>7.5</v>
      </c>
      <c r="U60" s="684">
        <v>0</v>
      </c>
      <c r="V60" s="684">
        <f>IFERROR(IF(S60&gt;0,S60*T60-U60,""),"input error")</f>
        <v>15</v>
      </c>
      <c r="W60" s="363">
        <f>'[2]缠绕 编织工时Winding, Braiding,'!G26</f>
        <v>156.06</v>
      </c>
      <c r="X60" s="404">
        <f t="shared" ref="X60:X70" si="56">IFERROR(IF(W60&lt;&gt;"",1/W60,""),"input error")</f>
        <v>6.4077918749199025E-3</v>
      </c>
      <c r="Y60" s="360">
        <f t="shared" ref="Y60:Y70" si="57">IFERROR(IF(K60&lt;&gt;"",K60*X60,""),"input error")</f>
        <v>15.942586184800717</v>
      </c>
      <c r="Z60" s="682">
        <f>SUM(Y60:Y61)</f>
        <v>27.386902473407662</v>
      </c>
      <c r="AA60" s="405">
        <f>IFERROR(IF(Y60&lt;&gt;"",$V$60*Y60/$Z$60,""),"input error")</f>
        <v>8.731867103416004</v>
      </c>
      <c r="AB60" s="501"/>
    </row>
    <row r="61" spans="1:28" ht="28.5" customHeight="1">
      <c r="A61" s="357">
        <v>45358</v>
      </c>
      <c r="B61" s="374" t="s">
        <v>269</v>
      </c>
      <c r="C61" s="375" t="s">
        <v>255</v>
      </c>
      <c r="D61" s="374" t="s">
        <v>270</v>
      </c>
      <c r="E61" s="401">
        <v>33.89</v>
      </c>
      <c r="F61" s="511"/>
      <c r="G61" s="374">
        <v>8</v>
      </c>
      <c r="H61" s="403">
        <f t="shared" si="52"/>
        <v>7825.638558727187</v>
      </c>
      <c r="I61" s="376">
        <v>4</v>
      </c>
      <c r="J61" s="379" t="s">
        <v>271</v>
      </c>
      <c r="K61" s="501">
        <f>1395+391</f>
        <v>1786</v>
      </c>
      <c r="L61" s="377">
        <f t="shared" si="53"/>
        <v>13.658434999999999</v>
      </c>
      <c r="M61" s="496">
        <v>0</v>
      </c>
      <c r="N61" s="383">
        <f t="shared" si="1"/>
        <v>0.22822418727839722</v>
      </c>
      <c r="O61" s="358">
        <f t="shared" si="54"/>
        <v>0.45644837455679443</v>
      </c>
      <c r="P61" s="359">
        <f t="shared" si="55"/>
        <v>0</v>
      </c>
      <c r="Q61" s="401" t="s">
        <v>455</v>
      </c>
      <c r="R61" s="374">
        <v>7.5</v>
      </c>
      <c r="S61" s="686"/>
      <c r="T61" s="689"/>
      <c r="U61" s="686"/>
      <c r="V61" s="686"/>
      <c r="W61" s="363">
        <f>'[2]缠绕 编织工时Winding, Braiding,'!G26</f>
        <v>156.06</v>
      </c>
      <c r="X61" s="404">
        <f t="shared" si="56"/>
        <v>6.4077918749199025E-3</v>
      </c>
      <c r="Y61" s="360">
        <f t="shared" si="57"/>
        <v>11.444316288606945</v>
      </c>
      <c r="Z61" s="662"/>
      <c r="AA61" s="405">
        <f>IFERROR(IF(Y61&lt;&gt;"",$V$60*Y61/$Z$60,""),"input error")</f>
        <v>6.268132896583996</v>
      </c>
      <c r="AB61" s="501"/>
    </row>
    <row r="62" spans="1:28" ht="23.25" customHeight="1">
      <c r="A62" s="357">
        <v>45358</v>
      </c>
      <c r="B62" s="374" t="s">
        <v>276</v>
      </c>
      <c r="C62" s="375" t="s">
        <v>255</v>
      </c>
      <c r="D62" s="374" t="s">
        <v>270</v>
      </c>
      <c r="E62" s="401">
        <v>33.89</v>
      </c>
      <c r="F62" s="511"/>
      <c r="G62" s="374">
        <v>8</v>
      </c>
      <c r="H62" s="403">
        <f t="shared" si="52"/>
        <v>4292.4268341246752</v>
      </c>
      <c r="I62" s="376">
        <v>4</v>
      </c>
      <c r="J62" s="379" t="s">
        <v>271</v>
      </c>
      <c r="K62" s="501">
        <f>584</f>
        <v>584</v>
      </c>
      <c r="L62" s="377">
        <f t="shared" si="53"/>
        <v>4.4661400000000002</v>
      </c>
      <c r="M62" s="496">
        <v>0</v>
      </c>
      <c r="N62" s="383">
        <f t="shared" si="1"/>
        <v>0.13605357122390907</v>
      </c>
      <c r="O62" s="358">
        <f t="shared" si="54"/>
        <v>0.27210714244781814</v>
      </c>
      <c r="P62" s="359">
        <f t="shared" si="55"/>
        <v>0</v>
      </c>
      <c r="Q62" s="401" t="s">
        <v>456</v>
      </c>
      <c r="R62" s="374">
        <v>7.5</v>
      </c>
      <c r="S62" s="684">
        <v>1</v>
      </c>
      <c r="T62" s="687">
        <v>7.5</v>
      </c>
      <c r="U62" s="684">
        <v>0</v>
      </c>
      <c r="V62" s="687">
        <f>IFERROR(IF(S62&gt;0,S62*T62-U62,""),"input error")</f>
        <v>7.5</v>
      </c>
      <c r="W62" s="363">
        <f>'[2]缠绕 编织工时Winding, Braiding,'!G26</f>
        <v>156.06</v>
      </c>
      <c r="X62" s="404">
        <f t="shared" si="56"/>
        <v>6.4077918749199025E-3</v>
      </c>
      <c r="Y62" s="360">
        <f t="shared" si="57"/>
        <v>3.7421504549532232</v>
      </c>
      <c r="Z62" s="682">
        <f>SUM(Y62:Y63)</f>
        <v>8.1632142734345443</v>
      </c>
      <c r="AA62" s="405">
        <f>IFERROR(IF(Y62&lt;&gt;"",$V$62*Y62/$Z$62,""),"input error")</f>
        <v>3.4381222239240317</v>
      </c>
      <c r="AB62" s="501"/>
    </row>
    <row r="63" spans="1:28" ht="15.75">
      <c r="A63" s="357">
        <v>45358</v>
      </c>
      <c r="B63" s="374" t="s">
        <v>258</v>
      </c>
      <c r="C63" s="375" t="s">
        <v>255</v>
      </c>
      <c r="D63" s="374" t="s">
        <v>256</v>
      </c>
      <c r="E63" s="401">
        <v>41.43</v>
      </c>
      <c r="F63" s="511"/>
      <c r="G63" s="374">
        <v>8</v>
      </c>
      <c r="H63" s="403">
        <f t="shared" si="52"/>
        <v>6115.238229437894</v>
      </c>
      <c r="I63" s="376">
        <v>4</v>
      </c>
      <c r="J63" s="379" t="s">
        <v>245</v>
      </c>
      <c r="K63" s="501">
        <f>832</f>
        <v>832</v>
      </c>
      <c r="L63" s="377">
        <f t="shared" ref="L63" si="58">(K63*11.4375)/1000</f>
        <v>9.516</v>
      </c>
      <c r="M63" s="496">
        <v>0</v>
      </c>
      <c r="N63" s="383">
        <f t="shared" si="1"/>
        <v>0.13605357122390904</v>
      </c>
      <c r="O63" s="358">
        <f t="shared" si="54"/>
        <v>0.27210714244781808</v>
      </c>
      <c r="P63" s="359">
        <f t="shared" si="55"/>
        <v>0</v>
      </c>
      <c r="Q63" s="401" t="s">
        <v>457</v>
      </c>
      <c r="R63" s="374">
        <v>7.5</v>
      </c>
      <c r="S63" s="686"/>
      <c r="T63" s="689"/>
      <c r="U63" s="686"/>
      <c r="V63" s="689"/>
      <c r="W63" s="363">
        <f>'[2]缠绕 编织工时Winding, Braiding,'!G27</f>
        <v>188.19</v>
      </c>
      <c r="X63" s="404">
        <f t="shared" si="56"/>
        <v>5.3137786279823587E-3</v>
      </c>
      <c r="Y63" s="360">
        <f t="shared" si="57"/>
        <v>4.421063818481322</v>
      </c>
      <c r="Z63" s="662"/>
      <c r="AA63" s="405">
        <f>IFERROR(IF(Y63&lt;&gt;"",$V$62*Y63/$Z$62,""),"input error")</f>
        <v>4.0618777760759697</v>
      </c>
      <c r="AB63" s="501"/>
    </row>
    <row r="64" spans="1:28" ht="15.75">
      <c r="A64" s="357">
        <v>45358</v>
      </c>
      <c r="B64" s="374" t="s">
        <v>279</v>
      </c>
      <c r="C64" s="375" t="s">
        <v>255</v>
      </c>
      <c r="D64" s="374" t="s">
        <v>229</v>
      </c>
      <c r="E64" s="401">
        <v>24.1</v>
      </c>
      <c r="F64" s="511"/>
      <c r="G64" s="374">
        <v>6</v>
      </c>
      <c r="H64" s="403">
        <f t="shared" si="52"/>
        <v>8676.7465793225547</v>
      </c>
      <c r="I64" s="376">
        <v>7</v>
      </c>
      <c r="J64" s="406" t="s">
        <v>61</v>
      </c>
      <c r="K64" s="501">
        <f>2369+1254</f>
        <v>3623</v>
      </c>
      <c r="L64" s="377">
        <f>(K64*27.0168)/1000</f>
        <v>97.881866399999993</v>
      </c>
      <c r="M64" s="496">
        <v>0</v>
      </c>
      <c r="N64" s="383">
        <f t="shared" si="1"/>
        <v>0.41755281969787217</v>
      </c>
      <c r="O64" s="358">
        <f t="shared" si="54"/>
        <v>0.35790241688389041</v>
      </c>
      <c r="P64" s="359">
        <f t="shared" si="55"/>
        <v>0</v>
      </c>
      <c r="Q64" s="401" t="s">
        <v>458</v>
      </c>
      <c r="R64" s="374">
        <v>7.5</v>
      </c>
      <c r="S64" s="684">
        <v>3</v>
      </c>
      <c r="T64" s="687">
        <v>7.5</v>
      </c>
      <c r="U64" s="684">
        <v>0</v>
      </c>
      <c r="V64" s="687">
        <f>IFERROR(IF(S64&gt;0,S64*T64-U64,""),"input error")</f>
        <v>22.5</v>
      </c>
      <c r="W64" s="363">
        <f>'[2]缠绕 编织工时Winding, Braiding,'!G13</f>
        <v>780.84</v>
      </c>
      <c r="X64" s="404">
        <f t="shared" si="56"/>
        <v>1.2806720967163568E-3</v>
      </c>
      <c r="Y64" s="360">
        <f t="shared" si="57"/>
        <v>4.6398750064033605</v>
      </c>
      <c r="Z64" s="682">
        <f>SUM(Y64:Y70)</f>
        <v>56.369630659212746</v>
      </c>
      <c r="AA64" s="405">
        <f>IFERROR(IF(Y64&lt;&gt;"",$V$64*Y64/$Z$64,""),"input error")</f>
        <v>1.8520112057362488</v>
      </c>
      <c r="AB64" s="501"/>
    </row>
    <row r="65" spans="1:28" ht="15.75">
      <c r="A65" s="357">
        <v>45358</v>
      </c>
      <c r="B65" s="374" t="s">
        <v>260</v>
      </c>
      <c r="C65" s="375" t="s">
        <v>255</v>
      </c>
      <c r="D65" s="374" t="s">
        <v>261</v>
      </c>
      <c r="E65" s="401">
        <v>13.8</v>
      </c>
      <c r="F65" s="511"/>
      <c r="G65" s="374">
        <v>6</v>
      </c>
      <c r="H65" s="403">
        <f>IFERROR(IF(G65&lt;&gt;"",W65*G65*AA65,""),"input error""")</f>
        <v>14321.541414393838</v>
      </c>
      <c r="I65" s="376">
        <v>7</v>
      </c>
      <c r="J65" s="381" t="s">
        <v>57</v>
      </c>
      <c r="K65" s="501">
        <f>2264+2266+1450</f>
        <v>5980</v>
      </c>
      <c r="L65" s="377">
        <f>(K65*4.6608)/1000</f>
        <v>27.871583999999999</v>
      </c>
      <c r="M65" s="496">
        <v>0</v>
      </c>
      <c r="N65" s="383">
        <f>IFERROR(IF(K65&lt;&gt;"",K65/H65,""),"input error")</f>
        <v>0.41755281969787222</v>
      </c>
      <c r="O65" s="358">
        <f>IFERROR(IF(I65&lt;&gt;"",K65/(I65*W65*AA65),""),"input error")</f>
        <v>0.35790241688389046</v>
      </c>
      <c r="P65" s="359">
        <f>IFERROR(IF(L65&lt;&gt;"",M65/(M65+L65),""),"input error")</f>
        <v>0</v>
      </c>
      <c r="Q65" s="401" t="s">
        <v>459</v>
      </c>
      <c r="R65" s="374">
        <v>7.5</v>
      </c>
      <c r="S65" s="685"/>
      <c r="T65" s="688"/>
      <c r="U65" s="685"/>
      <c r="V65" s="688"/>
      <c r="W65" s="363">
        <f>'[2]缠绕 编织工时Winding, Braiding,'!G10</f>
        <v>447.12</v>
      </c>
      <c r="X65" s="404">
        <f t="shared" si="56"/>
        <v>2.2365360529611735E-3</v>
      </c>
      <c r="Y65" s="360">
        <f t="shared" si="57"/>
        <v>13.374485596707817</v>
      </c>
      <c r="Z65" s="700"/>
      <c r="AA65" s="405">
        <f t="shared" ref="AA65:AA70" si="59">IFERROR(IF(Y65&lt;&gt;"",$V$64*Y65/$Z$64,""),"input error")</f>
        <v>5.3384406178780628</v>
      </c>
      <c r="AB65" s="501"/>
    </row>
    <row r="66" spans="1:28" ht="15.75">
      <c r="A66" s="357">
        <v>45358</v>
      </c>
      <c r="B66" s="374" t="s">
        <v>263</v>
      </c>
      <c r="C66" s="375" t="s">
        <v>264</v>
      </c>
      <c r="D66" s="374" t="s">
        <v>237</v>
      </c>
      <c r="E66" s="401">
        <v>20.100000000000001</v>
      </c>
      <c r="F66" s="511"/>
      <c r="G66" s="374">
        <v>6</v>
      </c>
      <c r="H66" s="403">
        <f>IFERROR(IF(G66&lt;&gt;"",W66*G66*AA66,""),"input error""")</f>
        <v>4100.0800838532195</v>
      </c>
      <c r="I66" s="376">
        <v>7</v>
      </c>
      <c r="J66" s="379" t="s">
        <v>39</v>
      </c>
      <c r="K66" s="501">
        <f>167+1545</f>
        <v>1712</v>
      </c>
      <c r="L66" s="377">
        <f>(K66*12.528)/1000</f>
        <v>21.447936000000002</v>
      </c>
      <c r="M66" s="496">
        <v>0</v>
      </c>
      <c r="N66" s="383">
        <f>IFERROR(IF(K66&lt;&gt;"",K66/H66,""),"input error")</f>
        <v>0.41755281969787217</v>
      </c>
      <c r="O66" s="358">
        <f>IFERROR(IF(I66&lt;&gt;"",K66/(I66*W66*AA66),""),"input error")</f>
        <v>0.35790241688389041</v>
      </c>
      <c r="P66" s="359">
        <f>IFERROR(IF(L66&lt;&gt;"",M66/(M66+L66),""),"input error")</f>
        <v>0</v>
      </c>
      <c r="Q66" s="401" t="s">
        <v>460</v>
      </c>
      <c r="R66" s="374">
        <v>7.5</v>
      </c>
      <c r="S66" s="685"/>
      <c r="T66" s="688"/>
      <c r="U66" s="685"/>
      <c r="V66" s="688"/>
      <c r="W66" s="363">
        <f>'[2]缠绕 编织工时Winding, Braiding,'!G12</f>
        <v>651.24</v>
      </c>
      <c r="X66" s="404">
        <f t="shared" si="56"/>
        <v>1.5355322154658804E-3</v>
      </c>
      <c r="Y66" s="360">
        <f t="shared" si="57"/>
        <v>2.6288311528775874</v>
      </c>
      <c r="Z66" s="700"/>
      <c r="AA66" s="405">
        <f t="shared" si="59"/>
        <v>1.0493008424577779</v>
      </c>
      <c r="AB66" s="501"/>
    </row>
    <row r="67" spans="1:28" ht="15.75">
      <c r="A67" s="357">
        <v>45358</v>
      </c>
      <c r="B67" s="374" t="s">
        <v>266</v>
      </c>
      <c r="C67" s="375" t="s">
        <v>264</v>
      </c>
      <c r="D67" s="374" t="s">
        <v>237</v>
      </c>
      <c r="E67" s="401">
        <v>20.100000000000001</v>
      </c>
      <c r="F67" s="511"/>
      <c r="G67" s="374">
        <v>6</v>
      </c>
      <c r="H67" s="403">
        <f t="shared" ref="H67" si="60">IFERROR(IF(G67&lt;&gt;"",W67*G67*AA67,""),"input error""")</f>
        <v>4598.2206547886581</v>
      </c>
      <c r="I67" s="376">
        <v>7</v>
      </c>
      <c r="J67" s="379" t="s">
        <v>39</v>
      </c>
      <c r="K67" s="501">
        <v>1920</v>
      </c>
      <c r="L67" s="377">
        <f t="shared" ref="L67" si="61">(K67*12.528)/1000</f>
        <v>24.05376</v>
      </c>
      <c r="M67" s="496">
        <v>0</v>
      </c>
      <c r="N67" s="383">
        <f t="shared" ref="N67" si="62">IFERROR(IF(K67&lt;&gt;"",K67/H67,""),"input error")</f>
        <v>0.41755281969787211</v>
      </c>
      <c r="O67" s="358">
        <f t="shared" ref="O67" si="63">IFERROR(IF(I67&lt;&gt;"",K67/(I67*W67*AA67),""),"input error")</f>
        <v>0.35790241688389041</v>
      </c>
      <c r="P67" s="359">
        <f t="shared" ref="P67" si="64">IFERROR(IF(L67&lt;&gt;"",M67/(M67+L67),""),"input error")</f>
        <v>0</v>
      </c>
      <c r="Q67" s="401" t="s">
        <v>461</v>
      </c>
      <c r="R67" s="374">
        <v>7.5</v>
      </c>
      <c r="S67" s="685"/>
      <c r="T67" s="688"/>
      <c r="U67" s="685"/>
      <c r="V67" s="688"/>
      <c r="W67" s="363">
        <f>'[2]缠绕 编织工时Winding, Braiding,'!G12</f>
        <v>651.24</v>
      </c>
      <c r="X67" s="404">
        <f t="shared" si="56"/>
        <v>1.5355322154658804E-3</v>
      </c>
      <c r="Y67" s="360">
        <f t="shared" si="57"/>
        <v>2.9482218536944904</v>
      </c>
      <c r="Z67" s="700"/>
      <c r="AA67" s="405">
        <f t="shared" si="59"/>
        <v>1.1767859915414332</v>
      </c>
      <c r="AB67" s="501"/>
    </row>
    <row r="68" spans="1:28" ht="15.75">
      <c r="A68" s="357">
        <v>45358</v>
      </c>
      <c r="B68" s="374" t="s">
        <v>273</v>
      </c>
      <c r="C68" s="375" t="s">
        <v>264</v>
      </c>
      <c r="D68" s="374" t="s">
        <v>226</v>
      </c>
      <c r="E68" s="401">
        <v>16.7</v>
      </c>
      <c r="F68" s="511"/>
      <c r="G68" s="374">
        <v>6</v>
      </c>
      <c r="H68" s="403">
        <f>IFERROR(IF(G68&lt;&gt;"",W68*G68*AA68,""),"input error""")</f>
        <v>17851.63372958055</v>
      </c>
      <c r="I68" s="376">
        <v>7</v>
      </c>
      <c r="J68" s="374" t="s">
        <v>50</v>
      </c>
      <c r="K68" s="501">
        <f>2854+4600</f>
        <v>7454</v>
      </c>
      <c r="L68" s="377">
        <f t="shared" ref="L68:L69" si="65">(K68*5.7865)/1000</f>
        <v>43.132571000000006</v>
      </c>
      <c r="M68" s="496">
        <v>0</v>
      </c>
      <c r="N68" s="383">
        <f>IFERROR(IF(K68&lt;&gt;"",K68/H68,""),"input error")</f>
        <v>0.41755281969787211</v>
      </c>
      <c r="O68" s="358">
        <f>IFERROR(IF(I68&lt;&gt;"",K68/(I68*W68*AA68),""),"input error")</f>
        <v>0.35790241688389046</v>
      </c>
      <c r="P68" s="359">
        <f>IFERROR(IF(L68&lt;&gt;"",M68/(M68+L68),""),"input error")</f>
        <v>0</v>
      </c>
      <c r="Q68" s="401" t="s">
        <v>458</v>
      </c>
      <c r="R68" s="374">
        <v>7.5</v>
      </c>
      <c r="S68" s="685"/>
      <c r="T68" s="688"/>
      <c r="U68" s="685"/>
      <c r="V68" s="688"/>
      <c r="W68" s="363">
        <f>'[2]缠绕 编织工时Winding, Braiding,'!G11</f>
        <v>541.08000000000004</v>
      </c>
      <c r="X68" s="404">
        <f t="shared" si="56"/>
        <v>1.8481555407703111E-3</v>
      </c>
      <c r="Y68" s="360">
        <f t="shared" si="57"/>
        <v>13.776151400901899</v>
      </c>
      <c r="Z68" s="700"/>
      <c r="AA68" s="405">
        <f t="shared" si="59"/>
        <v>5.4987659648544103</v>
      </c>
      <c r="AB68" s="501"/>
    </row>
    <row r="69" spans="1:28" ht="15.75">
      <c r="A69" s="357">
        <v>45358</v>
      </c>
      <c r="B69" s="374" t="s">
        <v>274</v>
      </c>
      <c r="C69" s="375" t="s">
        <v>264</v>
      </c>
      <c r="D69" s="374" t="s">
        <v>226</v>
      </c>
      <c r="E69" s="401">
        <v>16.7</v>
      </c>
      <c r="F69" s="511"/>
      <c r="G69" s="374">
        <v>6</v>
      </c>
      <c r="H69" s="403">
        <f>IFERROR(IF(G69&lt;&gt;"",W69*G69*AA69,""),"input error""")</f>
        <v>11871.551971764258</v>
      </c>
      <c r="I69" s="376">
        <v>7</v>
      </c>
      <c r="J69" s="374" t="s">
        <v>50</v>
      </c>
      <c r="K69" s="501">
        <f>2724+2233</f>
        <v>4957</v>
      </c>
      <c r="L69" s="377">
        <f t="shared" si="65"/>
        <v>28.683680500000001</v>
      </c>
      <c r="M69" s="496">
        <v>0</v>
      </c>
      <c r="N69" s="383">
        <f>IFERROR(IF(K69&lt;&gt;"",K69/H69,""),"input error")</f>
        <v>0.41755281969787217</v>
      </c>
      <c r="O69" s="358">
        <f>IFERROR(IF(I69&lt;&gt;"",K69/(I69*W69*AA69),""),"input error")</f>
        <v>0.35790241688389046</v>
      </c>
      <c r="P69" s="359">
        <f>IFERROR(IF(L69&lt;&gt;"",M69/(M69+L69),""),"input error")</f>
        <v>0</v>
      </c>
      <c r="Q69" s="401" t="s">
        <v>462</v>
      </c>
      <c r="R69" s="374">
        <v>7.5</v>
      </c>
      <c r="S69" s="685"/>
      <c r="T69" s="688"/>
      <c r="U69" s="685"/>
      <c r="V69" s="688"/>
      <c r="W69" s="363">
        <f>'[2]缠绕 编织工时Winding, Braiding,'!G11</f>
        <v>541.08000000000004</v>
      </c>
      <c r="X69" s="404">
        <f t="shared" si="56"/>
        <v>1.8481555407703111E-3</v>
      </c>
      <c r="Y69" s="360">
        <f t="shared" si="57"/>
        <v>9.1613070155984317</v>
      </c>
      <c r="Z69" s="700"/>
      <c r="AA69" s="405">
        <f t="shared" si="59"/>
        <v>3.6567457590264705</v>
      </c>
      <c r="AB69" s="501"/>
    </row>
    <row r="70" spans="1:28" ht="15.75">
      <c r="A70" s="357">
        <v>45358</v>
      </c>
      <c r="B70" s="374" t="s">
        <v>267</v>
      </c>
      <c r="C70" s="375" t="s">
        <v>264</v>
      </c>
      <c r="D70" s="374" t="s">
        <v>261</v>
      </c>
      <c r="E70" s="401">
        <v>13.8</v>
      </c>
      <c r="F70" s="511"/>
      <c r="G70" s="374">
        <v>6</v>
      </c>
      <c r="H70" s="403">
        <f>IFERROR(IF(G70&lt;&gt;"",W70*G70*AA70,""),"input error""")</f>
        <v>10537.58900055734</v>
      </c>
      <c r="I70" s="376">
        <v>7</v>
      </c>
      <c r="J70" s="381" t="s">
        <v>57</v>
      </c>
      <c r="K70" s="501">
        <f>2237+649+1514</f>
        <v>4400</v>
      </c>
      <c r="L70" s="377">
        <f>(K70*4.6608)/1000</f>
        <v>20.50752</v>
      </c>
      <c r="M70" s="496">
        <v>0</v>
      </c>
      <c r="N70" s="383">
        <f>IFERROR(IF(K70&lt;&gt;"",K70/H70,""),"input error")</f>
        <v>0.41755281969787217</v>
      </c>
      <c r="O70" s="358">
        <f>IFERROR(IF(I70&lt;&gt;"",K70/(I70*W70*AA70),""),"input error")</f>
        <v>0.35790241688389046</v>
      </c>
      <c r="P70" s="359">
        <f>IFERROR(IF(L70&lt;&gt;"",M70/(M70+L70),""),"input error")</f>
        <v>0</v>
      </c>
      <c r="Q70" s="401" t="s">
        <v>463</v>
      </c>
      <c r="R70" s="374">
        <v>7.5</v>
      </c>
      <c r="S70" s="686"/>
      <c r="T70" s="689"/>
      <c r="U70" s="686"/>
      <c r="V70" s="689"/>
      <c r="W70" s="363">
        <f>'[2]缠绕 编织工时Winding, Braiding,'!G10</f>
        <v>447.12</v>
      </c>
      <c r="X70" s="404">
        <f t="shared" si="56"/>
        <v>2.2365360529611735E-3</v>
      </c>
      <c r="Y70" s="360">
        <f t="shared" si="57"/>
        <v>9.8407586330291643</v>
      </c>
      <c r="Z70" s="701"/>
      <c r="AA70" s="405">
        <f t="shared" si="59"/>
        <v>3.9279496185055987</v>
      </c>
      <c r="AB70" s="501"/>
    </row>
    <row r="71" spans="1:28" ht="15.75">
      <c r="A71" s="357"/>
      <c r="B71" s="374"/>
      <c r="C71" s="375"/>
      <c r="D71" s="374"/>
      <c r="E71" s="401"/>
      <c r="F71" s="511"/>
      <c r="G71" s="374"/>
      <c r="H71" s="403"/>
      <c r="I71" s="376"/>
      <c r="J71" s="381"/>
      <c r="K71" s="501"/>
      <c r="L71" s="377"/>
      <c r="M71" s="496"/>
      <c r="N71" s="383" t="str">
        <f t="shared" ref="N71:N114" si="66">IFERROR(IF(K71&lt;&gt;"",K71/H71,""),"input error")</f>
        <v/>
      </c>
      <c r="O71" s="358"/>
      <c r="P71" s="359"/>
      <c r="Q71" s="401"/>
      <c r="R71" s="374"/>
      <c r="S71" s="506"/>
      <c r="T71" s="508"/>
      <c r="U71" s="506"/>
      <c r="V71" s="508"/>
      <c r="W71" s="363"/>
      <c r="X71" s="404"/>
      <c r="Y71" s="360"/>
      <c r="Z71" s="519"/>
      <c r="AA71" s="405"/>
      <c r="AB71" s="501"/>
    </row>
    <row r="72" spans="1:28" ht="15.75">
      <c r="A72" s="357">
        <v>45359</v>
      </c>
      <c r="B72" s="374" t="s">
        <v>254</v>
      </c>
      <c r="C72" s="375" t="s">
        <v>255</v>
      </c>
      <c r="D72" s="374" t="s">
        <v>256</v>
      </c>
      <c r="E72" s="401">
        <v>41.43</v>
      </c>
      <c r="F72" s="511"/>
      <c r="G72" s="374">
        <v>8</v>
      </c>
      <c r="H72" s="403">
        <f t="shared" ref="H72:H77" si="67">IFERROR(IF(G72&lt;&gt;"",W72*G72*AA72,""),"input error""")</f>
        <v>6486.4075338434386</v>
      </c>
      <c r="I72" s="376">
        <v>3</v>
      </c>
      <c r="J72" s="379" t="s">
        <v>245</v>
      </c>
      <c r="K72" s="501">
        <f>911+1529</f>
        <v>2440</v>
      </c>
      <c r="L72" s="377">
        <f t="shared" ref="L72:L74" si="68">(K72*11.4375)/1000</f>
        <v>27.907499999999999</v>
      </c>
      <c r="M72" s="496">
        <v>0</v>
      </c>
      <c r="N72" s="383">
        <f t="shared" si="66"/>
        <v>0.3761712453725844</v>
      </c>
      <c r="O72" s="358">
        <f t="shared" ref="O72:O77" si="69">IFERROR(IF(I72&lt;&gt;"",K72/(I72*W72*AA72),""),"input error")</f>
        <v>1.0031233209935584</v>
      </c>
      <c r="P72" s="359">
        <f t="shared" ref="P72:P77" si="70">IFERROR(IF(L72&lt;&gt;"",M72/(M72+L72),""),"input error")</f>
        <v>0</v>
      </c>
      <c r="Q72" s="401" t="s">
        <v>257</v>
      </c>
      <c r="R72" s="374">
        <v>7.5</v>
      </c>
      <c r="S72" s="676">
        <v>2</v>
      </c>
      <c r="T72" s="679">
        <v>7.5</v>
      </c>
      <c r="U72" s="676">
        <v>0</v>
      </c>
      <c r="V72" s="676">
        <f>IFERROR(IF(S72&gt;0,S72*T72-U72,""),"input error")</f>
        <v>15</v>
      </c>
      <c r="W72" s="363">
        <f>'[2]缠绕 编织工时Winding, Braiding,'!G27</f>
        <v>188.19</v>
      </c>
      <c r="X72" s="404">
        <f t="shared" ref="X72:X77" si="71">IFERROR(IF(W72&lt;&gt;"",1/W72,""),"input error")</f>
        <v>5.3137786279823587E-3</v>
      </c>
      <c r="Y72" s="360">
        <f t="shared" ref="Y72:Y77" si="72">IFERROR(IF(K72&lt;&gt;"",K72*X72,""),"input error")</f>
        <v>12.965619852276955</v>
      </c>
      <c r="Z72" s="690">
        <f>SUM(Y72:Y74)</f>
        <v>45.140549444710132</v>
      </c>
      <c r="AA72" s="405">
        <f>IFERROR(IF(Y72&lt;&gt;"",$V$72*Y72/$Z$72,""),"input error")</f>
        <v>4.3084167157151274</v>
      </c>
      <c r="AB72" s="501"/>
    </row>
    <row r="73" spans="1:28" ht="15.75">
      <c r="A73" s="357">
        <v>45359</v>
      </c>
      <c r="B73" s="374" t="s">
        <v>258</v>
      </c>
      <c r="C73" s="375" t="s">
        <v>255</v>
      </c>
      <c r="D73" s="374" t="s">
        <v>256</v>
      </c>
      <c r="E73" s="401">
        <v>41.43</v>
      </c>
      <c r="F73" s="511"/>
      <c r="G73" s="374">
        <v>8</v>
      </c>
      <c r="H73" s="403">
        <f t="shared" si="67"/>
        <v>7334.4255679811668</v>
      </c>
      <c r="I73" s="376">
        <v>3</v>
      </c>
      <c r="J73" s="379" t="s">
        <v>245</v>
      </c>
      <c r="K73" s="501">
        <f>1635+1124</f>
        <v>2759</v>
      </c>
      <c r="L73" s="377">
        <f t="shared" si="68"/>
        <v>31.556062499999999</v>
      </c>
      <c r="M73" s="496">
        <v>0</v>
      </c>
      <c r="N73" s="383">
        <f t="shared" si="66"/>
        <v>0.3761712453725844</v>
      </c>
      <c r="O73" s="358">
        <f t="shared" si="69"/>
        <v>1.0031233209935584</v>
      </c>
      <c r="P73" s="359">
        <f t="shared" si="70"/>
        <v>0</v>
      </c>
      <c r="Q73" s="401" t="s">
        <v>257</v>
      </c>
      <c r="R73" s="374">
        <v>7.5</v>
      </c>
      <c r="S73" s="677"/>
      <c r="T73" s="680"/>
      <c r="U73" s="677"/>
      <c r="V73" s="677"/>
      <c r="W73" s="363">
        <f>'[2]缠绕 编织工时Winding, Braiding,'!G27</f>
        <v>188.19</v>
      </c>
      <c r="X73" s="404">
        <f t="shared" si="71"/>
        <v>5.3137786279823587E-3</v>
      </c>
      <c r="Y73" s="360">
        <f t="shared" si="72"/>
        <v>14.660715234603328</v>
      </c>
      <c r="Z73" s="691"/>
      <c r="AA73" s="405">
        <f t="shared" ref="AA73:AA74" si="73">IFERROR(IF(Y73&lt;&gt;"",$V$72*Y73/$Z$72,""),"input error")</f>
        <v>4.8716892289582114</v>
      </c>
      <c r="AB73" s="501"/>
    </row>
    <row r="74" spans="1:28" ht="15.75">
      <c r="A74" s="357">
        <v>45359</v>
      </c>
      <c r="B74" s="374" t="s">
        <v>259</v>
      </c>
      <c r="C74" s="375" t="s">
        <v>255</v>
      </c>
      <c r="D74" s="374" t="s">
        <v>256</v>
      </c>
      <c r="E74" s="401">
        <v>41.43</v>
      </c>
      <c r="F74" s="511"/>
      <c r="G74" s="374">
        <v>8</v>
      </c>
      <c r="H74" s="403">
        <f t="shared" si="67"/>
        <v>8761.9668981753966</v>
      </c>
      <c r="I74" s="376">
        <v>3</v>
      </c>
      <c r="J74" s="379" t="s">
        <v>245</v>
      </c>
      <c r="K74" s="501">
        <f>1564+1732</f>
        <v>3296</v>
      </c>
      <c r="L74" s="377">
        <f t="shared" si="68"/>
        <v>37.698</v>
      </c>
      <c r="M74" s="496">
        <v>0</v>
      </c>
      <c r="N74" s="383">
        <f t="shared" si="66"/>
        <v>0.37617124537258445</v>
      </c>
      <c r="O74" s="358">
        <f t="shared" si="69"/>
        <v>1.0031233209935586</v>
      </c>
      <c r="P74" s="359">
        <f t="shared" si="70"/>
        <v>0</v>
      </c>
      <c r="Q74" s="401" t="s">
        <v>257</v>
      </c>
      <c r="R74" s="374">
        <v>7.5</v>
      </c>
      <c r="S74" s="678"/>
      <c r="T74" s="681"/>
      <c r="U74" s="678"/>
      <c r="V74" s="678"/>
      <c r="W74" s="363">
        <f>'[2]缠绕 编织工时Winding, Braiding,'!G27</f>
        <v>188.19</v>
      </c>
      <c r="X74" s="404">
        <f t="shared" si="71"/>
        <v>5.3137786279823587E-3</v>
      </c>
      <c r="Y74" s="360">
        <f t="shared" si="72"/>
        <v>17.514214357829854</v>
      </c>
      <c r="Z74" s="659"/>
      <c r="AA74" s="405">
        <f t="shared" si="73"/>
        <v>5.8198940553266629</v>
      </c>
      <c r="AB74" s="501"/>
    </row>
    <row r="75" spans="1:28" ht="15.75">
      <c r="A75" s="357">
        <v>45359</v>
      </c>
      <c r="B75" s="374" t="s">
        <v>263</v>
      </c>
      <c r="C75" s="375" t="s">
        <v>264</v>
      </c>
      <c r="D75" s="374" t="s">
        <v>237</v>
      </c>
      <c r="E75" s="401">
        <v>20.100000000000001</v>
      </c>
      <c r="F75" s="511"/>
      <c r="G75" s="374">
        <v>6</v>
      </c>
      <c r="H75" s="403">
        <f t="shared" si="67"/>
        <v>30734.2449612169</v>
      </c>
      <c r="I75" s="376">
        <v>3</v>
      </c>
      <c r="J75" s="379" t="s">
        <v>39</v>
      </c>
      <c r="K75" s="501">
        <f>1833+1583+1617</f>
        <v>5033</v>
      </c>
      <c r="L75" s="377">
        <f>(K75*12.528)/1000</f>
        <v>63.053424</v>
      </c>
      <c r="M75" s="496">
        <v>0</v>
      </c>
      <c r="N75" s="383">
        <f t="shared" si="66"/>
        <v>0.1637586999892488</v>
      </c>
      <c r="O75" s="358">
        <f t="shared" si="69"/>
        <v>0.3275173999784976</v>
      </c>
      <c r="P75" s="359">
        <f t="shared" si="70"/>
        <v>0</v>
      </c>
      <c r="Q75" s="401" t="s">
        <v>277</v>
      </c>
      <c r="R75" s="374">
        <v>7.5</v>
      </c>
      <c r="S75" s="676">
        <v>3</v>
      </c>
      <c r="T75" s="679">
        <v>7.5</v>
      </c>
      <c r="U75" s="676">
        <v>0</v>
      </c>
      <c r="V75" s="676">
        <f>IFERROR(IF(S75&gt;0,S75*T75-U75,""),"input error")</f>
        <v>22.5</v>
      </c>
      <c r="W75" s="363">
        <f>'[2]缠绕 编织工时Winding, Braiding,'!G12</f>
        <v>651.24</v>
      </c>
      <c r="X75" s="404">
        <f t="shared" si="71"/>
        <v>1.5355322154658804E-3</v>
      </c>
      <c r="Y75" s="360">
        <f t="shared" si="72"/>
        <v>7.728333640439776</v>
      </c>
      <c r="Z75" s="690">
        <f>SUM(Y75:Y77)</f>
        <v>22.107424498548589</v>
      </c>
      <c r="AA75" s="405">
        <f>IFERROR(IF(Y75&lt;&gt;"",$V$75*Y75/$Z$75,""),"input error")</f>
        <v>7.86557054266141</v>
      </c>
      <c r="AB75" s="501"/>
    </row>
    <row r="76" spans="1:28" ht="15.75">
      <c r="A76" s="357">
        <v>45359</v>
      </c>
      <c r="B76" s="374" t="s">
        <v>266</v>
      </c>
      <c r="C76" s="375" t="s">
        <v>264</v>
      </c>
      <c r="D76" s="374" t="s">
        <v>237</v>
      </c>
      <c r="E76" s="401">
        <v>20.100000000000001</v>
      </c>
      <c r="F76" s="511"/>
      <c r="G76" s="374">
        <v>6</v>
      </c>
      <c r="H76" s="403">
        <f t="shared" si="67"/>
        <v>30331.212939074972</v>
      </c>
      <c r="I76" s="376">
        <v>3</v>
      </c>
      <c r="J76" s="379" t="s">
        <v>39</v>
      </c>
      <c r="K76" s="501">
        <f>1938+1012+2017</f>
        <v>4967</v>
      </c>
      <c r="L76" s="377">
        <f t="shared" ref="L76" si="74">(K76*12.528)/1000</f>
        <v>62.226576000000001</v>
      </c>
      <c r="M76" s="496">
        <v>0</v>
      </c>
      <c r="N76" s="383">
        <f t="shared" si="66"/>
        <v>0.1637586999892488</v>
      </c>
      <c r="O76" s="358">
        <f t="shared" si="69"/>
        <v>0.3275173999784976</v>
      </c>
      <c r="P76" s="359">
        <f t="shared" si="70"/>
        <v>0</v>
      </c>
      <c r="Q76" s="401" t="s">
        <v>277</v>
      </c>
      <c r="R76" s="374">
        <v>7.5</v>
      </c>
      <c r="S76" s="677"/>
      <c r="T76" s="680"/>
      <c r="U76" s="677"/>
      <c r="V76" s="677"/>
      <c r="W76" s="363">
        <f>'[2]缠绕 编织工时Winding, Braiding,'!G12</f>
        <v>651.24</v>
      </c>
      <c r="X76" s="404">
        <f t="shared" si="71"/>
        <v>1.5355322154658804E-3</v>
      </c>
      <c r="Y76" s="360">
        <f t="shared" si="72"/>
        <v>7.6269885142190281</v>
      </c>
      <c r="Z76" s="691"/>
      <c r="AA76" s="405">
        <f t="shared" ref="AA76:AA77" si="75">IFERROR(IF(Y76&lt;&gt;"",$V$75*Y76/$Z$75,""),"input error")</f>
        <v>7.762425767017529</v>
      </c>
      <c r="AB76" s="501"/>
    </row>
    <row r="77" spans="1:28" ht="15.75">
      <c r="A77" s="357">
        <v>45359</v>
      </c>
      <c r="B77" s="374" t="s">
        <v>267</v>
      </c>
      <c r="C77" s="375" t="s">
        <v>264</v>
      </c>
      <c r="D77" s="374" t="s">
        <v>261</v>
      </c>
      <c r="E77" s="401">
        <v>13.8</v>
      </c>
      <c r="F77" s="511"/>
      <c r="G77" s="374">
        <v>6</v>
      </c>
      <c r="H77" s="403">
        <f t="shared" si="67"/>
        <v>18435.661740098116</v>
      </c>
      <c r="I77" s="376">
        <v>3</v>
      </c>
      <c r="J77" s="381" t="s">
        <v>57</v>
      </c>
      <c r="K77" s="501">
        <f>1968+1051</f>
        <v>3019</v>
      </c>
      <c r="L77" s="377">
        <f>(K77*4.6608)/1000</f>
        <v>14.0709552</v>
      </c>
      <c r="M77" s="496">
        <v>0</v>
      </c>
      <c r="N77" s="383">
        <f t="shared" si="66"/>
        <v>0.1637586999892488</v>
      </c>
      <c r="O77" s="358">
        <f t="shared" si="69"/>
        <v>0.3275173999784976</v>
      </c>
      <c r="P77" s="359">
        <f t="shared" si="70"/>
        <v>0</v>
      </c>
      <c r="Q77" s="401" t="s">
        <v>464</v>
      </c>
      <c r="R77" s="374">
        <v>7.5</v>
      </c>
      <c r="S77" s="678"/>
      <c r="T77" s="681"/>
      <c r="U77" s="678"/>
      <c r="V77" s="678"/>
      <c r="W77" s="363">
        <f>'[2]缠绕 编织工时Winding, Braiding,'!G10</f>
        <v>447.12</v>
      </c>
      <c r="X77" s="404">
        <f t="shared" si="71"/>
        <v>2.2365360529611735E-3</v>
      </c>
      <c r="Y77" s="360">
        <f t="shared" si="72"/>
        <v>6.7521023438897831</v>
      </c>
      <c r="Z77" s="659"/>
      <c r="AA77" s="405">
        <f t="shared" si="75"/>
        <v>6.8720036903210602</v>
      </c>
      <c r="AB77" s="501"/>
    </row>
    <row r="78" spans="1:28" ht="15.75">
      <c r="A78" s="357"/>
      <c r="B78" s="374"/>
      <c r="C78" s="375"/>
      <c r="D78" s="374"/>
      <c r="E78" s="401"/>
      <c r="F78" s="511"/>
      <c r="G78" s="374"/>
      <c r="H78" s="403"/>
      <c r="I78" s="376"/>
      <c r="J78" s="381"/>
      <c r="K78" s="501"/>
      <c r="L78" s="377"/>
      <c r="M78" s="496"/>
      <c r="N78" s="383" t="str">
        <f t="shared" si="66"/>
        <v/>
      </c>
      <c r="O78" s="358"/>
      <c r="P78" s="359"/>
      <c r="Q78" s="401"/>
      <c r="R78" s="374"/>
      <c r="S78" s="503"/>
      <c r="T78" s="504"/>
      <c r="U78" s="503"/>
      <c r="V78" s="503"/>
      <c r="W78" s="363"/>
      <c r="X78" s="404"/>
      <c r="Y78" s="360"/>
      <c r="Z78" s="495"/>
      <c r="AA78" s="405"/>
      <c r="AB78" s="501"/>
    </row>
    <row r="79" spans="1:28" ht="15.75">
      <c r="A79" s="357">
        <v>45360</v>
      </c>
      <c r="B79" s="374" t="s">
        <v>254</v>
      </c>
      <c r="C79" s="375" t="s">
        <v>255</v>
      </c>
      <c r="D79" s="374" t="s">
        <v>256</v>
      </c>
      <c r="E79" s="401">
        <v>41.43</v>
      </c>
      <c r="F79" s="511"/>
      <c r="G79" s="374">
        <v>8</v>
      </c>
      <c r="H79" s="403">
        <f t="shared" ref="H79:H84" si="76">IFERROR(IF(G79&lt;&gt;"",W79*G79*AA79,""),"input error""")</f>
        <v>9914.1398512221058</v>
      </c>
      <c r="I79" s="376">
        <v>2</v>
      </c>
      <c r="J79" s="379" t="s">
        <v>245</v>
      </c>
      <c r="K79" s="501">
        <f>805+1054</f>
        <v>1859</v>
      </c>
      <c r="L79" s="377">
        <f t="shared" ref="L79:L80" si="77">(K79*11.4375)/1000</f>
        <v>21.2623125</v>
      </c>
      <c r="M79" s="496">
        <v>0</v>
      </c>
      <c r="N79" s="383">
        <f t="shared" si="66"/>
        <v>0.18750996333492745</v>
      </c>
      <c r="O79" s="358">
        <f t="shared" ref="O79:O84" si="78">IFERROR(IF(I79&lt;&gt;"",K79/(I79*W79*AA79),""),"input error")</f>
        <v>0.75003985333970979</v>
      </c>
      <c r="P79" s="359">
        <f t="shared" ref="P79:P84" si="79">IFERROR(IF(L79&lt;&gt;"",M79/(M79+L79),""),"input error")</f>
        <v>0</v>
      </c>
      <c r="Q79" s="401" t="s">
        <v>257</v>
      </c>
      <c r="R79" s="374">
        <v>5</v>
      </c>
      <c r="S79" s="684">
        <v>2</v>
      </c>
      <c r="T79" s="684">
        <v>5</v>
      </c>
      <c r="U79" s="684">
        <v>0</v>
      </c>
      <c r="V79" s="684">
        <f>IFERROR(IF(S79&gt;0,S79*T79-U79,""),"input error")</f>
        <v>10</v>
      </c>
      <c r="W79" s="363">
        <f>'[2]缠绕 编织工时Winding, Braiding,'!G27</f>
        <v>188.19</v>
      </c>
      <c r="X79" s="404">
        <f t="shared" ref="X79:X84" si="80">IFERROR(IF(W79&lt;&gt;"",1/W79,""),"input error")</f>
        <v>5.3137786279823587E-3</v>
      </c>
      <c r="Y79" s="360">
        <f t="shared" ref="Y79:Y84" si="81">IFERROR(IF(K79&lt;&gt;"",K79*X79,""),"input error")</f>
        <v>9.8783144694192053</v>
      </c>
      <c r="Z79" s="682">
        <f>SUM(Y79:Y80)</f>
        <v>15.000797066794199</v>
      </c>
      <c r="AA79" s="405">
        <f>IFERROR(IF(Y79&lt;&gt;"",$V$79*Y79/$Z$79,""),"input error")</f>
        <v>6.5851930570315274</v>
      </c>
      <c r="AB79" s="501"/>
    </row>
    <row r="80" spans="1:28" ht="15.75">
      <c r="A80" s="357">
        <v>45360</v>
      </c>
      <c r="B80" s="374" t="s">
        <v>259</v>
      </c>
      <c r="C80" s="375" t="s">
        <v>255</v>
      </c>
      <c r="D80" s="374" t="s">
        <v>256</v>
      </c>
      <c r="E80" s="401">
        <v>41.43</v>
      </c>
      <c r="F80" s="511"/>
      <c r="G80" s="374">
        <v>8</v>
      </c>
      <c r="H80" s="403">
        <f t="shared" si="76"/>
        <v>5141.0601487778958</v>
      </c>
      <c r="I80" s="376">
        <v>2</v>
      </c>
      <c r="J80" s="379" t="s">
        <v>245</v>
      </c>
      <c r="K80" s="501">
        <f>964</f>
        <v>964</v>
      </c>
      <c r="L80" s="377">
        <f t="shared" si="77"/>
        <v>11.02575</v>
      </c>
      <c r="M80" s="496">
        <v>0</v>
      </c>
      <c r="N80" s="383">
        <f t="shared" si="66"/>
        <v>0.18750996333492748</v>
      </c>
      <c r="O80" s="358">
        <f t="shared" si="78"/>
        <v>0.75003985333970991</v>
      </c>
      <c r="P80" s="359">
        <f t="shared" si="79"/>
        <v>0</v>
      </c>
      <c r="Q80" s="401" t="s">
        <v>257</v>
      </c>
      <c r="R80" s="374">
        <v>5</v>
      </c>
      <c r="S80" s="686"/>
      <c r="T80" s="686"/>
      <c r="U80" s="686"/>
      <c r="V80" s="686"/>
      <c r="W80" s="363">
        <f>'[2]缠绕 编织工时Winding, Braiding,'!G27</f>
        <v>188.19</v>
      </c>
      <c r="X80" s="404">
        <f t="shared" si="80"/>
        <v>5.3137786279823587E-3</v>
      </c>
      <c r="Y80" s="360">
        <f t="shared" si="81"/>
        <v>5.1224825973749937</v>
      </c>
      <c r="Z80" s="662"/>
      <c r="AA80" s="405">
        <f>IFERROR(IF(Y80&lt;&gt;"",$V$79*Y80/$Z$79,""),"input error")</f>
        <v>3.4148069429684731</v>
      </c>
      <c r="AB80" s="501"/>
    </row>
    <row r="81" spans="1:28" ht="15.75">
      <c r="A81" s="357">
        <v>45360</v>
      </c>
      <c r="B81" s="374" t="s">
        <v>279</v>
      </c>
      <c r="C81" s="375" t="s">
        <v>255</v>
      </c>
      <c r="D81" s="374" t="s">
        <v>229</v>
      </c>
      <c r="E81" s="401">
        <v>24.1</v>
      </c>
      <c r="F81" s="511"/>
      <c r="G81" s="374">
        <v>6</v>
      </c>
      <c r="H81" s="403">
        <f t="shared" si="76"/>
        <v>21907.370554964204</v>
      </c>
      <c r="I81" s="376">
        <v>4</v>
      </c>
      <c r="J81" s="406" t="s">
        <v>61</v>
      </c>
      <c r="K81" s="501">
        <f>1654+1147+1500</f>
        <v>4301</v>
      </c>
      <c r="L81" s="377">
        <f>(K81*27.0168)/1000</f>
        <v>116.1992568</v>
      </c>
      <c r="M81" s="496">
        <v>0</v>
      </c>
      <c r="N81" s="383">
        <f t="shared" si="66"/>
        <v>0.19632661935438869</v>
      </c>
      <c r="O81" s="358">
        <f t="shared" si="78"/>
        <v>0.29448992903158305</v>
      </c>
      <c r="P81" s="359">
        <f t="shared" si="79"/>
        <v>0</v>
      </c>
      <c r="Q81" s="401" t="s">
        <v>465</v>
      </c>
      <c r="R81" s="374">
        <v>5</v>
      </c>
      <c r="S81" s="768">
        <v>3</v>
      </c>
      <c r="T81" s="768">
        <v>5</v>
      </c>
      <c r="U81" s="768">
        <v>0</v>
      </c>
      <c r="V81" s="769">
        <f t="shared" ref="V81" si="82">IFERROR(IF(S81&gt;0,S81*T81-U81,""),"input error")</f>
        <v>15</v>
      </c>
      <c r="W81" s="363">
        <f>'[2]缠绕 编织工时Winding, Braiding,'!G13</f>
        <v>780.84</v>
      </c>
      <c r="X81" s="404">
        <f t="shared" si="80"/>
        <v>1.2806720967163568E-3</v>
      </c>
      <c r="Y81" s="360">
        <f t="shared" si="81"/>
        <v>5.5081706879770502</v>
      </c>
      <c r="Z81" s="770">
        <f>SUM(Y81:Y84)</f>
        <v>17.669395741894981</v>
      </c>
      <c r="AA81" s="771">
        <f>IFERROR(IF(Y81&lt;&gt;"",$V$81*Y81/$Z$81,""),"input error")</f>
        <v>4.6760263636946968</v>
      </c>
      <c r="AB81" s="501"/>
    </row>
    <row r="82" spans="1:28" ht="15.75">
      <c r="A82" s="357">
        <v>45360</v>
      </c>
      <c r="B82" s="374" t="s">
        <v>260</v>
      </c>
      <c r="C82" s="375" t="s">
        <v>255</v>
      </c>
      <c r="D82" s="374" t="s">
        <v>261</v>
      </c>
      <c r="E82" s="401">
        <v>13.8</v>
      </c>
      <c r="F82" s="511"/>
      <c r="G82" s="374">
        <v>6</v>
      </c>
      <c r="H82" s="403">
        <f t="shared" si="76"/>
        <v>9112.3659434622095</v>
      </c>
      <c r="I82" s="376">
        <v>4</v>
      </c>
      <c r="J82" s="381" t="s">
        <v>57</v>
      </c>
      <c r="K82" s="501">
        <f>1016+773</f>
        <v>1789</v>
      </c>
      <c r="L82" s="377">
        <f>(K82*4.6608)/1000</f>
        <v>8.3381712000000014</v>
      </c>
      <c r="M82" s="496">
        <v>0</v>
      </c>
      <c r="N82" s="383">
        <f t="shared" si="66"/>
        <v>0.19632661935438867</v>
      </c>
      <c r="O82" s="358">
        <f t="shared" si="78"/>
        <v>0.294489929031583</v>
      </c>
      <c r="P82" s="359">
        <f t="shared" si="79"/>
        <v>0</v>
      </c>
      <c r="Q82" s="401" t="s">
        <v>459</v>
      </c>
      <c r="R82" s="374">
        <v>5</v>
      </c>
      <c r="S82" s="772"/>
      <c r="T82" s="772"/>
      <c r="U82" s="772"/>
      <c r="V82" s="773"/>
      <c r="W82" s="363">
        <f>'[2]缠绕 编织工时Winding, Braiding,'!G10</f>
        <v>447.12</v>
      </c>
      <c r="X82" s="404">
        <f t="shared" si="80"/>
        <v>2.2365360529611735E-3</v>
      </c>
      <c r="Y82" s="360">
        <f t="shared" si="81"/>
        <v>4.0011629987475397</v>
      </c>
      <c r="Z82" s="774"/>
      <c r="AA82" s="771">
        <f t="shared" ref="AA82:AA84" si="83">IFERROR(IF(Y82&lt;&gt;"",$V$81*Y82/$Z$81,""),"input error")</f>
        <v>3.3966891600547986</v>
      </c>
      <c r="AB82" s="501"/>
    </row>
    <row r="83" spans="1:28" ht="15.75">
      <c r="A83" s="357">
        <v>45360</v>
      </c>
      <c r="B83" s="374" t="s">
        <v>273</v>
      </c>
      <c r="C83" s="375" t="s">
        <v>264</v>
      </c>
      <c r="D83" s="374" t="s">
        <v>226</v>
      </c>
      <c r="E83" s="401">
        <v>16.7</v>
      </c>
      <c r="F83" s="511"/>
      <c r="G83" s="374">
        <v>6</v>
      </c>
      <c r="H83" s="403">
        <f t="shared" si="76"/>
        <v>8608.1042171331119</v>
      </c>
      <c r="I83" s="376">
        <v>4</v>
      </c>
      <c r="J83" s="374" t="s">
        <v>50</v>
      </c>
      <c r="K83" s="501">
        <f>390+1300</f>
        <v>1690</v>
      </c>
      <c r="L83" s="377">
        <f t="shared" ref="L83" si="84">(K83*5.7865)/1000</f>
        <v>9.779185</v>
      </c>
      <c r="M83" s="496">
        <v>0</v>
      </c>
      <c r="N83" s="383">
        <f t="shared" si="66"/>
        <v>0.19632661935438864</v>
      </c>
      <c r="O83" s="358">
        <f t="shared" si="78"/>
        <v>0.294489929031583</v>
      </c>
      <c r="P83" s="359">
        <f t="shared" si="79"/>
        <v>0</v>
      </c>
      <c r="Q83" s="401" t="s">
        <v>460</v>
      </c>
      <c r="R83" s="374">
        <v>5</v>
      </c>
      <c r="S83" s="772"/>
      <c r="T83" s="772"/>
      <c r="U83" s="772"/>
      <c r="V83" s="773"/>
      <c r="W83" s="363">
        <f>'[2]缠绕 编织工时Winding, Braiding,'!G11</f>
        <v>541.08000000000004</v>
      </c>
      <c r="X83" s="404">
        <f t="shared" si="80"/>
        <v>1.8481555407703111E-3</v>
      </c>
      <c r="Y83" s="360">
        <f t="shared" si="81"/>
        <v>3.123382863901826</v>
      </c>
      <c r="Z83" s="774"/>
      <c r="AA83" s="771">
        <f t="shared" si="83"/>
        <v>2.6515192507371399</v>
      </c>
      <c r="AB83" s="501"/>
    </row>
    <row r="84" spans="1:28" ht="15.75">
      <c r="A84" s="357">
        <v>45360</v>
      </c>
      <c r="B84" s="374" t="s">
        <v>267</v>
      </c>
      <c r="C84" s="375" t="s">
        <v>264</v>
      </c>
      <c r="D84" s="374" t="s">
        <v>261</v>
      </c>
      <c r="E84" s="401">
        <v>13.8</v>
      </c>
      <c r="F84" s="511"/>
      <c r="G84" s="374">
        <v>6</v>
      </c>
      <c r="H84" s="403">
        <f t="shared" si="76"/>
        <v>11470.680885789212</v>
      </c>
      <c r="I84" s="376">
        <v>4</v>
      </c>
      <c r="J84" s="381" t="s">
        <v>57</v>
      </c>
      <c r="K84" s="501">
        <f>952+1300</f>
        <v>2252</v>
      </c>
      <c r="L84" s="377">
        <f>(K84*4.6608)/1000</f>
        <v>10.4961216</v>
      </c>
      <c r="M84" s="496">
        <v>0</v>
      </c>
      <c r="N84" s="383">
        <f t="shared" si="66"/>
        <v>0.19632661935438864</v>
      </c>
      <c r="O84" s="358">
        <f t="shared" si="78"/>
        <v>0.294489929031583</v>
      </c>
      <c r="P84" s="359">
        <f t="shared" si="79"/>
        <v>0</v>
      </c>
      <c r="Q84" s="401" t="s">
        <v>460</v>
      </c>
      <c r="R84" s="374">
        <v>5</v>
      </c>
      <c r="S84" s="775"/>
      <c r="T84" s="775"/>
      <c r="U84" s="775"/>
      <c r="V84" s="776"/>
      <c r="W84" s="363">
        <f>'[2]缠绕 编织工时Winding, Braiding,'!G10</f>
        <v>447.12</v>
      </c>
      <c r="X84" s="404">
        <f t="shared" si="80"/>
        <v>2.2365360529611735E-3</v>
      </c>
      <c r="Y84" s="360">
        <f t="shared" si="81"/>
        <v>5.0366791912685631</v>
      </c>
      <c r="Z84" s="777"/>
      <c r="AA84" s="771">
        <f t="shared" si="83"/>
        <v>4.2757652255133634</v>
      </c>
      <c r="AB84" s="501"/>
    </row>
    <row r="85" spans="1:28" ht="15.75">
      <c r="A85" s="357"/>
      <c r="B85" s="374"/>
      <c r="C85" s="375"/>
      <c r="D85" s="374"/>
      <c r="E85" s="401"/>
      <c r="F85" s="511"/>
      <c r="G85" s="374"/>
      <c r="H85" s="403"/>
      <c r="I85" s="376"/>
      <c r="J85" s="381"/>
      <c r="K85" s="501"/>
      <c r="L85" s="377"/>
      <c r="M85" s="496"/>
      <c r="N85" s="383" t="str">
        <f t="shared" si="66"/>
        <v/>
      </c>
      <c r="O85" s="358"/>
      <c r="P85" s="359"/>
      <c r="Q85" s="401"/>
      <c r="R85" s="374"/>
      <c r="S85" s="778"/>
      <c r="T85" s="778"/>
      <c r="U85" s="778"/>
      <c r="V85" s="779"/>
      <c r="W85" s="363"/>
      <c r="X85" s="404"/>
      <c r="Y85" s="360"/>
      <c r="Z85" s="780"/>
      <c r="AA85" s="771"/>
      <c r="AB85" s="501"/>
    </row>
    <row r="86" spans="1:28" ht="15.75">
      <c r="A86" s="357">
        <v>45363</v>
      </c>
      <c r="B86" s="374" t="s">
        <v>254</v>
      </c>
      <c r="C86" s="375" t="s">
        <v>255</v>
      </c>
      <c r="D86" s="374" t="s">
        <v>256</v>
      </c>
      <c r="E86" s="401">
        <v>41.43</v>
      </c>
      <c r="F86" s="511"/>
      <c r="G86" s="374">
        <v>8</v>
      </c>
      <c r="H86" s="403">
        <f t="shared" ref="H86:H90" si="85">IFERROR(IF(G86&lt;&gt;"",W86*G86*AA86,""),"input error""")</f>
        <v>11291.4</v>
      </c>
      <c r="I86" s="376">
        <v>1</v>
      </c>
      <c r="J86" s="379" t="s">
        <v>245</v>
      </c>
      <c r="K86" s="501">
        <f>1584</f>
        <v>1584</v>
      </c>
      <c r="L86" s="377">
        <f t="shared" ref="L86" si="86">(K86*11.4375)/1000</f>
        <v>18.117000000000001</v>
      </c>
      <c r="M86" s="496">
        <v>0</v>
      </c>
      <c r="N86" s="383">
        <f t="shared" si="66"/>
        <v>0.14028375577873425</v>
      </c>
      <c r="O86" s="358">
        <f t="shared" ref="O86:O90" si="87">IFERROR(IF(I86&lt;&gt;"",K86/(I86*W86*AA86),""),"input error")</f>
        <v>1.122270046229874</v>
      </c>
      <c r="P86" s="359">
        <f t="shared" ref="P86:P90" si="88">IFERROR(IF(L86&lt;&gt;"",M86/(M86+L86),""),"input error")</f>
        <v>0</v>
      </c>
      <c r="Q86" s="401" t="s">
        <v>457</v>
      </c>
      <c r="R86" s="374">
        <v>7.5</v>
      </c>
      <c r="S86" s="778">
        <v>1</v>
      </c>
      <c r="T86" s="781">
        <v>7.5</v>
      </c>
      <c r="U86" s="778">
        <v>0</v>
      </c>
      <c r="V86" s="782">
        <f>IFERROR(IF(S86&gt;0,S86*T86-U86,""),"input error")</f>
        <v>7.5</v>
      </c>
      <c r="W86" s="363">
        <f>'[2]缠绕 编织工时Winding, Braiding,'!G27</f>
        <v>188.19</v>
      </c>
      <c r="X86" s="404">
        <f t="shared" ref="X86:X90" si="89">IFERROR(IF(W86&lt;&gt;"",1/W86,""),"input error")</f>
        <v>5.3137786279823587E-3</v>
      </c>
      <c r="Y86" s="360">
        <f t="shared" ref="Y86:Y90" si="90">IFERROR(IF(K86&lt;&gt;"",K86*X86,""),"input error")</f>
        <v>8.4170253467240563</v>
      </c>
      <c r="Z86" s="780">
        <f>SUM(Y86)</f>
        <v>8.4170253467240563</v>
      </c>
      <c r="AA86" s="771">
        <f>IFERROR(IF(Y86&lt;&gt;"",V86*Y86/Z86,""),"input error")</f>
        <v>7.5</v>
      </c>
      <c r="AB86" s="501"/>
    </row>
    <row r="87" spans="1:28" ht="15.75">
      <c r="A87" s="357">
        <v>45363</v>
      </c>
      <c r="B87" s="374" t="s">
        <v>279</v>
      </c>
      <c r="C87" s="375" t="s">
        <v>255</v>
      </c>
      <c r="D87" s="374" t="s">
        <v>229</v>
      </c>
      <c r="E87" s="401">
        <v>24.1</v>
      </c>
      <c r="F87" s="511"/>
      <c r="G87" s="374">
        <v>6</v>
      </c>
      <c r="H87" s="403">
        <f t="shared" si="85"/>
        <v>6582.0270517479885</v>
      </c>
      <c r="I87" s="376">
        <v>4</v>
      </c>
      <c r="J87" s="406" t="s">
        <v>61</v>
      </c>
      <c r="K87" s="501">
        <f>555+2255</f>
        <v>2810</v>
      </c>
      <c r="L87" s="377">
        <f>(K87*27.0168)/1000</f>
        <v>75.917208000000002</v>
      </c>
      <c r="M87" s="496">
        <v>0</v>
      </c>
      <c r="N87" s="383">
        <f t="shared" si="66"/>
        <v>0.42692015361039098</v>
      </c>
      <c r="O87" s="358">
        <f t="shared" si="87"/>
        <v>0.64038023041558645</v>
      </c>
      <c r="P87" s="359">
        <f t="shared" si="88"/>
        <v>0</v>
      </c>
      <c r="Q87" s="401" t="s">
        <v>465</v>
      </c>
      <c r="R87" s="374">
        <v>7.5</v>
      </c>
      <c r="S87" s="768">
        <v>3</v>
      </c>
      <c r="T87" s="768">
        <v>5</v>
      </c>
      <c r="U87" s="768">
        <v>0</v>
      </c>
      <c r="V87" s="769">
        <f t="shared" ref="V87" si="91">IFERROR(IF(S87&gt;0,S87*T87-U87,""),"input error")</f>
        <v>15</v>
      </c>
      <c r="W87" s="363">
        <f>'[2]缠绕 编织工时Winding, Braiding,'!G13</f>
        <v>780.84</v>
      </c>
      <c r="X87" s="404">
        <f t="shared" si="89"/>
        <v>1.2806720967163568E-3</v>
      </c>
      <c r="Y87" s="360">
        <f t="shared" si="90"/>
        <v>3.5986885917729627</v>
      </c>
      <c r="Z87" s="770">
        <f>SUM(Y87:Y90)</f>
        <v>38.42281382493519</v>
      </c>
      <c r="AA87" s="771">
        <f>IFERROR(IF(Y87&lt;&gt;"",$V$87*Y87/$Z$87,""),"input error")</f>
        <v>1.4049030641676461</v>
      </c>
      <c r="AB87" s="501"/>
    </row>
    <row r="88" spans="1:28" ht="15.75">
      <c r="A88" s="357">
        <v>45363</v>
      </c>
      <c r="B88" s="374" t="s">
        <v>260</v>
      </c>
      <c r="C88" s="375" t="s">
        <v>255</v>
      </c>
      <c r="D88" s="374" t="s">
        <v>261</v>
      </c>
      <c r="E88" s="401">
        <v>13.8</v>
      </c>
      <c r="F88" s="511"/>
      <c r="G88" s="374">
        <v>6</v>
      </c>
      <c r="H88" s="403">
        <f t="shared" si="85"/>
        <v>15419.745224788969</v>
      </c>
      <c r="I88" s="376">
        <v>4</v>
      </c>
      <c r="J88" s="381" t="s">
        <v>57</v>
      </c>
      <c r="K88" s="501">
        <f>2162+2000+2421</f>
        <v>6583</v>
      </c>
      <c r="L88" s="377">
        <f>(K88*4.6608)/1000</f>
        <v>30.682046400000001</v>
      </c>
      <c r="M88" s="496">
        <v>0</v>
      </c>
      <c r="N88" s="383">
        <f t="shared" si="66"/>
        <v>0.42692015361039104</v>
      </c>
      <c r="O88" s="358">
        <f t="shared" si="87"/>
        <v>0.64038023041558656</v>
      </c>
      <c r="P88" s="359">
        <f t="shared" si="88"/>
        <v>0</v>
      </c>
      <c r="Q88" s="401" t="s">
        <v>459</v>
      </c>
      <c r="R88" s="374">
        <v>7.5</v>
      </c>
      <c r="S88" s="772"/>
      <c r="T88" s="772"/>
      <c r="U88" s="772"/>
      <c r="V88" s="773"/>
      <c r="W88" s="363">
        <f>'[2]缠绕 编织工时Winding, Braiding,'!G10</f>
        <v>447.12</v>
      </c>
      <c r="X88" s="404">
        <f t="shared" si="89"/>
        <v>2.2365360529611735E-3</v>
      </c>
      <c r="Y88" s="360">
        <f t="shared" si="90"/>
        <v>14.723116836643406</v>
      </c>
      <c r="Z88" s="774"/>
      <c r="AA88" s="771">
        <f t="shared" ref="AA88:AA90" si="92">IFERROR(IF(Y88&lt;&gt;"",$V$87*Y88/$Z$87,""),"input error")</f>
        <v>5.7478026871194041</v>
      </c>
      <c r="AB88" s="501"/>
    </row>
    <row r="89" spans="1:28" ht="15.75">
      <c r="A89" s="357">
        <v>45363</v>
      </c>
      <c r="B89" s="374" t="s">
        <v>273</v>
      </c>
      <c r="C89" s="375" t="s">
        <v>264</v>
      </c>
      <c r="D89" s="374" t="s">
        <v>226</v>
      </c>
      <c r="E89" s="401">
        <v>16.7</v>
      </c>
      <c r="F89" s="511"/>
      <c r="G89" s="374">
        <v>6</v>
      </c>
      <c r="H89" s="403">
        <f t="shared" si="85"/>
        <v>7411.2219187653491</v>
      </c>
      <c r="I89" s="376">
        <v>4</v>
      </c>
      <c r="J89" s="374" t="s">
        <v>50</v>
      </c>
      <c r="K89" s="501">
        <f>1843+1321</f>
        <v>3164</v>
      </c>
      <c r="L89" s="377">
        <f t="shared" ref="L89" si="93">(K89*5.7865)/1000</f>
        <v>18.308486000000002</v>
      </c>
      <c r="M89" s="496">
        <v>0</v>
      </c>
      <c r="N89" s="383">
        <f t="shared" si="66"/>
        <v>0.42692015361039104</v>
      </c>
      <c r="O89" s="358">
        <f t="shared" si="87"/>
        <v>0.64038023041558667</v>
      </c>
      <c r="P89" s="359">
        <f t="shared" si="88"/>
        <v>0</v>
      </c>
      <c r="Q89" s="401" t="s">
        <v>465</v>
      </c>
      <c r="R89" s="374">
        <v>7.5</v>
      </c>
      <c r="S89" s="772"/>
      <c r="T89" s="772"/>
      <c r="U89" s="772"/>
      <c r="V89" s="773"/>
      <c r="W89" s="363">
        <f>'[2]缠绕 编织工时Winding, Braiding,'!G11</f>
        <v>541.08000000000004</v>
      </c>
      <c r="X89" s="404">
        <f t="shared" si="89"/>
        <v>1.8481555407703111E-3</v>
      </c>
      <c r="Y89" s="360">
        <f t="shared" si="90"/>
        <v>5.8475641309972639</v>
      </c>
      <c r="Z89" s="774"/>
      <c r="AA89" s="771">
        <f t="shared" si="92"/>
        <v>2.2828484755074259</v>
      </c>
      <c r="AB89" s="501"/>
    </row>
    <row r="90" spans="1:28" ht="15.75">
      <c r="A90" s="357">
        <v>45363</v>
      </c>
      <c r="B90" s="374" t="s">
        <v>267</v>
      </c>
      <c r="C90" s="375" t="s">
        <v>264</v>
      </c>
      <c r="D90" s="374" t="s">
        <v>261</v>
      </c>
      <c r="E90" s="401">
        <v>13.8</v>
      </c>
      <c r="F90" s="511"/>
      <c r="G90" s="374">
        <v>6</v>
      </c>
      <c r="H90" s="403">
        <f t="shared" si="85"/>
        <v>14927.849964693924</v>
      </c>
      <c r="I90" s="376">
        <v>4</v>
      </c>
      <c r="J90" s="381" t="s">
        <v>57</v>
      </c>
      <c r="K90" s="501">
        <f>1789+2267+2317</f>
        <v>6373</v>
      </c>
      <c r="L90" s="377">
        <f>(K90*4.6608)/1000</f>
        <v>29.703278399999999</v>
      </c>
      <c r="M90" s="496">
        <v>0</v>
      </c>
      <c r="N90" s="383">
        <f t="shared" si="66"/>
        <v>0.42692015361039104</v>
      </c>
      <c r="O90" s="358">
        <f t="shared" si="87"/>
        <v>0.64038023041558656</v>
      </c>
      <c r="P90" s="359">
        <f t="shared" si="88"/>
        <v>0</v>
      </c>
      <c r="Q90" s="401" t="s">
        <v>459</v>
      </c>
      <c r="R90" s="374">
        <v>7.5</v>
      </c>
      <c r="S90" s="775"/>
      <c r="T90" s="775"/>
      <c r="U90" s="775"/>
      <c r="V90" s="776"/>
      <c r="W90" s="363">
        <f>'[2]缠绕 编织工时Winding, Braiding,'!G10</f>
        <v>447.12</v>
      </c>
      <c r="X90" s="404">
        <f t="shared" si="89"/>
        <v>2.2365360529611735E-3</v>
      </c>
      <c r="Y90" s="360">
        <f t="shared" si="90"/>
        <v>14.253444265521559</v>
      </c>
      <c r="Z90" s="777"/>
      <c r="AA90" s="771">
        <f t="shared" si="92"/>
        <v>5.5644457732055237</v>
      </c>
      <c r="AB90" s="501"/>
    </row>
    <row r="91" spans="1:28" ht="15.75">
      <c r="A91" s="357"/>
      <c r="B91" s="374"/>
      <c r="C91" s="375"/>
      <c r="D91" s="374"/>
      <c r="E91" s="401"/>
      <c r="F91" s="511"/>
      <c r="G91" s="374"/>
      <c r="H91" s="403"/>
      <c r="I91" s="376"/>
      <c r="J91" s="381"/>
      <c r="K91" s="501"/>
      <c r="L91" s="377"/>
      <c r="M91" s="496"/>
      <c r="N91" s="383" t="str">
        <f t="shared" si="66"/>
        <v/>
      </c>
      <c r="O91" s="358"/>
      <c r="P91" s="359"/>
      <c r="Q91" s="401"/>
      <c r="R91" s="374"/>
      <c r="S91" s="778"/>
      <c r="T91" s="778"/>
      <c r="U91" s="778"/>
      <c r="V91" s="779"/>
      <c r="W91" s="363"/>
      <c r="X91" s="404"/>
      <c r="Y91" s="360"/>
      <c r="Z91" s="780"/>
      <c r="AA91" s="771"/>
      <c r="AB91" s="501"/>
    </row>
    <row r="92" spans="1:28" ht="15.75">
      <c r="A92" s="364"/>
      <c r="B92" s="374"/>
      <c r="C92" s="375"/>
      <c r="D92" s="374"/>
      <c r="E92" s="401"/>
      <c r="F92" s="511"/>
      <c r="G92" s="374"/>
      <c r="H92" s="403"/>
      <c r="I92" s="376"/>
      <c r="J92" s="381"/>
      <c r="K92" s="501"/>
      <c r="L92" s="377"/>
      <c r="M92" s="496"/>
      <c r="N92" s="383" t="str">
        <f t="shared" si="66"/>
        <v/>
      </c>
      <c r="O92" s="358"/>
      <c r="P92" s="359"/>
      <c r="Q92" s="401"/>
      <c r="R92" s="374"/>
      <c r="S92" s="506"/>
      <c r="T92" s="508"/>
      <c r="U92" s="506"/>
      <c r="V92" s="508"/>
      <c r="W92" s="363"/>
      <c r="X92" s="404"/>
      <c r="Y92" s="360"/>
      <c r="Z92" s="519"/>
      <c r="AA92" s="405"/>
      <c r="AB92" s="501"/>
    </row>
    <row r="93" spans="1:28" s="349" customFormat="1" ht="37.5" customHeight="1">
      <c r="E93" s="389"/>
      <c r="F93" s="365"/>
      <c r="G93" s="365"/>
      <c r="H93" s="365"/>
      <c r="I93" s="365"/>
      <c r="J93" s="365"/>
      <c r="K93" s="365"/>
      <c r="L93" s="365"/>
      <c r="M93" s="366"/>
      <c r="N93" s="366"/>
      <c r="O93" s="390"/>
      <c r="P93" s="366"/>
      <c r="Q93" s="366"/>
      <c r="R93" s="407"/>
      <c r="S93" s="366"/>
      <c r="T93" s="366"/>
      <c r="U93" s="366"/>
      <c r="V93" s="366"/>
      <c r="W93" s="407"/>
      <c r="X93" s="683" t="s">
        <v>182</v>
      </c>
      <c r="Y93" s="683"/>
      <c r="Z93" s="683" t="s">
        <v>183</v>
      </c>
      <c r="AA93" s="683"/>
      <c r="AB93" s="512" t="s">
        <v>184</v>
      </c>
    </row>
    <row r="94" spans="1:28" s="349" customFormat="1" ht="15">
      <c r="E94" s="365"/>
      <c r="F94" s="365"/>
      <c r="G94" s="365"/>
      <c r="H94" s="365"/>
      <c r="I94" s="365"/>
      <c r="J94" s="365"/>
      <c r="K94" s="365"/>
      <c r="L94" s="522"/>
      <c r="M94" s="352"/>
      <c r="N94" s="352"/>
      <c r="O94" s="520"/>
      <c r="P94" s="520"/>
      <c r="Q94" s="352"/>
      <c r="R94" s="408" t="e">
        <f>2-(5/SUM(#REF!))*2</f>
        <v>#REF!</v>
      </c>
      <c r="S94" s="393">
        <v>5</v>
      </c>
      <c r="T94" s="393">
        <f>5/27.5</f>
        <v>0.18181818181818182</v>
      </c>
      <c r="U94" s="393">
        <f>2-2*T94</f>
        <v>1.6363636363636362</v>
      </c>
      <c r="V94" s="352"/>
      <c r="W94" s="408"/>
      <c r="X94" s="673" t="s">
        <v>185</v>
      </c>
      <c r="Y94" s="673"/>
      <c r="Z94" s="674" t="s">
        <v>186</v>
      </c>
      <c r="AA94" s="674"/>
      <c r="AB94" s="512" t="s">
        <v>187</v>
      </c>
    </row>
    <row r="95" spans="1:28" ht="15.75" customHeight="1">
      <c r="B95" s="394"/>
      <c r="C95" s="394"/>
      <c r="D95" s="394"/>
      <c r="E95" s="394"/>
      <c r="F95" s="394"/>
      <c r="G95" s="394"/>
      <c r="H95" s="394"/>
      <c r="I95" s="394"/>
      <c r="J95" s="394"/>
      <c r="K95" s="394"/>
      <c r="L95" s="394"/>
      <c r="M95" s="394"/>
      <c r="N95" s="394"/>
      <c r="O95" s="394"/>
      <c r="P95" s="394"/>
      <c r="Q95" s="351"/>
      <c r="R95" s="408"/>
      <c r="S95" s="351"/>
      <c r="T95" s="351"/>
      <c r="U95" s="351"/>
      <c r="V95" s="351"/>
      <c r="W95" s="408"/>
      <c r="X95" s="675" t="s">
        <v>251</v>
      </c>
      <c r="Y95" s="675"/>
      <c r="Z95" s="675"/>
      <c r="AA95" s="675"/>
      <c r="AB95" s="675"/>
    </row>
    <row r="98" spans="18:27">
      <c r="R98" s="371"/>
      <c r="T98" s="371">
        <f>2-5/27.5*2</f>
        <v>1.6363636363636362</v>
      </c>
      <c r="W98" s="371"/>
      <c r="AA98" s="371"/>
    </row>
  </sheetData>
  <autoFilter ref="A6:AB62"/>
  <mergeCells count="108">
    <mergeCell ref="X93:Y93"/>
    <mergeCell ref="Z93:AA93"/>
    <mergeCell ref="X94:Y94"/>
    <mergeCell ref="Z94:AA94"/>
    <mergeCell ref="X95:AB95"/>
    <mergeCell ref="S87:S90"/>
    <mergeCell ref="T87:T90"/>
    <mergeCell ref="U87:U90"/>
    <mergeCell ref="V87:V90"/>
    <mergeCell ref="Z87:Z90"/>
    <mergeCell ref="S81:S84"/>
    <mergeCell ref="T81:T84"/>
    <mergeCell ref="U81:U84"/>
    <mergeCell ref="V81:V84"/>
    <mergeCell ref="Z81:Z84"/>
    <mergeCell ref="S79:S80"/>
    <mergeCell ref="T79:T80"/>
    <mergeCell ref="U79:U80"/>
    <mergeCell ref="V79:V80"/>
    <mergeCell ref="Z79:Z80"/>
    <mergeCell ref="S75:S77"/>
    <mergeCell ref="T75:T77"/>
    <mergeCell ref="U75:U77"/>
    <mergeCell ref="V75:V77"/>
    <mergeCell ref="Z75:Z77"/>
    <mergeCell ref="S72:S74"/>
    <mergeCell ref="T72:T74"/>
    <mergeCell ref="U72:U74"/>
    <mergeCell ref="V72:V74"/>
    <mergeCell ref="Z72:Z74"/>
    <mergeCell ref="T62:T63"/>
    <mergeCell ref="U62:U63"/>
    <mergeCell ref="V62:V63"/>
    <mergeCell ref="Z62:Z63"/>
    <mergeCell ref="S64:S70"/>
    <mergeCell ref="T64:T70"/>
    <mergeCell ref="U64:U70"/>
    <mergeCell ref="V64:V70"/>
    <mergeCell ref="Z64:Z70"/>
    <mergeCell ref="B1:AB1"/>
    <mergeCell ref="B2:AB2"/>
    <mergeCell ref="B3:AB3"/>
    <mergeCell ref="B4:AB4"/>
    <mergeCell ref="A5:F5"/>
    <mergeCell ref="M5:N5"/>
    <mergeCell ref="Q5:R5"/>
    <mergeCell ref="Z5:AB5"/>
    <mergeCell ref="S10:S13"/>
    <mergeCell ref="T10:T13"/>
    <mergeCell ref="U10:U13"/>
    <mergeCell ref="V10:V13"/>
    <mergeCell ref="Z10:Z13"/>
    <mergeCell ref="S7:S9"/>
    <mergeCell ref="T7:T9"/>
    <mergeCell ref="U7:U9"/>
    <mergeCell ref="V7:V9"/>
    <mergeCell ref="Z7:Z9"/>
    <mergeCell ref="S20:S25"/>
    <mergeCell ref="T20:T25"/>
    <mergeCell ref="U20:U25"/>
    <mergeCell ref="V20:V25"/>
    <mergeCell ref="Z20:Z25"/>
    <mergeCell ref="S15:S19"/>
    <mergeCell ref="T15:T19"/>
    <mergeCell ref="U15:U19"/>
    <mergeCell ref="V15:V19"/>
    <mergeCell ref="Z15:Z19"/>
    <mergeCell ref="S29:S31"/>
    <mergeCell ref="T29:T31"/>
    <mergeCell ref="U29:U31"/>
    <mergeCell ref="V29:V31"/>
    <mergeCell ref="Z29:Z31"/>
    <mergeCell ref="S27:S28"/>
    <mergeCell ref="T27:T28"/>
    <mergeCell ref="U27:U28"/>
    <mergeCell ref="V27:V28"/>
    <mergeCell ref="Z27:Z28"/>
    <mergeCell ref="S39:S41"/>
    <mergeCell ref="T39:T41"/>
    <mergeCell ref="U39:U41"/>
    <mergeCell ref="V39:V41"/>
    <mergeCell ref="Z39:Z41"/>
    <mergeCell ref="S32:S37"/>
    <mergeCell ref="T32:T37"/>
    <mergeCell ref="U32:U37"/>
    <mergeCell ref="V32:V37"/>
    <mergeCell ref="Z32:Z37"/>
    <mergeCell ref="S50:S53"/>
    <mergeCell ref="T50:T53"/>
    <mergeCell ref="U50:U53"/>
    <mergeCell ref="V50:V53"/>
    <mergeCell ref="Z50:Z53"/>
    <mergeCell ref="S42:S48"/>
    <mergeCell ref="T42:T48"/>
    <mergeCell ref="U42:U48"/>
    <mergeCell ref="V42:V48"/>
    <mergeCell ref="Z42:Z48"/>
    <mergeCell ref="S54:S58"/>
    <mergeCell ref="T54:T58"/>
    <mergeCell ref="U54:U58"/>
    <mergeCell ref="V54:V58"/>
    <mergeCell ref="Z54:Z58"/>
    <mergeCell ref="S60:S61"/>
    <mergeCell ref="T60:T61"/>
    <mergeCell ref="U60:U61"/>
    <mergeCell ref="V60:V61"/>
    <mergeCell ref="Z60:Z61"/>
    <mergeCell ref="S62:S63"/>
  </mergeCells>
  <conditionalFormatting sqref="N7:N13 N26 N28:N31 N65:N70 N92 N85">
    <cfRule type="cellIs" dxfId="156" priority="24" operator="lessThan">
      <formula>0.3</formula>
    </cfRule>
  </conditionalFormatting>
  <conditionalFormatting sqref="N19">
    <cfRule type="cellIs" dxfId="155" priority="25" operator="lessThan">
      <formula>0.3</formula>
    </cfRule>
  </conditionalFormatting>
  <conditionalFormatting sqref="N20:N25">
    <cfRule type="cellIs" dxfId="154" priority="23" operator="lessThan">
      <formula>0.3</formula>
    </cfRule>
  </conditionalFormatting>
  <conditionalFormatting sqref="N15:N18">
    <cfRule type="cellIs" dxfId="153" priority="22" operator="lessThan">
      <formula>0.3</formula>
    </cfRule>
  </conditionalFormatting>
  <conditionalFormatting sqref="N32:N37">
    <cfRule type="cellIs" dxfId="152" priority="21" operator="lessThan">
      <formula>0.3</formula>
    </cfRule>
  </conditionalFormatting>
  <conditionalFormatting sqref="N14">
    <cfRule type="cellIs" dxfId="151" priority="20" operator="lessThan">
      <formula>0.3</formula>
    </cfRule>
  </conditionalFormatting>
  <conditionalFormatting sqref="N27">
    <cfRule type="cellIs" dxfId="150" priority="19" operator="lessThan">
      <formula>0.3</formula>
    </cfRule>
  </conditionalFormatting>
  <conditionalFormatting sqref="N42:N48">
    <cfRule type="cellIs" dxfId="149" priority="18" operator="lessThan">
      <formula>0.3</formula>
    </cfRule>
  </conditionalFormatting>
  <conditionalFormatting sqref="N49">
    <cfRule type="cellIs" dxfId="148" priority="17" operator="lessThan">
      <formula>0.3</formula>
    </cfRule>
  </conditionalFormatting>
  <conditionalFormatting sqref="N38">
    <cfRule type="cellIs" dxfId="147" priority="16" operator="lessThan">
      <formula>0.3</formula>
    </cfRule>
  </conditionalFormatting>
  <conditionalFormatting sqref="N39:N41">
    <cfRule type="cellIs" dxfId="146" priority="15" operator="lessThan">
      <formula>0.3</formula>
    </cfRule>
  </conditionalFormatting>
  <conditionalFormatting sqref="N54:N58">
    <cfRule type="cellIs" dxfId="145" priority="14" operator="lessThan">
      <formula>0.3</formula>
    </cfRule>
  </conditionalFormatting>
  <conditionalFormatting sqref="N50:N53">
    <cfRule type="cellIs" dxfId="144" priority="13" operator="lessThan">
      <formula>0.3</formula>
    </cfRule>
  </conditionalFormatting>
  <conditionalFormatting sqref="N64">
    <cfRule type="cellIs" dxfId="143" priority="12" operator="lessThan">
      <formula>0.3</formula>
    </cfRule>
  </conditionalFormatting>
  <conditionalFormatting sqref="N60:N63">
    <cfRule type="cellIs" dxfId="142" priority="11" operator="lessThan">
      <formula>0.3</formula>
    </cfRule>
  </conditionalFormatting>
  <conditionalFormatting sqref="N59">
    <cfRule type="cellIs" dxfId="141" priority="10" operator="lessThan">
      <formula>0.3</formula>
    </cfRule>
  </conditionalFormatting>
  <conditionalFormatting sqref="N71">
    <cfRule type="cellIs" dxfId="140" priority="9" operator="lessThan">
      <formula>0.3</formula>
    </cfRule>
  </conditionalFormatting>
  <conditionalFormatting sqref="N75:N77">
    <cfRule type="cellIs" dxfId="139" priority="8" operator="lessThan">
      <formula>0.3</formula>
    </cfRule>
  </conditionalFormatting>
  <conditionalFormatting sqref="N72:N74">
    <cfRule type="cellIs" dxfId="138" priority="7" operator="lessThan">
      <formula>0.3</formula>
    </cfRule>
  </conditionalFormatting>
  <conditionalFormatting sqref="N79:N80">
    <cfRule type="cellIs" dxfId="137" priority="6" operator="lessThan">
      <formula>0.3</formula>
    </cfRule>
  </conditionalFormatting>
  <conditionalFormatting sqref="N78">
    <cfRule type="cellIs" dxfId="136" priority="5" operator="lessThan">
      <formula>0.3</formula>
    </cfRule>
  </conditionalFormatting>
  <conditionalFormatting sqref="N81:N84">
    <cfRule type="cellIs" dxfId="135" priority="4" operator="lessThan">
      <formula>0.3</formula>
    </cfRule>
  </conditionalFormatting>
  <conditionalFormatting sqref="N87:N90">
    <cfRule type="cellIs" dxfId="134" priority="3" operator="lessThan">
      <formula>0.3</formula>
    </cfRule>
  </conditionalFormatting>
  <conditionalFormatting sqref="N91">
    <cfRule type="cellIs" dxfId="133" priority="2" operator="lessThan">
      <formula>0.3</formula>
    </cfRule>
  </conditionalFormatting>
  <conditionalFormatting sqref="N86">
    <cfRule type="cellIs" dxfId="132" priority="1" operator="lessThan">
      <formula>0.3</formula>
    </cfRule>
  </conditionalFormatting>
  <pageMargins left="0.16" right="0.17" top="0.49" bottom="0.16" header="0.46" footer="0.16"/>
  <pageSetup paperSize="9" scale="8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"/>
  <sheetViews>
    <sheetView showGridLines="0" zoomScale="85" zoomScaleNormal="85" zoomScaleSheetLayoutView="89" workbookViewId="0">
      <selection activeCell="D33" sqref="D33"/>
    </sheetView>
  </sheetViews>
  <sheetFormatPr defaultColWidth="9" defaultRowHeight="14.25"/>
  <cols>
    <col min="1" max="1" width="11.7109375" style="371" customWidth="1"/>
    <col min="2" max="3" width="13.7109375" style="371" customWidth="1"/>
    <col min="4" max="4" width="18.5703125" style="371" customWidth="1"/>
    <col min="5" max="5" width="9.140625" style="371" customWidth="1"/>
    <col min="6" max="6" width="17.28515625" style="371" customWidth="1"/>
    <col min="7" max="7" width="8.28515625" style="371" customWidth="1"/>
    <col min="8" max="8" width="15" style="371" customWidth="1"/>
    <col min="9" max="9" width="16.28515625" style="371" customWidth="1"/>
    <col min="10" max="10" width="18.5703125" style="371" customWidth="1"/>
    <col min="11" max="11" width="11.5703125" style="371" customWidth="1"/>
    <col min="12" max="12" width="8.42578125" style="371" customWidth="1"/>
    <col min="13" max="13" width="9" style="371"/>
    <col min="14" max="14" width="12.42578125" style="371" customWidth="1"/>
    <col min="15" max="15" width="9.7109375" style="371" customWidth="1"/>
    <col min="16" max="16" width="12.42578125" style="371" customWidth="1"/>
    <col min="17" max="17" width="17.85546875" style="371" customWidth="1"/>
    <col min="18" max="18" width="7.7109375" style="371" customWidth="1"/>
    <col min="19" max="26" width="9.5703125" style="371" customWidth="1"/>
    <col min="27" max="27" width="18.42578125" style="371" customWidth="1"/>
    <col min="28" max="268" width="9" style="371"/>
    <col min="269" max="269" width="13.7109375" style="371" customWidth="1"/>
    <col min="270" max="270" width="18.5703125" style="371" customWidth="1"/>
    <col min="271" max="271" width="9.140625" style="371" customWidth="1"/>
    <col min="272" max="272" width="17.28515625" style="371" customWidth="1"/>
    <col min="273" max="273" width="11.42578125" style="371" customWidth="1"/>
    <col min="274" max="274" width="17.140625" style="371" customWidth="1"/>
    <col min="275" max="275" width="12" style="371" customWidth="1"/>
    <col min="276" max="276" width="17.140625" style="371" customWidth="1"/>
    <col min="277" max="277" width="8.85546875" style="371" customWidth="1"/>
    <col min="278" max="278" width="9" style="371"/>
    <col min="279" max="279" width="12.42578125" style="371" customWidth="1"/>
    <col min="280" max="280" width="10.5703125" style="371" customWidth="1"/>
    <col min="281" max="281" width="10.85546875" style="371" customWidth="1"/>
    <col min="282" max="282" width="9.5703125" style="371" customWidth="1"/>
    <col min="283" max="283" width="9.85546875" style="371" customWidth="1"/>
    <col min="284" max="524" width="9" style="371"/>
    <col min="525" max="525" width="13.7109375" style="371" customWidth="1"/>
    <col min="526" max="526" width="18.5703125" style="371" customWidth="1"/>
    <col min="527" max="527" width="9.140625" style="371" customWidth="1"/>
    <col min="528" max="528" width="17.28515625" style="371" customWidth="1"/>
    <col min="529" max="529" width="11.42578125" style="371" customWidth="1"/>
    <col min="530" max="530" width="17.140625" style="371" customWidth="1"/>
    <col min="531" max="531" width="12" style="371" customWidth="1"/>
    <col min="532" max="532" width="17.140625" style="371" customWidth="1"/>
    <col min="533" max="533" width="8.85546875" style="371" customWidth="1"/>
    <col min="534" max="534" width="9" style="371"/>
    <col min="535" max="535" width="12.42578125" style="371" customWidth="1"/>
    <col min="536" max="536" width="10.5703125" style="371" customWidth="1"/>
    <col min="537" max="537" width="10.85546875" style="371" customWidth="1"/>
    <col min="538" max="538" width="9.5703125" style="371" customWidth="1"/>
    <col min="539" max="539" width="9.85546875" style="371" customWidth="1"/>
    <col min="540" max="780" width="9" style="371"/>
    <col min="781" max="781" width="13.7109375" style="371" customWidth="1"/>
    <col min="782" max="782" width="18.5703125" style="371" customWidth="1"/>
    <col min="783" max="783" width="9.140625" style="371" customWidth="1"/>
    <col min="784" max="784" width="17.28515625" style="371" customWidth="1"/>
    <col min="785" max="785" width="11.42578125" style="371" customWidth="1"/>
    <col min="786" max="786" width="17.140625" style="371" customWidth="1"/>
    <col min="787" max="787" width="12" style="371" customWidth="1"/>
    <col min="788" max="788" width="17.140625" style="371" customWidth="1"/>
    <col min="789" max="789" width="8.85546875" style="371" customWidth="1"/>
    <col min="790" max="790" width="9" style="371"/>
    <col min="791" max="791" width="12.42578125" style="371" customWidth="1"/>
    <col min="792" max="792" width="10.5703125" style="371" customWidth="1"/>
    <col min="793" max="793" width="10.85546875" style="371" customWidth="1"/>
    <col min="794" max="794" width="9.5703125" style="371" customWidth="1"/>
    <col min="795" max="795" width="9.85546875" style="371" customWidth="1"/>
    <col min="796" max="1036" width="9" style="371"/>
    <col min="1037" max="1037" width="13.7109375" style="371" customWidth="1"/>
    <col min="1038" max="1038" width="18.5703125" style="371" customWidth="1"/>
    <col min="1039" max="1039" width="9.140625" style="371" customWidth="1"/>
    <col min="1040" max="1040" width="17.28515625" style="371" customWidth="1"/>
    <col min="1041" max="1041" width="11.42578125" style="371" customWidth="1"/>
    <col min="1042" max="1042" width="17.140625" style="371" customWidth="1"/>
    <col min="1043" max="1043" width="12" style="371" customWidth="1"/>
    <col min="1044" max="1044" width="17.140625" style="371" customWidth="1"/>
    <col min="1045" max="1045" width="8.85546875" style="371" customWidth="1"/>
    <col min="1046" max="1046" width="9" style="371"/>
    <col min="1047" max="1047" width="12.42578125" style="371" customWidth="1"/>
    <col min="1048" max="1048" width="10.5703125" style="371" customWidth="1"/>
    <col min="1049" max="1049" width="10.85546875" style="371" customWidth="1"/>
    <col min="1050" max="1050" width="9.5703125" style="371" customWidth="1"/>
    <col min="1051" max="1051" width="9.85546875" style="371" customWidth="1"/>
    <col min="1052" max="1292" width="9" style="371"/>
    <col min="1293" max="1293" width="13.7109375" style="371" customWidth="1"/>
    <col min="1294" max="1294" width="18.5703125" style="371" customWidth="1"/>
    <col min="1295" max="1295" width="9.140625" style="371" customWidth="1"/>
    <col min="1296" max="1296" width="17.28515625" style="371" customWidth="1"/>
    <col min="1297" max="1297" width="11.42578125" style="371" customWidth="1"/>
    <col min="1298" max="1298" width="17.140625" style="371" customWidth="1"/>
    <col min="1299" max="1299" width="12" style="371" customWidth="1"/>
    <col min="1300" max="1300" width="17.140625" style="371" customWidth="1"/>
    <col min="1301" max="1301" width="8.85546875" style="371" customWidth="1"/>
    <col min="1302" max="1302" width="9" style="371"/>
    <col min="1303" max="1303" width="12.42578125" style="371" customWidth="1"/>
    <col min="1304" max="1304" width="10.5703125" style="371" customWidth="1"/>
    <col min="1305" max="1305" width="10.85546875" style="371" customWidth="1"/>
    <col min="1306" max="1306" width="9.5703125" style="371" customWidth="1"/>
    <col min="1307" max="1307" width="9.85546875" style="371" customWidth="1"/>
    <col min="1308" max="1548" width="9" style="371"/>
    <col min="1549" max="1549" width="13.7109375" style="371" customWidth="1"/>
    <col min="1550" max="1550" width="18.5703125" style="371" customWidth="1"/>
    <col min="1551" max="1551" width="9.140625" style="371" customWidth="1"/>
    <col min="1552" max="1552" width="17.28515625" style="371" customWidth="1"/>
    <col min="1553" max="1553" width="11.42578125" style="371" customWidth="1"/>
    <col min="1554" max="1554" width="17.140625" style="371" customWidth="1"/>
    <col min="1555" max="1555" width="12" style="371" customWidth="1"/>
    <col min="1556" max="1556" width="17.140625" style="371" customWidth="1"/>
    <col min="1557" max="1557" width="8.85546875" style="371" customWidth="1"/>
    <col min="1558" max="1558" width="9" style="371"/>
    <col min="1559" max="1559" width="12.42578125" style="371" customWidth="1"/>
    <col min="1560" max="1560" width="10.5703125" style="371" customWidth="1"/>
    <col min="1561" max="1561" width="10.85546875" style="371" customWidth="1"/>
    <col min="1562" max="1562" width="9.5703125" style="371" customWidth="1"/>
    <col min="1563" max="1563" width="9.85546875" style="371" customWidth="1"/>
    <col min="1564" max="1804" width="9" style="371"/>
    <col min="1805" max="1805" width="13.7109375" style="371" customWidth="1"/>
    <col min="1806" max="1806" width="18.5703125" style="371" customWidth="1"/>
    <col min="1807" max="1807" width="9.140625" style="371" customWidth="1"/>
    <col min="1808" max="1808" width="17.28515625" style="371" customWidth="1"/>
    <col min="1809" max="1809" width="11.42578125" style="371" customWidth="1"/>
    <col min="1810" max="1810" width="17.140625" style="371" customWidth="1"/>
    <col min="1811" max="1811" width="12" style="371" customWidth="1"/>
    <col min="1812" max="1812" width="17.140625" style="371" customWidth="1"/>
    <col min="1813" max="1813" width="8.85546875" style="371" customWidth="1"/>
    <col min="1814" max="1814" width="9" style="371"/>
    <col min="1815" max="1815" width="12.42578125" style="371" customWidth="1"/>
    <col min="1816" max="1816" width="10.5703125" style="371" customWidth="1"/>
    <col min="1817" max="1817" width="10.85546875" style="371" customWidth="1"/>
    <col min="1818" max="1818" width="9.5703125" style="371" customWidth="1"/>
    <col min="1819" max="1819" width="9.85546875" style="371" customWidth="1"/>
    <col min="1820" max="2060" width="9" style="371"/>
    <col min="2061" max="2061" width="13.7109375" style="371" customWidth="1"/>
    <col min="2062" max="2062" width="18.5703125" style="371" customWidth="1"/>
    <col min="2063" max="2063" width="9.140625" style="371" customWidth="1"/>
    <col min="2064" max="2064" width="17.28515625" style="371" customWidth="1"/>
    <col min="2065" max="2065" width="11.42578125" style="371" customWidth="1"/>
    <col min="2066" max="2066" width="17.140625" style="371" customWidth="1"/>
    <col min="2067" max="2067" width="12" style="371" customWidth="1"/>
    <col min="2068" max="2068" width="17.140625" style="371" customWidth="1"/>
    <col min="2069" max="2069" width="8.85546875" style="371" customWidth="1"/>
    <col min="2070" max="2070" width="9" style="371"/>
    <col min="2071" max="2071" width="12.42578125" style="371" customWidth="1"/>
    <col min="2072" max="2072" width="10.5703125" style="371" customWidth="1"/>
    <col min="2073" max="2073" width="10.85546875" style="371" customWidth="1"/>
    <col min="2074" max="2074" width="9.5703125" style="371" customWidth="1"/>
    <col min="2075" max="2075" width="9.85546875" style="371" customWidth="1"/>
    <col min="2076" max="2316" width="9" style="371"/>
    <col min="2317" max="2317" width="13.7109375" style="371" customWidth="1"/>
    <col min="2318" max="2318" width="18.5703125" style="371" customWidth="1"/>
    <col min="2319" max="2319" width="9.140625" style="371" customWidth="1"/>
    <col min="2320" max="2320" width="17.28515625" style="371" customWidth="1"/>
    <col min="2321" max="2321" width="11.42578125" style="371" customWidth="1"/>
    <col min="2322" max="2322" width="17.140625" style="371" customWidth="1"/>
    <col min="2323" max="2323" width="12" style="371" customWidth="1"/>
    <col min="2324" max="2324" width="17.140625" style="371" customWidth="1"/>
    <col min="2325" max="2325" width="8.85546875" style="371" customWidth="1"/>
    <col min="2326" max="2326" width="9" style="371"/>
    <col min="2327" max="2327" width="12.42578125" style="371" customWidth="1"/>
    <col min="2328" max="2328" width="10.5703125" style="371" customWidth="1"/>
    <col min="2329" max="2329" width="10.85546875" style="371" customWidth="1"/>
    <col min="2330" max="2330" width="9.5703125" style="371" customWidth="1"/>
    <col min="2331" max="2331" width="9.85546875" style="371" customWidth="1"/>
    <col min="2332" max="2572" width="9" style="371"/>
    <col min="2573" max="2573" width="13.7109375" style="371" customWidth="1"/>
    <col min="2574" max="2574" width="18.5703125" style="371" customWidth="1"/>
    <col min="2575" max="2575" width="9.140625" style="371" customWidth="1"/>
    <col min="2576" max="2576" width="17.28515625" style="371" customWidth="1"/>
    <col min="2577" max="2577" width="11.42578125" style="371" customWidth="1"/>
    <col min="2578" max="2578" width="17.140625" style="371" customWidth="1"/>
    <col min="2579" max="2579" width="12" style="371" customWidth="1"/>
    <col min="2580" max="2580" width="17.140625" style="371" customWidth="1"/>
    <col min="2581" max="2581" width="8.85546875" style="371" customWidth="1"/>
    <col min="2582" max="2582" width="9" style="371"/>
    <col min="2583" max="2583" width="12.42578125" style="371" customWidth="1"/>
    <col min="2584" max="2584" width="10.5703125" style="371" customWidth="1"/>
    <col min="2585" max="2585" width="10.85546875" style="371" customWidth="1"/>
    <col min="2586" max="2586" width="9.5703125" style="371" customWidth="1"/>
    <col min="2587" max="2587" width="9.85546875" style="371" customWidth="1"/>
    <col min="2588" max="2828" width="9" style="371"/>
    <col min="2829" max="2829" width="13.7109375" style="371" customWidth="1"/>
    <col min="2830" max="2830" width="18.5703125" style="371" customWidth="1"/>
    <col min="2831" max="2831" width="9.140625" style="371" customWidth="1"/>
    <col min="2832" max="2832" width="17.28515625" style="371" customWidth="1"/>
    <col min="2833" max="2833" width="11.42578125" style="371" customWidth="1"/>
    <col min="2834" max="2834" width="17.140625" style="371" customWidth="1"/>
    <col min="2835" max="2835" width="12" style="371" customWidth="1"/>
    <col min="2836" max="2836" width="17.140625" style="371" customWidth="1"/>
    <col min="2837" max="2837" width="8.85546875" style="371" customWidth="1"/>
    <col min="2838" max="2838" width="9" style="371"/>
    <col min="2839" max="2839" width="12.42578125" style="371" customWidth="1"/>
    <col min="2840" max="2840" width="10.5703125" style="371" customWidth="1"/>
    <col min="2841" max="2841" width="10.85546875" style="371" customWidth="1"/>
    <col min="2842" max="2842" width="9.5703125" style="371" customWidth="1"/>
    <col min="2843" max="2843" width="9.85546875" style="371" customWidth="1"/>
    <col min="2844" max="3084" width="9" style="371"/>
    <col min="3085" max="3085" width="13.7109375" style="371" customWidth="1"/>
    <col min="3086" max="3086" width="18.5703125" style="371" customWidth="1"/>
    <col min="3087" max="3087" width="9.140625" style="371" customWidth="1"/>
    <col min="3088" max="3088" width="17.28515625" style="371" customWidth="1"/>
    <col min="3089" max="3089" width="11.42578125" style="371" customWidth="1"/>
    <col min="3090" max="3090" width="17.140625" style="371" customWidth="1"/>
    <col min="3091" max="3091" width="12" style="371" customWidth="1"/>
    <col min="3092" max="3092" width="17.140625" style="371" customWidth="1"/>
    <col min="3093" max="3093" width="8.85546875" style="371" customWidth="1"/>
    <col min="3094" max="3094" width="9" style="371"/>
    <col min="3095" max="3095" width="12.42578125" style="371" customWidth="1"/>
    <col min="3096" max="3096" width="10.5703125" style="371" customWidth="1"/>
    <col min="3097" max="3097" width="10.85546875" style="371" customWidth="1"/>
    <col min="3098" max="3098" width="9.5703125" style="371" customWidth="1"/>
    <col min="3099" max="3099" width="9.85546875" style="371" customWidth="1"/>
    <col min="3100" max="3340" width="9" style="371"/>
    <col min="3341" max="3341" width="13.7109375" style="371" customWidth="1"/>
    <col min="3342" max="3342" width="18.5703125" style="371" customWidth="1"/>
    <col min="3343" max="3343" width="9.140625" style="371" customWidth="1"/>
    <col min="3344" max="3344" width="17.28515625" style="371" customWidth="1"/>
    <col min="3345" max="3345" width="11.42578125" style="371" customWidth="1"/>
    <col min="3346" max="3346" width="17.140625" style="371" customWidth="1"/>
    <col min="3347" max="3347" width="12" style="371" customWidth="1"/>
    <col min="3348" max="3348" width="17.140625" style="371" customWidth="1"/>
    <col min="3349" max="3349" width="8.85546875" style="371" customWidth="1"/>
    <col min="3350" max="3350" width="9" style="371"/>
    <col min="3351" max="3351" width="12.42578125" style="371" customWidth="1"/>
    <col min="3352" max="3352" width="10.5703125" style="371" customWidth="1"/>
    <col min="3353" max="3353" width="10.85546875" style="371" customWidth="1"/>
    <col min="3354" max="3354" width="9.5703125" style="371" customWidth="1"/>
    <col min="3355" max="3355" width="9.85546875" style="371" customWidth="1"/>
    <col min="3356" max="3596" width="9" style="371"/>
    <col min="3597" max="3597" width="13.7109375" style="371" customWidth="1"/>
    <col min="3598" max="3598" width="18.5703125" style="371" customWidth="1"/>
    <col min="3599" max="3599" width="9.140625" style="371" customWidth="1"/>
    <col min="3600" max="3600" width="17.28515625" style="371" customWidth="1"/>
    <col min="3601" max="3601" width="11.42578125" style="371" customWidth="1"/>
    <col min="3602" max="3602" width="17.140625" style="371" customWidth="1"/>
    <col min="3603" max="3603" width="12" style="371" customWidth="1"/>
    <col min="3604" max="3604" width="17.140625" style="371" customWidth="1"/>
    <col min="3605" max="3605" width="8.85546875" style="371" customWidth="1"/>
    <col min="3606" max="3606" width="9" style="371"/>
    <col min="3607" max="3607" width="12.42578125" style="371" customWidth="1"/>
    <col min="3608" max="3608" width="10.5703125" style="371" customWidth="1"/>
    <col min="3609" max="3609" width="10.85546875" style="371" customWidth="1"/>
    <col min="3610" max="3610" width="9.5703125" style="371" customWidth="1"/>
    <col min="3611" max="3611" width="9.85546875" style="371" customWidth="1"/>
    <col min="3612" max="3852" width="9" style="371"/>
    <col min="3853" max="3853" width="13.7109375" style="371" customWidth="1"/>
    <col min="3854" max="3854" width="18.5703125" style="371" customWidth="1"/>
    <col min="3855" max="3855" width="9.140625" style="371" customWidth="1"/>
    <col min="3856" max="3856" width="17.28515625" style="371" customWidth="1"/>
    <col min="3857" max="3857" width="11.42578125" style="371" customWidth="1"/>
    <col min="3858" max="3858" width="17.140625" style="371" customWidth="1"/>
    <col min="3859" max="3859" width="12" style="371" customWidth="1"/>
    <col min="3860" max="3860" width="17.140625" style="371" customWidth="1"/>
    <col min="3861" max="3861" width="8.85546875" style="371" customWidth="1"/>
    <col min="3862" max="3862" width="9" style="371"/>
    <col min="3863" max="3863" width="12.42578125" style="371" customWidth="1"/>
    <col min="3864" max="3864" width="10.5703125" style="371" customWidth="1"/>
    <col min="3865" max="3865" width="10.85546875" style="371" customWidth="1"/>
    <col min="3866" max="3866" width="9.5703125" style="371" customWidth="1"/>
    <col min="3867" max="3867" width="9.85546875" style="371" customWidth="1"/>
    <col min="3868" max="4108" width="9" style="371"/>
    <col min="4109" max="4109" width="13.7109375" style="371" customWidth="1"/>
    <col min="4110" max="4110" width="18.5703125" style="371" customWidth="1"/>
    <col min="4111" max="4111" width="9.140625" style="371" customWidth="1"/>
    <col min="4112" max="4112" width="17.28515625" style="371" customWidth="1"/>
    <col min="4113" max="4113" width="11.42578125" style="371" customWidth="1"/>
    <col min="4114" max="4114" width="17.140625" style="371" customWidth="1"/>
    <col min="4115" max="4115" width="12" style="371" customWidth="1"/>
    <col min="4116" max="4116" width="17.140625" style="371" customWidth="1"/>
    <col min="4117" max="4117" width="8.85546875" style="371" customWidth="1"/>
    <col min="4118" max="4118" width="9" style="371"/>
    <col min="4119" max="4119" width="12.42578125" style="371" customWidth="1"/>
    <col min="4120" max="4120" width="10.5703125" style="371" customWidth="1"/>
    <col min="4121" max="4121" width="10.85546875" style="371" customWidth="1"/>
    <col min="4122" max="4122" width="9.5703125" style="371" customWidth="1"/>
    <col min="4123" max="4123" width="9.85546875" style="371" customWidth="1"/>
    <col min="4124" max="4364" width="9" style="371"/>
    <col min="4365" max="4365" width="13.7109375" style="371" customWidth="1"/>
    <col min="4366" max="4366" width="18.5703125" style="371" customWidth="1"/>
    <col min="4367" max="4367" width="9.140625" style="371" customWidth="1"/>
    <col min="4368" max="4368" width="17.28515625" style="371" customWidth="1"/>
    <col min="4369" max="4369" width="11.42578125" style="371" customWidth="1"/>
    <col min="4370" max="4370" width="17.140625" style="371" customWidth="1"/>
    <col min="4371" max="4371" width="12" style="371" customWidth="1"/>
    <col min="4372" max="4372" width="17.140625" style="371" customWidth="1"/>
    <col min="4373" max="4373" width="8.85546875" style="371" customWidth="1"/>
    <col min="4374" max="4374" width="9" style="371"/>
    <col min="4375" max="4375" width="12.42578125" style="371" customWidth="1"/>
    <col min="4376" max="4376" width="10.5703125" style="371" customWidth="1"/>
    <col min="4377" max="4377" width="10.85546875" style="371" customWidth="1"/>
    <col min="4378" max="4378" width="9.5703125" style="371" customWidth="1"/>
    <col min="4379" max="4379" width="9.85546875" style="371" customWidth="1"/>
    <col min="4380" max="4620" width="9" style="371"/>
    <col min="4621" max="4621" width="13.7109375" style="371" customWidth="1"/>
    <col min="4622" max="4622" width="18.5703125" style="371" customWidth="1"/>
    <col min="4623" max="4623" width="9.140625" style="371" customWidth="1"/>
    <col min="4624" max="4624" width="17.28515625" style="371" customWidth="1"/>
    <col min="4625" max="4625" width="11.42578125" style="371" customWidth="1"/>
    <col min="4626" max="4626" width="17.140625" style="371" customWidth="1"/>
    <col min="4627" max="4627" width="12" style="371" customWidth="1"/>
    <col min="4628" max="4628" width="17.140625" style="371" customWidth="1"/>
    <col min="4629" max="4629" width="8.85546875" style="371" customWidth="1"/>
    <col min="4630" max="4630" width="9" style="371"/>
    <col min="4631" max="4631" width="12.42578125" style="371" customWidth="1"/>
    <col min="4632" max="4632" width="10.5703125" style="371" customWidth="1"/>
    <col min="4633" max="4633" width="10.85546875" style="371" customWidth="1"/>
    <col min="4634" max="4634" width="9.5703125" style="371" customWidth="1"/>
    <col min="4635" max="4635" width="9.85546875" style="371" customWidth="1"/>
    <col min="4636" max="4876" width="9" style="371"/>
    <col min="4877" max="4877" width="13.7109375" style="371" customWidth="1"/>
    <col min="4878" max="4878" width="18.5703125" style="371" customWidth="1"/>
    <col min="4879" max="4879" width="9.140625" style="371" customWidth="1"/>
    <col min="4880" max="4880" width="17.28515625" style="371" customWidth="1"/>
    <col min="4881" max="4881" width="11.42578125" style="371" customWidth="1"/>
    <col min="4882" max="4882" width="17.140625" style="371" customWidth="1"/>
    <col min="4883" max="4883" width="12" style="371" customWidth="1"/>
    <col min="4884" max="4884" width="17.140625" style="371" customWidth="1"/>
    <col min="4885" max="4885" width="8.85546875" style="371" customWidth="1"/>
    <col min="4886" max="4886" width="9" style="371"/>
    <col min="4887" max="4887" width="12.42578125" style="371" customWidth="1"/>
    <col min="4888" max="4888" width="10.5703125" style="371" customWidth="1"/>
    <col min="4889" max="4889" width="10.85546875" style="371" customWidth="1"/>
    <col min="4890" max="4890" width="9.5703125" style="371" customWidth="1"/>
    <col min="4891" max="4891" width="9.85546875" style="371" customWidth="1"/>
    <col min="4892" max="5132" width="9" style="371"/>
    <col min="5133" max="5133" width="13.7109375" style="371" customWidth="1"/>
    <col min="5134" max="5134" width="18.5703125" style="371" customWidth="1"/>
    <col min="5135" max="5135" width="9.140625" style="371" customWidth="1"/>
    <col min="5136" max="5136" width="17.28515625" style="371" customWidth="1"/>
    <col min="5137" max="5137" width="11.42578125" style="371" customWidth="1"/>
    <col min="5138" max="5138" width="17.140625" style="371" customWidth="1"/>
    <col min="5139" max="5139" width="12" style="371" customWidth="1"/>
    <col min="5140" max="5140" width="17.140625" style="371" customWidth="1"/>
    <col min="5141" max="5141" width="8.85546875" style="371" customWidth="1"/>
    <col min="5142" max="5142" width="9" style="371"/>
    <col min="5143" max="5143" width="12.42578125" style="371" customWidth="1"/>
    <col min="5144" max="5144" width="10.5703125" style="371" customWidth="1"/>
    <col min="5145" max="5145" width="10.85546875" style="371" customWidth="1"/>
    <col min="5146" max="5146" width="9.5703125" style="371" customWidth="1"/>
    <col min="5147" max="5147" width="9.85546875" style="371" customWidth="1"/>
    <col min="5148" max="5388" width="9" style="371"/>
    <col min="5389" max="5389" width="13.7109375" style="371" customWidth="1"/>
    <col min="5390" max="5390" width="18.5703125" style="371" customWidth="1"/>
    <col min="5391" max="5391" width="9.140625" style="371" customWidth="1"/>
    <col min="5392" max="5392" width="17.28515625" style="371" customWidth="1"/>
    <col min="5393" max="5393" width="11.42578125" style="371" customWidth="1"/>
    <col min="5394" max="5394" width="17.140625" style="371" customWidth="1"/>
    <col min="5395" max="5395" width="12" style="371" customWidth="1"/>
    <col min="5396" max="5396" width="17.140625" style="371" customWidth="1"/>
    <col min="5397" max="5397" width="8.85546875" style="371" customWidth="1"/>
    <col min="5398" max="5398" width="9" style="371"/>
    <col min="5399" max="5399" width="12.42578125" style="371" customWidth="1"/>
    <col min="5400" max="5400" width="10.5703125" style="371" customWidth="1"/>
    <col min="5401" max="5401" width="10.85546875" style="371" customWidth="1"/>
    <col min="5402" max="5402" width="9.5703125" style="371" customWidth="1"/>
    <col min="5403" max="5403" width="9.85546875" style="371" customWidth="1"/>
    <col min="5404" max="5644" width="9" style="371"/>
    <col min="5645" max="5645" width="13.7109375" style="371" customWidth="1"/>
    <col min="5646" max="5646" width="18.5703125" style="371" customWidth="1"/>
    <col min="5647" max="5647" width="9.140625" style="371" customWidth="1"/>
    <col min="5648" max="5648" width="17.28515625" style="371" customWidth="1"/>
    <col min="5649" max="5649" width="11.42578125" style="371" customWidth="1"/>
    <col min="5650" max="5650" width="17.140625" style="371" customWidth="1"/>
    <col min="5651" max="5651" width="12" style="371" customWidth="1"/>
    <col min="5652" max="5652" width="17.140625" style="371" customWidth="1"/>
    <col min="5653" max="5653" width="8.85546875" style="371" customWidth="1"/>
    <col min="5654" max="5654" width="9" style="371"/>
    <col min="5655" max="5655" width="12.42578125" style="371" customWidth="1"/>
    <col min="5656" max="5656" width="10.5703125" style="371" customWidth="1"/>
    <col min="5657" max="5657" width="10.85546875" style="371" customWidth="1"/>
    <col min="5658" max="5658" width="9.5703125" style="371" customWidth="1"/>
    <col min="5659" max="5659" width="9.85546875" style="371" customWidth="1"/>
    <col min="5660" max="5900" width="9" style="371"/>
    <col min="5901" max="5901" width="13.7109375" style="371" customWidth="1"/>
    <col min="5902" max="5902" width="18.5703125" style="371" customWidth="1"/>
    <col min="5903" max="5903" width="9.140625" style="371" customWidth="1"/>
    <col min="5904" max="5904" width="17.28515625" style="371" customWidth="1"/>
    <col min="5905" max="5905" width="11.42578125" style="371" customWidth="1"/>
    <col min="5906" max="5906" width="17.140625" style="371" customWidth="1"/>
    <col min="5907" max="5907" width="12" style="371" customWidth="1"/>
    <col min="5908" max="5908" width="17.140625" style="371" customWidth="1"/>
    <col min="5909" max="5909" width="8.85546875" style="371" customWidth="1"/>
    <col min="5910" max="5910" width="9" style="371"/>
    <col min="5911" max="5911" width="12.42578125" style="371" customWidth="1"/>
    <col min="5912" max="5912" width="10.5703125" style="371" customWidth="1"/>
    <col min="5913" max="5913" width="10.85546875" style="371" customWidth="1"/>
    <col min="5914" max="5914" width="9.5703125" style="371" customWidth="1"/>
    <col min="5915" max="5915" width="9.85546875" style="371" customWidth="1"/>
    <col min="5916" max="6156" width="9" style="371"/>
    <col min="6157" max="6157" width="13.7109375" style="371" customWidth="1"/>
    <col min="6158" max="6158" width="18.5703125" style="371" customWidth="1"/>
    <col min="6159" max="6159" width="9.140625" style="371" customWidth="1"/>
    <col min="6160" max="6160" width="17.28515625" style="371" customWidth="1"/>
    <col min="6161" max="6161" width="11.42578125" style="371" customWidth="1"/>
    <col min="6162" max="6162" width="17.140625" style="371" customWidth="1"/>
    <col min="6163" max="6163" width="12" style="371" customWidth="1"/>
    <col min="6164" max="6164" width="17.140625" style="371" customWidth="1"/>
    <col min="6165" max="6165" width="8.85546875" style="371" customWidth="1"/>
    <col min="6166" max="6166" width="9" style="371"/>
    <col min="6167" max="6167" width="12.42578125" style="371" customWidth="1"/>
    <col min="6168" max="6168" width="10.5703125" style="371" customWidth="1"/>
    <col min="6169" max="6169" width="10.85546875" style="371" customWidth="1"/>
    <col min="6170" max="6170" width="9.5703125" style="371" customWidth="1"/>
    <col min="6171" max="6171" width="9.85546875" style="371" customWidth="1"/>
    <col min="6172" max="6412" width="9" style="371"/>
    <col min="6413" max="6413" width="13.7109375" style="371" customWidth="1"/>
    <col min="6414" max="6414" width="18.5703125" style="371" customWidth="1"/>
    <col min="6415" max="6415" width="9.140625" style="371" customWidth="1"/>
    <col min="6416" max="6416" width="17.28515625" style="371" customWidth="1"/>
    <col min="6417" max="6417" width="11.42578125" style="371" customWidth="1"/>
    <col min="6418" max="6418" width="17.140625" style="371" customWidth="1"/>
    <col min="6419" max="6419" width="12" style="371" customWidth="1"/>
    <col min="6420" max="6420" width="17.140625" style="371" customWidth="1"/>
    <col min="6421" max="6421" width="8.85546875" style="371" customWidth="1"/>
    <col min="6422" max="6422" width="9" style="371"/>
    <col min="6423" max="6423" width="12.42578125" style="371" customWidth="1"/>
    <col min="6424" max="6424" width="10.5703125" style="371" customWidth="1"/>
    <col min="6425" max="6425" width="10.85546875" style="371" customWidth="1"/>
    <col min="6426" max="6426" width="9.5703125" style="371" customWidth="1"/>
    <col min="6427" max="6427" width="9.85546875" style="371" customWidth="1"/>
    <col min="6428" max="6668" width="9" style="371"/>
    <col min="6669" max="6669" width="13.7109375" style="371" customWidth="1"/>
    <col min="6670" max="6670" width="18.5703125" style="371" customWidth="1"/>
    <col min="6671" max="6671" width="9.140625" style="371" customWidth="1"/>
    <col min="6672" max="6672" width="17.28515625" style="371" customWidth="1"/>
    <col min="6673" max="6673" width="11.42578125" style="371" customWidth="1"/>
    <col min="6674" max="6674" width="17.140625" style="371" customWidth="1"/>
    <col min="6675" max="6675" width="12" style="371" customWidth="1"/>
    <col min="6676" max="6676" width="17.140625" style="371" customWidth="1"/>
    <col min="6677" max="6677" width="8.85546875" style="371" customWidth="1"/>
    <col min="6678" max="6678" width="9" style="371"/>
    <col min="6679" max="6679" width="12.42578125" style="371" customWidth="1"/>
    <col min="6680" max="6680" width="10.5703125" style="371" customWidth="1"/>
    <col min="6681" max="6681" width="10.85546875" style="371" customWidth="1"/>
    <col min="6682" max="6682" width="9.5703125" style="371" customWidth="1"/>
    <col min="6683" max="6683" width="9.85546875" style="371" customWidth="1"/>
    <col min="6684" max="6924" width="9" style="371"/>
    <col min="6925" max="6925" width="13.7109375" style="371" customWidth="1"/>
    <col min="6926" max="6926" width="18.5703125" style="371" customWidth="1"/>
    <col min="6927" max="6927" width="9.140625" style="371" customWidth="1"/>
    <col min="6928" max="6928" width="17.28515625" style="371" customWidth="1"/>
    <col min="6929" max="6929" width="11.42578125" style="371" customWidth="1"/>
    <col min="6930" max="6930" width="17.140625" style="371" customWidth="1"/>
    <col min="6931" max="6931" width="12" style="371" customWidth="1"/>
    <col min="6932" max="6932" width="17.140625" style="371" customWidth="1"/>
    <col min="6933" max="6933" width="8.85546875" style="371" customWidth="1"/>
    <col min="6934" max="6934" width="9" style="371"/>
    <col min="6935" max="6935" width="12.42578125" style="371" customWidth="1"/>
    <col min="6936" max="6936" width="10.5703125" style="371" customWidth="1"/>
    <col min="6937" max="6937" width="10.85546875" style="371" customWidth="1"/>
    <col min="6938" max="6938" width="9.5703125" style="371" customWidth="1"/>
    <col min="6939" max="6939" width="9.85546875" style="371" customWidth="1"/>
    <col min="6940" max="7180" width="9" style="371"/>
    <col min="7181" max="7181" width="13.7109375" style="371" customWidth="1"/>
    <col min="7182" max="7182" width="18.5703125" style="371" customWidth="1"/>
    <col min="7183" max="7183" width="9.140625" style="371" customWidth="1"/>
    <col min="7184" max="7184" width="17.28515625" style="371" customWidth="1"/>
    <col min="7185" max="7185" width="11.42578125" style="371" customWidth="1"/>
    <col min="7186" max="7186" width="17.140625" style="371" customWidth="1"/>
    <col min="7187" max="7187" width="12" style="371" customWidth="1"/>
    <col min="7188" max="7188" width="17.140625" style="371" customWidth="1"/>
    <col min="7189" max="7189" width="8.85546875" style="371" customWidth="1"/>
    <col min="7190" max="7190" width="9" style="371"/>
    <col min="7191" max="7191" width="12.42578125" style="371" customWidth="1"/>
    <col min="7192" max="7192" width="10.5703125" style="371" customWidth="1"/>
    <col min="7193" max="7193" width="10.85546875" style="371" customWidth="1"/>
    <col min="7194" max="7194" width="9.5703125" style="371" customWidth="1"/>
    <col min="7195" max="7195" width="9.85546875" style="371" customWidth="1"/>
    <col min="7196" max="7436" width="9" style="371"/>
    <col min="7437" max="7437" width="13.7109375" style="371" customWidth="1"/>
    <col min="7438" max="7438" width="18.5703125" style="371" customWidth="1"/>
    <col min="7439" max="7439" width="9.140625" style="371" customWidth="1"/>
    <col min="7440" max="7440" width="17.28515625" style="371" customWidth="1"/>
    <col min="7441" max="7441" width="11.42578125" style="371" customWidth="1"/>
    <col min="7442" max="7442" width="17.140625" style="371" customWidth="1"/>
    <col min="7443" max="7443" width="12" style="371" customWidth="1"/>
    <col min="7444" max="7444" width="17.140625" style="371" customWidth="1"/>
    <col min="7445" max="7445" width="8.85546875" style="371" customWidth="1"/>
    <col min="7446" max="7446" width="9" style="371"/>
    <col min="7447" max="7447" width="12.42578125" style="371" customWidth="1"/>
    <col min="7448" max="7448" width="10.5703125" style="371" customWidth="1"/>
    <col min="7449" max="7449" width="10.85546875" style="371" customWidth="1"/>
    <col min="7450" max="7450" width="9.5703125" style="371" customWidth="1"/>
    <col min="7451" max="7451" width="9.85546875" style="371" customWidth="1"/>
    <col min="7452" max="7692" width="9" style="371"/>
    <col min="7693" max="7693" width="13.7109375" style="371" customWidth="1"/>
    <col min="7694" max="7694" width="18.5703125" style="371" customWidth="1"/>
    <col min="7695" max="7695" width="9.140625" style="371" customWidth="1"/>
    <col min="7696" max="7696" width="17.28515625" style="371" customWidth="1"/>
    <col min="7697" max="7697" width="11.42578125" style="371" customWidth="1"/>
    <col min="7698" max="7698" width="17.140625" style="371" customWidth="1"/>
    <col min="7699" max="7699" width="12" style="371" customWidth="1"/>
    <col min="7700" max="7700" width="17.140625" style="371" customWidth="1"/>
    <col min="7701" max="7701" width="8.85546875" style="371" customWidth="1"/>
    <col min="7702" max="7702" width="9" style="371"/>
    <col min="7703" max="7703" width="12.42578125" style="371" customWidth="1"/>
    <col min="7704" max="7704" width="10.5703125" style="371" customWidth="1"/>
    <col min="7705" max="7705" width="10.85546875" style="371" customWidth="1"/>
    <col min="7706" max="7706" width="9.5703125" style="371" customWidth="1"/>
    <col min="7707" max="7707" width="9.85546875" style="371" customWidth="1"/>
    <col min="7708" max="7948" width="9" style="371"/>
    <col min="7949" max="7949" width="13.7109375" style="371" customWidth="1"/>
    <col min="7950" max="7950" width="18.5703125" style="371" customWidth="1"/>
    <col min="7951" max="7951" width="9.140625" style="371" customWidth="1"/>
    <col min="7952" max="7952" width="17.28515625" style="371" customWidth="1"/>
    <col min="7953" max="7953" width="11.42578125" style="371" customWidth="1"/>
    <col min="7954" max="7954" width="17.140625" style="371" customWidth="1"/>
    <col min="7955" max="7955" width="12" style="371" customWidth="1"/>
    <col min="7956" max="7956" width="17.140625" style="371" customWidth="1"/>
    <col min="7957" max="7957" width="8.85546875" style="371" customWidth="1"/>
    <col min="7958" max="7958" width="9" style="371"/>
    <col min="7959" max="7959" width="12.42578125" style="371" customWidth="1"/>
    <col min="7960" max="7960" width="10.5703125" style="371" customWidth="1"/>
    <col min="7961" max="7961" width="10.85546875" style="371" customWidth="1"/>
    <col min="7962" max="7962" width="9.5703125" style="371" customWidth="1"/>
    <col min="7963" max="7963" width="9.85546875" style="371" customWidth="1"/>
    <col min="7964" max="8204" width="9" style="371"/>
    <col min="8205" max="8205" width="13.7109375" style="371" customWidth="1"/>
    <col min="8206" max="8206" width="18.5703125" style="371" customWidth="1"/>
    <col min="8207" max="8207" width="9.140625" style="371" customWidth="1"/>
    <col min="8208" max="8208" width="17.28515625" style="371" customWidth="1"/>
    <col min="8209" max="8209" width="11.42578125" style="371" customWidth="1"/>
    <col min="8210" max="8210" width="17.140625" style="371" customWidth="1"/>
    <col min="8211" max="8211" width="12" style="371" customWidth="1"/>
    <col min="8212" max="8212" width="17.140625" style="371" customWidth="1"/>
    <col min="8213" max="8213" width="8.85546875" style="371" customWidth="1"/>
    <col min="8214" max="8214" width="9" style="371"/>
    <col min="8215" max="8215" width="12.42578125" style="371" customWidth="1"/>
    <col min="8216" max="8216" width="10.5703125" style="371" customWidth="1"/>
    <col min="8217" max="8217" width="10.85546875" style="371" customWidth="1"/>
    <col min="8218" max="8218" width="9.5703125" style="371" customWidth="1"/>
    <col min="8219" max="8219" width="9.85546875" style="371" customWidth="1"/>
    <col min="8220" max="8460" width="9" style="371"/>
    <col min="8461" max="8461" width="13.7109375" style="371" customWidth="1"/>
    <col min="8462" max="8462" width="18.5703125" style="371" customWidth="1"/>
    <col min="8463" max="8463" width="9.140625" style="371" customWidth="1"/>
    <col min="8464" max="8464" width="17.28515625" style="371" customWidth="1"/>
    <col min="8465" max="8465" width="11.42578125" style="371" customWidth="1"/>
    <col min="8466" max="8466" width="17.140625" style="371" customWidth="1"/>
    <col min="8467" max="8467" width="12" style="371" customWidth="1"/>
    <col min="8468" max="8468" width="17.140625" style="371" customWidth="1"/>
    <col min="8469" max="8469" width="8.85546875" style="371" customWidth="1"/>
    <col min="8470" max="8470" width="9" style="371"/>
    <col min="8471" max="8471" width="12.42578125" style="371" customWidth="1"/>
    <col min="8472" max="8472" width="10.5703125" style="371" customWidth="1"/>
    <col min="8473" max="8473" width="10.85546875" style="371" customWidth="1"/>
    <col min="8474" max="8474" width="9.5703125" style="371" customWidth="1"/>
    <col min="8475" max="8475" width="9.85546875" style="371" customWidth="1"/>
    <col min="8476" max="8716" width="9" style="371"/>
    <col min="8717" max="8717" width="13.7109375" style="371" customWidth="1"/>
    <col min="8718" max="8718" width="18.5703125" style="371" customWidth="1"/>
    <col min="8719" max="8719" width="9.140625" style="371" customWidth="1"/>
    <col min="8720" max="8720" width="17.28515625" style="371" customWidth="1"/>
    <col min="8721" max="8721" width="11.42578125" style="371" customWidth="1"/>
    <col min="8722" max="8722" width="17.140625" style="371" customWidth="1"/>
    <col min="8723" max="8723" width="12" style="371" customWidth="1"/>
    <col min="8724" max="8724" width="17.140625" style="371" customWidth="1"/>
    <col min="8725" max="8725" width="8.85546875" style="371" customWidth="1"/>
    <col min="8726" max="8726" width="9" style="371"/>
    <col min="8727" max="8727" width="12.42578125" style="371" customWidth="1"/>
    <col min="8728" max="8728" width="10.5703125" style="371" customWidth="1"/>
    <col min="8729" max="8729" width="10.85546875" style="371" customWidth="1"/>
    <col min="8730" max="8730" width="9.5703125" style="371" customWidth="1"/>
    <col min="8731" max="8731" width="9.85546875" style="371" customWidth="1"/>
    <col min="8732" max="8972" width="9" style="371"/>
    <col min="8973" max="8973" width="13.7109375" style="371" customWidth="1"/>
    <col min="8974" max="8974" width="18.5703125" style="371" customWidth="1"/>
    <col min="8975" max="8975" width="9.140625" style="371" customWidth="1"/>
    <col min="8976" max="8976" width="17.28515625" style="371" customWidth="1"/>
    <col min="8977" max="8977" width="11.42578125" style="371" customWidth="1"/>
    <col min="8978" max="8978" width="17.140625" style="371" customWidth="1"/>
    <col min="8979" max="8979" width="12" style="371" customWidth="1"/>
    <col min="8980" max="8980" width="17.140625" style="371" customWidth="1"/>
    <col min="8981" max="8981" width="8.85546875" style="371" customWidth="1"/>
    <col min="8982" max="8982" width="9" style="371"/>
    <col min="8983" max="8983" width="12.42578125" style="371" customWidth="1"/>
    <col min="8984" max="8984" width="10.5703125" style="371" customWidth="1"/>
    <col min="8985" max="8985" width="10.85546875" style="371" customWidth="1"/>
    <col min="8986" max="8986" width="9.5703125" style="371" customWidth="1"/>
    <col min="8987" max="8987" width="9.85546875" style="371" customWidth="1"/>
    <col min="8988" max="9228" width="9" style="371"/>
    <col min="9229" max="9229" width="13.7109375" style="371" customWidth="1"/>
    <col min="9230" max="9230" width="18.5703125" style="371" customWidth="1"/>
    <col min="9231" max="9231" width="9.140625" style="371" customWidth="1"/>
    <col min="9232" max="9232" width="17.28515625" style="371" customWidth="1"/>
    <col min="9233" max="9233" width="11.42578125" style="371" customWidth="1"/>
    <col min="9234" max="9234" width="17.140625" style="371" customWidth="1"/>
    <col min="9235" max="9235" width="12" style="371" customWidth="1"/>
    <col min="9236" max="9236" width="17.140625" style="371" customWidth="1"/>
    <col min="9237" max="9237" width="8.85546875" style="371" customWidth="1"/>
    <col min="9238" max="9238" width="9" style="371"/>
    <col min="9239" max="9239" width="12.42578125" style="371" customWidth="1"/>
    <col min="9240" max="9240" width="10.5703125" style="371" customWidth="1"/>
    <col min="9241" max="9241" width="10.85546875" style="371" customWidth="1"/>
    <col min="9242" max="9242" width="9.5703125" style="371" customWidth="1"/>
    <col min="9243" max="9243" width="9.85546875" style="371" customWidth="1"/>
    <col min="9244" max="9484" width="9" style="371"/>
    <col min="9485" max="9485" width="13.7109375" style="371" customWidth="1"/>
    <col min="9486" max="9486" width="18.5703125" style="371" customWidth="1"/>
    <col min="9487" max="9487" width="9.140625" style="371" customWidth="1"/>
    <col min="9488" max="9488" width="17.28515625" style="371" customWidth="1"/>
    <col min="9489" max="9489" width="11.42578125" style="371" customWidth="1"/>
    <col min="9490" max="9490" width="17.140625" style="371" customWidth="1"/>
    <col min="9491" max="9491" width="12" style="371" customWidth="1"/>
    <col min="9492" max="9492" width="17.140625" style="371" customWidth="1"/>
    <col min="9493" max="9493" width="8.85546875" style="371" customWidth="1"/>
    <col min="9494" max="9494" width="9" style="371"/>
    <col min="9495" max="9495" width="12.42578125" style="371" customWidth="1"/>
    <col min="9496" max="9496" width="10.5703125" style="371" customWidth="1"/>
    <col min="9497" max="9497" width="10.85546875" style="371" customWidth="1"/>
    <col min="9498" max="9498" width="9.5703125" style="371" customWidth="1"/>
    <col min="9499" max="9499" width="9.85546875" style="371" customWidth="1"/>
    <col min="9500" max="9740" width="9" style="371"/>
    <col min="9741" max="9741" width="13.7109375" style="371" customWidth="1"/>
    <col min="9742" max="9742" width="18.5703125" style="371" customWidth="1"/>
    <col min="9743" max="9743" width="9.140625" style="371" customWidth="1"/>
    <col min="9744" max="9744" width="17.28515625" style="371" customWidth="1"/>
    <col min="9745" max="9745" width="11.42578125" style="371" customWidth="1"/>
    <col min="9746" max="9746" width="17.140625" style="371" customWidth="1"/>
    <col min="9747" max="9747" width="12" style="371" customWidth="1"/>
    <col min="9748" max="9748" width="17.140625" style="371" customWidth="1"/>
    <col min="9749" max="9749" width="8.85546875" style="371" customWidth="1"/>
    <col min="9750" max="9750" width="9" style="371"/>
    <col min="9751" max="9751" width="12.42578125" style="371" customWidth="1"/>
    <col min="9752" max="9752" width="10.5703125" style="371" customWidth="1"/>
    <col min="9753" max="9753" width="10.85546875" style="371" customWidth="1"/>
    <col min="9754" max="9754" width="9.5703125" style="371" customWidth="1"/>
    <col min="9755" max="9755" width="9.85546875" style="371" customWidth="1"/>
    <col min="9756" max="9996" width="9" style="371"/>
    <col min="9997" max="9997" width="13.7109375" style="371" customWidth="1"/>
    <col min="9998" max="9998" width="18.5703125" style="371" customWidth="1"/>
    <col min="9999" max="9999" width="9.140625" style="371" customWidth="1"/>
    <col min="10000" max="10000" width="17.28515625" style="371" customWidth="1"/>
    <col min="10001" max="10001" width="11.42578125" style="371" customWidth="1"/>
    <col min="10002" max="10002" width="17.140625" style="371" customWidth="1"/>
    <col min="10003" max="10003" width="12" style="371" customWidth="1"/>
    <col min="10004" max="10004" width="17.140625" style="371" customWidth="1"/>
    <col min="10005" max="10005" width="8.85546875" style="371" customWidth="1"/>
    <col min="10006" max="10006" width="9" style="371"/>
    <col min="10007" max="10007" width="12.42578125" style="371" customWidth="1"/>
    <col min="10008" max="10008" width="10.5703125" style="371" customWidth="1"/>
    <col min="10009" max="10009" width="10.85546875" style="371" customWidth="1"/>
    <col min="10010" max="10010" width="9.5703125" style="371" customWidth="1"/>
    <col min="10011" max="10011" width="9.85546875" style="371" customWidth="1"/>
    <col min="10012" max="10252" width="9" style="371"/>
    <col min="10253" max="10253" width="13.7109375" style="371" customWidth="1"/>
    <col min="10254" max="10254" width="18.5703125" style="371" customWidth="1"/>
    <col min="10255" max="10255" width="9.140625" style="371" customWidth="1"/>
    <col min="10256" max="10256" width="17.28515625" style="371" customWidth="1"/>
    <col min="10257" max="10257" width="11.42578125" style="371" customWidth="1"/>
    <col min="10258" max="10258" width="17.140625" style="371" customWidth="1"/>
    <col min="10259" max="10259" width="12" style="371" customWidth="1"/>
    <col min="10260" max="10260" width="17.140625" style="371" customWidth="1"/>
    <col min="10261" max="10261" width="8.85546875" style="371" customWidth="1"/>
    <col min="10262" max="10262" width="9" style="371"/>
    <col min="10263" max="10263" width="12.42578125" style="371" customWidth="1"/>
    <col min="10264" max="10264" width="10.5703125" style="371" customWidth="1"/>
    <col min="10265" max="10265" width="10.85546875" style="371" customWidth="1"/>
    <col min="10266" max="10266" width="9.5703125" style="371" customWidth="1"/>
    <col min="10267" max="10267" width="9.85546875" style="371" customWidth="1"/>
    <col min="10268" max="10508" width="9" style="371"/>
    <col min="10509" max="10509" width="13.7109375" style="371" customWidth="1"/>
    <col min="10510" max="10510" width="18.5703125" style="371" customWidth="1"/>
    <col min="10511" max="10511" width="9.140625" style="371" customWidth="1"/>
    <col min="10512" max="10512" width="17.28515625" style="371" customWidth="1"/>
    <col min="10513" max="10513" width="11.42578125" style="371" customWidth="1"/>
    <col min="10514" max="10514" width="17.140625" style="371" customWidth="1"/>
    <col min="10515" max="10515" width="12" style="371" customWidth="1"/>
    <col min="10516" max="10516" width="17.140625" style="371" customWidth="1"/>
    <col min="10517" max="10517" width="8.85546875" style="371" customWidth="1"/>
    <col min="10518" max="10518" width="9" style="371"/>
    <col min="10519" max="10519" width="12.42578125" style="371" customWidth="1"/>
    <col min="10520" max="10520" width="10.5703125" style="371" customWidth="1"/>
    <col min="10521" max="10521" width="10.85546875" style="371" customWidth="1"/>
    <col min="10522" max="10522" width="9.5703125" style="371" customWidth="1"/>
    <col min="10523" max="10523" width="9.85546875" style="371" customWidth="1"/>
    <col min="10524" max="10764" width="9" style="371"/>
    <col min="10765" max="10765" width="13.7109375" style="371" customWidth="1"/>
    <col min="10766" max="10766" width="18.5703125" style="371" customWidth="1"/>
    <col min="10767" max="10767" width="9.140625" style="371" customWidth="1"/>
    <col min="10768" max="10768" width="17.28515625" style="371" customWidth="1"/>
    <col min="10769" max="10769" width="11.42578125" style="371" customWidth="1"/>
    <col min="10770" max="10770" width="17.140625" style="371" customWidth="1"/>
    <col min="10771" max="10771" width="12" style="371" customWidth="1"/>
    <col min="10772" max="10772" width="17.140625" style="371" customWidth="1"/>
    <col min="10773" max="10773" width="8.85546875" style="371" customWidth="1"/>
    <col min="10774" max="10774" width="9" style="371"/>
    <col min="10775" max="10775" width="12.42578125" style="371" customWidth="1"/>
    <col min="10776" max="10776" width="10.5703125" style="371" customWidth="1"/>
    <col min="10777" max="10777" width="10.85546875" style="371" customWidth="1"/>
    <col min="10778" max="10778" width="9.5703125" style="371" customWidth="1"/>
    <col min="10779" max="10779" width="9.85546875" style="371" customWidth="1"/>
    <col min="10780" max="11020" width="9" style="371"/>
    <col min="11021" max="11021" width="13.7109375" style="371" customWidth="1"/>
    <col min="11022" max="11022" width="18.5703125" style="371" customWidth="1"/>
    <col min="11023" max="11023" width="9.140625" style="371" customWidth="1"/>
    <col min="11024" max="11024" width="17.28515625" style="371" customWidth="1"/>
    <col min="11025" max="11025" width="11.42578125" style="371" customWidth="1"/>
    <col min="11026" max="11026" width="17.140625" style="371" customWidth="1"/>
    <col min="11027" max="11027" width="12" style="371" customWidth="1"/>
    <col min="11028" max="11028" width="17.140625" style="371" customWidth="1"/>
    <col min="11029" max="11029" width="8.85546875" style="371" customWidth="1"/>
    <col min="11030" max="11030" width="9" style="371"/>
    <col min="11031" max="11031" width="12.42578125" style="371" customWidth="1"/>
    <col min="11032" max="11032" width="10.5703125" style="371" customWidth="1"/>
    <col min="11033" max="11033" width="10.85546875" style="371" customWidth="1"/>
    <col min="11034" max="11034" width="9.5703125" style="371" customWidth="1"/>
    <col min="11035" max="11035" width="9.85546875" style="371" customWidth="1"/>
    <col min="11036" max="11276" width="9" style="371"/>
    <col min="11277" max="11277" width="13.7109375" style="371" customWidth="1"/>
    <col min="11278" max="11278" width="18.5703125" style="371" customWidth="1"/>
    <col min="11279" max="11279" width="9.140625" style="371" customWidth="1"/>
    <col min="11280" max="11280" width="17.28515625" style="371" customWidth="1"/>
    <col min="11281" max="11281" width="11.42578125" style="371" customWidth="1"/>
    <col min="11282" max="11282" width="17.140625" style="371" customWidth="1"/>
    <col min="11283" max="11283" width="12" style="371" customWidth="1"/>
    <col min="11284" max="11284" width="17.140625" style="371" customWidth="1"/>
    <col min="11285" max="11285" width="8.85546875" style="371" customWidth="1"/>
    <col min="11286" max="11286" width="9" style="371"/>
    <col min="11287" max="11287" width="12.42578125" style="371" customWidth="1"/>
    <col min="11288" max="11288" width="10.5703125" style="371" customWidth="1"/>
    <col min="11289" max="11289" width="10.85546875" style="371" customWidth="1"/>
    <col min="11290" max="11290" width="9.5703125" style="371" customWidth="1"/>
    <col min="11291" max="11291" width="9.85546875" style="371" customWidth="1"/>
    <col min="11292" max="11532" width="9" style="371"/>
    <col min="11533" max="11533" width="13.7109375" style="371" customWidth="1"/>
    <col min="11534" max="11534" width="18.5703125" style="371" customWidth="1"/>
    <col min="11535" max="11535" width="9.140625" style="371" customWidth="1"/>
    <col min="11536" max="11536" width="17.28515625" style="371" customWidth="1"/>
    <col min="11537" max="11537" width="11.42578125" style="371" customWidth="1"/>
    <col min="11538" max="11538" width="17.140625" style="371" customWidth="1"/>
    <col min="11539" max="11539" width="12" style="371" customWidth="1"/>
    <col min="11540" max="11540" width="17.140625" style="371" customWidth="1"/>
    <col min="11541" max="11541" width="8.85546875" style="371" customWidth="1"/>
    <col min="11542" max="11542" width="9" style="371"/>
    <col min="11543" max="11543" width="12.42578125" style="371" customWidth="1"/>
    <col min="11544" max="11544" width="10.5703125" style="371" customWidth="1"/>
    <col min="11545" max="11545" width="10.85546875" style="371" customWidth="1"/>
    <col min="11546" max="11546" width="9.5703125" style="371" customWidth="1"/>
    <col min="11547" max="11547" width="9.85546875" style="371" customWidth="1"/>
    <col min="11548" max="11788" width="9" style="371"/>
    <col min="11789" max="11789" width="13.7109375" style="371" customWidth="1"/>
    <col min="11790" max="11790" width="18.5703125" style="371" customWidth="1"/>
    <col min="11791" max="11791" width="9.140625" style="371" customWidth="1"/>
    <col min="11792" max="11792" width="17.28515625" style="371" customWidth="1"/>
    <col min="11793" max="11793" width="11.42578125" style="371" customWidth="1"/>
    <col min="11794" max="11794" width="17.140625" style="371" customWidth="1"/>
    <col min="11795" max="11795" width="12" style="371" customWidth="1"/>
    <col min="11796" max="11796" width="17.140625" style="371" customWidth="1"/>
    <col min="11797" max="11797" width="8.85546875" style="371" customWidth="1"/>
    <col min="11798" max="11798" width="9" style="371"/>
    <col min="11799" max="11799" width="12.42578125" style="371" customWidth="1"/>
    <col min="11800" max="11800" width="10.5703125" style="371" customWidth="1"/>
    <col min="11801" max="11801" width="10.85546875" style="371" customWidth="1"/>
    <col min="11802" max="11802" width="9.5703125" style="371" customWidth="1"/>
    <col min="11803" max="11803" width="9.85546875" style="371" customWidth="1"/>
    <col min="11804" max="12044" width="9" style="371"/>
    <col min="12045" max="12045" width="13.7109375" style="371" customWidth="1"/>
    <col min="12046" max="12046" width="18.5703125" style="371" customWidth="1"/>
    <col min="12047" max="12047" width="9.140625" style="371" customWidth="1"/>
    <col min="12048" max="12048" width="17.28515625" style="371" customWidth="1"/>
    <col min="12049" max="12049" width="11.42578125" style="371" customWidth="1"/>
    <col min="12050" max="12050" width="17.140625" style="371" customWidth="1"/>
    <col min="12051" max="12051" width="12" style="371" customWidth="1"/>
    <col min="12052" max="12052" width="17.140625" style="371" customWidth="1"/>
    <col min="12053" max="12053" width="8.85546875" style="371" customWidth="1"/>
    <col min="12054" max="12054" width="9" style="371"/>
    <col min="12055" max="12055" width="12.42578125" style="371" customWidth="1"/>
    <col min="12056" max="12056" width="10.5703125" style="371" customWidth="1"/>
    <col min="12057" max="12057" width="10.85546875" style="371" customWidth="1"/>
    <col min="12058" max="12058" width="9.5703125" style="371" customWidth="1"/>
    <col min="12059" max="12059" width="9.85546875" style="371" customWidth="1"/>
    <col min="12060" max="12300" width="9" style="371"/>
    <col min="12301" max="12301" width="13.7109375" style="371" customWidth="1"/>
    <col min="12302" max="12302" width="18.5703125" style="371" customWidth="1"/>
    <col min="12303" max="12303" width="9.140625" style="371" customWidth="1"/>
    <col min="12304" max="12304" width="17.28515625" style="371" customWidth="1"/>
    <col min="12305" max="12305" width="11.42578125" style="371" customWidth="1"/>
    <col min="12306" max="12306" width="17.140625" style="371" customWidth="1"/>
    <col min="12307" max="12307" width="12" style="371" customWidth="1"/>
    <col min="12308" max="12308" width="17.140625" style="371" customWidth="1"/>
    <col min="12309" max="12309" width="8.85546875" style="371" customWidth="1"/>
    <col min="12310" max="12310" width="9" style="371"/>
    <col min="12311" max="12311" width="12.42578125" style="371" customWidth="1"/>
    <col min="12312" max="12312" width="10.5703125" style="371" customWidth="1"/>
    <col min="12313" max="12313" width="10.85546875" style="371" customWidth="1"/>
    <col min="12314" max="12314" width="9.5703125" style="371" customWidth="1"/>
    <col min="12315" max="12315" width="9.85546875" style="371" customWidth="1"/>
    <col min="12316" max="12556" width="9" style="371"/>
    <col min="12557" max="12557" width="13.7109375" style="371" customWidth="1"/>
    <col min="12558" max="12558" width="18.5703125" style="371" customWidth="1"/>
    <col min="12559" max="12559" width="9.140625" style="371" customWidth="1"/>
    <col min="12560" max="12560" width="17.28515625" style="371" customWidth="1"/>
    <col min="12561" max="12561" width="11.42578125" style="371" customWidth="1"/>
    <col min="12562" max="12562" width="17.140625" style="371" customWidth="1"/>
    <col min="12563" max="12563" width="12" style="371" customWidth="1"/>
    <col min="12564" max="12564" width="17.140625" style="371" customWidth="1"/>
    <col min="12565" max="12565" width="8.85546875" style="371" customWidth="1"/>
    <col min="12566" max="12566" width="9" style="371"/>
    <col min="12567" max="12567" width="12.42578125" style="371" customWidth="1"/>
    <col min="12568" max="12568" width="10.5703125" style="371" customWidth="1"/>
    <col min="12569" max="12569" width="10.85546875" style="371" customWidth="1"/>
    <col min="12570" max="12570" width="9.5703125" style="371" customWidth="1"/>
    <col min="12571" max="12571" width="9.85546875" style="371" customWidth="1"/>
    <col min="12572" max="12812" width="9" style="371"/>
    <col min="12813" max="12813" width="13.7109375" style="371" customWidth="1"/>
    <col min="12814" max="12814" width="18.5703125" style="371" customWidth="1"/>
    <col min="12815" max="12815" width="9.140625" style="371" customWidth="1"/>
    <col min="12816" max="12816" width="17.28515625" style="371" customWidth="1"/>
    <col min="12817" max="12817" width="11.42578125" style="371" customWidth="1"/>
    <col min="12818" max="12818" width="17.140625" style="371" customWidth="1"/>
    <col min="12819" max="12819" width="12" style="371" customWidth="1"/>
    <col min="12820" max="12820" width="17.140625" style="371" customWidth="1"/>
    <col min="12821" max="12821" width="8.85546875" style="371" customWidth="1"/>
    <col min="12822" max="12822" width="9" style="371"/>
    <col min="12823" max="12823" width="12.42578125" style="371" customWidth="1"/>
    <col min="12824" max="12824" width="10.5703125" style="371" customWidth="1"/>
    <col min="12825" max="12825" width="10.85546875" style="371" customWidth="1"/>
    <col min="12826" max="12826" width="9.5703125" style="371" customWidth="1"/>
    <col min="12827" max="12827" width="9.85546875" style="371" customWidth="1"/>
    <col min="12828" max="13068" width="9" style="371"/>
    <col min="13069" max="13069" width="13.7109375" style="371" customWidth="1"/>
    <col min="13070" max="13070" width="18.5703125" style="371" customWidth="1"/>
    <col min="13071" max="13071" width="9.140625" style="371" customWidth="1"/>
    <col min="13072" max="13072" width="17.28515625" style="371" customWidth="1"/>
    <col min="13073" max="13073" width="11.42578125" style="371" customWidth="1"/>
    <col min="13074" max="13074" width="17.140625" style="371" customWidth="1"/>
    <col min="13075" max="13075" width="12" style="371" customWidth="1"/>
    <col min="13076" max="13076" width="17.140625" style="371" customWidth="1"/>
    <col min="13077" max="13077" width="8.85546875" style="371" customWidth="1"/>
    <col min="13078" max="13078" width="9" style="371"/>
    <col min="13079" max="13079" width="12.42578125" style="371" customWidth="1"/>
    <col min="13080" max="13080" width="10.5703125" style="371" customWidth="1"/>
    <col min="13081" max="13081" width="10.85546875" style="371" customWidth="1"/>
    <col min="13082" max="13082" width="9.5703125" style="371" customWidth="1"/>
    <col min="13083" max="13083" width="9.85546875" style="371" customWidth="1"/>
    <col min="13084" max="13324" width="9" style="371"/>
    <col min="13325" max="13325" width="13.7109375" style="371" customWidth="1"/>
    <col min="13326" max="13326" width="18.5703125" style="371" customWidth="1"/>
    <col min="13327" max="13327" width="9.140625" style="371" customWidth="1"/>
    <col min="13328" max="13328" width="17.28515625" style="371" customWidth="1"/>
    <col min="13329" max="13329" width="11.42578125" style="371" customWidth="1"/>
    <col min="13330" max="13330" width="17.140625" style="371" customWidth="1"/>
    <col min="13331" max="13331" width="12" style="371" customWidth="1"/>
    <col min="13332" max="13332" width="17.140625" style="371" customWidth="1"/>
    <col min="13333" max="13333" width="8.85546875" style="371" customWidth="1"/>
    <col min="13334" max="13334" width="9" style="371"/>
    <col min="13335" max="13335" width="12.42578125" style="371" customWidth="1"/>
    <col min="13336" max="13336" width="10.5703125" style="371" customWidth="1"/>
    <col min="13337" max="13337" width="10.85546875" style="371" customWidth="1"/>
    <col min="13338" max="13338" width="9.5703125" style="371" customWidth="1"/>
    <col min="13339" max="13339" width="9.85546875" style="371" customWidth="1"/>
    <col min="13340" max="13580" width="9" style="371"/>
    <col min="13581" max="13581" width="13.7109375" style="371" customWidth="1"/>
    <col min="13582" max="13582" width="18.5703125" style="371" customWidth="1"/>
    <col min="13583" max="13583" width="9.140625" style="371" customWidth="1"/>
    <col min="13584" max="13584" width="17.28515625" style="371" customWidth="1"/>
    <col min="13585" max="13585" width="11.42578125" style="371" customWidth="1"/>
    <col min="13586" max="13586" width="17.140625" style="371" customWidth="1"/>
    <col min="13587" max="13587" width="12" style="371" customWidth="1"/>
    <col min="13588" max="13588" width="17.140625" style="371" customWidth="1"/>
    <col min="13589" max="13589" width="8.85546875" style="371" customWidth="1"/>
    <col min="13590" max="13590" width="9" style="371"/>
    <col min="13591" max="13591" width="12.42578125" style="371" customWidth="1"/>
    <col min="13592" max="13592" width="10.5703125" style="371" customWidth="1"/>
    <col min="13593" max="13593" width="10.85546875" style="371" customWidth="1"/>
    <col min="13594" max="13594" width="9.5703125" style="371" customWidth="1"/>
    <col min="13595" max="13595" width="9.85546875" style="371" customWidth="1"/>
    <col min="13596" max="13836" width="9" style="371"/>
    <col min="13837" max="13837" width="13.7109375" style="371" customWidth="1"/>
    <col min="13838" max="13838" width="18.5703125" style="371" customWidth="1"/>
    <col min="13839" max="13839" width="9.140625" style="371" customWidth="1"/>
    <col min="13840" max="13840" width="17.28515625" style="371" customWidth="1"/>
    <col min="13841" max="13841" width="11.42578125" style="371" customWidth="1"/>
    <col min="13842" max="13842" width="17.140625" style="371" customWidth="1"/>
    <col min="13843" max="13843" width="12" style="371" customWidth="1"/>
    <col min="13844" max="13844" width="17.140625" style="371" customWidth="1"/>
    <col min="13845" max="13845" width="8.85546875" style="371" customWidth="1"/>
    <col min="13846" max="13846" width="9" style="371"/>
    <col min="13847" max="13847" width="12.42578125" style="371" customWidth="1"/>
    <col min="13848" max="13848" width="10.5703125" style="371" customWidth="1"/>
    <col min="13849" max="13849" width="10.85546875" style="371" customWidth="1"/>
    <col min="13850" max="13850" width="9.5703125" style="371" customWidth="1"/>
    <col min="13851" max="13851" width="9.85546875" style="371" customWidth="1"/>
    <col min="13852" max="14092" width="9" style="371"/>
    <col min="14093" max="14093" width="13.7109375" style="371" customWidth="1"/>
    <col min="14094" max="14094" width="18.5703125" style="371" customWidth="1"/>
    <col min="14095" max="14095" width="9.140625" style="371" customWidth="1"/>
    <col min="14096" max="14096" width="17.28515625" style="371" customWidth="1"/>
    <col min="14097" max="14097" width="11.42578125" style="371" customWidth="1"/>
    <col min="14098" max="14098" width="17.140625" style="371" customWidth="1"/>
    <col min="14099" max="14099" width="12" style="371" customWidth="1"/>
    <col min="14100" max="14100" width="17.140625" style="371" customWidth="1"/>
    <col min="14101" max="14101" width="8.85546875" style="371" customWidth="1"/>
    <col min="14102" max="14102" width="9" style="371"/>
    <col min="14103" max="14103" width="12.42578125" style="371" customWidth="1"/>
    <col min="14104" max="14104" width="10.5703125" style="371" customWidth="1"/>
    <col min="14105" max="14105" width="10.85546875" style="371" customWidth="1"/>
    <col min="14106" max="14106" width="9.5703125" style="371" customWidth="1"/>
    <col min="14107" max="14107" width="9.85546875" style="371" customWidth="1"/>
    <col min="14108" max="14348" width="9" style="371"/>
    <col min="14349" max="14349" width="13.7109375" style="371" customWidth="1"/>
    <col min="14350" max="14350" width="18.5703125" style="371" customWidth="1"/>
    <col min="14351" max="14351" width="9.140625" style="371" customWidth="1"/>
    <col min="14352" max="14352" width="17.28515625" style="371" customWidth="1"/>
    <col min="14353" max="14353" width="11.42578125" style="371" customWidth="1"/>
    <col min="14354" max="14354" width="17.140625" style="371" customWidth="1"/>
    <col min="14355" max="14355" width="12" style="371" customWidth="1"/>
    <col min="14356" max="14356" width="17.140625" style="371" customWidth="1"/>
    <col min="14357" max="14357" width="8.85546875" style="371" customWidth="1"/>
    <col min="14358" max="14358" width="9" style="371"/>
    <col min="14359" max="14359" width="12.42578125" style="371" customWidth="1"/>
    <col min="14360" max="14360" width="10.5703125" style="371" customWidth="1"/>
    <col min="14361" max="14361" width="10.85546875" style="371" customWidth="1"/>
    <col min="14362" max="14362" width="9.5703125" style="371" customWidth="1"/>
    <col min="14363" max="14363" width="9.85546875" style="371" customWidth="1"/>
    <col min="14364" max="14604" width="9" style="371"/>
    <col min="14605" max="14605" width="13.7109375" style="371" customWidth="1"/>
    <col min="14606" max="14606" width="18.5703125" style="371" customWidth="1"/>
    <col min="14607" max="14607" width="9.140625" style="371" customWidth="1"/>
    <col min="14608" max="14608" width="17.28515625" style="371" customWidth="1"/>
    <col min="14609" max="14609" width="11.42578125" style="371" customWidth="1"/>
    <col min="14610" max="14610" width="17.140625" style="371" customWidth="1"/>
    <col min="14611" max="14611" width="12" style="371" customWidth="1"/>
    <col min="14612" max="14612" width="17.140625" style="371" customWidth="1"/>
    <col min="14613" max="14613" width="8.85546875" style="371" customWidth="1"/>
    <col min="14614" max="14614" width="9" style="371"/>
    <col min="14615" max="14615" width="12.42578125" style="371" customWidth="1"/>
    <col min="14616" max="14616" width="10.5703125" style="371" customWidth="1"/>
    <col min="14617" max="14617" width="10.85546875" style="371" customWidth="1"/>
    <col min="14618" max="14618" width="9.5703125" style="371" customWidth="1"/>
    <col min="14619" max="14619" width="9.85546875" style="371" customWidth="1"/>
    <col min="14620" max="14860" width="9" style="371"/>
    <col min="14861" max="14861" width="13.7109375" style="371" customWidth="1"/>
    <col min="14862" max="14862" width="18.5703125" style="371" customWidth="1"/>
    <col min="14863" max="14863" width="9.140625" style="371" customWidth="1"/>
    <col min="14864" max="14864" width="17.28515625" style="371" customWidth="1"/>
    <col min="14865" max="14865" width="11.42578125" style="371" customWidth="1"/>
    <col min="14866" max="14866" width="17.140625" style="371" customWidth="1"/>
    <col min="14867" max="14867" width="12" style="371" customWidth="1"/>
    <col min="14868" max="14868" width="17.140625" style="371" customWidth="1"/>
    <col min="14869" max="14869" width="8.85546875" style="371" customWidth="1"/>
    <col min="14870" max="14870" width="9" style="371"/>
    <col min="14871" max="14871" width="12.42578125" style="371" customWidth="1"/>
    <col min="14872" max="14872" width="10.5703125" style="371" customWidth="1"/>
    <col min="14873" max="14873" width="10.85546875" style="371" customWidth="1"/>
    <col min="14874" max="14874" width="9.5703125" style="371" customWidth="1"/>
    <col min="14875" max="14875" width="9.85546875" style="371" customWidth="1"/>
    <col min="14876" max="15116" width="9" style="371"/>
    <col min="15117" max="15117" width="13.7109375" style="371" customWidth="1"/>
    <col min="15118" max="15118" width="18.5703125" style="371" customWidth="1"/>
    <col min="15119" max="15119" width="9.140625" style="371" customWidth="1"/>
    <col min="15120" max="15120" width="17.28515625" style="371" customWidth="1"/>
    <col min="15121" max="15121" width="11.42578125" style="371" customWidth="1"/>
    <col min="15122" max="15122" width="17.140625" style="371" customWidth="1"/>
    <col min="15123" max="15123" width="12" style="371" customWidth="1"/>
    <col min="15124" max="15124" width="17.140625" style="371" customWidth="1"/>
    <col min="15125" max="15125" width="8.85546875" style="371" customWidth="1"/>
    <col min="15126" max="15126" width="9" style="371"/>
    <col min="15127" max="15127" width="12.42578125" style="371" customWidth="1"/>
    <col min="15128" max="15128" width="10.5703125" style="371" customWidth="1"/>
    <col min="15129" max="15129" width="10.85546875" style="371" customWidth="1"/>
    <col min="15130" max="15130" width="9.5703125" style="371" customWidth="1"/>
    <col min="15131" max="15131" width="9.85546875" style="371" customWidth="1"/>
    <col min="15132" max="15372" width="9" style="371"/>
    <col min="15373" max="15373" width="13.7109375" style="371" customWidth="1"/>
    <col min="15374" max="15374" width="18.5703125" style="371" customWidth="1"/>
    <col min="15375" max="15375" width="9.140625" style="371" customWidth="1"/>
    <col min="15376" max="15376" width="17.28515625" style="371" customWidth="1"/>
    <col min="15377" max="15377" width="11.42578125" style="371" customWidth="1"/>
    <col min="15378" max="15378" width="17.140625" style="371" customWidth="1"/>
    <col min="15379" max="15379" width="12" style="371" customWidth="1"/>
    <col min="15380" max="15380" width="17.140625" style="371" customWidth="1"/>
    <col min="15381" max="15381" width="8.85546875" style="371" customWidth="1"/>
    <col min="15382" max="15382" width="9" style="371"/>
    <col min="15383" max="15383" width="12.42578125" style="371" customWidth="1"/>
    <col min="15384" max="15384" width="10.5703125" style="371" customWidth="1"/>
    <col min="15385" max="15385" width="10.85546875" style="371" customWidth="1"/>
    <col min="15386" max="15386" width="9.5703125" style="371" customWidth="1"/>
    <col min="15387" max="15387" width="9.85546875" style="371" customWidth="1"/>
    <col min="15388" max="15628" width="9" style="371"/>
    <col min="15629" max="15629" width="13.7109375" style="371" customWidth="1"/>
    <col min="15630" max="15630" width="18.5703125" style="371" customWidth="1"/>
    <col min="15631" max="15631" width="9.140625" style="371" customWidth="1"/>
    <col min="15632" max="15632" width="17.28515625" style="371" customWidth="1"/>
    <col min="15633" max="15633" width="11.42578125" style="371" customWidth="1"/>
    <col min="15634" max="15634" width="17.140625" style="371" customWidth="1"/>
    <col min="15635" max="15635" width="12" style="371" customWidth="1"/>
    <col min="15636" max="15636" width="17.140625" style="371" customWidth="1"/>
    <col min="15637" max="15637" width="8.85546875" style="371" customWidth="1"/>
    <col min="15638" max="15638" width="9" style="371"/>
    <col min="15639" max="15639" width="12.42578125" style="371" customWidth="1"/>
    <col min="15640" max="15640" width="10.5703125" style="371" customWidth="1"/>
    <col min="15641" max="15641" width="10.85546875" style="371" customWidth="1"/>
    <col min="15642" max="15642" width="9.5703125" style="371" customWidth="1"/>
    <col min="15643" max="15643" width="9.85546875" style="371" customWidth="1"/>
    <col min="15644" max="15884" width="9" style="371"/>
    <col min="15885" max="15885" width="13.7109375" style="371" customWidth="1"/>
    <col min="15886" max="15886" width="18.5703125" style="371" customWidth="1"/>
    <col min="15887" max="15887" width="9.140625" style="371" customWidth="1"/>
    <col min="15888" max="15888" width="17.28515625" style="371" customWidth="1"/>
    <col min="15889" max="15889" width="11.42578125" style="371" customWidth="1"/>
    <col min="15890" max="15890" width="17.140625" style="371" customWidth="1"/>
    <col min="15891" max="15891" width="12" style="371" customWidth="1"/>
    <col min="15892" max="15892" width="17.140625" style="371" customWidth="1"/>
    <col min="15893" max="15893" width="8.85546875" style="371" customWidth="1"/>
    <col min="15894" max="15894" width="9" style="371"/>
    <col min="15895" max="15895" width="12.42578125" style="371" customWidth="1"/>
    <col min="15896" max="15896" width="10.5703125" style="371" customWidth="1"/>
    <col min="15897" max="15897" width="10.85546875" style="371" customWidth="1"/>
    <col min="15898" max="15898" width="9.5703125" style="371" customWidth="1"/>
    <col min="15899" max="15899" width="9.85546875" style="371" customWidth="1"/>
    <col min="15900" max="16140" width="9" style="371"/>
    <col min="16141" max="16141" width="13.7109375" style="371" customWidth="1"/>
    <col min="16142" max="16142" width="18.5703125" style="371" customWidth="1"/>
    <col min="16143" max="16143" width="9.140625" style="371" customWidth="1"/>
    <col min="16144" max="16144" width="17.28515625" style="371" customWidth="1"/>
    <col min="16145" max="16145" width="11.42578125" style="371" customWidth="1"/>
    <col min="16146" max="16146" width="17.140625" style="371" customWidth="1"/>
    <col min="16147" max="16147" width="12" style="371" customWidth="1"/>
    <col min="16148" max="16148" width="17.140625" style="371" customWidth="1"/>
    <col min="16149" max="16149" width="8.85546875" style="371" customWidth="1"/>
    <col min="16150" max="16150" width="9" style="371"/>
    <col min="16151" max="16151" width="12.42578125" style="371" customWidth="1"/>
    <col min="16152" max="16152" width="10.5703125" style="371" customWidth="1"/>
    <col min="16153" max="16153" width="10.85546875" style="371" customWidth="1"/>
    <col min="16154" max="16154" width="9.5703125" style="371" customWidth="1"/>
    <col min="16155" max="16155" width="9.85546875" style="371" customWidth="1"/>
    <col min="16156" max="16384" width="9" style="371"/>
  </cols>
  <sheetData>
    <row r="1" spans="1:28" ht="15.75">
      <c r="B1" s="668" t="s">
        <v>165</v>
      </c>
      <c r="C1" s="668"/>
      <c r="D1" s="668"/>
      <c r="E1" s="668"/>
      <c r="F1" s="668"/>
      <c r="G1" s="668"/>
      <c r="H1" s="668"/>
      <c r="I1" s="668"/>
      <c r="J1" s="668"/>
      <c r="K1" s="668"/>
      <c r="L1" s="668"/>
      <c r="M1" s="668"/>
      <c r="N1" s="668"/>
      <c r="O1" s="668"/>
      <c r="P1" s="668"/>
      <c r="Q1" s="668"/>
      <c r="R1" s="668"/>
      <c r="S1" s="668"/>
      <c r="T1" s="668"/>
      <c r="U1" s="668"/>
      <c r="V1" s="668"/>
      <c r="W1" s="668"/>
      <c r="X1" s="668"/>
      <c r="Y1" s="668"/>
      <c r="Z1" s="668"/>
      <c r="AA1" s="668"/>
    </row>
    <row r="2" spans="1:28" ht="16.5" customHeight="1">
      <c r="B2" s="668" t="s">
        <v>191</v>
      </c>
      <c r="C2" s="668"/>
      <c r="D2" s="668"/>
      <c r="E2" s="668"/>
      <c r="F2" s="668"/>
      <c r="G2" s="668"/>
      <c r="H2" s="668"/>
      <c r="I2" s="668"/>
      <c r="J2" s="668"/>
      <c r="K2" s="668"/>
      <c r="L2" s="668"/>
      <c r="M2" s="668"/>
      <c r="N2" s="668"/>
      <c r="O2" s="668"/>
      <c r="P2" s="668"/>
      <c r="Q2" s="668"/>
      <c r="R2" s="668"/>
      <c r="S2" s="668"/>
      <c r="T2" s="668"/>
      <c r="U2" s="668"/>
      <c r="V2" s="668"/>
      <c r="W2" s="668"/>
      <c r="X2" s="668"/>
      <c r="Y2" s="668"/>
      <c r="Z2" s="668"/>
      <c r="AA2" s="668"/>
    </row>
    <row r="3" spans="1:28" ht="16.5" customHeight="1">
      <c r="B3" s="669" t="s">
        <v>192</v>
      </c>
      <c r="C3" s="669"/>
      <c r="D3" s="669"/>
      <c r="E3" s="669"/>
      <c r="F3" s="669"/>
      <c r="G3" s="669"/>
      <c r="H3" s="669"/>
      <c r="I3" s="669"/>
      <c r="J3" s="669"/>
      <c r="K3" s="669"/>
      <c r="L3" s="669"/>
      <c r="M3" s="669"/>
      <c r="N3" s="669"/>
      <c r="O3" s="669"/>
      <c r="P3" s="669"/>
      <c r="Q3" s="669"/>
      <c r="R3" s="669"/>
      <c r="S3" s="669"/>
      <c r="T3" s="669"/>
      <c r="U3" s="669"/>
      <c r="V3" s="669"/>
      <c r="W3" s="669"/>
      <c r="X3" s="669"/>
      <c r="Y3" s="669"/>
      <c r="Z3" s="669"/>
      <c r="AA3" s="669"/>
    </row>
    <row r="4" spans="1:28" ht="18" customHeight="1">
      <c r="B4" s="702" t="s">
        <v>193</v>
      </c>
      <c r="C4" s="702"/>
      <c r="D4" s="668"/>
      <c r="E4" s="668"/>
      <c r="F4" s="668"/>
      <c r="G4" s="668"/>
      <c r="H4" s="668"/>
      <c r="I4" s="668"/>
      <c r="J4" s="668"/>
      <c r="K4" s="668"/>
      <c r="L4" s="668"/>
      <c r="M4" s="668"/>
      <c r="N4" s="668"/>
      <c r="O4" s="668"/>
      <c r="P4" s="668"/>
      <c r="Q4" s="668"/>
      <c r="R4" s="668"/>
      <c r="S4" s="668"/>
      <c r="T4" s="668"/>
      <c r="U4" s="668"/>
      <c r="V4" s="668"/>
      <c r="W4" s="668"/>
      <c r="X4" s="668"/>
      <c r="Y4" s="668"/>
      <c r="Z4" s="668"/>
      <c r="AA4" s="668"/>
    </row>
    <row r="5" spans="1:28" ht="20.25" customHeight="1">
      <c r="A5" s="670" t="s">
        <v>282</v>
      </c>
      <c r="B5" s="670"/>
      <c r="C5" s="670"/>
      <c r="D5" s="670"/>
      <c r="E5" s="670"/>
      <c r="F5" s="670"/>
      <c r="G5" s="372"/>
      <c r="H5" s="372"/>
      <c r="I5" s="372"/>
      <c r="J5" s="372"/>
      <c r="K5" s="372"/>
      <c r="M5" s="671"/>
      <c r="N5" s="671"/>
      <c r="O5" s="491"/>
      <c r="P5" s="491"/>
      <c r="Q5" s="492"/>
      <c r="R5" s="521"/>
      <c r="S5" s="521"/>
      <c r="T5" s="521"/>
      <c r="U5" s="521"/>
      <c r="V5" s="521"/>
      <c r="W5" s="521"/>
      <c r="X5" s="521"/>
      <c r="Y5" s="671" t="s">
        <v>166</v>
      </c>
      <c r="Z5" s="671"/>
      <c r="AA5" s="671"/>
      <c r="AB5" s="352"/>
    </row>
    <row r="6" spans="1:28" ht="115.15" customHeight="1">
      <c r="A6" s="512" t="s">
        <v>167</v>
      </c>
      <c r="B6" s="512" t="s">
        <v>195</v>
      </c>
      <c r="C6" s="512" t="s">
        <v>169</v>
      </c>
      <c r="D6" s="512" t="s">
        <v>196</v>
      </c>
      <c r="E6" s="512" t="s">
        <v>283</v>
      </c>
      <c r="F6" s="512" t="s">
        <v>198</v>
      </c>
      <c r="G6" s="510" t="s">
        <v>170</v>
      </c>
      <c r="H6" s="512" t="s">
        <v>171</v>
      </c>
      <c r="I6" s="353" t="s">
        <v>199</v>
      </c>
      <c r="J6" s="512" t="s">
        <v>284</v>
      </c>
      <c r="K6" s="512" t="s">
        <v>201</v>
      </c>
      <c r="L6" s="512" t="s">
        <v>202</v>
      </c>
      <c r="M6" s="512" t="s">
        <v>172</v>
      </c>
      <c r="N6" s="354" t="s">
        <v>253</v>
      </c>
      <c r="O6" s="355" t="s">
        <v>203</v>
      </c>
      <c r="P6" s="353" t="s">
        <v>173</v>
      </c>
      <c r="Q6" s="512" t="s">
        <v>204</v>
      </c>
      <c r="R6" s="510" t="s">
        <v>174</v>
      </c>
      <c r="S6" s="512" t="s">
        <v>175</v>
      </c>
      <c r="T6" s="510" t="s">
        <v>176</v>
      </c>
      <c r="U6" s="510" t="s">
        <v>177</v>
      </c>
      <c r="V6" s="510" t="s">
        <v>206</v>
      </c>
      <c r="W6" s="355" t="s">
        <v>189</v>
      </c>
      <c r="X6" s="355" t="s">
        <v>179</v>
      </c>
      <c r="Y6" s="510" t="s">
        <v>190</v>
      </c>
      <c r="Z6" s="356" t="s">
        <v>180</v>
      </c>
      <c r="AA6" s="512" t="s">
        <v>207</v>
      </c>
    </row>
    <row r="7" spans="1:28" ht="21" customHeight="1">
      <c r="A7" s="357">
        <v>45352</v>
      </c>
      <c r="B7" s="374" t="s">
        <v>285</v>
      </c>
      <c r="C7" s="375" t="s">
        <v>286</v>
      </c>
      <c r="D7" s="501" t="s">
        <v>446</v>
      </c>
      <c r="E7" s="374">
        <v>38</v>
      </c>
      <c r="F7" s="402"/>
      <c r="G7" s="500">
        <v>2</v>
      </c>
      <c r="H7" s="376">
        <v>3</v>
      </c>
      <c r="I7" s="403">
        <f t="shared" ref="I7:I51" si="0">IFERROR(IF(G7&gt;0,V7*G7*Z7,""),"input error""")</f>
        <v>17308.206545795056</v>
      </c>
      <c r="J7" s="379" t="s">
        <v>10</v>
      </c>
      <c r="K7" s="500">
        <f>943+3730+376+4249+1300+3200+1185</f>
        <v>14983</v>
      </c>
      <c r="L7" s="377">
        <f>(K7*9.8778)/1000</f>
        <v>147.9990774</v>
      </c>
      <c r="M7" s="500">
        <v>0</v>
      </c>
      <c r="N7" s="383">
        <f t="shared" ref="N7:N52" si="1">IFERROR(IF(I7&lt;&gt;"",K7/I7,""),"input error")</f>
        <v>0.8656587243951076</v>
      </c>
      <c r="O7" s="358">
        <f t="shared" ref="O7:O9" si="2">IFERROR(IF(I7&lt;&gt;"",K7/(H7*V7*Z7),""),"input error")</f>
        <v>0.57710581626340518</v>
      </c>
      <c r="P7" s="369">
        <f t="shared" ref="P7:P9" si="3">IFERROR(IF(L7&lt;&gt;"",M7/(M7+L7),""),"input error")</f>
        <v>0</v>
      </c>
      <c r="Q7" s="401" t="s">
        <v>287</v>
      </c>
      <c r="R7" s="694">
        <v>3</v>
      </c>
      <c r="S7" s="697">
        <v>7.5</v>
      </c>
      <c r="T7" s="697">
        <v>0</v>
      </c>
      <c r="U7" s="687">
        <f>IFERROR(IF(R7&gt;0,R7*S7-T7,""),"input error")</f>
        <v>22.5</v>
      </c>
      <c r="V7" s="380">
        <f>'[2]对绞 总绞工时Twisting core'!G30</f>
        <v>803.25</v>
      </c>
      <c r="W7" s="404">
        <f t="shared" ref="W7:W9" si="4">1/V7</f>
        <v>1.2449424214130097E-3</v>
      </c>
      <c r="X7" s="360">
        <f t="shared" ref="X7:X9" si="5">IFERROR(IF(W7&lt;&gt;"",K7*W7,""),"input error")</f>
        <v>18.652972300031124</v>
      </c>
      <c r="Y7" s="682">
        <f>SUM(X7:X9)</f>
        <v>38.954642597779845</v>
      </c>
      <c r="Z7" s="405">
        <f>IFERROR(IF(X7&lt;&gt;"",$U$7*X7/$Y$7,""),"input error")</f>
        <v>10.7738602837193</v>
      </c>
      <c r="AA7" s="402"/>
    </row>
    <row r="8" spans="1:28" ht="21" customHeight="1">
      <c r="A8" s="357">
        <v>45352</v>
      </c>
      <c r="B8" s="374" t="s">
        <v>288</v>
      </c>
      <c r="C8" s="375" t="s">
        <v>286</v>
      </c>
      <c r="D8" s="374" t="s">
        <v>214</v>
      </c>
      <c r="E8" s="374">
        <v>50</v>
      </c>
      <c r="F8" s="402"/>
      <c r="G8" s="500">
        <v>2</v>
      </c>
      <c r="H8" s="376">
        <v>3</v>
      </c>
      <c r="I8" s="403">
        <f t="shared" si="0"/>
        <v>18548.880231317573</v>
      </c>
      <c r="J8" s="374" t="s">
        <v>32</v>
      </c>
      <c r="K8" s="500">
        <f>239+4295+168+4520+1383+3057+2395</f>
        <v>16057</v>
      </c>
      <c r="L8" s="377">
        <f>(K8*9.8816)/1000</f>
        <v>158.66885120000001</v>
      </c>
      <c r="M8" s="500">
        <v>0</v>
      </c>
      <c r="N8" s="383">
        <f t="shared" si="1"/>
        <v>0.86565872439510771</v>
      </c>
      <c r="O8" s="358">
        <f t="shared" si="2"/>
        <v>0.57710581626340518</v>
      </c>
      <c r="P8" s="369">
        <f t="shared" si="3"/>
        <v>0</v>
      </c>
      <c r="Q8" s="401" t="s">
        <v>289</v>
      </c>
      <c r="R8" s="695"/>
      <c r="S8" s="698"/>
      <c r="T8" s="698"/>
      <c r="U8" s="688"/>
      <c r="V8" s="380">
        <f>'[2]对绞 总绞工时Twisting core'!G31</f>
        <v>1147.5</v>
      </c>
      <c r="W8" s="404">
        <f t="shared" si="4"/>
        <v>8.7145969498910673E-4</v>
      </c>
      <c r="X8" s="360">
        <f t="shared" si="5"/>
        <v>13.993028322440086</v>
      </c>
      <c r="Y8" s="700"/>
      <c r="Z8" s="405">
        <f t="shared" ref="Z8:Z9" si="6">IFERROR(IF(X8&lt;&gt;"",$U$7*X8/$Y$7,""),"input error")</f>
        <v>8.0823007543867416</v>
      </c>
      <c r="AA8" s="402"/>
    </row>
    <row r="9" spans="1:28" ht="21" customHeight="1">
      <c r="A9" s="357">
        <v>45352</v>
      </c>
      <c r="B9" s="374" t="s">
        <v>290</v>
      </c>
      <c r="C9" s="375" t="s">
        <v>286</v>
      </c>
      <c r="D9" s="374" t="s">
        <v>256</v>
      </c>
      <c r="E9" s="374">
        <v>60</v>
      </c>
      <c r="F9" s="402"/>
      <c r="G9" s="500">
        <v>2</v>
      </c>
      <c r="H9" s="376">
        <v>3</v>
      </c>
      <c r="I9" s="403">
        <f t="shared" si="0"/>
        <v>10035.132501055972</v>
      </c>
      <c r="J9" s="374" t="s">
        <v>291</v>
      </c>
      <c r="K9" s="500">
        <f>406+977+2821+1482+888+2113</f>
        <v>8687</v>
      </c>
      <c r="L9" s="377">
        <f>(K9*8.8228)/1000</f>
        <v>76.643663600000011</v>
      </c>
      <c r="M9" s="500">
        <v>0</v>
      </c>
      <c r="N9" s="383">
        <f t="shared" si="1"/>
        <v>0.86565872439510771</v>
      </c>
      <c r="O9" s="358">
        <f t="shared" si="2"/>
        <v>0.57710581626340507</v>
      </c>
      <c r="P9" s="369">
        <f t="shared" si="3"/>
        <v>0</v>
      </c>
      <c r="Q9" s="401" t="s">
        <v>292</v>
      </c>
      <c r="R9" s="696"/>
      <c r="S9" s="699"/>
      <c r="T9" s="699"/>
      <c r="U9" s="689"/>
      <c r="V9" s="380">
        <f>'[2]对绞 总绞工时Twisting core'!G32</f>
        <v>1377</v>
      </c>
      <c r="W9" s="404">
        <f t="shared" si="4"/>
        <v>7.2621641249092229E-4</v>
      </c>
      <c r="X9" s="360">
        <f t="shared" si="5"/>
        <v>6.3086419753086416</v>
      </c>
      <c r="Y9" s="701"/>
      <c r="Z9" s="405">
        <f t="shared" si="6"/>
        <v>3.6438389618939624</v>
      </c>
      <c r="AA9" s="402"/>
    </row>
    <row r="10" spans="1:28" ht="21" customHeight="1">
      <c r="A10" s="357"/>
      <c r="B10" s="374"/>
      <c r="C10" s="375"/>
      <c r="D10" s="374"/>
      <c r="E10" s="374"/>
      <c r="F10" s="402"/>
      <c r="G10" s="500"/>
      <c r="H10" s="376"/>
      <c r="I10" s="403"/>
      <c r="J10" s="374"/>
      <c r="K10" s="500"/>
      <c r="L10" s="377"/>
      <c r="M10" s="500"/>
      <c r="N10" s="383" t="str">
        <f t="shared" si="1"/>
        <v/>
      </c>
      <c r="O10" s="358"/>
      <c r="P10" s="369"/>
      <c r="Q10" s="401"/>
      <c r="R10" s="515"/>
      <c r="S10" s="517"/>
      <c r="T10" s="517"/>
      <c r="U10" s="507"/>
      <c r="V10" s="380"/>
      <c r="W10" s="404"/>
      <c r="X10" s="360"/>
      <c r="Y10" s="518"/>
      <c r="Z10" s="405"/>
      <c r="AA10" s="402"/>
    </row>
    <row r="11" spans="1:28" ht="21" customHeight="1">
      <c r="A11" s="357">
        <v>45353</v>
      </c>
      <c r="B11" s="374" t="s">
        <v>285</v>
      </c>
      <c r="C11" s="375" t="s">
        <v>286</v>
      </c>
      <c r="D11" s="501" t="s">
        <v>446</v>
      </c>
      <c r="E11" s="374">
        <v>38</v>
      </c>
      <c r="F11" s="402"/>
      <c r="G11" s="500">
        <v>2</v>
      </c>
      <c r="H11" s="376">
        <v>3</v>
      </c>
      <c r="I11" s="403">
        <f t="shared" si="0"/>
        <v>11251.014627962139</v>
      </c>
      <c r="J11" s="379" t="s">
        <v>10</v>
      </c>
      <c r="K11" s="500">
        <f>2967+354+3745+760+2400</f>
        <v>10226</v>
      </c>
      <c r="L11" s="377">
        <f>(K11*9.8778)/1000</f>
        <v>101.0103828</v>
      </c>
      <c r="M11" s="500">
        <v>0</v>
      </c>
      <c r="N11" s="383">
        <f t="shared" si="1"/>
        <v>0.90889580523567448</v>
      </c>
      <c r="O11" s="358">
        <f t="shared" ref="O11:O13" si="7">IFERROR(IF(I11&lt;&gt;"",K11/(H11*V11*Z11),""),"input error")</f>
        <v>0.60593053682378295</v>
      </c>
      <c r="P11" s="369">
        <f t="shared" ref="P11:P13" si="8">IFERROR(IF(L11&lt;&gt;"",M11/(M11+L11),""),"input error")</f>
        <v>0</v>
      </c>
      <c r="Q11" s="401" t="s">
        <v>293</v>
      </c>
      <c r="R11" s="694">
        <v>3</v>
      </c>
      <c r="S11" s="697">
        <v>5</v>
      </c>
      <c r="T11" s="697">
        <v>0</v>
      </c>
      <c r="U11" s="687">
        <f>IFERROR(IF(R11&gt;0,R11*S11-T11,""),"input error")</f>
        <v>15</v>
      </c>
      <c r="V11" s="380">
        <f>'[2]对绞 总绞工时Twisting core'!G30</f>
        <v>803.25</v>
      </c>
      <c r="W11" s="404">
        <f t="shared" ref="W11:W13" si="9">1/V11</f>
        <v>1.2449424214130097E-3</v>
      </c>
      <c r="X11" s="360">
        <f t="shared" ref="X11:X13" si="10">IFERROR(IF(W11&lt;&gt;"",K11*W11,""),"input error")</f>
        <v>12.730781201369437</v>
      </c>
      <c r="Y11" s="682">
        <f>SUM(X11:X13)</f>
        <v>27.266874157070234</v>
      </c>
      <c r="Z11" s="405">
        <f>IFERROR(IF(X11&lt;&gt;"",$U$11*X11/$Y$11,""),"input error")</f>
        <v>7.0034326971441887</v>
      </c>
      <c r="AA11" s="402"/>
    </row>
    <row r="12" spans="1:28" ht="21" customHeight="1">
      <c r="A12" s="357">
        <v>45353</v>
      </c>
      <c r="B12" s="374" t="s">
        <v>288</v>
      </c>
      <c r="C12" s="375" t="s">
        <v>286</v>
      </c>
      <c r="D12" s="374" t="s">
        <v>214</v>
      </c>
      <c r="E12" s="374">
        <v>50</v>
      </c>
      <c r="F12" s="402"/>
      <c r="G12" s="500">
        <v>2</v>
      </c>
      <c r="H12" s="376">
        <v>3</v>
      </c>
      <c r="I12" s="403">
        <f t="shared" si="0"/>
        <v>11394.045324386458</v>
      </c>
      <c r="J12" s="374" t="s">
        <v>32</v>
      </c>
      <c r="K12" s="500">
        <f>2125+998+2948+1572+2713</f>
        <v>10356</v>
      </c>
      <c r="L12" s="377">
        <f>(K12*9.8816)/1000</f>
        <v>102.33384960000001</v>
      </c>
      <c r="M12" s="500">
        <v>0</v>
      </c>
      <c r="N12" s="383">
        <f t="shared" si="1"/>
        <v>0.90889580523567437</v>
      </c>
      <c r="O12" s="358">
        <f t="shared" si="7"/>
        <v>0.60593053682378295</v>
      </c>
      <c r="P12" s="369">
        <f t="shared" si="8"/>
        <v>0</v>
      </c>
      <c r="Q12" s="401" t="s">
        <v>294</v>
      </c>
      <c r="R12" s="695"/>
      <c r="S12" s="698"/>
      <c r="T12" s="698"/>
      <c r="U12" s="688"/>
      <c r="V12" s="380">
        <f>'[2]对绞 总绞工时Twisting core'!G31</f>
        <v>1147.5</v>
      </c>
      <c r="W12" s="404">
        <f t="shared" si="9"/>
        <v>8.7145969498910673E-4</v>
      </c>
      <c r="X12" s="360">
        <f t="shared" si="10"/>
        <v>9.0248366013071895</v>
      </c>
      <c r="Y12" s="700"/>
      <c r="Z12" s="405">
        <f t="shared" ref="Z12:Z13" si="11">IFERROR(IF(X12&lt;&gt;"",$U$11*X12/$Y$11,""),"input error")</f>
        <v>4.96472563154094</v>
      </c>
      <c r="AA12" s="402"/>
    </row>
    <row r="13" spans="1:28" ht="21" customHeight="1">
      <c r="A13" s="357">
        <v>45353</v>
      </c>
      <c r="B13" s="374" t="s">
        <v>290</v>
      </c>
      <c r="C13" s="375" t="s">
        <v>286</v>
      </c>
      <c r="D13" s="374" t="s">
        <v>270</v>
      </c>
      <c r="E13" s="374">
        <v>60</v>
      </c>
      <c r="F13" s="402"/>
      <c r="G13" s="500">
        <v>2</v>
      </c>
      <c r="H13" s="376">
        <v>3</v>
      </c>
      <c r="I13" s="403">
        <f t="shared" si="0"/>
        <v>8349.6919628011601</v>
      </c>
      <c r="J13" s="374" t="s">
        <v>271</v>
      </c>
      <c r="K13" s="500">
        <f>544+898+3002+214+2931</f>
        <v>7589</v>
      </c>
      <c r="L13" s="377">
        <f>(K13*5.9358)/1000</f>
        <v>45.0467862</v>
      </c>
      <c r="M13" s="500">
        <v>0</v>
      </c>
      <c r="N13" s="383">
        <f t="shared" si="1"/>
        <v>0.90889580523567448</v>
      </c>
      <c r="O13" s="358">
        <f t="shared" si="7"/>
        <v>0.60593053682378295</v>
      </c>
      <c r="P13" s="369">
        <f t="shared" si="8"/>
        <v>0</v>
      </c>
      <c r="Q13" s="401" t="s">
        <v>295</v>
      </c>
      <c r="R13" s="696"/>
      <c r="S13" s="699"/>
      <c r="T13" s="699"/>
      <c r="U13" s="689"/>
      <c r="V13" s="380">
        <f>'[2]对绞 总绞工时Twisting core'!G32</f>
        <v>1377</v>
      </c>
      <c r="W13" s="404">
        <f t="shared" si="9"/>
        <v>7.2621641249092229E-4</v>
      </c>
      <c r="X13" s="360">
        <f t="shared" si="10"/>
        <v>5.5112563543936091</v>
      </c>
      <c r="Y13" s="701"/>
      <c r="Z13" s="405">
        <f t="shared" si="11"/>
        <v>3.031841671314873</v>
      </c>
      <c r="AA13" s="402"/>
    </row>
    <row r="14" spans="1:28" ht="21" customHeight="1">
      <c r="A14" s="357"/>
      <c r="B14" s="374"/>
      <c r="C14" s="375"/>
      <c r="D14" s="374"/>
      <c r="E14" s="374"/>
      <c r="F14" s="402"/>
      <c r="G14" s="500"/>
      <c r="H14" s="376"/>
      <c r="I14" s="403"/>
      <c r="J14" s="374"/>
      <c r="K14" s="500"/>
      <c r="L14" s="377"/>
      <c r="M14" s="500"/>
      <c r="N14" s="383" t="str">
        <f t="shared" si="1"/>
        <v/>
      </c>
      <c r="O14" s="358"/>
      <c r="P14" s="369"/>
      <c r="Q14" s="401"/>
      <c r="R14" s="515"/>
      <c r="S14" s="517"/>
      <c r="T14" s="517"/>
      <c r="U14" s="507"/>
      <c r="V14" s="380"/>
      <c r="W14" s="404"/>
      <c r="X14" s="360"/>
      <c r="Y14" s="362"/>
      <c r="Z14" s="405"/>
      <c r="AA14" s="402"/>
    </row>
    <row r="15" spans="1:28" ht="21" customHeight="1">
      <c r="A15" s="357">
        <v>45355</v>
      </c>
      <c r="B15" s="374" t="s">
        <v>296</v>
      </c>
      <c r="C15" s="375" t="s">
        <v>286</v>
      </c>
      <c r="D15" s="501" t="s">
        <v>446</v>
      </c>
      <c r="E15" s="374">
        <v>38</v>
      </c>
      <c r="F15" s="402"/>
      <c r="G15" s="500">
        <v>2</v>
      </c>
      <c r="H15" s="376">
        <v>4</v>
      </c>
      <c r="I15" s="403">
        <f t="shared" si="0"/>
        <v>9707.8004617934639</v>
      </c>
      <c r="J15" s="379" t="s">
        <v>10</v>
      </c>
      <c r="K15" s="500">
        <f>3250+300+2435+1422+3078+2934</f>
        <v>13419</v>
      </c>
      <c r="L15" s="377">
        <f t="shared" ref="L15:L16" si="12">(K15*9.8778)/1000</f>
        <v>132.55019820000001</v>
      </c>
      <c r="M15" s="500">
        <v>0</v>
      </c>
      <c r="N15" s="383">
        <f t="shared" si="1"/>
        <v>1.3822904635105069</v>
      </c>
      <c r="O15" s="358">
        <f t="shared" ref="O15:O18" si="13">IFERROR(IF(I15&lt;&gt;"",K15/(H15*V15*Z15),""),"input error")</f>
        <v>0.69114523175525344</v>
      </c>
      <c r="P15" s="369">
        <f t="shared" ref="P15:P18" si="14">IFERROR(IF(L15&lt;&gt;"",M15/(M15+L15),""),"input error")</f>
        <v>0</v>
      </c>
      <c r="Q15" s="401" t="s">
        <v>293</v>
      </c>
      <c r="R15" s="694">
        <v>3</v>
      </c>
      <c r="S15" s="697">
        <v>7.5</v>
      </c>
      <c r="T15" s="694">
        <v>0</v>
      </c>
      <c r="U15" s="694">
        <f>IFERROR(IF(R15&gt;0,R15*S15-T15,""),"input error")</f>
        <v>22.5</v>
      </c>
      <c r="V15" s="380">
        <f>'[2]对绞 总绞工时Twisting core'!G30</f>
        <v>803.25</v>
      </c>
      <c r="W15" s="404">
        <f t="shared" ref="W15:W18" si="15">1/V15</f>
        <v>1.2449424214130097E-3</v>
      </c>
      <c r="X15" s="360">
        <f t="shared" ref="X15:X18" si="16">IFERROR(IF(W15&lt;&gt;"",K15*W15,""),"input error")</f>
        <v>16.705882352941178</v>
      </c>
      <c r="Y15" s="700">
        <f>SUM(X15:X18)</f>
        <v>62.203070857972818</v>
      </c>
      <c r="Z15" s="405">
        <f>IFERROR(IF(X15&lt;&gt;"",$U$15*X15/$Y$15,""),"input error")</f>
        <v>6.0428263067497436</v>
      </c>
      <c r="AA15" s="402"/>
    </row>
    <row r="16" spans="1:28" ht="21" customHeight="1">
      <c r="A16" s="357">
        <v>45355</v>
      </c>
      <c r="B16" s="374" t="s">
        <v>285</v>
      </c>
      <c r="C16" s="375" t="s">
        <v>286</v>
      </c>
      <c r="D16" s="501" t="s">
        <v>446</v>
      </c>
      <c r="E16" s="374">
        <v>38</v>
      </c>
      <c r="F16" s="402"/>
      <c r="G16" s="500">
        <v>2</v>
      </c>
      <c r="H16" s="376">
        <v>4</v>
      </c>
      <c r="I16" s="403">
        <f t="shared" si="0"/>
        <v>9648.4786317117068</v>
      </c>
      <c r="J16" s="379" t="s">
        <v>10</v>
      </c>
      <c r="K16" s="500">
        <f>1999+123+3825+665+3835+2890</f>
        <v>13337</v>
      </c>
      <c r="L16" s="377">
        <f t="shared" si="12"/>
        <v>131.74021860000002</v>
      </c>
      <c r="M16" s="500">
        <v>0</v>
      </c>
      <c r="N16" s="383">
        <f t="shared" si="1"/>
        <v>1.3822904635105073</v>
      </c>
      <c r="O16" s="358">
        <f t="shared" si="13"/>
        <v>0.69114523175525366</v>
      </c>
      <c r="P16" s="369">
        <f t="shared" si="14"/>
        <v>0</v>
      </c>
      <c r="Q16" s="401" t="s">
        <v>293</v>
      </c>
      <c r="R16" s="695"/>
      <c r="S16" s="698"/>
      <c r="T16" s="695"/>
      <c r="U16" s="695"/>
      <c r="V16" s="380">
        <f>'[2]对绞 总绞工时Twisting core'!G30</f>
        <v>803.25</v>
      </c>
      <c r="W16" s="404">
        <f t="shared" si="15"/>
        <v>1.2449424214130097E-3</v>
      </c>
      <c r="X16" s="360">
        <f t="shared" si="16"/>
        <v>16.603797074385309</v>
      </c>
      <c r="Y16" s="700"/>
      <c r="Z16" s="405">
        <f t="shared" ref="Z16:Z18" si="17">IFERROR(IF(X16&lt;&gt;"",$U$15*X16/$Y$15,""),"input error")</f>
        <v>6.0059001753574277</v>
      </c>
      <c r="AA16" s="402"/>
    </row>
    <row r="17" spans="1:27" ht="21" customHeight="1">
      <c r="A17" s="357">
        <v>45355</v>
      </c>
      <c r="B17" s="374" t="s">
        <v>288</v>
      </c>
      <c r="C17" s="375" t="s">
        <v>286</v>
      </c>
      <c r="D17" s="374" t="s">
        <v>214</v>
      </c>
      <c r="E17" s="374">
        <v>50</v>
      </c>
      <c r="F17" s="402"/>
      <c r="G17" s="500">
        <v>2</v>
      </c>
      <c r="H17" s="376">
        <v>4</v>
      </c>
      <c r="I17" s="403">
        <f t="shared" si="0"/>
        <v>15699.305300050668</v>
      </c>
      <c r="J17" s="374" t="s">
        <v>32</v>
      </c>
      <c r="K17" s="500">
        <f>1800+3475+2265+2256+4500+4505+2900</f>
        <v>21701</v>
      </c>
      <c r="L17" s="377">
        <f t="shared" ref="L17:L18" si="18">(K17*9.8816)/1000</f>
        <v>214.44060160000004</v>
      </c>
      <c r="M17" s="500">
        <v>0</v>
      </c>
      <c r="N17" s="383">
        <f t="shared" si="1"/>
        <v>1.3822904635105071</v>
      </c>
      <c r="O17" s="358">
        <f t="shared" si="13"/>
        <v>0.69114523175525355</v>
      </c>
      <c r="P17" s="369">
        <f t="shared" si="14"/>
        <v>0</v>
      </c>
      <c r="Q17" s="401" t="s">
        <v>295</v>
      </c>
      <c r="R17" s="695"/>
      <c r="S17" s="698"/>
      <c r="T17" s="695"/>
      <c r="U17" s="695"/>
      <c r="V17" s="380">
        <f>'[2]对绞 总绞工时Twisting core'!G31</f>
        <v>1147.5</v>
      </c>
      <c r="W17" s="404">
        <f t="shared" si="15"/>
        <v>8.7145969498910673E-4</v>
      </c>
      <c r="X17" s="360">
        <f t="shared" si="16"/>
        <v>18.911546840958604</v>
      </c>
      <c r="Y17" s="700"/>
      <c r="Z17" s="405">
        <f t="shared" si="17"/>
        <v>6.8406559041615109</v>
      </c>
      <c r="AA17" s="402"/>
    </row>
    <row r="18" spans="1:27" ht="21" customHeight="1">
      <c r="A18" s="357">
        <v>45355</v>
      </c>
      <c r="B18" s="374" t="s">
        <v>290</v>
      </c>
      <c r="C18" s="375" t="s">
        <v>286</v>
      </c>
      <c r="D18" s="374" t="s">
        <v>270</v>
      </c>
      <c r="E18" s="374">
        <v>60</v>
      </c>
      <c r="F18" s="402"/>
      <c r="G18" s="500">
        <v>2</v>
      </c>
      <c r="H18" s="376">
        <v>4</v>
      </c>
      <c r="I18" s="403">
        <f t="shared" si="0"/>
        <v>9943.640908216048</v>
      </c>
      <c r="J18" s="374" t="s">
        <v>271</v>
      </c>
      <c r="K18" s="500">
        <f>845+3900+110+4090+279+3921+600</f>
        <v>13745</v>
      </c>
      <c r="L18" s="377">
        <f t="shared" si="18"/>
        <v>135.82259200000001</v>
      </c>
      <c r="M18" s="500">
        <v>0</v>
      </c>
      <c r="N18" s="383">
        <f t="shared" si="1"/>
        <v>1.3822904635105071</v>
      </c>
      <c r="O18" s="358">
        <f t="shared" si="13"/>
        <v>0.69114523175525355</v>
      </c>
      <c r="P18" s="369">
        <f t="shared" si="14"/>
        <v>0</v>
      </c>
      <c r="Q18" s="401" t="s">
        <v>295</v>
      </c>
      <c r="R18" s="696"/>
      <c r="S18" s="699"/>
      <c r="T18" s="696"/>
      <c r="U18" s="696"/>
      <c r="V18" s="500">
        <f>'[2]对绞 总绞工时Twisting core'!G32</f>
        <v>1377</v>
      </c>
      <c r="W18" s="404">
        <f t="shared" si="15"/>
        <v>7.2621641249092229E-4</v>
      </c>
      <c r="X18" s="360">
        <f t="shared" si="16"/>
        <v>9.9818445896877268</v>
      </c>
      <c r="Y18" s="701"/>
      <c r="Z18" s="405">
        <f t="shared" si="17"/>
        <v>3.6106176137313173</v>
      </c>
      <c r="AA18" s="402"/>
    </row>
    <row r="19" spans="1:27" ht="21" customHeight="1">
      <c r="A19" s="357"/>
      <c r="B19" s="374"/>
      <c r="C19" s="375"/>
      <c r="D19" s="374"/>
      <c r="E19" s="374"/>
      <c r="F19" s="402"/>
      <c r="G19" s="500"/>
      <c r="H19" s="376"/>
      <c r="I19" s="403"/>
      <c r="J19" s="374"/>
      <c r="K19" s="500"/>
      <c r="L19" s="377"/>
      <c r="M19" s="500"/>
      <c r="N19" s="383" t="str">
        <f t="shared" si="1"/>
        <v/>
      </c>
      <c r="O19" s="358"/>
      <c r="P19" s="369"/>
      <c r="Q19" s="401"/>
      <c r="R19" s="515"/>
      <c r="S19" s="517"/>
      <c r="T19" s="515"/>
      <c r="U19" s="514"/>
      <c r="V19" s="493"/>
      <c r="W19" s="411"/>
      <c r="X19" s="499"/>
      <c r="Y19" s="518"/>
      <c r="Z19" s="412"/>
      <c r="AA19" s="384"/>
    </row>
    <row r="20" spans="1:27" ht="21" customHeight="1">
      <c r="A20" s="357">
        <v>45356</v>
      </c>
      <c r="B20" s="374" t="s">
        <v>296</v>
      </c>
      <c r="C20" s="375" t="s">
        <v>286</v>
      </c>
      <c r="D20" s="501" t="s">
        <v>446</v>
      </c>
      <c r="E20" s="374">
        <v>38</v>
      </c>
      <c r="F20" s="402"/>
      <c r="G20" s="500">
        <v>2</v>
      </c>
      <c r="H20" s="376">
        <v>4</v>
      </c>
      <c r="I20" s="403">
        <f t="shared" si="0"/>
        <v>10099.902144855088</v>
      </c>
      <c r="J20" s="379" t="s">
        <v>10</v>
      </c>
      <c r="K20" s="500">
        <f>1572+4506+875+3275+832</f>
        <v>11060</v>
      </c>
      <c r="L20" s="377">
        <f t="shared" ref="L20:L21" si="19">(K20*9.8778)/1000</f>
        <v>109.248468</v>
      </c>
      <c r="M20" s="500">
        <v>0</v>
      </c>
      <c r="N20" s="383">
        <f t="shared" si="1"/>
        <v>1.0950601145808119</v>
      </c>
      <c r="O20" s="358">
        <f t="shared" ref="O20:O24" si="20">IFERROR(IF(I20&lt;&gt;"",K20/(H20*V20*Z20),""),"input error")</f>
        <v>0.54753005729040594</v>
      </c>
      <c r="P20" s="369">
        <f t="shared" ref="P20:P24" si="21">IFERROR(IF(L20&lt;&gt;"",M20/(M20+L20),""),"input error")</f>
        <v>0</v>
      </c>
      <c r="Q20" s="401" t="s">
        <v>293</v>
      </c>
      <c r="R20" s="694">
        <v>3</v>
      </c>
      <c r="S20" s="697">
        <v>7.5</v>
      </c>
      <c r="T20" s="694">
        <v>0</v>
      </c>
      <c r="U20" s="694">
        <f>IFERROR(IF(R20&gt;0,R20*S20-T20,""),"input error")</f>
        <v>22.5</v>
      </c>
      <c r="V20" s="413">
        <f>'[2]对绞 总绞工时Twisting core'!G30</f>
        <v>803.25</v>
      </c>
      <c r="W20" s="404">
        <f t="shared" ref="W20:W24" si="22">1/V20</f>
        <v>1.2449424214130097E-3</v>
      </c>
      <c r="X20" s="360">
        <f t="shared" ref="X20:X24" si="23">IFERROR(IF(W20&lt;&gt;"",K20*W20,""),"input error")</f>
        <v>13.769063180827887</v>
      </c>
      <c r="Y20" s="783">
        <f>SUM(X20:X23)</f>
        <v>49.277705156136527</v>
      </c>
      <c r="Z20" s="405">
        <f>IFERROR(IF(X20&lt;&gt;"",$U$20*X20/$Y$20,""),"input error")</f>
        <v>6.2868983161251721</v>
      </c>
      <c r="AA20" s="384"/>
    </row>
    <row r="21" spans="1:27" ht="21" customHeight="1">
      <c r="A21" s="357">
        <v>45356</v>
      </c>
      <c r="B21" s="374" t="s">
        <v>285</v>
      </c>
      <c r="C21" s="375" t="s">
        <v>286</v>
      </c>
      <c r="D21" s="501" t="s">
        <v>446</v>
      </c>
      <c r="E21" s="374">
        <v>38</v>
      </c>
      <c r="F21" s="402"/>
      <c r="G21" s="500">
        <v>2</v>
      </c>
      <c r="H21" s="376">
        <v>4</v>
      </c>
      <c r="I21" s="403">
        <f t="shared" si="0"/>
        <v>12196.590691381969</v>
      </c>
      <c r="J21" s="379" t="s">
        <v>10</v>
      </c>
      <c r="K21" s="500">
        <f>1573+3838+668+3760+152+3365</f>
        <v>13356</v>
      </c>
      <c r="L21" s="377">
        <f t="shared" si="19"/>
        <v>131.92789680000001</v>
      </c>
      <c r="M21" s="500">
        <v>0</v>
      </c>
      <c r="N21" s="383">
        <f t="shared" si="1"/>
        <v>1.0950601145808116</v>
      </c>
      <c r="O21" s="358">
        <f t="shared" si="20"/>
        <v>0.54753005729040582</v>
      </c>
      <c r="P21" s="369">
        <f t="shared" si="21"/>
        <v>0</v>
      </c>
      <c r="Q21" s="401" t="s">
        <v>293</v>
      </c>
      <c r="R21" s="695"/>
      <c r="S21" s="698"/>
      <c r="T21" s="695"/>
      <c r="U21" s="695"/>
      <c r="V21" s="413">
        <f>'[2]对绞 总绞工时Twisting core'!G30</f>
        <v>803.25</v>
      </c>
      <c r="W21" s="404">
        <f t="shared" si="22"/>
        <v>1.2449424214130097E-3</v>
      </c>
      <c r="X21" s="360">
        <f t="shared" si="23"/>
        <v>16.627450980392158</v>
      </c>
      <c r="Y21" s="783"/>
      <c r="Z21" s="405">
        <f t="shared" ref="Z21:Z23" si="24">IFERROR(IF(X21&lt;&gt;"",$U$20*X21/$Y$20,""),"input error")</f>
        <v>7.592026574156221</v>
      </c>
      <c r="AA21" s="384"/>
    </row>
    <row r="22" spans="1:27" ht="21" customHeight="1">
      <c r="A22" s="357">
        <v>45356</v>
      </c>
      <c r="B22" s="374" t="s">
        <v>288</v>
      </c>
      <c r="C22" s="375" t="s">
        <v>286</v>
      </c>
      <c r="D22" s="374" t="s">
        <v>214</v>
      </c>
      <c r="E22" s="374">
        <v>50</v>
      </c>
      <c r="F22" s="402"/>
      <c r="G22" s="500">
        <v>2</v>
      </c>
      <c r="H22" s="376">
        <v>4</v>
      </c>
      <c r="I22" s="403">
        <f t="shared" si="0"/>
        <v>15923.326735970901</v>
      </c>
      <c r="J22" s="374" t="s">
        <v>32</v>
      </c>
      <c r="K22" s="500">
        <f>1600+4520+1640+2880+3915+2882</f>
        <v>17437</v>
      </c>
      <c r="L22" s="377">
        <f t="shared" ref="L22:L23" si="25">(K22*9.8816)/1000</f>
        <v>172.3054592</v>
      </c>
      <c r="M22" s="500">
        <v>0</v>
      </c>
      <c r="N22" s="383">
        <f t="shared" si="1"/>
        <v>1.0950601145808119</v>
      </c>
      <c r="O22" s="358">
        <f t="shared" si="20"/>
        <v>0.54753005729040594</v>
      </c>
      <c r="P22" s="369">
        <f t="shared" si="21"/>
        <v>0</v>
      </c>
      <c r="Q22" s="401" t="s">
        <v>293</v>
      </c>
      <c r="R22" s="695"/>
      <c r="S22" s="698"/>
      <c r="T22" s="695"/>
      <c r="U22" s="695"/>
      <c r="V22" s="413">
        <f>'[2]对绞 总绞工时Twisting core'!G31</f>
        <v>1147.5</v>
      </c>
      <c r="W22" s="404">
        <f t="shared" si="22"/>
        <v>8.7145969498910673E-4</v>
      </c>
      <c r="X22" s="360">
        <f t="shared" si="23"/>
        <v>15.195642701525054</v>
      </c>
      <c r="Y22" s="783"/>
      <c r="Z22" s="405">
        <f t="shared" si="24"/>
        <v>6.9382687302705452</v>
      </c>
      <c r="AA22" s="384"/>
    </row>
    <row r="23" spans="1:27" ht="21" customHeight="1">
      <c r="A23" s="357">
        <v>45356</v>
      </c>
      <c r="B23" s="374" t="s">
        <v>290</v>
      </c>
      <c r="C23" s="375" t="s">
        <v>286</v>
      </c>
      <c r="D23" s="374" t="s">
        <v>270</v>
      </c>
      <c r="E23" s="374">
        <v>60</v>
      </c>
      <c r="F23" s="402"/>
      <c r="G23" s="500">
        <v>2</v>
      </c>
      <c r="H23" s="376">
        <v>4</v>
      </c>
      <c r="I23" s="403">
        <f t="shared" si="0"/>
        <v>4634.4487689999614</v>
      </c>
      <c r="J23" s="374" t="s">
        <v>271</v>
      </c>
      <c r="K23" s="500">
        <f>3600+1475</f>
        <v>5075</v>
      </c>
      <c r="L23" s="377">
        <f t="shared" si="25"/>
        <v>50.149120000000003</v>
      </c>
      <c r="M23" s="500">
        <v>0</v>
      </c>
      <c r="N23" s="383">
        <f t="shared" si="1"/>
        <v>1.0950601145808119</v>
      </c>
      <c r="O23" s="358">
        <f t="shared" si="20"/>
        <v>0.54753005729040594</v>
      </c>
      <c r="P23" s="369">
        <f t="shared" si="21"/>
        <v>0</v>
      </c>
      <c r="Q23" s="401" t="s">
        <v>295</v>
      </c>
      <c r="R23" s="696"/>
      <c r="S23" s="699"/>
      <c r="T23" s="696"/>
      <c r="U23" s="696"/>
      <c r="V23" s="413">
        <f>'[2]对绞 总绞工时Twisting core'!G32</f>
        <v>1377</v>
      </c>
      <c r="W23" s="404">
        <f t="shared" si="22"/>
        <v>7.2621641249092229E-4</v>
      </c>
      <c r="X23" s="360">
        <f t="shared" si="23"/>
        <v>3.6855482933914305</v>
      </c>
      <c r="Y23" s="783"/>
      <c r="Z23" s="405">
        <f t="shared" si="24"/>
        <v>1.6828063794480617</v>
      </c>
      <c r="AA23" s="384"/>
    </row>
    <row r="24" spans="1:27" ht="21" customHeight="1">
      <c r="A24" s="357">
        <v>45356</v>
      </c>
      <c r="B24" s="374" t="s">
        <v>290</v>
      </c>
      <c r="C24" s="375" t="s">
        <v>286</v>
      </c>
      <c r="D24" s="374" t="s">
        <v>256</v>
      </c>
      <c r="E24" s="374">
        <v>60</v>
      </c>
      <c r="F24" s="402"/>
      <c r="G24" s="500">
        <v>2</v>
      </c>
      <c r="H24" s="376">
        <v>4</v>
      </c>
      <c r="I24" s="403">
        <f t="shared" si="0"/>
        <v>2754</v>
      </c>
      <c r="J24" s="374" t="s">
        <v>291</v>
      </c>
      <c r="K24" s="500">
        <v>1684</v>
      </c>
      <c r="L24" s="377">
        <f>(K24*8.8228)/1000</f>
        <v>14.857595200000002</v>
      </c>
      <c r="M24" s="500">
        <v>0</v>
      </c>
      <c r="N24" s="383">
        <f t="shared" si="1"/>
        <v>0.61147421931735657</v>
      </c>
      <c r="O24" s="358">
        <f t="shared" si="20"/>
        <v>0.30573710965867829</v>
      </c>
      <c r="P24" s="369">
        <f t="shared" si="21"/>
        <v>0</v>
      </c>
      <c r="Q24" s="401" t="s">
        <v>295</v>
      </c>
      <c r="R24" s="515">
        <v>1</v>
      </c>
      <c r="S24" s="515">
        <v>1</v>
      </c>
      <c r="T24" s="515">
        <v>0</v>
      </c>
      <c r="U24" s="513">
        <f>IFERROR(IF(R24&gt;0,R24*S24-T24,""),"input error")</f>
        <v>1</v>
      </c>
      <c r="V24" s="413">
        <f>'[2]对绞 总绞工时Twisting core'!G32</f>
        <v>1377</v>
      </c>
      <c r="W24" s="404">
        <f t="shared" si="22"/>
        <v>7.2621641249092229E-4</v>
      </c>
      <c r="X24" s="360">
        <f t="shared" si="23"/>
        <v>1.2229484386347131</v>
      </c>
      <c r="Y24" s="362">
        <f>IFERROR(IF(X24&lt;&gt;"",SUM(X24),""),"input error")</f>
        <v>1.2229484386347131</v>
      </c>
      <c r="Z24" s="405">
        <f t="shared" ref="Z24" si="26">IFERROR(IF(U24&lt;&gt;"",U24*X24/Y24,""),"input error")</f>
        <v>1</v>
      </c>
      <c r="AA24" s="384"/>
    </row>
    <row r="25" spans="1:27" ht="21" customHeight="1">
      <c r="A25" s="357"/>
      <c r="B25" s="374"/>
      <c r="C25" s="375"/>
      <c r="D25" s="374"/>
      <c r="E25" s="374"/>
      <c r="F25" s="402"/>
      <c r="G25" s="500"/>
      <c r="H25" s="376"/>
      <c r="I25" s="403"/>
      <c r="J25" s="374"/>
      <c r="K25" s="500"/>
      <c r="L25" s="377"/>
      <c r="M25" s="500"/>
      <c r="N25" s="383" t="str">
        <f t="shared" si="1"/>
        <v/>
      </c>
      <c r="O25" s="358"/>
      <c r="P25" s="369"/>
      <c r="Q25" s="401"/>
      <c r="R25" s="515"/>
      <c r="S25" s="515"/>
      <c r="T25" s="515"/>
      <c r="U25" s="513"/>
      <c r="V25" s="413"/>
      <c r="W25" s="411"/>
      <c r="X25" s="499"/>
      <c r="Y25" s="509"/>
      <c r="Z25" s="412"/>
      <c r="AA25" s="384"/>
    </row>
    <row r="26" spans="1:27" ht="21" customHeight="1">
      <c r="A26" s="357">
        <v>45357</v>
      </c>
      <c r="B26" s="374" t="s">
        <v>296</v>
      </c>
      <c r="C26" s="375" t="s">
        <v>286</v>
      </c>
      <c r="D26" s="501" t="s">
        <v>446</v>
      </c>
      <c r="E26" s="374">
        <v>38</v>
      </c>
      <c r="F26" s="402"/>
      <c r="G26" s="500">
        <v>2</v>
      </c>
      <c r="H26" s="376">
        <v>3</v>
      </c>
      <c r="I26" s="403">
        <f t="shared" si="0"/>
        <v>10514.02587065144</v>
      </c>
      <c r="J26" s="379" t="s">
        <v>10</v>
      </c>
      <c r="K26" s="500">
        <f>2250+1966+405+4300+370</f>
        <v>9291</v>
      </c>
      <c r="L26" s="377">
        <f t="shared" ref="L26:L27" si="27">(K26*9.8778)/1000</f>
        <v>91.774639800000003</v>
      </c>
      <c r="M26" s="500">
        <v>0</v>
      </c>
      <c r="N26" s="383">
        <f t="shared" si="1"/>
        <v>0.88367672995123969</v>
      </c>
      <c r="O26" s="358">
        <f t="shared" ref="O26:O28" si="28">IFERROR(IF(I26&lt;&gt;"",K26/(H26*V26*Z26),""),"input error")</f>
        <v>0.58911781996749313</v>
      </c>
      <c r="P26" s="369">
        <f t="shared" ref="P26:P28" si="29">IFERROR(IF(L26&lt;&gt;"",M26/(M26+L26),""),"input error")</f>
        <v>0</v>
      </c>
      <c r="Q26" s="401" t="s">
        <v>297</v>
      </c>
      <c r="R26" s="694">
        <v>3</v>
      </c>
      <c r="S26" s="697">
        <v>7.5</v>
      </c>
      <c r="T26" s="697">
        <v>0</v>
      </c>
      <c r="U26" s="687">
        <f>IFERROR(IF(R26&gt;0,R26*S26-T26,""),"input error")</f>
        <v>22.5</v>
      </c>
      <c r="V26" s="413">
        <f>'[2]对绞 总绞工时Twisting core'!G30</f>
        <v>803.25</v>
      </c>
      <c r="W26" s="404">
        <f t="shared" ref="W26:W28" si="30">1/V26</f>
        <v>1.2449424214130097E-3</v>
      </c>
      <c r="X26" s="360">
        <f t="shared" ref="X26:X28" si="31">IFERROR(IF(W26&lt;&gt;"",K26*W26,""),"input error")</f>
        <v>11.566760037348272</v>
      </c>
      <c r="Y26" s="682">
        <f>SUM(X26:X28)</f>
        <v>39.76545284780579</v>
      </c>
      <c r="Z26" s="405">
        <f>IFERROR(IF(U26&lt;&gt;"",$U$26*X26/$Y$26,""),"input error")</f>
        <v>6.5446784131039148</v>
      </c>
      <c r="AA26" s="384"/>
    </row>
    <row r="27" spans="1:27" ht="21" customHeight="1">
      <c r="A27" s="357">
        <v>45357</v>
      </c>
      <c r="B27" s="374" t="s">
        <v>285</v>
      </c>
      <c r="C27" s="375" t="s">
        <v>286</v>
      </c>
      <c r="D27" s="501" t="s">
        <v>446</v>
      </c>
      <c r="E27" s="374">
        <v>38</v>
      </c>
      <c r="F27" s="402"/>
      <c r="G27" s="500">
        <v>2</v>
      </c>
      <c r="H27" s="376">
        <v>3</v>
      </c>
      <c r="I27" s="403">
        <f t="shared" si="0"/>
        <v>14488.329913028778</v>
      </c>
      <c r="J27" s="379" t="s">
        <v>10</v>
      </c>
      <c r="K27" s="500">
        <f>3697+2500+1326+4500+780</f>
        <v>12803</v>
      </c>
      <c r="L27" s="377">
        <f t="shared" si="27"/>
        <v>126.46547340000001</v>
      </c>
      <c r="M27" s="500">
        <v>0</v>
      </c>
      <c r="N27" s="383">
        <f t="shared" si="1"/>
        <v>0.88367672995123969</v>
      </c>
      <c r="O27" s="358">
        <f t="shared" si="28"/>
        <v>0.58911781996749313</v>
      </c>
      <c r="P27" s="369">
        <f t="shared" si="29"/>
        <v>0</v>
      </c>
      <c r="Q27" s="401" t="s">
        <v>298</v>
      </c>
      <c r="R27" s="695"/>
      <c r="S27" s="698"/>
      <c r="T27" s="698"/>
      <c r="U27" s="688"/>
      <c r="V27" s="413">
        <f>'[2]对绞 总绞工时Twisting core'!G30</f>
        <v>803.25</v>
      </c>
      <c r="W27" s="404">
        <f t="shared" si="30"/>
        <v>1.2449424214130097E-3</v>
      </c>
      <c r="X27" s="360">
        <f t="shared" si="31"/>
        <v>15.938997821350764</v>
      </c>
      <c r="Y27" s="700"/>
      <c r="Z27" s="405">
        <f>IFERROR(IF(U26&lt;&gt;"",$U$26*X27/$Y$26,""),"input error")</f>
        <v>9.0185682620782934</v>
      </c>
      <c r="AA27" s="384"/>
    </row>
    <row r="28" spans="1:27" ht="21" customHeight="1">
      <c r="A28" s="357">
        <v>45357</v>
      </c>
      <c r="B28" s="374" t="s">
        <v>288</v>
      </c>
      <c r="C28" s="375" t="s">
        <v>286</v>
      </c>
      <c r="D28" s="374" t="s">
        <v>214</v>
      </c>
      <c r="E28" s="374">
        <v>50</v>
      </c>
      <c r="F28" s="402"/>
      <c r="G28" s="500">
        <v>2</v>
      </c>
      <c r="H28" s="376">
        <v>3</v>
      </c>
      <c r="I28" s="403">
        <f t="shared" si="0"/>
        <v>15919.848880456831</v>
      </c>
      <c r="J28" s="374" t="s">
        <v>32</v>
      </c>
      <c r="K28" s="500">
        <f>529+1224+904+3732+1834+4520+1325</f>
        <v>14068</v>
      </c>
      <c r="L28" s="377">
        <f t="shared" ref="L28" si="32">(K28*9.8816)/1000</f>
        <v>139.01434879999999</v>
      </c>
      <c r="M28" s="500">
        <v>0</v>
      </c>
      <c r="N28" s="383">
        <f t="shared" si="1"/>
        <v>0.88367672995123991</v>
      </c>
      <c r="O28" s="358">
        <f t="shared" si="28"/>
        <v>0.58911781996749324</v>
      </c>
      <c r="P28" s="369">
        <f t="shared" si="29"/>
        <v>0</v>
      </c>
      <c r="Q28" s="401" t="s">
        <v>299</v>
      </c>
      <c r="R28" s="696"/>
      <c r="S28" s="699"/>
      <c r="T28" s="699"/>
      <c r="U28" s="689"/>
      <c r="V28" s="493">
        <f>'[2]对绞 总绞工时Twisting core'!G31</f>
        <v>1147.5</v>
      </c>
      <c r="W28" s="404">
        <f t="shared" si="30"/>
        <v>8.7145969498910673E-4</v>
      </c>
      <c r="X28" s="360">
        <f t="shared" si="31"/>
        <v>12.259694989106753</v>
      </c>
      <c r="Y28" s="701"/>
      <c r="Z28" s="405">
        <f>IFERROR(IF(U26&lt;&gt;"",$U$26*X28/$Y$26,""),"input error")</f>
        <v>6.9367533248177917</v>
      </c>
      <c r="AA28" s="384"/>
    </row>
    <row r="29" spans="1:27" ht="21" customHeight="1">
      <c r="A29" s="357"/>
      <c r="B29" s="374"/>
      <c r="C29" s="375"/>
      <c r="D29" s="374"/>
      <c r="E29" s="374"/>
      <c r="F29" s="402"/>
      <c r="G29" s="500"/>
      <c r="H29" s="376"/>
      <c r="I29" s="403"/>
      <c r="J29" s="374"/>
      <c r="K29" s="500"/>
      <c r="L29" s="377"/>
      <c r="M29" s="500"/>
      <c r="N29" s="383" t="str">
        <f t="shared" si="1"/>
        <v/>
      </c>
      <c r="O29" s="358"/>
      <c r="P29" s="369"/>
      <c r="Q29" s="401"/>
      <c r="R29" s="515"/>
      <c r="S29" s="517"/>
      <c r="T29" s="517"/>
      <c r="U29" s="507"/>
      <c r="V29" s="493"/>
      <c r="W29" s="411"/>
      <c r="X29" s="499"/>
      <c r="Y29" s="518"/>
      <c r="Z29" s="412"/>
      <c r="AA29" s="384"/>
    </row>
    <row r="30" spans="1:27" ht="40.5" customHeight="1">
      <c r="A30" s="357">
        <v>45358</v>
      </c>
      <c r="B30" s="374" t="s">
        <v>296</v>
      </c>
      <c r="C30" s="375" t="s">
        <v>286</v>
      </c>
      <c r="D30" s="501" t="s">
        <v>446</v>
      </c>
      <c r="E30" s="374">
        <v>38</v>
      </c>
      <c r="F30" s="402"/>
      <c r="G30" s="500">
        <v>2</v>
      </c>
      <c r="H30" s="376">
        <v>4</v>
      </c>
      <c r="I30" s="403">
        <f t="shared" si="0"/>
        <v>10246.499248029915</v>
      </c>
      <c r="J30" s="379" t="s">
        <v>10</v>
      </c>
      <c r="K30" s="500">
        <f>4280+1800+2206+2494+2000+2233</f>
        <v>15013</v>
      </c>
      <c r="L30" s="377">
        <f t="shared" ref="L30:L31" si="33">(K30*9.8778)/1000</f>
        <v>148.29541140000001</v>
      </c>
      <c r="M30" s="500">
        <v>0</v>
      </c>
      <c r="N30" s="383">
        <f t="shared" si="1"/>
        <v>1.4651833408260422</v>
      </c>
      <c r="O30" s="358">
        <f t="shared" ref="O30:O33" si="34">IFERROR(IF(I30&lt;&gt;"",K30/(H30*V30*Z30),""),"input error")</f>
        <v>0.73259167041302109</v>
      </c>
      <c r="P30" s="369">
        <f t="shared" ref="P30:P33" si="35">IFERROR(IF(L30&lt;&gt;"",M30/(M30+L30),""),"input error")</f>
        <v>0</v>
      </c>
      <c r="Q30" s="401" t="s">
        <v>466</v>
      </c>
      <c r="R30" s="694">
        <v>3</v>
      </c>
      <c r="S30" s="697">
        <v>7.5</v>
      </c>
      <c r="T30" s="694">
        <v>0</v>
      </c>
      <c r="U30" s="694">
        <f>IFERROR(IF(R30&gt;0,R30*S30-T30,""),"input error")</f>
        <v>22.5</v>
      </c>
      <c r="V30" s="413">
        <f>'[2]对绞 总绞工时Twisting core'!G30</f>
        <v>803.25</v>
      </c>
      <c r="W30" s="404">
        <f t="shared" ref="W30:W33" si="36">1/V30</f>
        <v>1.2449424214130097E-3</v>
      </c>
      <c r="X30" s="360">
        <f t="shared" ref="X30:X33" si="37">IFERROR(IF(W30&lt;&gt;"",K30*W30,""),"input error")</f>
        <v>18.690320572673514</v>
      </c>
      <c r="Y30" s="682">
        <f>SUM(X30:X33)</f>
        <v>65.933250337171899</v>
      </c>
      <c r="Z30" s="405">
        <f>IFERROR(IF(U30&lt;&gt;"",$U$30*X30/$Y$30,""),"input error")</f>
        <v>6.3781507924244725</v>
      </c>
      <c r="AA30" s="384"/>
    </row>
    <row r="31" spans="1:27" ht="28.5" customHeight="1">
      <c r="A31" s="357">
        <v>45358</v>
      </c>
      <c r="B31" s="374" t="s">
        <v>285</v>
      </c>
      <c r="C31" s="375" t="s">
        <v>286</v>
      </c>
      <c r="D31" s="501" t="s">
        <v>446</v>
      </c>
      <c r="E31" s="374">
        <v>38</v>
      </c>
      <c r="F31" s="402"/>
      <c r="G31" s="500">
        <v>2</v>
      </c>
      <c r="H31" s="376">
        <v>4</v>
      </c>
      <c r="I31" s="403">
        <f t="shared" si="0"/>
        <v>12814.096008909723</v>
      </c>
      <c r="J31" s="379" t="s">
        <v>10</v>
      </c>
      <c r="K31" s="500">
        <f>3710+4157+351+3137+1410+3010+3000</f>
        <v>18775</v>
      </c>
      <c r="L31" s="377">
        <f t="shared" si="33"/>
        <v>185.45569500000002</v>
      </c>
      <c r="M31" s="500">
        <v>0</v>
      </c>
      <c r="N31" s="383">
        <f t="shared" si="1"/>
        <v>1.4651833408260422</v>
      </c>
      <c r="O31" s="358">
        <f t="shared" si="34"/>
        <v>0.73259167041302109</v>
      </c>
      <c r="P31" s="369">
        <f t="shared" si="35"/>
        <v>0</v>
      </c>
      <c r="Q31" s="401" t="s">
        <v>297</v>
      </c>
      <c r="R31" s="695"/>
      <c r="S31" s="698"/>
      <c r="T31" s="695"/>
      <c r="U31" s="695"/>
      <c r="V31" s="413">
        <f>'[2]对绞 总绞工时Twisting core'!G30</f>
        <v>803.25</v>
      </c>
      <c r="W31" s="404">
        <f t="shared" si="36"/>
        <v>1.2449424214130097E-3</v>
      </c>
      <c r="X31" s="360">
        <f t="shared" si="37"/>
        <v>23.373793962029257</v>
      </c>
      <c r="Y31" s="700"/>
      <c r="Z31" s="405">
        <f>IFERROR(IF(U30&lt;&gt;"",$U$30*X31/$Y$30,""),"input error")</f>
        <v>7.9764058567754264</v>
      </c>
      <c r="AA31" s="384"/>
    </row>
    <row r="32" spans="1:27" ht="23.25" customHeight="1">
      <c r="A32" s="357">
        <v>45358</v>
      </c>
      <c r="B32" s="374" t="s">
        <v>288</v>
      </c>
      <c r="C32" s="375" t="s">
        <v>286</v>
      </c>
      <c r="D32" s="374" t="s">
        <v>214</v>
      </c>
      <c r="E32" s="374">
        <v>50</v>
      </c>
      <c r="F32" s="402"/>
      <c r="G32" s="500">
        <v>2</v>
      </c>
      <c r="H32" s="376">
        <v>4</v>
      </c>
      <c r="I32" s="403">
        <f t="shared" si="0"/>
        <v>14014.628359358307</v>
      </c>
      <c r="J32" s="374" t="s">
        <v>32</v>
      </c>
      <c r="K32" s="500">
        <f>3175+4507+861+3578+3175+1345+3893</f>
        <v>20534</v>
      </c>
      <c r="L32" s="377">
        <f t="shared" ref="L32" si="38">(K32*9.8816)/1000</f>
        <v>202.90877440000003</v>
      </c>
      <c r="M32" s="500">
        <v>0</v>
      </c>
      <c r="N32" s="383">
        <f t="shared" si="1"/>
        <v>1.4651833408260424</v>
      </c>
      <c r="O32" s="358">
        <f t="shared" si="34"/>
        <v>0.7325916704130212</v>
      </c>
      <c r="P32" s="369">
        <f t="shared" si="35"/>
        <v>0</v>
      </c>
      <c r="Q32" s="401" t="s">
        <v>299</v>
      </c>
      <c r="R32" s="695"/>
      <c r="S32" s="698"/>
      <c r="T32" s="695"/>
      <c r="U32" s="695"/>
      <c r="V32" s="413">
        <f>'[2]对绞 总绞工时Twisting core'!G31</f>
        <v>1147.5</v>
      </c>
      <c r="W32" s="404">
        <f t="shared" si="36"/>
        <v>8.7145969498910673E-4</v>
      </c>
      <c r="X32" s="360">
        <f t="shared" si="37"/>
        <v>17.894553376906316</v>
      </c>
      <c r="Y32" s="700"/>
      <c r="Z32" s="405">
        <f>IFERROR(IF(U30&lt;&gt;"",$U$30*X32/$Y$30,""),"input error")</f>
        <v>6.1065918777160375</v>
      </c>
      <c r="AA32" s="384"/>
    </row>
    <row r="33" spans="1:27" ht="15">
      <c r="A33" s="357">
        <v>45358</v>
      </c>
      <c r="B33" s="374" t="s">
        <v>290</v>
      </c>
      <c r="C33" s="375" t="s">
        <v>286</v>
      </c>
      <c r="D33" s="374" t="s">
        <v>256</v>
      </c>
      <c r="E33" s="374">
        <v>60</v>
      </c>
      <c r="F33" s="402"/>
      <c r="G33" s="500">
        <v>2</v>
      </c>
      <c r="H33" s="376">
        <v>4</v>
      </c>
      <c r="I33" s="403">
        <f t="shared" si="0"/>
        <v>5614.996956873516</v>
      </c>
      <c r="J33" s="374" t="s">
        <v>291</v>
      </c>
      <c r="K33" s="500">
        <f>3562+3142+1058+465</f>
        <v>8227</v>
      </c>
      <c r="L33" s="377">
        <f>(K33*8.8228)/1000</f>
        <v>72.585175599999999</v>
      </c>
      <c r="M33" s="500">
        <v>0</v>
      </c>
      <c r="N33" s="383">
        <f t="shared" si="1"/>
        <v>1.4651833408260424</v>
      </c>
      <c r="O33" s="358">
        <f t="shared" si="34"/>
        <v>0.7325916704130212</v>
      </c>
      <c r="P33" s="369">
        <f t="shared" si="35"/>
        <v>0</v>
      </c>
      <c r="Q33" s="401" t="s">
        <v>467</v>
      </c>
      <c r="R33" s="696"/>
      <c r="S33" s="699"/>
      <c r="T33" s="696"/>
      <c r="U33" s="696"/>
      <c r="V33" s="493">
        <f>'[2]对绞 总绞工时Twisting core'!G32</f>
        <v>1377</v>
      </c>
      <c r="W33" s="404">
        <f t="shared" si="36"/>
        <v>7.2621641249092229E-4</v>
      </c>
      <c r="X33" s="360">
        <f t="shared" si="37"/>
        <v>5.9745824255628177</v>
      </c>
      <c r="Y33" s="701"/>
      <c r="Z33" s="405">
        <f>IFERROR(IF(U30&lt;&gt;"",$U$30*X33/$Y$30,""),"input error")</f>
        <v>2.0388514730840654</v>
      </c>
      <c r="AA33" s="384"/>
    </row>
    <row r="34" spans="1:27" ht="15">
      <c r="A34" s="357"/>
      <c r="B34" s="374"/>
      <c r="C34" s="375"/>
      <c r="D34" s="374"/>
      <c r="E34" s="374"/>
      <c r="F34" s="402"/>
      <c r="G34" s="500"/>
      <c r="H34" s="376"/>
      <c r="I34" s="403"/>
      <c r="J34" s="374"/>
      <c r="K34" s="500"/>
      <c r="L34" s="377"/>
      <c r="M34" s="500"/>
      <c r="N34" s="383" t="str">
        <f t="shared" si="1"/>
        <v/>
      </c>
      <c r="O34" s="358"/>
      <c r="P34" s="369"/>
      <c r="Q34" s="401"/>
      <c r="R34" s="515"/>
      <c r="S34" s="517"/>
      <c r="T34" s="515"/>
      <c r="U34" s="514"/>
      <c r="V34" s="493"/>
      <c r="W34" s="411"/>
      <c r="X34" s="499"/>
      <c r="Y34" s="518"/>
      <c r="Z34" s="412"/>
      <c r="AA34" s="384"/>
    </row>
    <row r="35" spans="1:27" ht="15">
      <c r="A35" s="357">
        <v>45359</v>
      </c>
      <c r="B35" s="374" t="s">
        <v>296</v>
      </c>
      <c r="C35" s="375" t="s">
        <v>286</v>
      </c>
      <c r="D35" s="501" t="s">
        <v>446</v>
      </c>
      <c r="E35" s="374">
        <v>38</v>
      </c>
      <c r="F35" s="402"/>
      <c r="G35" s="500">
        <v>2</v>
      </c>
      <c r="H35" s="376">
        <v>4</v>
      </c>
      <c r="I35" s="403">
        <f t="shared" si="0"/>
        <v>12878.907552327864</v>
      </c>
      <c r="J35" s="379" t="s">
        <v>10</v>
      </c>
      <c r="K35" s="500">
        <f>4231+2400+641+4381+547+3723+2480</f>
        <v>18403</v>
      </c>
      <c r="L35" s="377">
        <f t="shared" ref="L35:L36" si="39">(K35*9.8778)/1000</f>
        <v>181.78115340000002</v>
      </c>
      <c r="M35" s="500">
        <v>0</v>
      </c>
      <c r="N35" s="383">
        <f t="shared" si="1"/>
        <v>1.428925545526853</v>
      </c>
      <c r="O35" s="358">
        <f t="shared" ref="O35:O38" si="40">IFERROR(IF(I35&lt;&gt;"",K35/(H35*V35*Z35),""),"input error")</f>
        <v>0.71446277276342651</v>
      </c>
      <c r="P35" s="369">
        <f t="shared" ref="P35:P38" si="41">IFERROR(IF(L35&lt;&gt;"",M35/(M35+L35),""),"input error")</f>
        <v>0</v>
      </c>
      <c r="Q35" s="401" t="s">
        <v>466</v>
      </c>
      <c r="R35" s="694">
        <v>3</v>
      </c>
      <c r="S35" s="697">
        <v>7.5</v>
      </c>
      <c r="T35" s="697">
        <v>0</v>
      </c>
      <c r="U35" s="687">
        <f>IFERROR(IF(R35&gt;0,R35*S35-T35,""),"input error")</f>
        <v>22.5</v>
      </c>
      <c r="V35" s="413">
        <f>'[2]对绞 总绞工时Twisting core'!G30</f>
        <v>803.25</v>
      </c>
      <c r="W35" s="404">
        <f t="shared" ref="W35:W38" si="42">1/V35</f>
        <v>1.2449424214130097E-3</v>
      </c>
      <c r="X35" s="360">
        <f t="shared" ref="X35:X38" si="43">IFERROR(IF(W35&lt;&gt;"",K35*W35,""),"input error")</f>
        <v>22.910675381263619</v>
      </c>
      <c r="Y35" s="682">
        <f>SUM(X35:X37)</f>
        <v>64.301649548708383</v>
      </c>
      <c r="Z35" s="405">
        <f>IFERROR(IF(U35&lt;&gt;"",$U$35*X35/$Y$35,""),"input error")</f>
        <v>8.0167491766746739</v>
      </c>
      <c r="AA35" s="384"/>
    </row>
    <row r="36" spans="1:27" ht="15">
      <c r="A36" s="357">
        <v>45359</v>
      </c>
      <c r="B36" s="374" t="s">
        <v>285</v>
      </c>
      <c r="C36" s="375" t="s">
        <v>286</v>
      </c>
      <c r="D36" s="501" t="s">
        <v>446</v>
      </c>
      <c r="E36" s="374">
        <v>38</v>
      </c>
      <c r="F36" s="402"/>
      <c r="G36" s="500">
        <v>2</v>
      </c>
      <c r="H36" s="376">
        <v>4</v>
      </c>
      <c r="I36" s="403">
        <f t="shared" si="0"/>
        <v>13166.536254387678</v>
      </c>
      <c r="J36" s="379" t="s">
        <v>10</v>
      </c>
      <c r="K36" s="500">
        <f>1500+4310+685+3794+2387+2133+4005</f>
        <v>18814</v>
      </c>
      <c r="L36" s="377">
        <f t="shared" si="39"/>
        <v>185.84092920000001</v>
      </c>
      <c r="M36" s="500">
        <v>0</v>
      </c>
      <c r="N36" s="383">
        <f t="shared" si="1"/>
        <v>1.428925545526853</v>
      </c>
      <c r="O36" s="358">
        <f t="shared" si="40"/>
        <v>0.71446277276342651</v>
      </c>
      <c r="P36" s="369">
        <f t="shared" si="41"/>
        <v>0</v>
      </c>
      <c r="Q36" s="401" t="s">
        <v>297</v>
      </c>
      <c r="R36" s="695"/>
      <c r="S36" s="698"/>
      <c r="T36" s="698"/>
      <c r="U36" s="688"/>
      <c r="V36" s="413">
        <f>'[2]对绞 总绞工时Twisting core'!G30</f>
        <v>803.25</v>
      </c>
      <c r="W36" s="404">
        <f t="shared" si="42"/>
        <v>1.2449424214130097E-3</v>
      </c>
      <c r="X36" s="360">
        <f t="shared" si="43"/>
        <v>23.422346716464364</v>
      </c>
      <c r="Y36" s="700"/>
      <c r="Z36" s="405">
        <f>IFERROR(IF(U35&lt;&gt;"",$U$35*X36/$Y$35,""),"input error")</f>
        <v>8.1957897630797873</v>
      </c>
      <c r="AA36" s="384"/>
    </row>
    <row r="37" spans="1:27" ht="15">
      <c r="A37" s="357">
        <v>45359</v>
      </c>
      <c r="B37" s="374" t="s">
        <v>288</v>
      </c>
      <c r="C37" s="375" t="s">
        <v>286</v>
      </c>
      <c r="D37" s="374" t="s">
        <v>214</v>
      </c>
      <c r="E37" s="374">
        <v>50</v>
      </c>
      <c r="F37" s="402"/>
      <c r="G37" s="500">
        <v>2</v>
      </c>
      <c r="H37" s="376">
        <v>4</v>
      </c>
      <c r="I37" s="403">
        <f t="shared" si="0"/>
        <v>14429.723133263504</v>
      </c>
      <c r="J37" s="374" t="s">
        <v>32</v>
      </c>
      <c r="K37" s="500">
        <f>933+4520+2336+2192+4513+150+4370+1605</f>
        <v>20619</v>
      </c>
      <c r="L37" s="377">
        <f t="shared" ref="L37" si="44">(K37*9.8816)/1000</f>
        <v>203.74871040000002</v>
      </c>
      <c r="M37" s="500">
        <v>0</v>
      </c>
      <c r="N37" s="383">
        <f t="shared" si="1"/>
        <v>1.4289255455268528</v>
      </c>
      <c r="O37" s="358">
        <f t="shared" si="40"/>
        <v>0.7144627727634264</v>
      </c>
      <c r="P37" s="369">
        <f t="shared" si="41"/>
        <v>0</v>
      </c>
      <c r="Q37" s="401" t="s">
        <v>299</v>
      </c>
      <c r="R37" s="696"/>
      <c r="S37" s="699"/>
      <c r="T37" s="699"/>
      <c r="U37" s="689"/>
      <c r="V37" s="413">
        <f>'[2]对绞 总绞工时Twisting core'!G31</f>
        <v>1147.5</v>
      </c>
      <c r="W37" s="404">
        <f t="shared" si="42"/>
        <v>8.7145969498910673E-4</v>
      </c>
      <c r="X37" s="360">
        <f t="shared" si="43"/>
        <v>17.968627450980392</v>
      </c>
      <c r="Y37" s="701"/>
      <c r="Z37" s="405">
        <f>IFERROR(IF(U35&lt;&gt;"",$U$35*X37/$Y$35,""),"input error")</f>
        <v>6.2874610602455352</v>
      </c>
      <c r="AA37" s="384"/>
    </row>
    <row r="38" spans="1:27" ht="15">
      <c r="A38" s="357">
        <v>45359</v>
      </c>
      <c r="B38" s="374" t="s">
        <v>290</v>
      </c>
      <c r="C38" s="375" t="s">
        <v>286</v>
      </c>
      <c r="D38" s="374" t="s">
        <v>256</v>
      </c>
      <c r="E38" s="374">
        <v>60</v>
      </c>
      <c r="F38" s="402"/>
      <c r="G38" s="500">
        <v>2</v>
      </c>
      <c r="H38" s="376">
        <v>4</v>
      </c>
      <c r="I38" s="403">
        <f t="shared" si="0"/>
        <v>27540</v>
      </c>
      <c r="J38" s="374" t="s">
        <v>291</v>
      </c>
      <c r="K38" s="500">
        <f>1835+1253+2767</f>
        <v>5855</v>
      </c>
      <c r="L38" s="377">
        <f>(K38*8.8228)/1000</f>
        <v>51.657494000000007</v>
      </c>
      <c r="M38" s="500">
        <v>0</v>
      </c>
      <c r="N38" s="383">
        <f t="shared" si="1"/>
        <v>0.2125998547567175</v>
      </c>
      <c r="O38" s="358">
        <f t="shared" si="40"/>
        <v>0.10629992737835875</v>
      </c>
      <c r="P38" s="369">
        <f t="shared" si="41"/>
        <v>0</v>
      </c>
      <c r="Q38" s="401" t="s">
        <v>467</v>
      </c>
      <c r="R38" s="515">
        <v>2</v>
      </c>
      <c r="S38" s="515">
        <v>5</v>
      </c>
      <c r="T38" s="515">
        <v>0</v>
      </c>
      <c r="U38" s="513">
        <f>IFERROR(IF(R38&gt;0,R38*S38-T38,""),"input error")</f>
        <v>10</v>
      </c>
      <c r="V38" s="413">
        <f>'[2]对绞 总绞工时Twisting core'!G32</f>
        <v>1377</v>
      </c>
      <c r="W38" s="404">
        <f t="shared" si="42"/>
        <v>7.2621641249092229E-4</v>
      </c>
      <c r="X38" s="360">
        <f t="shared" si="43"/>
        <v>4.2519970951343504</v>
      </c>
      <c r="Y38" s="362">
        <f>IFERROR(IF(X38&lt;&gt;"",SUM(X38),""),"input error")</f>
        <v>4.2519970951343504</v>
      </c>
      <c r="Z38" s="405">
        <f t="shared" ref="Z38" si="45">IFERROR(IF(U38&lt;&gt;"",U38*X38/Y38,""),"input error")</f>
        <v>10</v>
      </c>
      <c r="AA38" s="384"/>
    </row>
    <row r="39" spans="1:27" ht="15">
      <c r="A39" s="357"/>
      <c r="B39" s="374"/>
      <c r="C39" s="375"/>
      <c r="D39" s="374"/>
      <c r="E39" s="374"/>
      <c r="F39" s="402"/>
      <c r="G39" s="500"/>
      <c r="H39" s="376"/>
      <c r="I39" s="403"/>
      <c r="J39" s="374"/>
      <c r="K39" s="500"/>
      <c r="L39" s="377"/>
      <c r="M39" s="500"/>
      <c r="N39" s="383" t="str">
        <f t="shared" si="1"/>
        <v/>
      </c>
      <c r="O39" s="358"/>
      <c r="P39" s="369"/>
      <c r="Q39" s="401"/>
      <c r="R39" s="515"/>
      <c r="S39" s="515"/>
      <c r="T39" s="515"/>
      <c r="U39" s="513"/>
      <c r="V39" s="493"/>
      <c r="W39" s="411"/>
      <c r="X39" s="499"/>
      <c r="Y39" s="518"/>
      <c r="Z39" s="412"/>
      <c r="AA39" s="384"/>
    </row>
    <row r="40" spans="1:27" ht="15">
      <c r="A40" s="357">
        <v>45360</v>
      </c>
      <c r="B40" s="374" t="s">
        <v>296</v>
      </c>
      <c r="C40" s="375" t="s">
        <v>286</v>
      </c>
      <c r="D40" s="501" t="s">
        <v>446</v>
      </c>
      <c r="E40" s="374">
        <v>38</v>
      </c>
      <c r="F40" s="402"/>
      <c r="G40" s="500">
        <v>2</v>
      </c>
      <c r="H40" s="376">
        <v>3</v>
      </c>
      <c r="I40" s="403">
        <f t="shared" si="0"/>
        <v>9577.6001857769879</v>
      </c>
      <c r="J40" s="379" t="s">
        <v>10</v>
      </c>
      <c r="K40" s="500">
        <f>4508+1600+2906+2272+1636</f>
        <v>12922</v>
      </c>
      <c r="L40" s="377">
        <f t="shared" ref="L40:L41" si="46">(K40*9.8778)/1000</f>
        <v>127.64093160000002</v>
      </c>
      <c r="M40" s="500">
        <v>0</v>
      </c>
      <c r="N40" s="383">
        <f t="shared" si="1"/>
        <v>1.3491897499740637</v>
      </c>
      <c r="O40" s="358">
        <f t="shared" ref="O40:O42" si="47">IFERROR(IF(I40&lt;&gt;"",K40/(H40*V40*Z40),""),"input error")</f>
        <v>0.8994598333160424</v>
      </c>
      <c r="P40" s="369">
        <f t="shared" ref="P40:P42" si="48">IFERROR(IF(L40&lt;&gt;"",M40/(M40+L40),""),"input error")</f>
        <v>0</v>
      </c>
      <c r="Q40" s="401" t="s">
        <v>466</v>
      </c>
      <c r="R40" s="694">
        <v>3</v>
      </c>
      <c r="S40" s="694">
        <v>5</v>
      </c>
      <c r="T40" s="694">
        <v>0</v>
      </c>
      <c r="U40" s="694">
        <f>IFERROR(IF(R40&gt;0,R40*S40-T40,""),"input error")</f>
        <v>15</v>
      </c>
      <c r="V40" s="784">
        <f>'[2]对绞 总绞工时Twisting core'!G30</f>
        <v>803.25</v>
      </c>
      <c r="W40" s="404">
        <f t="shared" ref="W40:W42" si="49">1/V40</f>
        <v>1.2449424214130097E-3</v>
      </c>
      <c r="X40" s="360">
        <f t="shared" ref="X40:X42" si="50">IFERROR(IF(W40&lt;&gt;"",K40*W40,""),"input error")</f>
        <v>16.087145969498913</v>
      </c>
      <c r="Y40" s="682">
        <f>SUM(X40:X42)</f>
        <v>40.475692499221914</v>
      </c>
      <c r="Z40" s="405">
        <f>IFERROR(IF(U40&lt;&gt;"",$U$40*X40/$Y$40,""),"input error")</f>
        <v>5.9617803833034468</v>
      </c>
      <c r="AA40" s="384"/>
    </row>
    <row r="41" spans="1:27" ht="15">
      <c r="A41" s="357">
        <v>45360</v>
      </c>
      <c r="B41" s="374" t="s">
        <v>285</v>
      </c>
      <c r="C41" s="375" t="s">
        <v>286</v>
      </c>
      <c r="D41" s="501" t="s">
        <v>446</v>
      </c>
      <c r="E41" s="374">
        <v>38</v>
      </c>
      <c r="F41" s="402"/>
      <c r="G41" s="500">
        <v>2</v>
      </c>
      <c r="H41" s="376">
        <v>3</v>
      </c>
      <c r="I41" s="403">
        <f t="shared" si="0"/>
        <v>7866.9438455221289</v>
      </c>
      <c r="J41" s="379" t="s">
        <v>10</v>
      </c>
      <c r="K41" s="500">
        <f>3820+697+2970+1545+1582</f>
        <v>10614</v>
      </c>
      <c r="L41" s="377">
        <f t="shared" si="46"/>
        <v>104.84296920000001</v>
      </c>
      <c r="M41" s="500">
        <v>0</v>
      </c>
      <c r="N41" s="383">
        <f t="shared" si="1"/>
        <v>1.3491897499740637</v>
      </c>
      <c r="O41" s="358">
        <f t="shared" si="47"/>
        <v>0.8994598333160424</v>
      </c>
      <c r="P41" s="369">
        <f t="shared" si="48"/>
        <v>0</v>
      </c>
      <c r="Q41" s="401" t="s">
        <v>297</v>
      </c>
      <c r="R41" s="695"/>
      <c r="S41" s="695"/>
      <c r="T41" s="695"/>
      <c r="U41" s="695"/>
      <c r="V41" s="784">
        <f>'[2]对绞 总绞工时Twisting core'!G30</f>
        <v>803.25</v>
      </c>
      <c r="W41" s="404">
        <f t="shared" si="49"/>
        <v>1.2449424214130097E-3</v>
      </c>
      <c r="X41" s="360">
        <f t="shared" si="50"/>
        <v>13.213818860877685</v>
      </c>
      <c r="Y41" s="700"/>
      <c r="Z41" s="405">
        <f>IFERROR(IF(U40&lt;&gt;"",$U$40*X41/$Y$40,""),"input error")</f>
        <v>4.8969460600822465</v>
      </c>
      <c r="AA41" s="384"/>
    </row>
    <row r="42" spans="1:27" ht="15">
      <c r="A42" s="357">
        <v>45360</v>
      </c>
      <c r="B42" s="374" t="s">
        <v>288</v>
      </c>
      <c r="C42" s="375" t="s">
        <v>286</v>
      </c>
      <c r="D42" s="374" t="s">
        <v>214</v>
      </c>
      <c r="E42" s="374">
        <v>50</v>
      </c>
      <c r="F42" s="402"/>
      <c r="G42" s="500">
        <v>2</v>
      </c>
      <c r="H42" s="376">
        <v>3</v>
      </c>
      <c r="I42" s="403">
        <f t="shared" si="0"/>
        <v>9504.2228124298344</v>
      </c>
      <c r="J42" s="374" t="s">
        <v>32</v>
      </c>
      <c r="K42" s="500">
        <f>2916+2223+2297+705+3815+867</f>
        <v>12823</v>
      </c>
      <c r="L42" s="377">
        <f t="shared" ref="L42" si="51">(K42*9.8816)/1000</f>
        <v>126.7117568</v>
      </c>
      <c r="M42" s="500">
        <v>0</v>
      </c>
      <c r="N42" s="383">
        <f t="shared" si="1"/>
        <v>1.3491897499740637</v>
      </c>
      <c r="O42" s="358">
        <f t="shared" si="47"/>
        <v>0.89945983331604251</v>
      </c>
      <c r="P42" s="369">
        <f t="shared" si="48"/>
        <v>0</v>
      </c>
      <c r="Q42" s="401" t="s">
        <v>299</v>
      </c>
      <c r="R42" s="696"/>
      <c r="S42" s="696"/>
      <c r="T42" s="696"/>
      <c r="U42" s="696"/>
      <c r="V42" s="784">
        <f>'[2]对绞 总绞工时Twisting core'!G31</f>
        <v>1147.5</v>
      </c>
      <c r="W42" s="404">
        <f t="shared" si="49"/>
        <v>8.7145969498910673E-4</v>
      </c>
      <c r="X42" s="360">
        <f t="shared" si="50"/>
        <v>11.174727668845316</v>
      </c>
      <c r="Y42" s="701"/>
      <c r="Z42" s="405">
        <f>IFERROR(IF(U40&lt;&gt;"",$U$40*X42/$Y$40,""),"input error")</f>
        <v>4.1412735566143066</v>
      </c>
      <c r="AA42" s="384"/>
    </row>
    <row r="43" spans="1:27" ht="15">
      <c r="A43" s="357"/>
      <c r="B43" s="374"/>
      <c r="C43" s="375"/>
      <c r="D43" s="374"/>
      <c r="E43" s="374"/>
      <c r="F43" s="402"/>
      <c r="G43" s="500"/>
      <c r="H43" s="376"/>
      <c r="I43" s="403"/>
      <c r="J43" s="374"/>
      <c r="K43" s="500"/>
      <c r="L43" s="377"/>
      <c r="M43" s="500"/>
      <c r="N43" s="383" t="str">
        <f t="shared" si="1"/>
        <v/>
      </c>
      <c r="O43" s="358"/>
      <c r="P43" s="369"/>
      <c r="Q43" s="401"/>
      <c r="R43" s="515"/>
      <c r="S43" s="515"/>
      <c r="T43" s="515"/>
      <c r="U43" s="514"/>
      <c r="V43" s="784"/>
      <c r="W43" s="411"/>
      <c r="X43" s="499"/>
      <c r="Y43" s="518"/>
      <c r="Z43" s="412"/>
      <c r="AA43" s="384"/>
    </row>
    <row r="44" spans="1:27" ht="15">
      <c r="A44" s="357">
        <v>45363</v>
      </c>
      <c r="B44" s="374" t="s">
        <v>296</v>
      </c>
      <c r="C44" s="375" t="s">
        <v>286</v>
      </c>
      <c r="D44" s="501" t="s">
        <v>446</v>
      </c>
      <c r="E44" s="374">
        <v>38</v>
      </c>
      <c r="F44" s="402"/>
      <c r="G44" s="500">
        <v>2</v>
      </c>
      <c r="H44" s="376">
        <v>3</v>
      </c>
      <c r="I44" s="403">
        <f t="shared" si="0"/>
        <v>13134.56699993745</v>
      </c>
      <c r="J44" s="379" t="s">
        <v>10</v>
      </c>
      <c r="K44" s="500">
        <f>1208+4370+450+4459+3535+905+2500</f>
        <v>17427</v>
      </c>
      <c r="L44" s="377">
        <f t="shared" ref="L44:L45" si="52">(K44*9.8778)/1000</f>
        <v>172.1404206</v>
      </c>
      <c r="M44" s="500">
        <v>0</v>
      </c>
      <c r="N44" s="383">
        <f t="shared" si="1"/>
        <v>1.3268043019677003</v>
      </c>
      <c r="O44" s="358">
        <f t="shared" ref="O44:O46" si="53">IFERROR(IF(I44&lt;&gt;"",K44/(H44*V44*Z44),""),"input error")</f>
        <v>0.88453620131180033</v>
      </c>
      <c r="P44" s="369">
        <f t="shared" ref="P44:P46" si="54">IFERROR(IF(L44&lt;&gt;"",M44/(M44+L44),""),"input error")</f>
        <v>0</v>
      </c>
      <c r="Q44" s="401" t="s">
        <v>466</v>
      </c>
      <c r="R44" s="694">
        <v>3</v>
      </c>
      <c r="S44" s="697">
        <v>7.5</v>
      </c>
      <c r="T44" s="694">
        <v>0</v>
      </c>
      <c r="U44" s="697">
        <f>IFERROR(IF(R44&gt;0,R44*S44-T44,""),"input error")</f>
        <v>22.5</v>
      </c>
      <c r="V44" s="784">
        <f>'[2]对绞 总绞工时Twisting core'!G30</f>
        <v>803.25</v>
      </c>
      <c r="W44" s="404">
        <f t="shared" ref="W44:W46" si="55">1/V44</f>
        <v>1.2449424214130097E-3</v>
      </c>
      <c r="X44" s="360">
        <f t="shared" ref="X44:X46" si="56">IFERROR(IF(W44&lt;&gt;"",K44*W44,""),"input error")</f>
        <v>21.69561157796452</v>
      </c>
      <c r="Y44" s="682">
        <f>SUM(X44:X46)</f>
        <v>59.706193588546526</v>
      </c>
      <c r="Z44" s="405">
        <f>IFERROR(IF(U44&lt;&gt;"",$U$44*X44/$Y$44,""),"input error")</f>
        <v>8.1758898225567691</v>
      </c>
      <c r="AA44" s="384"/>
    </row>
    <row r="45" spans="1:27" ht="15">
      <c r="A45" s="357">
        <v>45363</v>
      </c>
      <c r="B45" s="374" t="s">
        <v>285</v>
      </c>
      <c r="C45" s="375" t="s">
        <v>286</v>
      </c>
      <c r="D45" s="501" t="s">
        <v>446</v>
      </c>
      <c r="E45" s="374">
        <v>38</v>
      </c>
      <c r="F45" s="402"/>
      <c r="G45" s="500">
        <v>2</v>
      </c>
      <c r="H45" s="376">
        <v>3</v>
      </c>
      <c r="I45" s="403">
        <f t="shared" si="0"/>
        <v>11974.637085844161</v>
      </c>
      <c r="J45" s="379" t="s">
        <v>10</v>
      </c>
      <c r="K45" s="500">
        <f>2854+3200+1316+4438+280+3800</f>
        <v>15888</v>
      </c>
      <c r="L45" s="377">
        <f t="shared" si="52"/>
        <v>156.93848640000002</v>
      </c>
      <c r="M45" s="500">
        <v>0</v>
      </c>
      <c r="N45" s="383">
        <f t="shared" si="1"/>
        <v>1.3268043019677005</v>
      </c>
      <c r="O45" s="358">
        <f t="shared" si="53"/>
        <v>0.88453620131180022</v>
      </c>
      <c r="P45" s="369">
        <f t="shared" si="54"/>
        <v>0</v>
      </c>
      <c r="Q45" s="401" t="s">
        <v>297</v>
      </c>
      <c r="R45" s="695"/>
      <c r="S45" s="698"/>
      <c r="T45" s="695"/>
      <c r="U45" s="698"/>
      <c r="V45" s="784">
        <f>'[2]对绞 总绞工时Twisting core'!G30</f>
        <v>803.25</v>
      </c>
      <c r="W45" s="404">
        <f t="shared" si="55"/>
        <v>1.2449424214130097E-3</v>
      </c>
      <c r="X45" s="360">
        <f t="shared" si="56"/>
        <v>19.779645191409898</v>
      </c>
      <c r="Y45" s="700"/>
      <c r="Z45" s="405">
        <f>IFERROR(IF(U44&lt;&gt;"",$U$44*X45/$Y$44,""),"input error")</f>
        <v>7.4538668445964271</v>
      </c>
      <c r="AA45" s="384"/>
    </row>
    <row r="46" spans="1:27" ht="15">
      <c r="A46" s="357">
        <v>45363</v>
      </c>
      <c r="B46" s="374" t="s">
        <v>288</v>
      </c>
      <c r="C46" s="375" t="s">
        <v>286</v>
      </c>
      <c r="D46" s="374" t="s">
        <v>214</v>
      </c>
      <c r="E46" s="374">
        <v>50</v>
      </c>
      <c r="F46" s="402"/>
      <c r="G46" s="500">
        <v>2</v>
      </c>
      <c r="H46" s="376">
        <v>3</v>
      </c>
      <c r="I46" s="403">
        <f t="shared" si="0"/>
        <v>15767.208448883419</v>
      </c>
      <c r="J46" s="374" t="s">
        <v>32</v>
      </c>
      <c r="K46" s="500">
        <f>3621+2669+1846+4514+1300+3220+3750</f>
        <v>20920</v>
      </c>
      <c r="L46" s="377">
        <f t="shared" ref="L46" si="57">(K46*9.8816)/1000</f>
        <v>206.723072</v>
      </c>
      <c r="M46" s="500">
        <v>0</v>
      </c>
      <c r="N46" s="383">
        <f t="shared" si="1"/>
        <v>1.3268043019677009</v>
      </c>
      <c r="O46" s="358">
        <f t="shared" si="53"/>
        <v>0.88453620131180066</v>
      </c>
      <c r="P46" s="369">
        <f t="shared" si="54"/>
        <v>0</v>
      </c>
      <c r="Q46" s="401" t="s">
        <v>299</v>
      </c>
      <c r="R46" s="696"/>
      <c r="S46" s="699"/>
      <c r="T46" s="696"/>
      <c r="U46" s="699"/>
      <c r="V46" s="784">
        <f>'[2]对绞 总绞工时Twisting core'!G31</f>
        <v>1147.5</v>
      </c>
      <c r="W46" s="404">
        <f t="shared" si="55"/>
        <v>8.7145969498910673E-4</v>
      </c>
      <c r="X46" s="360">
        <f t="shared" si="56"/>
        <v>18.230936819172111</v>
      </c>
      <c r="Y46" s="701"/>
      <c r="Z46" s="405">
        <f>IFERROR(IF(U44&lt;&gt;"",$U$44*X46/$Y$44,""),"input error")</f>
        <v>6.8702433328468056</v>
      </c>
      <c r="AA46" s="384"/>
    </row>
    <row r="47" spans="1:27" ht="15">
      <c r="A47" s="357"/>
      <c r="B47" s="374"/>
      <c r="C47" s="375"/>
      <c r="D47" s="374"/>
      <c r="E47" s="374"/>
      <c r="F47" s="402"/>
      <c r="G47" s="500"/>
      <c r="H47" s="376"/>
      <c r="I47" s="403"/>
      <c r="J47" s="374"/>
      <c r="K47" s="500"/>
      <c r="L47" s="377"/>
      <c r="M47" s="500"/>
      <c r="N47" s="383" t="str">
        <f t="shared" si="1"/>
        <v/>
      </c>
      <c r="O47" s="358"/>
      <c r="P47" s="369"/>
      <c r="Q47" s="401"/>
      <c r="R47" s="515"/>
      <c r="S47" s="515"/>
      <c r="T47" s="515"/>
      <c r="U47" s="514"/>
      <c r="V47" s="784"/>
      <c r="W47" s="411"/>
      <c r="X47" s="499"/>
      <c r="Y47" s="518"/>
      <c r="Z47" s="412"/>
      <c r="AA47" s="384"/>
    </row>
    <row r="48" spans="1:27" ht="15">
      <c r="A48" s="357">
        <v>45364</v>
      </c>
      <c r="B48" s="374" t="s">
        <v>296</v>
      </c>
      <c r="C48" s="375" t="s">
        <v>286</v>
      </c>
      <c r="D48" s="501" t="s">
        <v>446</v>
      </c>
      <c r="E48" s="374">
        <v>38</v>
      </c>
      <c r="F48" s="402"/>
      <c r="G48" s="500">
        <v>2</v>
      </c>
      <c r="H48" s="376">
        <v>4</v>
      </c>
      <c r="I48" s="403">
        <f t="shared" si="0"/>
        <v>11710.69127132916</v>
      </c>
      <c r="J48" s="379" t="s">
        <v>10</v>
      </c>
      <c r="K48" s="500">
        <f>2007+3020+403+4506+1857+2643+858</f>
        <v>15294</v>
      </c>
      <c r="L48" s="377">
        <f t="shared" ref="L48:L49" si="58">(K48*9.8778)/1000</f>
        <v>151.0710732</v>
      </c>
      <c r="M48" s="500">
        <v>0</v>
      </c>
      <c r="N48" s="383">
        <f t="shared" si="1"/>
        <v>1.305986098142961</v>
      </c>
      <c r="O48" s="358">
        <f t="shared" ref="O48:O51" si="59">IFERROR(IF(I48&lt;&gt;"",K48/(H48*V48*Z48),""),"input error")</f>
        <v>0.65299304907148048</v>
      </c>
      <c r="P48" s="369">
        <f t="shared" ref="P48:P51" si="60">IFERROR(IF(L48&lt;&gt;"",M48/(M48+L48),""),"input error")</f>
        <v>0</v>
      </c>
      <c r="Q48" s="401" t="s">
        <v>468</v>
      </c>
      <c r="R48" s="694">
        <v>3</v>
      </c>
      <c r="S48" s="697">
        <v>7.5</v>
      </c>
      <c r="T48" s="694">
        <v>0</v>
      </c>
      <c r="U48" s="697">
        <f>IFERROR(IF(R48&gt;0,R48*S48-T48,""),"input error")</f>
        <v>22.5</v>
      </c>
      <c r="V48" s="784">
        <f>'[2]对绞 总绞工时Twisting core'!G30</f>
        <v>803.25</v>
      </c>
      <c r="W48" s="404">
        <f t="shared" ref="W48:W51" si="61">1/V48</f>
        <v>1.2449424214130097E-3</v>
      </c>
      <c r="X48" s="360">
        <f t="shared" ref="X48:X51" si="62">IFERROR(IF(W48&lt;&gt;"",K48*W48,""),"input error")</f>
        <v>19.040149393090569</v>
      </c>
      <c r="Y48" s="682">
        <f>SUM(X48:X50)</f>
        <v>58.769374416433237</v>
      </c>
      <c r="Z48" s="405">
        <f>IFERROR(IF(U48&lt;&gt;"",$U$48*X48/$Y$48,""),"input error")</f>
        <v>7.2895681738743612</v>
      </c>
      <c r="AA48" s="384"/>
    </row>
    <row r="49" spans="1:27" ht="15">
      <c r="A49" s="357">
        <v>45364</v>
      </c>
      <c r="B49" s="374" t="s">
        <v>285</v>
      </c>
      <c r="C49" s="375" t="s">
        <v>286</v>
      </c>
      <c r="D49" s="501" t="s">
        <v>446</v>
      </c>
      <c r="E49" s="374">
        <v>38</v>
      </c>
      <c r="F49" s="402"/>
      <c r="G49" s="500">
        <v>2</v>
      </c>
      <c r="H49" s="376">
        <v>4</v>
      </c>
      <c r="I49" s="403">
        <f t="shared" si="0"/>
        <v>13525.411966572399</v>
      </c>
      <c r="J49" s="379" t="s">
        <v>10</v>
      </c>
      <c r="K49" s="500">
        <f>440+4500+1270+2954+3534+811+4155</f>
        <v>17664</v>
      </c>
      <c r="L49" s="377">
        <f t="shared" si="58"/>
        <v>174.48145920000002</v>
      </c>
      <c r="M49" s="500">
        <v>0</v>
      </c>
      <c r="N49" s="383">
        <f t="shared" si="1"/>
        <v>1.305986098142961</v>
      </c>
      <c r="O49" s="358">
        <f t="shared" si="59"/>
        <v>0.65299304907148048</v>
      </c>
      <c r="P49" s="369">
        <f t="shared" si="60"/>
        <v>0</v>
      </c>
      <c r="Q49" s="401" t="s">
        <v>469</v>
      </c>
      <c r="R49" s="695"/>
      <c r="S49" s="698"/>
      <c r="T49" s="695"/>
      <c r="U49" s="698"/>
      <c r="V49" s="784">
        <f>'[2]对绞 总绞工时Twisting core'!G30</f>
        <v>803.25</v>
      </c>
      <c r="W49" s="404">
        <f t="shared" si="61"/>
        <v>1.2449424214130097E-3</v>
      </c>
      <c r="X49" s="360">
        <f t="shared" si="62"/>
        <v>21.990662931839402</v>
      </c>
      <c r="Y49" s="700"/>
      <c r="Z49" s="405">
        <f>IFERROR(IF(U48&lt;&gt;"",$U$48*X49/$Y$48,""),"input error")</f>
        <v>8.4191795621365699</v>
      </c>
      <c r="AA49" s="384"/>
    </row>
    <row r="50" spans="1:27" ht="15">
      <c r="A50" s="357">
        <v>45364</v>
      </c>
      <c r="B50" s="374" t="s">
        <v>288</v>
      </c>
      <c r="C50" s="375" t="s">
        <v>286</v>
      </c>
      <c r="D50" s="374" t="s">
        <v>214</v>
      </c>
      <c r="E50" s="374">
        <v>50</v>
      </c>
      <c r="F50" s="402"/>
      <c r="G50" s="500">
        <v>2</v>
      </c>
      <c r="H50" s="376">
        <v>4</v>
      </c>
      <c r="I50" s="403">
        <f t="shared" si="0"/>
        <v>15585.923945854915</v>
      </c>
      <c r="J50" s="374" t="s">
        <v>32</v>
      </c>
      <c r="K50" s="500">
        <f>771+4514+1846+4184+4520+180+4340</f>
        <v>20355</v>
      </c>
      <c r="L50" s="377">
        <f t="shared" ref="L50" si="63">(K50*9.8816)/1000</f>
        <v>201.13996800000001</v>
      </c>
      <c r="M50" s="500">
        <v>0</v>
      </c>
      <c r="N50" s="383">
        <f t="shared" si="1"/>
        <v>1.3059860981429607</v>
      </c>
      <c r="O50" s="358">
        <f t="shared" si="59"/>
        <v>0.65299304907148037</v>
      </c>
      <c r="P50" s="369">
        <f t="shared" si="60"/>
        <v>0</v>
      </c>
      <c r="Q50" s="401" t="s">
        <v>470</v>
      </c>
      <c r="R50" s="696"/>
      <c r="S50" s="699"/>
      <c r="T50" s="696"/>
      <c r="U50" s="699"/>
      <c r="V50" s="784">
        <f>'[2]对绞 总绞工时Twisting core'!G31</f>
        <v>1147.5</v>
      </c>
      <c r="W50" s="404">
        <f t="shared" si="61"/>
        <v>8.7145969498910673E-4</v>
      </c>
      <c r="X50" s="360">
        <f t="shared" si="62"/>
        <v>17.738562091503269</v>
      </c>
      <c r="Y50" s="701"/>
      <c r="Z50" s="405">
        <f>IFERROR(IF(U48&lt;&gt;"",$U$48*X50/$Y$48,""),"input error")</f>
        <v>6.7912522639890698</v>
      </c>
      <c r="AA50" s="384"/>
    </row>
    <row r="51" spans="1:27" ht="15">
      <c r="A51" s="357">
        <v>45364</v>
      </c>
      <c r="B51" s="374" t="s">
        <v>290</v>
      </c>
      <c r="C51" s="375" t="s">
        <v>286</v>
      </c>
      <c r="D51" s="374" t="s">
        <v>256</v>
      </c>
      <c r="E51" s="374">
        <v>60</v>
      </c>
      <c r="F51" s="402"/>
      <c r="G51" s="500">
        <v>2</v>
      </c>
      <c r="H51" s="376">
        <v>4</v>
      </c>
      <c r="I51" s="403">
        <f t="shared" si="0"/>
        <v>20655</v>
      </c>
      <c r="J51" s="374" t="s">
        <v>291</v>
      </c>
      <c r="K51" s="500">
        <f>1456+2464</f>
        <v>3920</v>
      </c>
      <c r="L51" s="377">
        <f>(K51*8.8228)/1000</f>
        <v>34.585376000000004</v>
      </c>
      <c r="M51" s="500">
        <v>0</v>
      </c>
      <c r="N51" s="383">
        <f t="shared" si="1"/>
        <v>0.18978455579762768</v>
      </c>
      <c r="O51" s="358">
        <f t="shared" si="59"/>
        <v>9.489227789881384E-2</v>
      </c>
      <c r="P51" s="369">
        <f t="shared" si="60"/>
        <v>0</v>
      </c>
      <c r="Q51" s="401" t="s">
        <v>471</v>
      </c>
      <c r="R51" s="515">
        <v>1</v>
      </c>
      <c r="S51" s="517">
        <v>7.5</v>
      </c>
      <c r="T51" s="515">
        <v>0</v>
      </c>
      <c r="U51" s="516">
        <f>IFERROR(IF(R51&gt;0,R51*S51-T51,""),"input error")</f>
        <v>7.5</v>
      </c>
      <c r="V51" s="784">
        <f>'[2]对绞 总绞工时Twisting core'!G32</f>
        <v>1377</v>
      </c>
      <c r="W51" s="404">
        <f t="shared" si="61"/>
        <v>7.2621641249092229E-4</v>
      </c>
      <c r="X51" s="360">
        <f t="shared" si="62"/>
        <v>2.8467683369644154</v>
      </c>
      <c r="Y51" s="362">
        <f>IFERROR(IF(X51&lt;&gt;"",SUM(X51),""),"input error")</f>
        <v>2.8467683369644154</v>
      </c>
      <c r="Z51" s="405">
        <f t="shared" ref="Z51" si="64">IFERROR(IF(U51&lt;&gt;"",U51*X51/Y51,""),"input error")</f>
        <v>7.5</v>
      </c>
      <c r="AA51" s="384"/>
    </row>
    <row r="52" spans="1:27" ht="15">
      <c r="A52" s="364"/>
      <c r="B52" s="374"/>
      <c r="C52" s="375"/>
      <c r="D52" s="374"/>
      <c r="E52" s="374"/>
      <c r="F52" s="402"/>
      <c r="G52" s="500"/>
      <c r="H52" s="376"/>
      <c r="I52" s="403"/>
      <c r="J52" s="374"/>
      <c r="K52" s="500"/>
      <c r="L52" s="377"/>
      <c r="M52" s="500"/>
      <c r="N52" s="383" t="str">
        <f t="shared" si="1"/>
        <v/>
      </c>
      <c r="O52" s="358"/>
      <c r="P52" s="369"/>
      <c r="Q52" s="401"/>
      <c r="R52" s="515"/>
      <c r="S52" s="517"/>
      <c r="T52" s="515"/>
      <c r="U52" s="496"/>
      <c r="V52" s="493"/>
      <c r="W52" s="411"/>
      <c r="X52" s="499"/>
      <c r="Y52" s="518"/>
      <c r="Z52" s="412"/>
      <c r="AA52" s="384"/>
    </row>
    <row r="53" spans="1:27" s="349" customFormat="1" ht="37.5">
      <c r="E53" s="389"/>
      <c r="F53" s="365"/>
      <c r="G53" s="365"/>
      <c r="H53" s="365"/>
      <c r="I53" s="365"/>
      <c r="J53" s="365"/>
      <c r="K53" s="365"/>
      <c r="L53" s="365"/>
      <c r="M53" s="693"/>
      <c r="N53" s="693"/>
      <c r="O53" s="520"/>
      <c r="P53" s="520"/>
      <c r="Q53" s="520"/>
      <c r="R53" s="352"/>
      <c r="S53" s="352"/>
      <c r="T53" s="352"/>
      <c r="U53" s="366"/>
      <c r="V53" s="366"/>
      <c r="W53" s="683" t="s">
        <v>182</v>
      </c>
      <c r="X53" s="683"/>
      <c r="Y53" s="683" t="s">
        <v>183</v>
      </c>
      <c r="Z53" s="683"/>
      <c r="AA53" s="512" t="s">
        <v>184</v>
      </c>
    </row>
    <row r="54" spans="1:27" s="349" customFormat="1" ht="15">
      <c r="E54" s="365"/>
      <c r="F54" s="365"/>
      <c r="G54" s="365"/>
      <c r="H54" s="365"/>
      <c r="I54" s="365"/>
      <c r="J54" s="365"/>
      <c r="K54" s="365"/>
      <c r="L54" s="522"/>
      <c r="M54" s="693"/>
      <c r="N54" s="693"/>
      <c r="O54" s="520"/>
      <c r="P54" s="520"/>
      <c r="Q54" s="520"/>
      <c r="R54" s="393"/>
      <c r="S54" s="393"/>
      <c r="T54" s="393"/>
      <c r="U54" s="352"/>
      <c r="V54" s="352"/>
      <c r="W54" s="673" t="s">
        <v>185</v>
      </c>
      <c r="X54" s="673"/>
      <c r="Y54" s="674" t="s">
        <v>186</v>
      </c>
      <c r="Z54" s="674"/>
      <c r="AA54" s="512" t="s">
        <v>187</v>
      </c>
    </row>
    <row r="55" spans="1:27" ht="15.75">
      <c r="B55" s="394"/>
      <c r="C55" s="394"/>
      <c r="D55" s="394"/>
      <c r="E55" s="394"/>
      <c r="F55" s="394"/>
      <c r="G55" s="394"/>
      <c r="H55" s="394"/>
      <c r="I55" s="394"/>
      <c r="J55" s="394"/>
      <c r="K55" s="394"/>
      <c r="L55" s="394"/>
      <c r="M55" s="394"/>
      <c r="N55" s="394"/>
      <c r="O55" s="394"/>
      <c r="P55" s="394"/>
      <c r="Q55" s="351"/>
      <c r="R55" s="351"/>
      <c r="S55" s="351"/>
      <c r="T55" s="351"/>
      <c r="U55" s="351"/>
      <c r="V55" s="351"/>
      <c r="W55" s="675" t="s">
        <v>251</v>
      </c>
      <c r="X55" s="675"/>
      <c r="Y55" s="675"/>
      <c r="Z55" s="675"/>
      <c r="AA55" s="675"/>
    </row>
  </sheetData>
  <autoFilter ref="A6:AA32"/>
  <mergeCells count="64">
    <mergeCell ref="W55:AA55"/>
    <mergeCell ref="M53:N53"/>
    <mergeCell ref="W53:X53"/>
    <mergeCell ref="Y53:Z53"/>
    <mergeCell ref="M54:N54"/>
    <mergeCell ref="W54:X54"/>
    <mergeCell ref="Y54:Z54"/>
    <mergeCell ref="R48:R50"/>
    <mergeCell ref="S48:S50"/>
    <mergeCell ref="T48:T50"/>
    <mergeCell ref="U48:U50"/>
    <mergeCell ref="Y48:Y50"/>
    <mergeCell ref="R44:R46"/>
    <mergeCell ref="S44:S46"/>
    <mergeCell ref="T44:T46"/>
    <mergeCell ref="U44:U46"/>
    <mergeCell ref="Y44:Y46"/>
    <mergeCell ref="R40:R42"/>
    <mergeCell ref="S40:S42"/>
    <mergeCell ref="T40:T42"/>
    <mergeCell ref="U40:U42"/>
    <mergeCell ref="Y40:Y42"/>
    <mergeCell ref="Y30:Y33"/>
    <mergeCell ref="R35:R37"/>
    <mergeCell ref="S35:S37"/>
    <mergeCell ref="T35:T37"/>
    <mergeCell ref="U35:U37"/>
    <mergeCell ref="Y35:Y37"/>
    <mergeCell ref="B1:AA1"/>
    <mergeCell ref="B2:AA2"/>
    <mergeCell ref="B3:AA3"/>
    <mergeCell ref="B4:AA4"/>
    <mergeCell ref="A5:F5"/>
    <mergeCell ref="M5:N5"/>
    <mergeCell ref="Y5:AA5"/>
    <mergeCell ref="R11:R13"/>
    <mergeCell ref="S11:S13"/>
    <mergeCell ref="T11:T13"/>
    <mergeCell ref="U11:U13"/>
    <mergeCell ref="Y11:Y13"/>
    <mergeCell ref="R7:R9"/>
    <mergeCell ref="S7:S9"/>
    <mergeCell ref="T7:T9"/>
    <mergeCell ref="U7:U9"/>
    <mergeCell ref="Y7:Y9"/>
    <mergeCell ref="R20:R23"/>
    <mergeCell ref="S20:S23"/>
    <mergeCell ref="T20:T23"/>
    <mergeCell ref="U20:U23"/>
    <mergeCell ref="Y20:Y23"/>
    <mergeCell ref="R15:R18"/>
    <mergeCell ref="S15:S18"/>
    <mergeCell ref="T15:T18"/>
    <mergeCell ref="U15:U18"/>
    <mergeCell ref="Y15:Y18"/>
    <mergeCell ref="R26:R28"/>
    <mergeCell ref="S26:S28"/>
    <mergeCell ref="T26:T28"/>
    <mergeCell ref="U26:U28"/>
    <mergeCell ref="Y26:Y28"/>
    <mergeCell ref="R30:R33"/>
    <mergeCell ref="S30:S33"/>
    <mergeCell ref="T30:T33"/>
    <mergeCell ref="U30:U33"/>
  </mergeCells>
  <conditionalFormatting sqref="N7:N9">
    <cfRule type="cellIs" dxfId="131" priority="20" operator="lessThan">
      <formula>0.4</formula>
    </cfRule>
  </conditionalFormatting>
  <conditionalFormatting sqref="N11:N13">
    <cfRule type="cellIs" dxfId="130" priority="19" operator="lessThan">
      <formula>0.4</formula>
    </cfRule>
  </conditionalFormatting>
  <conditionalFormatting sqref="N10">
    <cfRule type="cellIs" dxfId="129" priority="18" operator="lessThan">
      <formula>0.4</formula>
    </cfRule>
  </conditionalFormatting>
  <conditionalFormatting sqref="N15:N18">
    <cfRule type="cellIs" dxfId="128" priority="17" operator="lessThan">
      <formula>0.4</formula>
    </cfRule>
  </conditionalFormatting>
  <conditionalFormatting sqref="N14">
    <cfRule type="cellIs" dxfId="127" priority="16" operator="lessThan">
      <formula>0.4</formula>
    </cfRule>
  </conditionalFormatting>
  <conditionalFormatting sqref="N20:N24">
    <cfRule type="cellIs" dxfId="126" priority="15" operator="lessThan">
      <formula>0.4</formula>
    </cfRule>
  </conditionalFormatting>
  <conditionalFormatting sqref="N19">
    <cfRule type="cellIs" dxfId="125" priority="14" operator="lessThan">
      <formula>0.4</formula>
    </cfRule>
  </conditionalFormatting>
  <conditionalFormatting sqref="N26:N28">
    <cfRule type="cellIs" dxfId="124" priority="13" operator="lessThan">
      <formula>0.4</formula>
    </cfRule>
  </conditionalFormatting>
  <conditionalFormatting sqref="N30:N33">
    <cfRule type="cellIs" dxfId="123" priority="12" operator="lessThan">
      <formula>0.4</formula>
    </cfRule>
  </conditionalFormatting>
  <conditionalFormatting sqref="N29">
    <cfRule type="cellIs" dxfId="122" priority="11" operator="lessThan">
      <formula>0.4</formula>
    </cfRule>
  </conditionalFormatting>
  <conditionalFormatting sqref="N25">
    <cfRule type="cellIs" dxfId="121" priority="10" operator="lessThan">
      <formula>0.4</formula>
    </cfRule>
  </conditionalFormatting>
  <conditionalFormatting sqref="N35:N38">
    <cfRule type="cellIs" dxfId="120" priority="9" operator="lessThan">
      <formula>0.4</formula>
    </cfRule>
  </conditionalFormatting>
  <conditionalFormatting sqref="N52">
    <cfRule type="cellIs" dxfId="119" priority="8" operator="lessThan">
      <formula>0.4</formula>
    </cfRule>
  </conditionalFormatting>
  <conditionalFormatting sqref="N34">
    <cfRule type="cellIs" dxfId="118" priority="7" operator="lessThan">
      <formula>0.4</formula>
    </cfRule>
  </conditionalFormatting>
  <conditionalFormatting sqref="N40:N42">
    <cfRule type="cellIs" dxfId="117" priority="6" operator="lessThan">
      <formula>0.4</formula>
    </cfRule>
  </conditionalFormatting>
  <conditionalFormatting sqref="N44:N46">
    <cfRule type="cellIs" dxfId="116" priority="5" operator="lessThan">
      <formula>0.4</formula>
    </cfRule>
  </conditionalFormatting>
  <conditionalFormatting sqref="N43">
    <cfRule type="cellIs" dxfId="115" priority="4" operator="lessThan">
      <formula>0.4</formula>
    </cfRule>
  </conditionalFormatting>
  <conditionalFormatting sqref="N39">
    <cfRule type="cellIs" dxfId="114" priority="3" operator="lessThan">
      <formula>0.4</formula>
    </cfRule>
  </conditionalFormatting>
  <conditionalFormatting sqref="N47">
    <cfRule type="cellIs" dxfId="113" priority="2" operator="lessThan">
      <formula>0.4</formula>
    </cfRule>
  </conditionalFormatting>
  <conditionalFormatting sqref="N48:N51">
    <cfRule type="cellIs" dxfId="112" priority="1" operator="lessThan">
      <formula>0.4</formula>
    </cfRule>
  </conditionalFormatting>
  <pageMargins left="0.16" right="0.17" top="0.49" bottom="0.16" header="0.46" footer="0.16"/>
  <pageSetup paperSize="9" scale="8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8"/>
  <sheetViews>
    <sheetView showGridLines="0" topLeftCell="A13" zoomScale="86" zoomScaleNormal="86" workbookViewId="0">
      <selection activeCell="I24" sqref="I24"/>
    </sheetView>
  </sheetViews>
  <sheetFormatPr defaultColWidth="9" defaultRowHeight="15"/>
  <cols>
    <col min="1" max="1" width="10.42578125" style="349" customWidth="1"/>
    <col min="2" max="2" width="11.7109375" style="349" customWidth="1"/>
    <col min="3" max="3" width="13.85546875" style="349" customWidth="1"/>
    <col min="4" max="4" width="26.5703125" style="389" customWidth="1"/>
    <col min="5" max="5" width="10.85546875" style="365" customWidth="1"/>
    <col min="6" max="6" width="17.85546875" style="365" customWidth="1"/>
    <col min="7" max="7" width="10.140625" style="365" customWidth="1"/>
    <col min="8" max="8" width="14.140625" style="365" customWidth="1"/>
    <col min="9" max="10" width="10" style="365" customWidth="1"/>
    <col min="11" max="11" width="12" style="365" customWidth="1"/>
    <col min="12" max="12" width="12.85546875" style="365" customWidth="1"/>
    <col min="13" max="13" width="12.5703125" style="365" customWidth="1"/>
    <col min="14" max="14" width="19.28515625" style="365" customWidth="1"/>
    <col min="15" max="15" width="8.7109375" style="365" customWidth="1"/>
    <col min="16" max="16" width="9.85546875" style="365" customWidth="1"/>
    <col min="17" max="17" width="9.28515625" style="365" customWidth="1"/>
    <col min="18" max="19" width="10.85546875" style="349" customWidth="1"/>
    <col min="20" max="20" width="12" style="349" customWidth="1"/>
    <col min="21" max="23" width="10.85546875" style="349" customWidth="1"/>
    <col min="24" max="24" width="20.85546875" style="349" customWidth="1"/>
    <col min="25" max="265" width="9" style="349"/>
    <col min="266" max="266" width="9.42578125" style="349" customWidth="1"/>
    <col min="267" max="267" width="16" style="349" customWidth="1"/>
    <col min="268" max="268" width="23.42578125" style="349" customWidth="1"/>
    <col min="269" max="269" width="10.42578125" style="349" customWidth="1"/>
    <col min="270" max="270" width="17.85546875" style="349" customWidth="1"/>
    <col min="271" max="271" width="10.140625" style="349" customWidth="1"/>
    <col min="272" max="272" width="11.7109375" style="349" customWidth="1"/>
    <col min="273" max="273" width="10.42578125" style="349" customWidth="1"/>
    <col min="274" max="274" width="10" style="349" customWidth="1"/>
    <col min="275" max="275" width="12" style="349" customWidth="1"/>
    <col min="276" max="276" width="9" style="349"/>
    <col min="277" max="277" width="11" style="349" customWidth="1"/>
    <col min="278" max="278" width="9.140625" style="349" customWidth="1"/>
    <col min="279" max="279" width="9" style="349" customWidth="1"/>
    <col min="280" max="280" width="10.28515625" style="349" customWidth="1"/>
    <col min="281" max="521" width="9" style="349"/>
    <col min="522" max="522" width="9.42578125" style="349" customWidth="1"/>
    <col min="523" max="523" width="16" style="349" customWidth="1"/>
    <col min="524" max="524" width="23.42578125" style="349" customWidth="1"/>
    <col min="525" max="525" width="10.42578125" style="349" customWidth="1"/>
    <col min="526" max="526" width="17.85546875" style="349" customWidth="1"/>
    <col min="527" max="527" width="10.140625" style="349" customWidth="1"/>
    <col min="528" max="528" width="11.7109375" style="349" customWidth="1"/>
    <col min="529" max="529" width="10.42578125" style="349" customWidth="1"/>
    <col min="530" max="530" width="10" style="349" customWidth="1"/>
    <col min="531" max="531" width="12" style="349" customWidth="1"/>
    <col min="532" max="532" width="9" style="349"/>
    <col min="533" max="533" width="11" style="349" customWidth="1"/>
    <col min="534" max="534" width="9.140625" style="349" customWidth="1"/>
    <col min="535" max="535" width="9" style="349" customWidth="1"/>
    <col min="536" max="536" width="10.28515625" style="349" customWidth="1"/>
    <col min="537" max="777" width="9" style="349"/>
    <col min="778" max="778" width="9.42578125" style="349" customWidth="1"/>
    <col min="779" max="779" width="16" style="349" customWidth="1"/>
    <col min="780" max="780" width="23.42578125" style="349" customWidth="1"/>
    <col min="781" max="781" width="10.42578125" style="349" customWidth="1"/>
    <col min="782" max="782" width="17.85546875" style="349" customWidth="1"/>
    <col min="783" max="783" width="10.140625" style="349" customWidth="1"/>
    <col min="784" max="784" width="11.7109375" style="349" customWidth="1"/>
    <col min="785" max="785" width="10.42578125" style="349" customWidth="1"/>
    <col min="786" max="786" width="10" style="349" customWidth="1"/>
    <col min="787" max="787" width="12" style="349" customWidth="1"/>
    <col min="788" max="788" width="9" style="349"/>
    <col min="789" max="789" width="11" style="349" customWidth="1"/>
    <col min="790" max="790" width="9.140625" style="349" customWidth="1"/>
    <col min="791" max="791" width="9" style="349" customWidth="1"/>
    <col min="792" max="792" width="10.28515625" style="349" customWidth="1"/>
    <col min="793" max="1033" width="9" style="349"/>
    <col min="1034" max="1034" width="9.42578125" style="349" customWidth="1"/>
    <col min="1035" max="1035" width="16" style="349" customWidth="1"/>
    <col min="1036" max="1036" width="23.42578125" style="349" customWidth="1"/>
    <col min="1037" max="1037" width="10.42578125" style="349" customWidth="1"/>
    <col min="1038" max="1038" width="17.85546875" style="349" customWidth="1"/>
    <col min="1039" max="1039" width="10.140625" style="349" customWidth="1"/>
    <col min="1040" max="1040" width="11.7109375" style="349" customWidth="1"/>
    <col min="1041" max="1041" width="10.42578125" style="349" customWidth="1"/>
    <col min="1042" max="1042" width="10" style="349" customWidth="1"/>
    <col min="1043" max="1043" width="12" style="349" customWidth="1"/>
    <col min="1044" max="1044" width="9" style="349"/>
    <col min="1045" max="1045" width="11" style="349" customWidth="1"/>
    <col min="1046" max="1046" width="9.140625" style="349" customWidth="1"/>
    <col min="1047" max="1047" width="9" style="349" customWidth="1"/>
    <col min="1048" max="1048" width="10.28515625" style="349" customWidth="1"/>
    <col min="1049" max="1289" width="9" style="349"/>
    <col min="1290" max="1290" width="9.42578125" style="349" customWidth="1"/>
    <col min="1291" max="1291" width="16" style="349" customWidth="1"/>
    <col min="1292" max="1292" width="23.42578125" style="349" customWidth="1"/>
    <col min="1293" max="1293" width="10.42578125" style="349" customWidth="1"/>
    <col min="1294" max="1294" width="17.85546875" style="349" customWidth="1"/>
    <col min="1295" max="1295" width="10.140625" style="349" customWidth="1"/>
    <col min="1296" max="1296" width="11.7109375" style="349" customWidth="1"/>
    <col min="1297" max="1297" width="10.42578125" style="349" customWidth="1"/>
    <col min="1298" max="1298" width="10" style="349" customWidth="1"/>
    <col min="1299" max="1299" width="12" style="349" customWidth="1"/>
    <col min="1300" max="1300" width="9" style="349"/>
    <col min="1301" max="1301" width="11" style="349" customWidth="1"/>
    <col min="1302" max="1302" width="9.140625" style="349" customWidth="1"/>
    <col min="1303" max="1303" width="9" style="349" customWidth="1"/>
    <col min="1304" max="1304" width="10.28515625" style="349" customWidth="1"/>
    <col min="1305" max="1545" width="9" style="349"/>
    <col min="1546" max="1546" width="9.42578125" style="349" customWidth="1"/>
    <col min="1547" max="1547" width="16" style="349" customWidth="1"/>
    <col min="1548" max="1548" width="23.42578125" style="349" customWidth="1"/>
    <col min="1549" max="1549" width="10.42578125" style="349" customWidth="1"/>
    <col min="1550" max="1550" width="17.85546875" style="349" customWidth="1"/>
    <col min="1551" max="1551" width="10.140625" style="349" customWidth="1"/>
    <col min="1552" max="1552" width="11.7109375" style="349" customWidth="1"/>
    <col min="1553" max="1553" width="10.42578125" style="349" customWidth="1"/>
    <col min="1554" max="1554" width="10" style="349" customWidth="1"/>
    <col min="1555" max="1555" width="12" style="349" customWidth="1"/>
    <col min="1556" max="1556" width="9" style="349"/>
    <col min="1557" max="1557" width="11" style="349" customWidth="1"/>
    <col min="1558" max="1558" width="9.140625" style="349" customWidth="1"/>
    <col min="1559" max="1559" width="9" style="349" customWidth="1"/>
    <col min="1560" max="1560" width="10.28515625" style="349" customWidth="1"/>
    <col min="1561" max="1801" width="9" style="349"/>
    <col min="1802" max="1802" width="9.42578125" style="349" customWidth="1"/>
    <col min="1803" max="1803" width="16" style="349" customWidth="1"/>
    <col min="1804" max="1804" width="23.42578125" style="349" customWidth="1"/>
    <col min="1805" max="1805" width="10.42578125" style="349" customWidth="1"/>
    <col min="1806" max="1806" width="17.85546875" style="349" customWidth="1"/>
    <col min="1807" max="1807" width="10.140625" style="349" customWidth="1"/>
    <col min="1808" max="1808" width="11.7109375" style="349" customWidth="1"/>
    <col min="1809" max="1809" width="10.42578125" style="349" customWidth="1"/>
    <col min="1810" max="1810" width="10" style="349" customWidth="1"/>
    <col min="1811" max="1811" width="12" style="349" customWidth="1"/>
    <col min="1812" max="1812" width="9" style="349"/>
    <col min="1813" max="1813" width="11" style="349" customWidth="1"/>
    <col min="1814" max="1814" width="9.140625" style="349" customWidth="1"/>
    <col min="1815" max="1815" width="9" style="349" customWidth="1"/>
    <col min="1816" max="1816" width="10.28515625" style="349" customWidth="1"/>
    <col min="1817" max="2057" width="9" style="349"/>
    <col min="2058" max="2058" width="9.42578125" style="349" customWidth="1"/>
    <col min="2059" max="2059" width="16" style="349" customWidth="1"/>
    <col min="2060" max="2060" width="23.42578125" style="349" customWidth="1"/>
    <col min="2061" max="2061" width="10.42578125" style="349" customWidth="1"/>
    <col min="2062" max="2062" width="17.85546875" style="349" customWidth="1"/>
    <col min="2063" max="2063" width="10.140625" style="349" customWidth="1"/>
    <col min="2064" max="2064" width="11.7109375" style="349" customWidth="1"/>
    <col min="2065" max="2065" width="10.42578125" style="349" customWidth="1"/>
    <col min="2066" max="2066" width="10" style="349" customWidth="1"/>
    <col min="2067" max="2067" width="12" style="349" customWidth="1"/>
    <col min="2068" max="2068" width="9" style="349"/>
    <col min="2069" max="2069" width="11" style="349" customWidth="1"/>
    <col min="2070" max="2070" width="9.140625" style="349" customWidth="1"/>
    <col min="2071" max="2071" width="9" style="349" customWidth="1"/>
    <col min="2072" max="2072" width="10.28515625" style="349" customWidth="1"/>
    <col min="2073" max="2313" width="9" style="349"/>
    <col min="2314" max="2314" width="9.42578125" style="349" customWidth="1"/>
    <col min="2315" max="2315" width="16" style="349" customWidth="1"/>
    <col min="2316" max="2316" width="23.42578125" style="349" customWidth="1"/>
    <col min="2317" max="2317" width="10.42578125" style="349" customWidth="1"/>
    <col min="2318" max="2318" width="17.85546875" style="349" customWidth="1"/>
    <col min="2319" max="2319" width="10.140625" style="349" customWidth="1"/>
    <col min="2320" max="2320" width="11.7109375" style="349" customWidth="1"/>
    <col min="2321" max="2321" width="10.42578125" style="349" customWidth="1"/>
    <col min="2322" max="2322" width="10" style="349" customWidth="1"/>
    <col min="2323" max="2323" width="12" style="349" customWidth="1"/>
    <col min="2324" max="2324" width="9" style="349"/>
    <col min="2325" max="2325" width="11" style="349" customWidth="1"/>
    <col min="2326" max="2326" width="9.140625" style="349" customWidth="1"/>
    <col min="2327" max="2327" width="9" style="349" customWidth="1"/>
    <col min="2328" max="2328" width="10.28515625" style="349" customWidth="1"/>
    <col min="2329" max="2569" width="9" style="349"/>
    <col min="2570" max="2570" width="9.42578125" style="349" customWidth="1"/>
    <col min="2571" max="2571" width="16" style="349" customWidth="1"/>
    <col min="2572" max="2572" width="23.42578125" style="349" customWidth="1"/>
    <col min="2573" max="2573" width="10.42578125" style="349" customWidth="1"/>
    <col min="2574" max="2574" width="17.85546875" style="349" customWidth="1"/>
    <col min="2575" max="2575" width="10.140625" style="349" customWidth="1"/>
    <col min="2576" max="2576" width="11.7109375" style="349" customWidth="1"/>
    <col min="2577" max="2577" width="10.42578125" style="349" customWidth="1"/>
    <col min="2578" max="2578" width="10" style="349" customWidth="1"/>
    <col min="2579" max="2579" width="12" style="349" customWidth="1"/>
    <col min="2580" max="2580" width="9" style="349"/>
    <col min="2581" max="2581" width="11" style="349" customWidth="1"/>
    <col min="2582" max="2582" width="9.140625" style="349" customWidth="1"/>
    <col min="2583" max="2583" width="9" style="349" customWidth="1"/>
    <col min="2584" max="2584" width="10.28515625" style="349" customWidth="1"/>
    <col min="2585" max="2825" width="9" style="349"/>
    <col min="2826" max="2826" width="9.42578125" style="349" customWidth="1"/>
    <col min="2827" max="2827" width="16" style="349" customWidth="1"/>
    <col min="2828" max="2828" width="23.42578125" style="349" customWidth="1"/>
    <col min="2829" max="2829" width="10.42578125" style="349" customWidth="1"/>
    <col min="2830" max="2830" width="17.85546875" style="349" customWidth="1"/>
    <col min="2831" max="2831" width="10.140625" style="349" customWidth="1"/>
    <col min="2832" max="2832" width="11.7109375" style="349" customWidth="1"/>
    <col min="2833" max="2833" width="10.42578125" style="349" customWidth="1"/>
    <col min="2834" max="2834" width="10" style="349" customWidth="1"/>
    <col min="2835" max="2835" width="12" style="349" customWidth="1"/>
    <col min="2836" max="2836" width="9" style="349"/>
    <col min="2837" max="2837" width="11" style="349" customWidth="1"/>
    <col min="2838" max="2838" width="9.140625" style="349" customWidth="1"/>
    <col min="2839" max="2839" width="9" style="349" customWidth="1"/>
    <col min="2840" max="2840" width="10.28515625" style="349" customWidth="1"/>
    <col min="2841" max="3081" width="9" style="349"/>
    <col min="3082" max="3082" width="9.42578125" style="349" customWidth="1"/>
    <col min="3083" max="3083" width="16" style="349" customWidth="1"/>
    <col min="3084" max="3084" width="23.42578125" style="349" customWidth="1"/>
    <col min="3085" max="3085" width="10.42578125" style="349" customWidth="1"/>
    <col min="3086" max="3086" width="17.85546875" style="349" customWidth="1"/>
    <col min="3087" max="3087" width="10.140625" style="349" customWidth="1"/>
    <col min="3088" max="3088" width="11.7109375" style="349" customWidth="1"/>
    <col min="3089" max="3089" width="10.42578125" style="349" customWidth="1"/>
    <col min="3090" max="3090" width="10" style="349" customWidth="1"/>
    <col min="3091" max="3091" width="12" style="349" customWidth="1"/>
    <col min="3092" max="3092" width="9" style="349"/>
    <col min="3093" max="3093" width="11" style="349" customWidth="1"/>
    <col min="3094" max="3094" width="9.140625" style="349" customWidth="1"/>
    <col min="3095" max="3095" width="9" style="349" customWidth="1"/>
    <col min="3096" max="3096" width="10.28515625" style="349" customWidth="1"/>
    <col min="3097" max="3337" width="9" style="349"/>
    <col min="3338" max="3338" width="9.42578125" style="349" customWidth="1"/>
    <col min="3339" max="3339" width="16" style="349" customWidth="1"/>
    <col min="3340" max="3340" width="23.42578125" style="349" customWidth="1"/>
    <col min="3341" max="3341" width="10.42578125" style="349" customWidth="1"/>
    <col min="3342" max="3342" width="17.85546875" style="349" customWidth="1"/>
    <col min="3343" max="3343" width="10.140625" style="349" customWidth="1"/>
    <col min="3344" max="3344" width="11.7109375" style="349" customWidth="1"/>
    <col min="3345" max="3345" width="10.42578125" style="349" customWidth="1"/>
    <col min="3346" max="3346" width="10" style="349" customWidth="1"/>
    <col min="3347" max="3347" width="12" style="349" customWidth="1"/>
    <col min="3348" max="3348" width="9" style="349"/>
    <col min="3349" max="3349" width="11" style="349" customWidth="1"/>
    <col min="3350" max="3350" width="9.140625" style="349" customWidth="1"/>
    <col min="3351" max="3351" width="9" style="349" customWidth="1"/>
    <col min="3352" max="3352" width="10.28515625" style="349" customWidth="1"/>
    <col min="3353" max="3593" width="9" style="349"/>
    <col min="3594" max="3594" width="9.42578125" style="349" customWidth="1"/>
    <col min="3595" max="3595" width="16" style="349" customWidth="1"/>
    <col min="3596" max="3596" width="23.42578125" style="349" customWidth="1"/>
    <col min="3597" max="3597" width="10.42578125" style="349" customWidth="1"/>
    <col min="3598" max="3598" width="17.85546875" style="349" customWidth="1"/>
    <col min="3599" max="3599" width="10.140625" style="349" customWidth="1"/>
    <col min="3600" max="3600" width="11.7109375" style="349" customWidth="1"/>
    <col min="3601" max="3601" width="10.42578125" style="349" customWidth="1"/>
    <col min="3602" max="3602" width="10" style="349" customWidth="1"/>
    <col min="3603" max="3603" width="12" style="349" customWidth="1"/>
    <col min="3604" max="3604" width="9" style="349"/>
    <col min="3605" max="3605" width="11" style="349" customWidth="1"/>
    <col min="3606" max="3606" width="9.140625" style="349" customWidth="1"/>
    <col min="3607" max="3607" width="9" style="349" customWidth="1"/>
    <col min="3608" max="3608" width="10.28515625" style="349" customWidth="1"/>
    <col min="3609" max="3849" width="9" style="349"/>
    <col min="3850" max="3850" width="9.42578125" style="349" customWidth="1"/>
    <col min="3851" max="3851" width="16" style="349" customWidth="1"/>
    <col min="3852" max="3852" width="23.42578125" style="349" customWidth="1"/>
    <col min="3853" max="3853" width="10.42578125" style="349" customWidth="1"/>
    <col min="3854" max="3854" width="17.85546875" style="349" customWidth="1"/>
    <col min="3855" max="3855" width="10.140625" style="349" customWidth="1"/>
    <col min="3856" max="3856" width="11.7109375" style="349" customWidth="1"/>
    <col min="3857" max="3857" width="10.42578125" style="349" customWidth="1"/>
    <col min="3858" max="3858" width="10" style="349" customWidth="1"/>
    <col min="3859" max="3859" width="12" style="349" customWidth="1"/>
    <col min="3860" max="3860" width="9" style="349"/>
    <col min="3861" max="3861" width="11" style="349" customWidth="1"/>
    <col min="3862" max="3862" width="9.140625" style="349" customWidth="1"/>
    <col min="3863" max="3863" width="9" style="349" customWidth="1"/>
    <col min="3864" max="3864" width="10.28515625" style="349" customWidth="1"/>
    <col min="3865" max="4105" width="9" style="349"/>
    <col min="4106" max="4106" width="9.42578125" style="349" customWidth="1"/>
    <col min="4107" max="4107" width="16" style="349" customWidth="1"/>
    <col min="4108" max="4108" width="23.42578125" style="349" customWidth="1"/>
    <col min="4109" max="4109" width="10.42578125" style="349" customWidth="1"/>
    <col min="4110" max="4110" width="17.85546875" style="349" customWidth="1"/>
    <col min="4111" max="4111" width="10.140625" style="349" customWidth="1"/>
    <col min="4112" max="4112" width="11.7109375" style="349" customWidth="1"/>
    <col min="4113" max="4113" width="10.42578125" style="349" customWidth="1"/>
    <col min="4114" max="4114" width="10" style="349" customWidth="1"/>
    <col min="4115" max="4115" width="12" style="349" customWidth="1"/>
    <col min="4116" max="4116" width="9" style="349"/>
    <col min="4117" max="4117" width="11" style="349" customWidth="1"/>
    <col min="4118" max="4118" width="9.140625" style="349" customWidth="1"/>
    <col min="4119" max="4119" width="9" style="349" customWidth="1"/>
    <col min="4120" max="4120" width="10.28515625" style="349" customWidth="1"/>
    <col min="4121" max="4361" width="9" style="349"/>
    <col min="4362" max="4362" width="9.42578125" style="349" customWidth="1"/>
    <col min="4363" max="4363" width="16" style="349" customWidth="1"/>
    <col min="4364" max="4364" width="23.42578125" style="349" customWidth="1"/>
    <col min="4365" max="4365" width="10.42578125" style="349" customWidth="1"/>
    <col min="4366" max="4366" width="17.85546875" style="349" customWidth="1"/>
    <col min="4367" max="4367" width="10.140625" style="349" customWidth="1"/>
    <col min="4368" max="4368" width="11.7109375" style="349" customWidth="1"/>
    <col min="4369" max="4369" width="10.42578125" style="349" customWidth="1"/>
    <col min="4370" max="4370" width="10" style="349" customWidth="1"/>
    <col min="4371" max="4371" width="12" style="349" customWidth="1"/>
    <col min="4372" max="4372" width="9" style="349"/>
    <col min="4373" max="4373" width="11" style="349" customWidth="1"/>
    <col min="4374" max="4374" width="9.140625" style="349" customWidth="1"/>
    <col min="4375" max="4375" width="9" style="349" customWidth="1"/>
    <col min="4376" max="4376" width="10.28515625" style="349" customWidth="1"/>
    <col min="4377" max="4617" width="9" style="349"/>
    <col min="4618" max="4618" width="9.42578125" style="349" customWidth="1"/>
    <col min="4619" max="4619" width="16" style="349" customWidth="1"/>
    <col min="4620" max="4620" width="23.42578125" style="349" customWidth="1"/>
    <col min="4621" max="4621" width="10.42578125" style="349" customWidth="1"/>
    <col min="4622" max="4622" width="17.85546875" style="349" customWidth="1"/>
    <col min="4623" max="4623" width="10.140625" style="349" customWidth="1"/>
    <col min="4624" max="4624" width="11.7109375" style="349" customWidth="1"/>
    <col min="4625" max="4625" width="10.42578125" style="349" customWidth="1"/>
    <col min="4626" max="4626" width="10" style="349" customWidth="1"/>
    <col min="4627" max="4627" width="12" style="349" customWidth="1"/>
    <col min="4628" max="4628" width="9" style="349"/>
    <col min="4629" max="4629" width="11" style="349" customWidth="1"/>
    <col min="4630" max="4630" width="9.140625" style="349" customWidth="1"/>
    <col min="4631" max="4631" width="9" style="349" customWidth="1"/>
    <col min="4632" max="4632" width="10.28515625" style="349" customWidth="1"/>
    <col min="4633" max="4873" width="9" style="349"/>
    <col min="4874" max="4874" width="9.42578125" style="349" customWidth="1"/>
    <col min="4875" max="4875" width="16" style="349" customWidth="1"/>
    <col min="4876" max="4876" width="23.42578125" style="349" customWidth="1"/>
    <col min="4877" max="4877" width="10.42578125" style="349" customWidth="1"/>
    <col min="4878" max="4878" width="17.85546875" style="349" customWidth="1"/>
    <col min="4879" max="4879" width="10.140625" style="349" customWidth="1"/>
    <col min="4880" max="4880" width="11.7109375" style="349" customWidth="1"/>
    <col min="4881" max="4881" width="10.42578125" style="349" customWidth="1"/>
    <col min="4882" max="4882" width="10" style="349" customWidth="1"/>
    <col min="4883" max="4883" width="12" style="349" customWidth="1"/>
    <col min="4884" max="4884" width="9" style="349"/>
    <col min="4885" max="4885" width="11" style="349" customWidth="1"/>
    <col min="4886" max="4886" width="9.140625" style="349" customWidth="1"/>
    <col min="4887" max="4887" width="9" style="349" customWidth="1"/>
    <col min="4888" max="4888" width="10.28515625" style="349" customWidth="1"/>
    <col min="4889" max="5129" width="9" style="349"/>
    <col min="5130" max="5130" width="9.42578125" style="349" customWidth="1"/>
    <col min="5131" max="5131" width="16" style="349" customWidth="1"/>
    <col min="5132" max="5132" width="23.42578125" style="349" customWidth="1"/>
    <col min="5133" max="5133" width="10.42578125" style="349" customWidth="1"/>
    <col min="5134" max="5134" width="17.85546875" style="349" customWidth="1"/>
    <col min="5135" max="5135" width="10.140625" style="349" customWidth="1"/>
    <col min="5136" max="5136" width="11.7109375" style="349" customWidth="1"/>
    <col min="5137" max="5137" width="10.42578125" style="349" customWidth="1"/>
    <col min="5138" max="5138" width="10" style="349" customWidth="1"/>
    <col min="5139" max="5139" width="12" style="349" customWidth="1"/>
    <col min="5140" max="5140" width="9" style="349"/>
    <col min="5141" max="5141" width="11" style="349" customWidth="1"/>
    <col min="5142" max="5142" width="9.140625" style="349" customWidth="1"/>
    <col min="5143" max="5143" width="9" style="349" customWidth="1"/>
    <col min="5144" max="5144" width="10.28515625" style="349" customWidth="1"/>
    <col min="5145" max="5385" width="9" style="349"/>
    <col min="5386" max="5386" width="9.42578125" style="349" customWidth="1"/>
    <col min="5387" max="5387" width="16" style="349" customWidth="1"/>
    <col min="5388" max="5388" width="23.42578125" style="349" customWidth="1"/>
    <col min="5389" max="5389" width="10.42578125" style="349" customWidth="1"/>
    <col min="5390" max="5390" width="17.85546875" style="349" customWidth="1"/>
    <col min="5391" max="5391" width="10.140625" style="349" customWidth="1"/>
    <col min="5392" max="5392" width="11.7109375" style="349" customWidth="1"/>
    <col min="5393" max="5393" width="10.42578125" style="349" customWidth="1"/>
    <col min="5394" max="5394" width="10" style="349" customWidth="1"/>
    <col min="5395" max="5395" width="12" style="349" customWidth="1"/>
    <col min="5396" max="5396" width="9" style="349"/>
    <col min="5397" max="5397" width="11" style="349" customWidth="1"/>
    <col min="5398" max="5398" width="9.140625" style="349" customWidth="1"/>
    <col min="5399" max="5399" width="9" style="349" customWidth="1"/>
    <col min="5400" max="5400" width="10.28515625" style="349" customWidth="1"/>
    <col min="5401" max="5641" width="9" style="349"/>
    <col min="5642" max="5642" width="9.42578125" style="349" customWidth="1"/>
    <col min="5643" max="5643" width="16" style="349" customWidth="1"/>
    <col min="5644" max="5644" width="23.42578125" style="349" customWidth="1"/>
    <col min="5645" max="5645" width="10.42578125" style="349" customWidth="1"/>
    <col min="5646" max="5646" width="17.85546875" style="349" customWidth="1"/>
    <col min="5647" max="5647" width="10.140625" style="349" customWidth="1"/>
    <col min="5648" max="5648" width="11.7109375" style="349" customWidth="1"/>
    <col min="5649" max="5649" width="10.42578125" style="349" customWidth="1"/>
    <col min="5650" max="5650" width="10" style="349" customWidth="1"/>
    <col min="5651" max="5651" width="12" style="349" customWidth="1"/>
    <col min="5652" max="5652" width="9" style="349"/>
    <col min="5653" max="5653" width="11" style="349" customWidth="1"/>
    <col min="5654" max="5654" width="9.140625" style="349" customWidth="1"/>
    <col min="5655" max="5655" width="9" style="349" customWidth="1"/>
    <col min="5656" max="5656" width="10.28515625" style="349" customWidth="1"/>
    <col min="5657" max="5897" width="9" style="349"/>
    <col min="5898" max="5898" width="9.42578125" style="349" customWidth="1"/>
    <col min="5899" max="5899" width="16" style="349" customWidth="1"/>
    <col min="5900" max="5900" width="23.42578125" style="349" customWidth="1"/>
    <col min="5901" max="5901" width="10.42578125" style="349" customWidth="1"/>
    <col min="5902" max="5902" width="17.85546875" style="349" customWidth="1"/>
    <col min="5903" max="5903" width="10.140625" style="349" customWidth="1"/>
    <col min="5904" max="5904" width="11.7109375" style="349" customWidth="1"/>
    <col min="5905" max="5905" width="10.42578125" style="349" customWidth="1"/>
    <col min="5906" max="5906" width="10" style="349" customWidth="1"/>
    <col min="5907" max="5907" width="12" style="349" customWidth="1"/>
    <col min="5908" max="5908" width="9" style="349"/>
    <col min="5909" max="5909" width="11" style="349" customWidth="1"/>
    <col min="5910" max="5910" width="9.140625" style="349" customWidth="1"/>
    <col min="5911" max="5911" width="9" style="349" customWidth="1"/>
    <col min="5912" max="5912" width="10.28515625" style="349" customWidth="1"/>
    <col min="5913" max="6153" width="9" style="349"/>
    <col min="6154" max="6154" width="9.42578125" style="349" customWidth="1"/>
    <col min="6155" max="6155" width="16" style="349" customWidth="1"/>
    <col min="6156" max="6156" width="23.42578125" style="349" customWidth="1"/>
    <col min="6157" max="6157" width="10.42578125" style="349" customWidth="1"/>
    <col min="6158" max="6158" width="17.85546875" style="349" customWidth="1"/>
    <col min="6159" max="6159" width="10.140625" style="349" customWidth="1"/>
    <col min="6160" max="6160" width="11.7109375" style="349" customWidth="1"/>
    <col min="6161" max="6161" width="10.42578125" style="349" customWidth="1"/>
    <col min="6162" max="6162" width="10" style="349" customWidth="1"/>
    <col min="6163" max="6163" width="12" style="349" customWidth="1"/>
    <col min="6164" max="6164" width="9" style="349"/>
    <col min="6165" max="6165" width="11" style="349" customWidth="1"/>
    <col min="6166" max="6166" width="9.140625" style="349" customWidth="1"/>
    <col min="6167" max="6167" width="9" style="349" customWidth="1"/>
    <col min="6168" max="6168" width="10.28515625" style="349" customWidth="1"/>
    <col min="6169" max="6409" width="9" style="349"/>
    <col min="6410" max="6410" width="9.42578125" style="349" customWidth="1"/>
    <col min="6411" max="6411" width="16" style="349" customWidth="1"/>
    <col min="6412" max="6412" width="23.42578125" style="349" customWidth="1"/>
    <col min="6413" max="6413" width="10.42578125" style="349" customWidth="1"/>
    <col min="6414" max="6414" width="17.85546875" style="349" customWidth="1"/>
    <col min="6415" max="6415" width="10.140625" style="349" customWidth="1"/>
    <col min="6416" max="6416" width="11.7109375" style="349" customWidth="1"/>
    <col min="6417" max="6417" width="10.42578125" style="349" customWidth="1"/>
    <col min="6418" max="6418" width="10" style="349" customWidth="1"/>
    <col min="6419" max="6419" width="12" style="349" customWidth="1"/>
    <col min="6420" max="6420" width="9" style="349"/>
    <col min="6421" max="6421" width="11" style="349" customWidth="1"/>
    <col min="6422" max="6422" width="9.140625" style="349" customWidth="1"/>
    <col min="6423" max="6423" width="9" style="349" customWidth="1"/>
    <col min="6424" max="6424" width="10.28515625" style="349" customWidth="1"/>
    <col min="6425" max="6665" width="9" style="349"/>
    <col min="6666" max="6666" width="9.42578125" style="349" customWidth="1"/>
    <col min="6667" max="6667" width="16" style="349" customWidth="1"/>
    <col min="6668" max="6668" width="23.42578125" style="349" customWidth="1"/>
    <col min="6669" max="6669" width="10.42578125" style="349" customWidth="1"/>
    <col min="6670" max="6670" width="17.85546875" style="349" customWidth="1"/>
    <col min="6671" max="6671" width="10.140625" style="349" customWidth="1"/>
    <col min="6672" max="6672" width="11.7109375" style="349" customWidth="1"/>
    <col min="6673" max="6673" width="10.42578125" style="349" customWidth="1"/>
    <col min="6674" max="6674" width="10" style="349" customWidth="1"/>
    <col min="6675" max="6675" width="12" style="349" customWidth="1"/>
    <col min="6676" max="6676" width="9" style="349"/>
    <col min="6677" max="6677" width="11" style="349" customWidth="1"/>
    <col min="6678" max="6678" width="9.140625" style="349" customWidth="1"/>
    <col min="6679" max="6679" width="9" style="349" customWidth="1"/>
    <col min="6680" max="6680" width="10.28515625" style="349" customWidth="1"/>
    <col min="6681" max="6921" width="9" style="349"/>
    <col min="6922" max="6922" width="9.42578125" style="349" customWidth="1"/>
    <col min="6923" max="6923" width="16" style="349" customWidth="1"/>
    <col min="6924" max="6924" width="23.42578125" style="349" customWidth="1"/>
    <col min="6925" max="6925" width="10.42578125" style="349" customWidth="1"/>
    <col min="6926" max="6926" width="17.85546875" style="349" customWidth="1"/>
    <col min="6927" max="6927" width="10.140625" style="349" customWidth="1"/>
    <col min="6928" max="6928" width="11.7109375" style="349" customWidth="1"/>
    <col min="6929" max="6929" width="10.42578125" style="349" customWidth="1"/>
    <col min="6930" max="6930" width="10" style="349" customWidth="1"/>
    <col min="6931" max="6931" width="12" style="349" customWidth="1"/>
    <col min="6932" max="6932" width="9" style="349"/>
    <col min="6933" max="6933" width="11" style="349" customWidth="1"/>
    <col min="6934" max="6934" width="9.140625" style="349" customWidth="1"/>
    <col min="6935" max="6935" width="9" style="349" customWidth="1"/>
    <col min="6936" max="6936" width="10.28515625" style="349" customWidth="1"/>
    <col min="6937" max="7177" width="9" style="349"/>
    <col min="7178" max="7178" width="9.42578125" style="349" customWidth="1"/>
    <col min="7179" max="7179" width="16" style="349" customWidth="1"/>
    <col min="7180" max="7180" width="23.42578125" style="349" customWidth="1"/>
    <col min="7181" max="7181" width="10.42578125" style="349" customWidth="1"/>
    <col min="7182" max="7182" width="17.85546875" style="349" customWidth="1"/>
    <col min="7183" max="7183" width="10.140625" style="349" customWidth="1"/>
    <col min="7184" max="7184" width="11.7109375" style="349" customWidth="1"/>
    <col min="7185" max="7185" width="10.42578125" style="349" customWidth="1"/>
    <col min="7186" max="7186" width="10" style="349" customWidth="1"/>
    <col min="7187" max="7187" width="12" style="349" customWidth="1"/>
    <col min="7188" max="7188" width="9" style="349"/>
    <col min="7189" max="7189" width="11" style="349" customWidth="1"/>
    <col min="7190" max="7190" width="9.140625" style="349" customWidth="1"/>
    <col min="7191" max="7191" width="9" style="349" customWidth="1"/>
    <col min="7192" max="7192" width="10.28515625" style="349" customWidth="1"/>
    <col min="7193" max="7433" width="9" style="349"/>
    <col min="7434" max="7434" width="9.42578125" style="349" customWidth="1"/>
    <col min="7435" max="7435" width="16" style="349" customWidth="1"/>
    <col min="7436" max="7436" width="23.42578125" style="349" customWidth="1"/>
    <col min="7437" max="7437" width="10.42578125" style="349" customWidth="1"/>
    <col min="7438" max="7438" width="17.85546875" style="349" customWidth="1"/>
    <col min="7439" max="7439" width="10.140625" style="349" customWidth="1"/>
    <col min="7440" max="7440" width="11.7109375" style="349" customWidth="1"/>
    <col min="7441" max="7441" width="10.42578125" style="349" customWidth="1"/>
    <col min="7442" max="7442" width="10" style="349" customWidth="1"/>
    <col min="7443" max="7443" width="12" style="349" customWidth="1"/>
    <col min="7444" max="7444" width="9" style="349"/>
    <col min="7445" max="7445" width="11" style="349" customWidth="1"/>
    <col min="7446" max="7446" width="9.140625" style="349" customWidth="1"/>
    <col min="7447" max="7447" width="9" style="349" customWidth="1"/>
    <col min="7448" max="7448" width="10.28515625" style="349" customWidth="1"/>
    <col min="7449" max="7689" width="9" style="349"/>
    <col min="7690" max="7690" width="9.42578125" style="349" customWidth="1"/>
    <col min="7691" max="7691" width="16" style="349" customWidth="1"/>
    <col min="7692" max="7692" width="23.42578125" style="349" customWidth="1"/>
    <col min="7693" max="7693" width="10.42578125" style="349" customWidth="1"/>
    <col min="7694" max="7694" width="17.85546875" style="349" customWidth="1"/>
    <col min="7695" max="7695" width="10.140625" style="349" customWidth="1"/>
    <col min="7696" max="7696" width="11.7109375" style="349" customWidth="1"/>
    <col min="7697" max="7697" width="10.42578125" style="349" customWidth="1"/>
    <col min="7698" max="7698" width="10" style="349" customWidth="1"/>
    <col min="7699" max="7699" width="12" style="349" customWidth="1"/>
    <col min="7700" max="7700" width="9" style="349"/>
    <col min="7701" max="7701" width="11" style="349" customWidth="1"/>
    <col min="7702" max="7702" width="9.140625" style="349" customWidth="1"/>
    <col min="7703" max="7703" width="9" style="349" customWidth="1"/>
    <col min="7704" max="7704" width="10.28515625" style="349" customWidth="1"/>
    <col min="7705" max="7945" width="9" style="349"/>
    <col min="7946" max="7946" width="9.42578125" style="349" customWidth="1"/>
    <col min="7947" max="7947" width="16" style="349" customWidth="1"/>
    <col min="7948" max="7948" width="23.42578125" style="349" customWidth="1"/>
    <col min="7949" max="7949" width="10.42578125" style="349" customWidth="1"/>
    <col min="7950" max="7950" width="17.85546875" style="349" customWidth="1"/>
    <col min="7951" max="7951" width="10.140625" style="349" customWidth="1"/>
    <col min="7952" max="7952" width="11.7109375" style="349" customWidth="1"/>
    <col min="7953" max="7953" width="10.42578125" style="349" customWidth="1"/>
    <col min="7954" max="7954" width="10" style="349" customWidth="1"/>
    <col min="7955" max="7955" width="12" style="349" customWidth="1"/>
    <col min="7956" max="7956" width="9" style="349"/>
    <col min="7957" max="7957" width="11" style="349" customWidth="1"/>
    <col min="7958" max="7958" width="9.140625" style="349" customWidth="1"/>
    <col min="7959" max="7959" width="9" style="349" customWidth="1"/>
    <col min="7960" max="7960" width="10.28515625" style="349" customWidth="1"/>
    <col min="7961" max="8201" width="9" style="349"/>
    <col min="8202" max="8202" width="9.42578125" style="349" customWidth="1"/>
    <col min="8203" max="8203" width="16" style="349" customWidth="1"/>
    <col min="8204" max="8204" width="23.42578125" style="349" customWidth="1"/>
    <col min="8205" max="8205" width="10.42578125" style="349" customWidth="1"/>
    <col min="8206" max="8206" width="17.85546875" style="349" customWidth="1"/>
    <col min="8207" max="8207" width="10.140625" style="349" customWidth="1"/>
    <col min="8208" max="8208" width="11.7109375" style="349" customWidth="1"/>
    <col min="8209" max="8209" width="10.42578125" style="349" customWidth="1"/>
    <col min="8210" max="8210" width="10" style="349" customWidth="1"/>
    <col min="8211" max="8211" width="12" style="349" customWidth="1"/>
    <col min="8212" max="8212" width="9" style="349"/>
    <col min="8213" max="8213" width="11" style="349" customWidth="1"/>
    <col min="8214" max="8214" width="9.140625" style="349" customWidth="1"/>
    <col min="8215" max="8215" width="9" style="349" customWidth="1"/>
    <col min="8216" max="8216" width="10.28515625" style="349" customWidth="1"/>
    <col min="8217" max="8457" width="9" style="349"/>
    <col min="8458" max="8458" width="9.42578125" style="349" customWidth="1"/>
    <col min="8459" max="8459" width="16" style="349" customWidth="1"/>
    <col min="8460" max="8460" width="23.42578125" style="349" customWidth="1"/>
    <col min="8461" max="8461" width="10.42578125" style="349" customWidth="1"/>
    <col min="8462" max="8462" width="17.85546875" style="349" customWidth="1"/>
    <col min="8463" max="8463" width="10.140625" style="349" customWidth="1"/>
    <col min="8464" max="8464" width="11.7109375" style="349" customWidth="1"/>
    <col min="8465" max="8465" width="10.42578125" style="349" customWidth="1"/>
    <col min="8466" max="8466" width="10" style="349" customWidth="1"/>
    <col min="8467" max="8467" width="12" style="349" customWidth="1"/>
    <col min="8468" max="8468" width="9" style="349"/>
    <col min="8469" max="8469" width="11" style="349" customWidth="1"/>
    <col min="8470" max="8470" width="9.140625" style="349" customWidth="1"/>
    <col min="8471" max="8471" width="9" style="349" customWidth="1"/>
    <col min="8472" max="8472" width="10.28515625" style="349" customWidth="1"/>
    <col min="8473" max="8713" width="9" style="349"/>
    <col min="8714" max="8714" width="9.42578125" style="349" customWidth="1"/>
    <col min="8715" max="8715" width="16" style="349" customWidth="1"/>
    <col min="8716" max="8716" width="23.42578125" style="349" customWidth="1"/>
    <col min="8717" max="8717" width="10.42578125" style="349" customWidth="1"/>
    <col min="8718" max="8718" width="17.85546875" style="349" customWidth="1"/>
    <col min="8719" max="8719" width="10.140625" style="349" customWidth="1"/>
    <col min="8720" max="8720" width="11.7109375" style="349" customWidth="1"/>
    <col min="8721" max="8721" width="10.42578125" style="349" customWidth="1"/>
    <col min="8722" max="8722" width="10" style="349" customWidth="1"/>
    <col min="8723" max="8723" width="12" style="349" customWidth="1"/>
    <col min="8724" max="8724" width="9" style="349"/>
    <col min="8725" max="8725" width="11" style="349" customWidth="1"/>
    <col min="8726" max="8726" width="9.140625" style="349" customWidth="1"/>
    <col min="8727" max="8727" width="9" style="349" customWidth="1"/>
    <col min="8728" max="8728" width="10.28515625" style="349" customWidth="1"/>
    <col min="8729" max="8969" width="9" style="349"/>
    <col min="8970" max="8970" width="9.42578125" style="349" customWidth="1"/>
    <col min="8971" max="8971" width="16" style="349" customWidth="1"/>
    <col min="8972" max="8972" width="23.42578125" style="349" customWidth="1"/>
    <col min="8973" max="8973" width="10.42578125" style="349" customWidth="1"/>
    <col min="8974" max="8974" width="17.85546875" style="349" customWidth="1"/>
    <col min="8975" max="8975" width="10.140625" style="349" customWidth="1"/>
    <col min="8976" max="8976" width="11.7109375" style="349" customWidth="1"/>
    <col min="8977" max="8977" width="10.42578125" style="349" customWidth="1"/>
    <col min="8978" max="8978" width="10" style="349" customWidth="1"/>
    <col min="8979" max="8979" width="12" style="349" customWidth="1"/>
    <col min="8980" max="8980" width="9" style="349"/>
    <col min="8981" max="8981" width="11" style="349" customWidth="1"/>
    <col min="8982" max="8982" width="9.140625" style="349" customWidth="1"/>
    <col min="8983" max="8983" width="9" style="349" customWidth="1"/>
    <col min="8984" max="8984" width="10.28515625" style="349" customWidth="1"/>
    <col min="8985" max="9225" width="9" style="349"/>
    <col min="9226" max="9226" width="9.42578125" style="349" customWidth="1"/>
    <col min="9227" max="9227" width="16" style="349" customWidth="1"/>
    <col min="9228" max="9228" width="23.42578125" style="349" customWidth="1"/>
    <col min="9229" max="9229" width="10.42578125" style="349" customWidth="1"/>
    <col min="9230" max="9230" width="17.85546875" style="349" customWidth="1"/>
    <col min="9231" max="9231" width="10.140625" style="349" customWidth="1"/>
    <col min="9232" max="9232" width="11.7109375" style="349" customWidth="1"/>
    <col min="9233" max="9233" width="10.42578125" style="349" customWidth="1"/>
    <col min="9234" max="9234" width="10" style="349" customWidth="1"/>
    <col min="9235" max="9235" width="12" style="349" customWidth="1"/>
    <col min="9236" max="9236" width="9" style="349"/>
    <col min="9237" max="9237" width="11" style="349" customWidth="1"/>
    <col min="9238" max="9238" width="9.140625" style="349" customWidth="1"/>
    <col min="9239" max="9239" width="9" style="349" customWidth="1"/>
    <col min="9240" max="9240" width="10.28515625" style="349" customWidth="1"/>
    <col min="9241" max="9481" width="9" style="349"/>
    <col min="9482" max="9482" width="9.42578125" style="349" customWidth="1"/>
    <col min="9483" max="9483" width="16" style="349" customWidth="1"/>
    <col min="9484" max="9484" width="23.42578125" style="349" customWidth="1"/>
    <col min="9485" max="9485" width="10.42578125" style="349" customWidth="1"/>
    <col min="9486" max="9486" width="17.85546875" style="349" customWidth="1"/>
    <col min="9487" max="9487" width="10.140625" style="349" customWidth="1"/>
    <col min="9488" max="9488" width="11.7109375" style="349" customWidth="1"/>
    <col min="9489" max="9489" width="10.42578125" style="349" customWidth="1"/>
    <col min="9490" max="9490" width="10" style="349" customWidth="1"/>
    <col min="9491" max="9491" width="12" style="349" customWidth="1"/>
    <col min="9492" max="9492" width="9" style="349"/>
    <col min="9493" max="9493" width="11" style="349" customWidth="1"/>
    <col min="9494" max="9494" width="9.140625" style="349" customWidth="1"/>
    <col min="9495" max="9495" width="9" style="349" customWidth="1"/>
    <col min="9496" max="9496" width="10.28515625" style="349" customWidth="1"/>
    <col min="9497" max="9737" width="9" style="349"/>
    <col min="9738" max="9738" width="9.42578125" style="349" customWidth="1"/>
    <col min="9739" max="9739" width="16" style="349" customWidth="1"/>
    <col min="9740" max="9740" width="23.42578125" style="349" customWidth="1"/>
    <col min="9741" max="9741" width="10.42578125" style="349" customWidth="1"/>
    <col min="9742" max="9742" width="17.85546875" style="349" customWidth="1"/>
    <col min="9743" max="9743" width="10.140625" style="349" customWidth="1"/>
    <col min="9744" max="9744" width="11.7109375" style="349" customWidth="1"/>
    <col min="9745" max="9745" width="10.42578125" style="349" customWidth="1"/>
    <col min="9746" max="9746" width="10" style="349" customWidth="1"/>
    <col min="9747" max="9747" width="12" style="349" customWidth="1"/>
    <col min="9748" max="9748" width="9" style="349"/>
    <col min="9749" max="9749" width="11" style="349" customWidth="1"/>
    <col min="9750" max="9750" width="9.140625" style="349" customWidth="1"/>
    <col min="9751" max="9751" width="9" style="349" customWidth="1"/>
    <col min="9752" max="9752" width="10.28515625" style="349" customWidth="1"/>
    <col min="9753" max="9993" width="9" style="349"/>
    <col min="9994" max="9994" width="9.42578125" style="349" customWidth="1"/>
    <col min="9995" max="9995" width="16" style="349" customWidth="1"/>
    <col min="9996" max="9996" width="23.42578125" style="349" customWidth="1"/>
    <col min="9997" max="9997" width="10.42578125" style="349" customWidth="1"/>
    <col min="9998" max="9998" width="17.85546875" style="349" customWidth="1"/>
    <col min="9999" max="9999" width="10.140625" style="349" customWidth="1"/>
    <col min="10000" max="10000" width="11.7109375" style="349" customWidth="1"/>
    <col min="10001" max="10001" width="10.42578125" style="349" customWidth="1"/>
    <col min="10002" max="10002" width="10" style="349" customWidth="1"/>
    <col min="10003" max="10003" width="12" style="349" customWidth="1"/>
    <col min="10004" max="10004" width="9" style="349"/>
    <col min="10005" max="10005" width="11" style="349" customWidth="1"/>
    <col min="10006" max="10006" width="9.140625" style="349" customWidth="1"/>
    <col min="10007" max="10007" width="9" style="349" customWidth="1"/>
    <col min="10008" max="10008" width="10.28515625" style="349" customWidth="1"/>
    <col min="10009" max="10249" width="9" style="349"/>
    <col min="10250" max="10250" width="9.42578125" style="349" customWidth="1"/>
    <col min="10251" max="10251" width="16" style="349" customWidth="1"/>
    <col min="10252" max="10252" width="23.42578125" style="349" customWidth="1"/>
    <col min="10253" max="10253" width="10.42578125" style="349" customWidth="1"/>
    <col min="10254" max="10254" width="17.85546875" style="349" customWidth="1"/>
    <col min="10255" max="10255" width="10.140625" style="349" customWidth="1"/>
    <col min="10256" max="10256" width="11.7109375" style="349" customWidth="1"/>
    <col min="10257" max="10257" width="10.42578125" style="349" customWidth="1"/>
    <col min="10258" max="10258" width="10" style="349" customWidth="1"/>
    <col min="10259" max="10259" width="12" style="349" customWidth="1"/>
    <col min="10260" max="10260" width="9" style="349"/>
    <col min="10261" max="10261" width="11" style="349" customWidth="1"/>
    <col min="10262" max="10262" width="9.140625" style="349" customWidth="1"/>
    <col min="10263" max="10263" width="9" style="349" customWidth="1"/>
    <col min="10264" max="10264" width="10.28515625" style="349" customWidth="1"/>
    <col min="10265" max="10505" width="9" style="349"/>
    <col min="10506" max="10506" width="9.42578125" style="349" customWidth="1"/>
    <col min="10507" max="10507" width="16" style="349" customWidth="1"/>
    <col min="10508" max="10508" width="23.42578125" style="349" customWidth="1"/>
    <col min="10509" max="10509" width="10.42578125" style="349" customWidth="1"/>
    <col min="10510" max="10510" width="17.85546875" style="349" customWidth="1"/>
    <col min="10511" max="10511" width="10.140625" style="349" customWidth="1"/>
    <col min="10512" max="10512" width="11.7109375" style="349" customWidth="1"/>
    <col min="10513" max="10513" width="10.42578125" style="349" customWidth="1"/>
    <col min="10514" max="10514" width="10" style="349" customWidth="1"/>
    <col min="10515" max="10515" width="12" style="349" customWidth="1"/>
    <col min="10516" max="10516" width="9" style="349"/>
    <col min="10517" max="10517" width="11" style="349" customWidth="1"/>
    <col min="10518" max="10518" width="9.140625" style="349" customWidth="1"/>
    <col min="10519" max="10519" width="9" style="349" customWidth="1"/>
    <col min="10520" max="10520" width="10.28515625" style="349" customWidth="1"/>
    <col min="10521" max="10761" width="9" style="349"/>
    <col min="10762" max="10762" width="9.42578125" style="349" customWidth="1"/>
    <col min="10763" max="10763" width="16" style="349" customWidth="1"/>
    <col min="10764" max="10764" width="23.42578125" style="349" customWidth="1"/>
    <col min="10765" max="10765" width="10.42578125" style="349" customWidth="1"/>
    <col min="10766" max="10766" width="17.85546875" style="349" customWidth="1"/>
    <col min="10767" max="10767" width="10.140625" style="349" customWidth="1"/>
    <col min="10768" max="10768" width="11.7109375" style="349" customWidth="1"/>
    <col min="10769" max="10769" width="10.42578125" style="349" customWidth="1"/>
    <col min="10770" max="10770" width="10" style="349" customWidth="1"/>
    <col min="10771" max="10771" width="12" style="349" customWidth="1"/>
    <col min="10772" max="10772" width="9" style="349"/>
    <col min="10773" max="10773" width="11" style="349" customWidth="1"/>
    <col min="10774" max="10774" width="9.140625" style="349" customWidth="1"/>
    <col min="10775" max="10775" width="9" style="349" customWidth="1"/>
    <col min="10776" max="10776" width="10.28515625" style="349" customWidth="1"/>
    <col min="10777" max="11017" width="9" style="349"/>
    <col min="11018" max="11018" width="9.42578125" style="349" customWidth="1"/>
    <col min="11019" max="11019" width="16" style="349" customWidth="1"/>
    <col min="11020" max="11020" width="23.42578125" style="349" customWidth="1"/>
    <col min="11021" max="11021" width="10.42578125" style="349" customWidth="1"/>
    <col min="11022" max="11022" width="17.85546875" style="349" customWidth="1"/>
    <col min="11023" max="11023" width="10.140625" style="349" customWidth="1"/>
    <col min="11024" max="11024" width="11.7109375" style="349" customWidth="1"/>
    <col min="11025" max="11025" width="10.42578125" style="349" customWidth="1"/>
    <col min="11026" max="11026" width="10" style="349" customWidth="1"/>
    <col min="11027" max="11027" width="12" style="349" customWidth="1"/>
    <col min="11028" max="11028" width="9" style="349"/>
    <col min="11029" max="11029" width="11" style="349" customWidth="1"/>
    <col min="11030" max="11030" width="9.140625" style="349" customWidth="1"/>
    <col min="11031" max="11031" width="9" style="349" customWidth="1"/>
    <col min="11032" max="11032" width="10.28515625" style="349" customWidth="1"/>
    <col min="11033" max="11273" width="9" style="349"/>
    <col min="11274" max="11274" width="9.42578125" style="349" customWidth="1"/>
    <col min="11275" max="11275" width="16" style="349" customWidth="1"/>
    <col min="11276" max="11276" width="23.42578125" style="349" customWidth="1"/>
    <col min="11277" max="11277" width="10.42578125" style="349" customWidth="1"/>
    <col min="11278" max="11278" width="17.85546875" style="349" customWidth="1"/>
    <col min="11279" max="11279" width="10.140625" style="349" customWidth="1"/>
    <col min="11280" max="11280" width="11.7109375" style="349" customWidth="1"/>
    <col min="11281" max="11281" width="10.42578125" style="349" customWidth="1"/>
    <col min="11282" max="11282" width="10" style="349" customWidth="1"/>
    <col min="11283" max="11283" width="12" style="349" customWidth="1"/>
    <col min="11284" max="11284" width="9" style="349"/>
    <col min="11285" max="11285" width="11" style="349" customWidth="1"/>
    <col min="11286" max="11286" width="9.140625" style="349" customWidth="1"/>
    <col min="11287" max="11287" width="9" style="349" customWidth="1"/>
    <col min="11288" max="11288" width="10.28515625" style="349" customWidth="1"/>
    <col min="11289" max="11529" width="9" style="349"/>
    <col min="11530" max="11530" width="9.42578125" style="349" customWidth="1"/>
    <col min="11531" max="11531" width="16" style="349" customWidth="1"/>
    <col min="11532" max="11532" width="23.42578125" style="349" customWidth="1"/>
    <col min="11533" max="11533" width="10.42578125" style="349" customWidth="1"/>
    <col min="11534" max="11534" width="17.85546875" style="349" customWidth="1"/>
    <col min="11535" max="11535" width="10.140625" style="349" customWidth="1"/>
    <col min="11536" max="11536" width="11.7109375" style="349" customWidth="1"/>
    <col min="11537" max="11537" width="10.42578125" style="349" customWidth="1"/>
    <col min="11538" max="11538" width="10" style="349" customWidth="1"/>
    <col min="11539" max="11539" width="12" style="349" customWidth="1"/>
    <col min="11540" max="11540" width="9" style="349"/>
    <col min="11541" max="11541" width="11" style="349" customWidth="1"/>
    <col min="11542" max="11542" width="9.140625" style="349" customWidth="1"/>
    <col min="11543" max="11543" width="9" style="349" customWidth="1"/>
    <col min="11544" max="11544" width="10.28515625" style="349" customWidth="1"/>
    <col min="11545" max="11785" width="9" style="349"/>
    <col min="11786" max="11786" width="9.42578125" style="349" customWidth="1"/>
    <col min="11787" max="11787" width="16" style="349" customWidth="1"/>
    <col min="11788" max="11788" width="23.42578125" style="349" customWidth="1"/>
    <col min="11789" max="11789" width="10.42578125" style="349" customWidth="1"/>
    <col min="11790" max="11790" width="17.85546875" style="349" customWidth="1"/>
    <col min="11791" max="11791" width="10.140625" style="349" customWidth="1"/>
    <col min="11792" max="11792" width="11.7109375" style="349" customWidth="1"/>
    <col min="11793" max="11793" width="10.42578125" style="349" customWidth="1"/>
    <col min="11794" max="11794" width="10" style="349" customWidth="1"/>
    <col min="11795" max="11795" width="12" style="349" customWidth="1"/>
    <col min="11796" max="11796" width="9" style="349"/>
    <col min="11797" max="11797" width="11" style="349" customWidth="1"/>
    <col min="11798" max="11798" width="9.140625" style="349" customWidth="1"/>
    <col min="11799" max="11799" width="9" style="349" customWidth="1"/>
    <col min="11800" max="11800" width="10.28515625" style="349" customWidth="1"/>
    <col min="11801" max="12041" width="9" style="349"/>
    <col min="12042" max="12042" width="9.42578125" style="349" customWidth="1"/>
    <col min="12043" max="12043" width="16" style="349" customWidth="1"/>
    <col min="12044" max="12044" width="23.42578125" style="349" customWidth="1"/>
    <col min="12045" max="12045" width="10.42578125" style="349" customWidth="1"/>
    <col min="12046" max="12046" width="17.85546875" style="349" customWidth="1"/>
    <col min="12047" max="12047" width="10.140625" style="349" customWidth="1"/>
    <col min="12048" max="12048" width="11.7109375" style="349" customWidth="1"/>
    <col min="12049" max="12049" width="10.42578125" style="349" customWidth="1"/>
    <col min="12050" max="12050" width="10" style="349" customWidth="1"/>
    <col min="12051" max="12051" width="12" style="349" customWidth="1"/>
    <col min="12052" max="12052" width="9" style="349"/>
    <col min="12053" max="12053" width="11" style="349" customWidth="1"/>
    <col min="12054" max="12054" width="9.140625" style="349" customWidth="1"/>
    <col min="12055" max="12055" width="9" style="349" customWidth="1"/>
    <col min="12056" max="12056" width="10.28515625" style="349" customWidth="1"/>
    <col min="12057" max="12297" width="9" style="349"/>
    <col min="12298" max="12298" width="9.42578125" style="349" customWidth="1"/>
    <col min="12299" max="12299" width="16" style="349" customWidth="1"/>
    <col min="12300" max="12300" width="23.42578125" style="349" customWidth="1"/>
    <col min="12301" max="12301" width="10.42578125" style="349" customWidth="1"/>
    <col min="12302" max="12302" width="17.85546875" style="349" customWidth="1"/>
    <col min="12303" max="12303" width="10.140625" style="349" customWidth="1"/>
    <col min="12304" max="12304" width="11.7109375" style="349" customWidth="1"/>
    <col min="12305" max="12305" width="10.42578125" style="349" customWidth="1"/>
    <col min="12306" max="12306" width="10" style="349" customWidth="1"/>
    <col min="12307" max="12307" width="12" style="349" customWidth="1"/>
    <col min="12308" max="12308" width="9" style="349"/>
    <col min="12309" max="12309" width="11" style="349" customWidth="1"/>
    <col min="12310" max="12310" width="9.140625" style="349" customWidth="1"/>
    <col min="12311" max="12311" width="9" style="349" customWidth="1"/>
    <col min="12312" max="12312" width="10.28515625" style="349" customWidth="1"/>
    <col min="12313" max="12553" width="9" style="349"/>
    <col min="12554" max="12554" width="9.42578125" style="349" customWidth="1"/>
    <col min="12555" max="12555" width="16" style="349" customWidth="1"/>
    <col min="12556" max="12556" width="23.42578125" style="349" customWidth="1"/>
    <col min="12557" max="12557" width="10.42578125" style="349" customWidth="1"/>
    <col min="12558" max="12558" width="17.85546875" style="349" customWidth="1"/>
    <col min="12559" max="12559" width="10.140625" style="349" customWidth="1"/>
    <col min="12560" max="12560" width="11.7109375" style="349" customWidth="1"/>
    <col min="12561" max="12561" width="10.42578125" style="349" customWidth="1"/>
    <col min="12562" max="12562" width="10" style="349" customWidth="1"/>
    <col min="12563" max="12563" width="12" style="349" customWidth="1"/>
    <col min="12564" max="12564" width="9" style="349"/>
    <col min="12565" max="12565" width="11" style="349" customWidth="1"/>
    <col min="12566" max="12566" width="9.140625" style="349" customWidth="1"/>
    <col min="12567" max="12567" width="9" style="349" customWidth="1"/>
    <col min="12568" max="12568" width="10.28515625" style="349" customWidth="1"/>
    <col min="12569" max="12809" width="9" style="349"/>
    <col min="12810" max="12810" width="9.42578125" style="349" customWidth="1"/>
    <col min="12811" max="12811" width="16" style="349" customWidth="1"/>
    <col min="12812" max="12812" width="23.42578125" style="349" customWidth="1"/>
    <col min="12813" max="12813" width="10.42578125" style="349" customWidth="1"/>
    <col min="12814" max="12814" width="17.85546875" style="349" customWidth="1"/>
    <col min="12815" max="12815" width="10.140625" style="349" customWidth="1"/>
    <col min="12816" max="12816" width="11.7109375" style="349" customWidth="1"/>
    <col min="12817" max="12817" width="10.42578125" style="349" customWidth="1"/>
    <col min="12818" max="12818" width="10" style="349" customWidth="1"/>
    <col min="12819" max="12819" width="12" style="349" customWidth="1"/>
    <col min="12820" max="12820" width="9" style="349"/>
    <col min="12821" max="12821" width="11" style="349" customWidth="1"/>
    <col min="12822" max="12822" width="9.140625" style="349" customWidth="1"/>
    <col min="12823" max="12823" width="9" style="349" customWidth="1"/>
    <col min="12824" max="12824" width="10.28515625" style="349" customWidth="1"/>
    <col min="12825" max="13065" width="9" style="349"/>
    <col min="13066" max="13066" width="9.42578125" style="349" customWidth="1"/>
    <col min="13067" max="13067" width="16" style="349" customWidth="1"/>
    <col min="13068" max="13068" width="23.42578125" style="349" customWidth="1"/>
    <col min="13069" max="13069" width="10.42578125" style="349" customWidth="1"/>
    <col min="13070" max="13070" width="17.85546875" style="349" customWidth="1"/>
    <col min="13071" max="13071" width="10.140625" style="349" customWidth="1"/>
    <col min="13072" max="13072" width="11.7109375" style="349" customWidth="1"/>
    <col min="13073" max="13073" width="10.42578125" style="349" customWidth="1"/>
    <col min="13074" max="13074" width="10" style="349" customWidth="1"/>
    <col min="13075" max="13075" width="12" style="349" customWidth="1"/>
    <col min="13076" max="13076" width="9" style="349"/>
    <col min="13077" max="13077" width="11" style="349" customWidth="1"/>
    <col min="13078" max="13078" width="9.140625" style="349" customWidth="1"/>
    <col min="13079" max="13079" width="9" style="349" customWidth="1"/>
    <col min="13080" max="13080" width="10.28515625" style="349" customWidth="1"/>
    <col min="13081" max="13321" width="9" style="349"/>
    <col min="13322" max="13322" width="9.42578125" style="349" customWidth="1"/>
    <col min="13323" max="13323" width="16" style="349" customWidth="1"/>
    <col min="13324" max="13324" width="23.42578125" style="349" customWidth="1"/>
    <col min="13325" max="13325" width="10.42578125" style="349" customWidth="1"/>
    <col min="13326" max="13326" width="17.85546875" style="349" customWidth="1"/>
    <col min="13327" max="13327" width="10.140625" style="349" customWidth="1"/>
    <col min="13328" max="13328" width="11.7109375" style="349" customWidth="1"/>
    <col min="13329" max="13329" width="10.42578125" style="349" customWidth="1"/>
    <col min="13330" max="13330" width="10" style="349" customWidth="1"/>
    <col min="13331" max="13331" width="12" style="349" customWidth="1"/>
    <col min="13332" max="13332" width="9" style="349"/>
    <col min="13333" max="13333" width="11" style="349" customWidth="1"/>
    <col min="13334" max="13334" width="9.140625" style="349" customWidth="1"/>
    <col min="13335" max="13335" width="9" style="349" customWidth="1"/>
    <col min="13336" max="13336" width="10.28515625" style="349" customWidth="1"/>
    <col min="13337" max="13577" width="9" style="349"/>
    <col min="13578" max="13578" width="9.42578125" style="349" customWidth="1"/>
    <col min="13579" max="13579" width="16" style="349" customWidth="1"/>
    <col min="13580" max="13580" width="23.42578125" style="349" customWidth="1"/>
    <col min="13581" max="13581" width="10.42578125" style="349" customWidth="1"/>
    <col min="13582" max="13582" width="17.85546875" style="349" customWidth="1"/>
    <col min="13583" max="13583" width="10.140625" style="349" customWidth="1"/>
    <col min="13584" max="13584" width="11.7109375" style="349" customWidth="1"/>
    <col min="13585" max="13585" width="10.42578125" style="349" customWidth="1"/>
    <col min="13586" max="13586" width="10" style="349" customWidth="1"/>
    <col min="13587" max="13587" width="12" style="349" customWidth="1"/>
    <col min="13588" max="13588" width="9" style="349"/>
    <col min="13589" max="13589" width="11" style="349" customWidth="1"/>
    <col min="13590" max="13590" width="9.140625" style="349" customWidth="1"/>
    <col min="13591" max="13591" width="9" style="349" customWidth="1"/>
    <col min="13592" max="13592" width="10.28515625" style="349" customWidth="1"/>
    <col min="13593" max="13833" width="9" style="349"/>
    <col min="13834" max="13834" width="9.42578125" style="349" customWidth="1"/>
    <col min="13835" max="13835" width="16" style="349" customWidth="1"/>
    <col min="13836" max="13836" width="23.42578125" style="349" customWidth="1"/>
    <col min="13837" max="13837" width="10.42578125" style="349" customWidth="1"/>
    <col min="13838" max="13838" width="17.85546875" style="349" customWidth="1"/>
    <col min="13839" max="13839" width="10.140625" style="349" customWidth="1"/>
    <col min="13840" max="13840" width="11.7109375" style="349" customWidth="1"/>
    <col min="13841" max="13841" width="10.42578125" style="349" customWidth="1"/>
    <col min="13842" max="13842" width="10" style="349" customWidth="1"/>
    <col min="13843" max="13843" width="12" style="349" customWidth="1"/>
    <col min="13844" max="13844" width="9" style="349"/>
    <col min="13845" max="13845" width="11" style="349" customWidth="1"/>
    <col min="13846" max="13846" width="9.140625" style="349" customWidth="1"/>
    <col min="13847" max="13847" width="9" style="349" customWidth="1"/>
    <col min="13848" max="13848" width="10.28515625" style="349" customWidth="1"/>
    <col min="13849" max="14089" width="9" style="349"/>
    <col min="14090" max="14090" width="9.42578125" style="349" customWidth="1"/>
    <col min="14091" max="14091" width="16" style="349" customWidth="1"/>
    <col min="14092" max="14092" width="23.42578125" style="349" customWidth="1"/>
    <col min="14093" max="14093" width="10.42578125" style="349" customWidth="1"/>
    <col min="14094" max="14094" width="17.85546875" style="349" customWidth="1"/>
    <col min="14095" max="14095" width="10.140625" style="349" customWidth="1"/>
    <col min="14096" max="14096" width="11.7109375" style="349" customWidth="1"/>
    <col min="14097" max="14097" width="10.42578125" style="349" customWidth="1"/>
    <col min="14098" max="14098" width="10" style="349" customWidth="1"/>
    <col min="14099" max="14099" width="12" style="349" customWidth="1"/>
    <col min="14100" max="14100" width="9" style="349"/>
    <col min="14101" max="14101" width="11" style="349" customWidth="1"/>
    <col min="14102" max="14102" width="9.140625" style="349" customWidth="1"/>
    <col min="14103" max="14103" width="9" style="349" customWidth="1"/>
    <col min="14104" max="14104" width="10.28515625" style="349" customWidth="1"/>
    <col min="14105" max="14345" width="9" style="349"/>
    <col min="14346" max="14346" width="9.42578125" style="349" customWidth="1"/>
    <col min="14347" max="14347" width="16" style="349" customWidth="1"/>
    <col min="14348" max="14348" width="23.42578125" style="349" customWidth="1"/>
    <col min="14349" max="14349" width="10.42578125" style="349" customWidth="1"/>
    <col min="14350" max="14350" width="17.85546875" style="349" customWidth="1"/>
    <col min="14351" max="14351" width="10.140625" style="349" customWidth="1"/>
    <col min="14352" max="14352" width="11.7109375" style="349" customWidth="1"/>
    <col min="14353" max="14353" width="10.42578125" style="349" customWidth="1"/>
    <col min="14354" max="14354" width="10" style="349" customWidth="1"/>
    <col min="14355" max="14355" width="12" style="349" customWidth="1"/>
    <col min="14356" max="14356" width="9" style="349"/>
    <col min="14357" max="14357" width="11" style="349" customWidth="1"/>
    <col min="14358" max="14358" width="9.140625" style="349" customWidth="1"/>
    <col min="14359" max="14359" width="9" style="349" customWidth="1"/>
    <col min="14360" max="14360" width="10.28515625" style="349" customWidth="1"/>
    <col min="14361" max="14601" width="9" style="349"/>
    <col min="14602" max="14602" width="9.42578125" style="349" customWidth="1"/>
    <col min="14603" max="14603" width="16" style="349" customWidth="1"/>
    <col min="14604" max="14604" width="23.42578125" style="349" customWidth="1"/>
    <col min="14605" max="14605" width="10.42578125" style="349" customWidth="1"/>
    <col min="14606" max="14606" width="17.85546875" style="349" customWidth="1"/>
    <col min="14607" max="14607" width="10.140625" style="349" customWidth="1"/>
    <col min="14608" max="14608" width="11.7109375" style="349" customWidth="1"/>
    <col min="14609" max="14609" width="10.42578125" style="349" customWidth="1"/>
    <col min="14610" max="14610" width="10" style="349" customWidth="1"/>
    <col min="14611" max="14611" width="12" style="349" customWidth="1"/>
    <col min="14612" max="14612" width="9" style="349"/>
    <col min="14613" max="14613" width="11" style="349" customWidth="1"/>
    <col min="14614" max="14614" width="9.140625" style="349" customWidth="1"/>
    <col min="14615" max="14615" width="9" style="349" customWidth="1"/>
    <col min="14616" max="14616" width="10.28515625" style="349" customWidth="1"/>
    <col min="14617" max="14857" width="9" style="349"/>
    <col min="14858" max="14858" width="9.42578125" style="349" customWidth="1"/>
    <col min="14859" max="14859" width="16" style="349" customWidth="1"/>
    <col min="14860" max="14860" width="23.42578125" style="349" customWidth="1"/>
    <col min="14861" max="14861" width="10.42578125" style="349" customWidth="1"/>
    <col min="14862" max="14862" width="17.85546875" style="349" customWidth="1"/>
    <col min="14863" max="14863" width="10.140625" style="349" customWidth="1"/>
    <col min="14864" max="14864" width="11.7109375" style="349" customWidth="1"/>
    <col min="14865" max="14865" width="10.42578125" style="349" customWidth="1"/>
    <col min="14866" max="14866" width="10" style="349" customWidth="1"/>
    <col min="14867" max="14867" width="12" style="349" customWidth="1"/>
    <col min="14868" max="14868" width="9" style="349"/>
    <col min="14869" max="14869" width="11" style="349" customWidth="1"/>
    <col min="14870" max="14870" width="9.140625" style="349" customWidth="1"/>
    <col min="14871" max="14871" width="9" style="349" customWidth="1"/>
    <col min="14872" max="14872" width="10.28515625" style="349" customWidth="1"/>
    <col min="14873" max="15113" width="9" style="349"/>
    <col min="15114" max="15114" width="9.42578125" style="349" customWidth="1"/>
    <col min="15115" max="15115" width="16" style="349" customWidth="1"/>
    <col min="15116" max="15116" width="23.42578125" style="349" customWidth="1"/>
    <col min="15117" max="15117" width="10.42578125" style="349" customWidth="1"/>
    <col min="15118" max="15118" width="17.85546875" style="349" customWidth="1"/>
    <col min="15119" max="15119" width="10.140625" style="349" customWidth="1"/>
    <col min="15120" max="15120" width="11.7109375" style="349" customWidth="1"/>
    <col min="15121" max="15121" width="10.42578125" style="349" customWidth="1"/>
    <col min="15122" max="15122" width="10" style="349" customWidth="1"/>
    <col min="15123" max="15123" width="12" style="349" customWidth="1"/>
    <col min="15124" max="15124" width="9" style="349"/>
    <col min="15125" max="15125" width="11" style="349" customWidth="1"/>
    <col min="15126" max="15126" width="9.140625" style="349" customWidth="1"/>
    <col min="15127" max="15127" width="9" style="349" customWidth="1"/>
    <col min="15128" max="15128" width="10.28515625" style="349" customWidth="1"/>
    <col min="15129" max="15369" width="9" style="349"/>
    <col min="15370" max="15370" width="9.42578125" style="349" customWidth="1"/>
    <col min="15371" max="15371" width="16" style="349" customWidth="1"/>
    <col min="15372" max="15372" width="23.42578125" style="349" customWidth="1"/>
    <col min="15373" max="15373" width="10.42578125" style="349" customWidth="1"/>
    <col min="15374" max="15374" width="17.85546875" style="349" customWidth="1"/>
    <col min="15375" max="15375" width="10.140625" style="349" customWidth="1"/>
    <col min="15376" max="15376" width="11.7109375" style="349" customWidth="1"/>
    <col min="15377" max="15377" width="10.42578125" style="349" customWidth="1"/>
    <col min="15378" max="15378" width="10" style="349" customWidth="1"/>
    <col min="15379" max="15379" width="12" style="349" customWidth="1"/>
    <col min="15380" max="15380" width="9" style="349"/>
    <col min="15381" max="15381" width="11" style="349" customWidth="1"/>
    <col min="15382" max="15382" width="9.140625" style="349" customWidth="1"/>
    <col min="15383" max="15383" width="9" style="349" customWidth="1"/>
    <col min="15384" max="15384" width="10.28515625" style="349" customWidth="1"/>
    <col min="15385" max="15625" width="9" style="349"/>
    <col min="15626" max="15626" width="9.42578125" style="349" customWidth="1"/>
    <col min="15627" max="15627" width="16" style="349" customWidth="1"/>
    <col min="15628" max="15628" width="23.42578125" style="349" customWidth="1"/>
    <col min="15629" max="15629" width="10.42578125" style="349" customWidth="1"/>
    <col min="15630" max="15630" width="17.85546875" style="349" customWidth="1"/>
    <col min="15631" max="15631" width="10.140625" style="349" customWidth="1"/>
    <col min="15632" max="15632" width="11.7109375" style="349" customWidth="1"/>
    <col min="15633" max="15633" width="10.42578125" style="349" customWidth="1"/>
    <col min="15634" max="15634" width="10" style="349" customWidth="1"/>
    <col min="15635" max="15635" width="12" style="349" customWidth="1"/>
    <col min="15636" max="15636" width="9" style="349"/>
    <col min="15637" max="15637" width="11" style="349" customWidth="1"/>
    <col min="15638" max="15638" width="9.140625" style="349" customWidth="1"/>
    <col min="15639" max="15639" width="9" style="349" customWidth="1"/>
    <col min="15640" max="15640" width="10.28515625" style="349" customWidth="1"/>
    <col min="15641" max="15881" width="9" style="349"/>
    <col min="15882" max="15882" width="9.42578125" style="349" customWidth="1"/>
    <col min="15883" max="15883" width="16" style="349" customWidth="1"/>
    <col min="15884" max="15884" width="23.42578125" style="349" customWidth="1"/>
    <col min="15885" max="15885" width="10.42578125" style="349" customWidth="1"/>
    <col min="15886" max="15886" width="17.85546875" style="349" customWidth="1"/>
    <col min="15887" max="15887" width="10.140625" style="349" customWidth="1"/>
    <col min="15888" max="15888" width="11.7109375" style="349" customWidth="1"/>
    <col min="15889" max="15889" width="10.42578125" style="349" customWidth="1"/>
    <col min="15890" max="15890" width="10" style="349" customWidth="1"/>
    <col min="15891" max="15891" width="12" style="349" customWidth="1"/>
    <col min="15892" max="15892" width="9" style="349"/>
    <col min="15893" max="15893" width="11" style="349" customWidth="1"/>
    <col min="15894" max="15894" width="9.140625" style="349" customWidth="1"/>
    <col min="15895" max="15895" width="9" style="349" customWidth="1"/>
    <col min="15896" max="15896" width="10.28515625" style="349" customWidth="1"/>
    <col min="15897" max="16137" width="9" style="349"/>
    <col min="16138" max="16138" width="9.42578125" style="349" customWidth="1"/>
    <col min="16139" max="16139" width="16" style="349" customWidth="1"/>
    <col min="16140" max="16140" width="23.42578125" style="349" customWidth="1"/>
    <col min="16141" max="16141" width="10.42578125" style="349" customWidth="1"/>
    <col min="16142" max="16142" width="17.85546875" style="349" customWidth="1"/>
    <col min="16143" max="16143" width="10.140625" style="349" customWidth="1"/>
    <col min="16144" max="16144" width="11.7109375" style="349" customWidth="1"/>
    <col min="16145" max="16145" width="10.42578125" style="349" customWidth="1"/>
    <col min="16146" max="16146" width="10" style="349" customWidth="1"/>
    <col min="16147" max="16147" width="12" style="349" customWidth="1"/>
    <col min="16148" max="16148" width="9" style="349"/>
    <col min="16149" max="16149" width="11" style="349" customWidth="1"/>
    <col min="16150" max="16150" width="9.140625" style="349" customWidth="1"/>
    <col min="16151" max="16151" width="9" style="349" customWidth="1"/>
    <col min="16152" max="16152" width="10.28515625" style="349" customWidth="1"/>
    <col min="16153" max="16384" width="9" style="349"/>
  </cols>
  <sheetData>
    <row r="1" spans="1:24" ht="18" customHeight="1">
      <c r="B1" s="668" t="s">
        <v>165</v>
      </c>
      <c r="C1" s="668"/>
      <c r="D1" s="668"/>
      <c r="E1" s="668"/>
      <c r="F1" s="668"/>
      <c r="G1" s="668"/>
      <c r="H1" s="668"/>
      <c r="I1" s="668"/>
      <c r="J1" s="668"/>
      <c r="K1" s="668"/>
      <c r="L1" s="668"/>
      <c r="M1" s="668"/>
      <c r="N1" s="668"/>
      <c r="O1" s="668"/>
      <c r="P1" s="668"/>
      <c r="Q1" s="668"/>
      <c r="R1" s="668"/>
      <c r="S1" s="668"/>
      <c r="T1" s="668"/>
      <c r="U1" s="668"/>
      <c r="V1" s="668"/>
      <c r="W1" s="668"/>
      <c r="X1" s="668"/>
    </row>
    <row r="2" spans="1:24" ht="18.75" customHeight="1">
      <c r="B2" s="668" t="s">
        <v>300</v>
      </c>
      <c r="C2" s="668"/>
      <c r="D2" s="668"/>
      <c r="E2" s="668"/>
      <c r="F2" s="668"/>
      <c r="G2" s="668"/>
      <c r="H2" s="668"/>
      <c r="I2" s="668"/>
      <c r="J2" s="668"/>
      <c r="K2" s="668"/>
      <c r="L2" s="668"/>
      <c r="M2" s="668"/>
      <c r="N2" s="668"/>
      <c r="O2" s="668"/>
      <c r="P2" s="668"/>
      <c r="Q2" s="668"/>
      <c r="R2" s="668"/>
      <c r="S2" s="668"/>
      <c r="T2" s="668"/>
      <c r="U2" s="668"/>
      <c r="V2" s="668"/>
      <c r="W2" s="668"/>
      <c r="X2" s="668"/>
    </row>
    <row r="3" spans="1:24" ht="18.75" customHeight="1">
      <c r="B3" s="669" t="s">
        <v>301</v>
      </c>
      <c r="C3" s="669"/>
      <c r="D3" s="669"/>
      <c r="E3" s="669"/>
      <c r="F3" s="669"/>
      <c r="G3" s="669"/>
      <c r="H3" s="669"/>
      <c r="I3" s="669"/>
      <c r="J3" s="669"/>
      <c r="K3" s="669"/>
      <c r="L3" s="669"/>
      <c r="M3" s="669"/>
      <c r="N3" s="669"/>
      <c r="O3" s="669"/>
      <c r="P3" s="669"/>
      <c r="Q3" s="669"/>
      <c r="R3" s="669"/>
      <c r="S3" s="669"/>
      <c r="T3" s="669"/>
      <c r="U3" s="669"/>
      <c r="V3" s="669"/>
      <c r="W3" s="669"/>
      <c r="X3" s="669"/>
    </row>
    <row r="4" spans="1:24" ht="18.75" customHeight="1">
      <c r="B4" s="668" t="s">
        <v>302</v>
      </c>
      <c r="C4" s="668"/>
      <c r="D4" s="668"/>
      <c r="E4" s="668"/>
      <c r="F4" s="668"/>
      <c r="G4" s="668"/>
      <c r="H4" s="668"/>
      <c r="I4" s="668"/>
      <c r="J4" s="668"/>
      <c r="K4" s="668"/>
      <c r="L4" s="668"/>
      <c r="M4" s="668"/>
      <c r="N4" s="668"/>
      <c r="O4" s="668"/>
      <c r="P4" s="668"/>
      <c r="Q4" s="668"/>
      <c r="R4" s="668"/>
      <c r="S4" s="668"/>
      <c r="T4" s="668"/>
      <c r="U4" s="668"/>
      <c r="V4" s="668"/>
      <c r="W4" s="668"/>
      <c r="X4" s="668"/>
    </row>
    <row r="5" spans="1:24" ht="15" customHeight="1">
      <c r="A5" s="705" t="s">
        <v>303</v>
      </c>
      <c r="B5" s="705"/>
      <c r="C5" s="705"/>
      <c r="H5" s="414"/>
      <c r="I5" s="414"/>
      <c r="J5" s="414"/>
      <c r="K5" s="414"/>
      <c r="L5" s="414"/>
      <c r="M5" s="414"/>
      <c r="N5" s="414"/>
      <c r="O5" s="414"/>
      <c r="P5" s="414"/>
      <c r="Q5" s="414"/>
      <c r="R5" s="414"/>
      <c r="S5" s="414"/>
      <c r="T5" s="414"/>
      <c r="U5" s="414"/>
      <c r="V5" s="414"/>
      <c r="W5" s="671" t="s">
        <v>166</v>
      </c>
      <c r="X5" s="671"/>
    </row>
    <row r="6" spans="1:24" s="389" customFormat="1" ht="93.6" customHeight="1">
      <c r="A6" s="512" t="s">
        <v>167</v>
      </c>
      <c r="B6" s="512" t="s">
        <v>168</v>
      </c>
      <c r="C6" s="512" t="s">
        <v>304</v>
      </c>
      <c r="D6" s="512" t="s">
        <v>305</v>
      </c>
      <c r="E6" s="353" t="s">
        <v>306</v>
      </c>
      <c r="F6" s="512" t="s">
        <v>307</v>
      </c>
      <c r="G6" s="512" t="s">
        <v>308</v>
      </c>
      <c r="H6" s="512" t="s">
        <v>309</v>
      </c>
      <c r="I6" s="512" t="s">
        <v>310</v>
      </c>
      <c r="J6" s="512" t="s">
        <v>311</v>
      </c>
      <c r="K6" s="512" t="s">
        <v>312</v>
      </c>
      <c r="L6" s="353" t="s">
        <v>313</v>
      </c>
      <c r="M6" s="354" t="s">
        <v>314</v>
      </c>
      <c r="N6" s="512" t="s">
        <v>315</v>
      </c>
      <c r="O6" s="510" t="s">
        <v>174</v>
      </c>
      <c r="P6" s="512" t="s">
        <v>175</v>
      </c>
      <c r="Q6" s="510" t="s">
        <v>176</v>
      </c>
      <c r="R6" s="510" t="s">
        <v>177</v>
      </c>
      <c r="S6" s="510" t="s">
        <v>206</v>
      </c>
      <c r="T6" s="355" t="s">
        <v>189</v>
      </c>
      <c r="U6" s="355" t="s">
        <v>179</v>
      </c>
      <c r="V6" s="510" t="s">
        <v>190</v>
      </c>
      <c r="W6" s="356" t="s">
        <v>180</v>
      </c>
      <c r="X6" s="512" t="s">
        <v>316</v>
      </c>
    </row>
    <row r="7" spans="1:24" ht="21" customHeight="1">
      <c r="A7" s="357">
        <v>45352</v>
      </c>
      <c r="B7" s="500" t="s">
        <v>317</v>
      </c>
      <c r="C7" s="500"/>
      <c r="D7" s="415" t="s">
        <v>318</v>
      </c>
      <c r="E7" s="416">
        <f t="shared" ref="E7:E15" si="0">IFERROR(IF(S7&lt;&gt;"",W7*S7,""),"input error")</f>
        <v>24918.566775244297</v>
      </c>
      <c r="F7" s="500" t="s">
        <v>319</v>
      </c>
      <c r="G7" s="417">
        <f t="shared" ref="G7:G13" si="1">H7</f>
        <v>5529</v>
      </c>
      <c r="H7" s="417">
        <f>5529</f>
        <v>5529</v>
      </c>
      <c r="I7" s="370">
        <f>2.9077*G7/1000</f>
        <v>16.0766733</v>
      </c>
      <c r="J7" s="501">
        <f>0.7</f>
        <v>0.7</v>
      </c>
      <c r="K7" s="501">
        <f>0.9</f>
        <v>0.9</v>
      </c>
      <c r="L7" s="418">
        <f t="shared" ref="L7:L15" si="2">IFERROR(IF(I7&lt;&gt;"",(J7+K7)/(I7+J7+K7),""),"input error")</f>
        <v>9.0514768975223425E-2</v>
      </c>
      <c r="M7" s="383">
        <f t="shared" ref="M7:M70" si="3">IFERROR(IF(G7&lt;&gt;"",G7/E7,""),"input error")</f>
        <v>0.22188274509803924</v>
      </c>
      <c r="N7" s="500" t="s">
        <v>320</v>
      </c>
      <c r="O7" s="500">
        <v>1</v>
      </c>
      <c r="P7" s="501">
        <v>2.5</v>
      </c>
      <c r="Q7" s="501">
        <v>0</v>
      </c>
      <c r="R7" s="500">
        <f t="shared" ref="R7:R85" si="4">O7*P7-Q7</f>
        <v>2.5</v>
      </c>
      <c r="S7" s="380">
        <f>[2]押出工时ekstrusi!I6</f>
        <v>9967.4267100977195</v>
      </c>
      <c r="T7" s="419">
        <f t="shared" ref="T7:T15" si="5">IFERROR(IF(S7&lt;&gt;"",1/S7,""),"input error")</f>
        <v>1.0032679738562091E-4</v>
      </c>
      <c r="U7" s="419">
        <f t="shared" ref="U7:U15" si="6">IFERROR(IF(T7&lt;&gt;"",T7*G7,""),"input error")</f>
        <v>0.55470686274509806</v>
      </c>
      <c r="V7" s="362">
        <f t="shared" ref="V7:V15" si="7">IFERROR(IF(U7&lt;&gt;"",SUM(U7),""),"input error")</f>
        <v>0.55470686274509806</v>
      </c>
      <c r="W7" s="405">
        <f t="shared" ref="W7:W15" si="8">IFERROR(IF(R7&lt;&gt;"",R7*U7/V7,""),"input error")</f>
        <v>2.5</v>
      </c>
      <c r="X7" s="490" t="s">
        <v>321</v>
      </c>
    </row>
    <row r="8" spans="1:24" ht="21" customHeight="1">
      <c r="A8" s="357">
        <v>45352</v>
      </c>
      <c r="B8" s="500" t="s">
        <v>317</v>
      </c>
      <c r="C8" s="500"/>
      <c r="D8" s="415" t="s">
        <v>318</v>
      </c>
      <c r="E8" s="416">
        <f t="shared" si="0"/>
        <v>34885.99348534202</v>
      </c>
      <c r="F8" s="500" t="s">
        <v>319</v>
      </c>
      <c r="G8" s="417">
        <f t="shared" si="1"/>
        <v>24117</v>
      </c>
      <c r="H8" s="417">
        <f>24117</f>
        <v>24117</v>
      </c>
      <c r="I8" s="370">
        <f>2.9077*G8/1000</f>
        <v>70.125000900000003</v>
      </c>
      <c r="J8" s="501">
        <f>0.6</f>
        <v>0.6</v>
      </c>
      <c r="K8" s="501">
        <f>1</f>
        <v>1</v>
      </c>
      <c r="L8" s="418">
        <f t="shared" si="2"/>
        <v>2.23074239097012E-2</v>
      </c>
      <c r="M8" s="383">
        <f t="shared" si="3"/>
        <v>0.69130896358543414</v>
      </c>
      <c r="N8" s="500" t="s">
        <v>320</v>
      </c>
      <c r="O8" s="500">
        <v>1</v>
      </c>
      <c r="P8" s="501">
        <v>3.5</v>
      </c>
      <c r="Q8" s="501">
        <v>0</v>
      </c>
      <c r="R8" s="500">
        <f t="shared" si="4"/>
        <v>3.5</v>
      </c>
      <c r="S8" s="380">
        <f>[2]押出工时ekstrusi!I6</f>
        <v>9967.4267100977195</v>
      </c>
      <c r="T8" s="419">
        <f t="shared" si="5"/>
        <v>1.0032679738562091E-4</v>
      </c>
      <c r="U8" s="419">
        <f t="shared" si="6"/>
        <v>2.4195813725490196</v>
      </c>
      <c r="V8" s="362">
        <f t="shared" si="7"/>
        <v>2.4195813725490196</v>
      </c>
      <c r="W8" s="405">
        <f t="shared" si="8"/>
        <v>3.5000000000000004</v>
      </c>
      <c r="X8" s="490" t="s">
        <v>322</v>
      </c>
    </row>
    <row r="9" spans="1:24" ht="21" customHeight="1">
      <c r="A9" s="357">
        <v>45352</v>
      </c>
      <c r="B9" s="500" t="s">
        <v>317</v>
      </c>
      <c r="C9" s="500"/>
      <c r="D9" s="415" t="s">
        <v>318</v>
      </c>
      <c r="E9" s="416">
        <f t="shared" si="0"/>
        <v>49837.133550488594</v>
      </c>
      <c r="F9" s="500" t="s">
        <v>319</v>
      </c>
      <c r="G9" s="417">
        <f t="shared" si="1"/>
        <v>32556</v>
      </c>
      <c r="H9" s="417">
        <f>9256+23300</f>
        <v>32556</v>
      </c>
      <c r="I9" s="370">
        <f>1.2238*G9/1000</f>
        <v>39.842032799999998</v>
      </c>
      <c r="J9" s="501">
        <f>0.7+0.5</f>
        <v>1.2</v>
      </c>
      <c r="K9" s="501">
        <f>1.3+0.3</f>
        <v>1.6</v>
      </c>
      <c r="L9" s="418">
        <f t="shared" si="2"/>
        <v>6.5662910891996676E-2</v>
      </c>
      <c r="M9" s="383">
        <f t="shared" si="3"/>
        <v>0.65324784313725492</v>
      </c>
      <c r="N9" s="500" t="s">
        <v>323</v>
      </c>
      <c r="O9" s="500">
        <v>2</v>
      </c>
      <c r="P9" s="501">
        <v>2.5</v>
      </c>
      <c r="Q9" s="501">
        <v>0</v>
      </c>
      <c r="R9" s="500">
        <f t="shared" si="4"/>
        <v>5</v>
      </c>
      <c r="S9" s="380">
        <f>[2]押出工时ekstrusi!I6</f>
        <v>9967.4267100977195</v>
      </c>
      <c r="T9" s="419">
        <f t="shared" si="5"/>
        <v>1.0032679738562091E-4</v>
      </c>
      <c r="U9" s="419">
        <f t="shared" si="6"/>
        <v>3.2662392156862743</v>
      </c>
      <c r="V9" s="362">
        <f t="shared" si="7"/>
        <v>3.2662392156862743</v>
      </c>
      <c r="W9" s="405">
        <f t="shared" si="8"/>
        <v>5</v>
      </c>
      <c r="X9" s="490" t="s">
        <v>324</v>
      </c>
    </row>
    <row r="10" spans="1:24" ht="21" customHeight="1">
      <c r="A10" s="357">
        <v>45352</v>
      </c>
      <c r="B10" s="500" t="s">
        <v>317</v>
      </c>
      <c r="C10" s="500"/>
      <c r="D10" s="415" t="s">
        <v>318</v>
      </c>
      <c r="E10" s="416">
        <f t="shared" si="0"/>
        <v>39008.498583569395</v>
      </c>
      <c r="F10" s="500" t="s">
        <v>319</v>
      </c>
      <c r="G10" s="417">
        <f t="shared" si="1"/>
        <v>32437</v>
      </c>
      <c r="H10" s="417">
        <f>32437</f>
        <v>32437</v>
      </c>
      <c r="I10" s="370">
        <f>1.2245*G10/1000</f>
        <v>39.719106499999995</v>
      </c>
      <c r="J10" s="501">
        <f>0.3</f>
        <v>0.3</v>
      </c>
      <c r="K10" s="501">
        <f>0.7</f>
        <v>0.7</v>
      </c>
      <c r="L10" s="418">
        <f t="shared" si="2"/>
        <v>2.4558495653631301E-2</v>
      </c>
      <c r="M10" s="383">
        <f t="shared" si="3"/>
        <v>0.83153674655047227</v>
      </c>
      <c r="N10" s="500" t="s">
        <v>325</v>
      </c>
      <c r="O10" s="500">
        <v>1</v>
      </c>
      <c r="P10" s="501">
        <v>4.5</v>
      </c>
      <c r="Q10" s="501">
        <v>0</v>
      </c>
      <c r="R10" s="500">
        <f t="shared" si="4"/>
        <v>4.5</v>
      </c>
      <c r="S10" s="380">
        <f>[2]押出工时ekstrusi!I7</f>
        <v>8668.5552407931991</v>
      </c>
      <c r="T10" s="419">
        <f t="shared" si="5"/>
        <v>1.1535947712418304E-4</v>
      </c>
      <c r="U10" s="419">
        <f t="shared" si="6"/>
        <v>3.7419153594771251</v>
      </c>
      <c r="V10" s="362">
        <f t="shared" si="7"/>
        <v>3.7419153594771251</v>
      </c>
      <c r="W10" s="405">
        <f t="shared" si="8"/>
        <v>4.5</v>
      </c>
      <c r="X10" s="490" t="s">
        <v>326</v>
      </c>
    </row>
    <row r="11" spans="1:24" ht="21" customHeight="1">
      <c r="A11" s="357">
        <v>45352</v>
      </c>
      <c r="B11" s="500" t="s">
        <v>327</v>
      </c>
      <c r="C11" s="500"/>
      <c r="D11" s="500" t="s">
        <v>31</v>
      </c>
      <c r="E11" s="416">
        <f t="shared" si="0"/>
        <v>49837.133550488594</v>
      </c>
      <c r="F11" s="379" t="s">
        <v>32</v>
      </c>
      <c r="G11" s="417">
        <f t="shared" si="1"/>
        <v>43467</v>
      </c>
      <c r="H11" s="417">
        <f>43467</f>
        <v>43467</v>
      </c>
      <c r="I11" s="370">
        <f>3.6328*G11/1000</f>
        <v>157.90691760000001</v>
      </c>
      <c r="J11" s="501">
        <f>0.43</f>
        <v>0.43</v>
      </c>
      <c r="K11" s="501">
        <f>0.35</f>
        <v>0.35</v>
      </c>
      <c r="L11" s="418">
        <f t="shared" si="2"/>
        <v>4.9153390323336899E-3</v>
      </c>
      <c r="M11" s="383">
        <f t="shared" si="3"/>
        <v>0.87218098039215697</v>
      </c>
      <c r="N11" s="500" t="s">
        <v>328</v>
      </c>
      <c r="O11" s="500">
        <v>1</v>
      </c>
      <c r="P11" s="501">
        <v>5</v>
      </c>
      <c r="Q11" s="501">
        <v>0</v>
      </c>
      <c r="R11" s="500">
        <f t="shared" si="4"/>
        <v>5</v>
      </c>
      <c r="S11" s="380">
        <f>[2]押出工时ekstrusi!I6</f>
        <v>9967.4267100977195</v>
      </c>
      <c r="T11" s="419">
        <f t="shared" si="5"/>
        <v>1.0032679738562091E-4</v>
      </c>
      <c r="U11" s="419">
        <f t="shared" si="6"/>
        <v>4.360904901960784</v>
      </c>
      <c r="V11" s="362">
        <f t="shared" si="7"/>
        <v>4.360904901960784</v>
      </c>
      <c r="W11" s="405">
        <f t="shared" si="8"/>
        <v>5</v>
      </c>
      <c r="X11" s="490" t="s">
        <v>322</v>
      </c>
    </row>
    <row r="12" spans="1:24" ht="21" customHeight="1">
      <c r="A12" s="357">
        <v>45352</v>
      </c>
      <c r="B12" s="500" t="s">
        <v>327</v>
      </c>
      <c r="C12" s="500"/>
      <c r="D12" s="500" t="s">
        <v>31</v>
      </c>
      <c r="E12" s="416">
        <f t="shared" si="0"/>
        <v>52011.331444759198</v>
      </c>
      <c r="F12" s="379" t="s">
        <v>32</v>
      </c>
      <c r="G12" s="417">
        <f t="shared" si="1"/>
        <v>61455</v>
      </c>
      <c r="H12" s="417">
        <f>43902+17553</f>
        <v>61455</v>
      </c>
      <c r="I12" s="370">
        <f>3.6328*G12/1000</f>
        <v>223.25372399999998</v>
      </c>
      <c r="J12" s="501">
        <f>0.7+0.04</f>
        <v>0.74</v>
      </c>
      <c r="K12" s="501">
        <f>0.3+0.32</f>
        <v>0.62</v>
      </c>
      <c r="L12" s="418">
        <f t="shared" si="2"/>
        <v>6.0548392848871514E-3</v>
      </c>
      <c r="M12" s="383">
        <f t="shared" si="3"/>
        <v>1.1815694444444447</v>
      </c>
      <c r="N12" s="500" t="s">
        <v>329</v>
      </c>
      <c r="O12" s="500">
        <v>2</v>
      </c>
      <c r="P12" s="501">
        <v>3</v>
      </c>
      <c r="Q12" s="501">
        <v>0</v>
      </c>
      <c r="R12" s="500">
        <f t="shared" si="4"/>
        <v>6</v>
      </c>
      <c r="S12" s="380">
        <f>[2]押出工时ekstrusi!I7</f>
        <v>8668.5552407931991</v>
      </c>
      <c r="T12" s="419">
        <f t="shared" si="5"/>
        <v>1.1535947712418304E-4</v>
      </c>
      <c r="U12" s="419">
        <f t="shared" si="6"/>
        <v>7.0894166666666685</v>
      </c>
      <c r="V12" s="362">
        <f t="shared" si="7"/>
        <v>7.0894166666666685</v>
      </c>
      <c r="W12" s="405">
        <f t="shared" si="8"/>
        <v>6</v>
      </c>
      <c r="X12" s="490" t="s">
        <v>321</v>
      </c>
    </row>
    <row r="13" spans="1:24" ht="21" customHeight="1">
      <c r="A13" s="357">
        <v>45352</v>
      </c>
      <c r="B13" s="500" t="s">
        <v>327</v>
      </c>
      <c r="C13" s="500"/>
      <c r="D13" s="500" t="s">
        <v>446</v>
      </c>
      <c r="E13" s="416">
        <f t="shared" si="0"/>
        <v>39008.498583569395</v>
      </c>
      <c r="F13" s="379" t="s">
        <v>10</v>
      </c>
      <c r="G13" s="417">
        <f t="shared" si="1"/>
        <v>31353</v>
      </c>
      <c r="H13" s="417">
        <f>31353</f>
        <v>31353</v>
      </c>
      <c r="I13" s="370">
        <f>1.9381*G13/1000</f>
        <v>60.765249299999994</v>
      </c>
      <c r="J13" s="501">
        <f>1.124</f>
        <v>1.1240000000000001</v>
      </c>
      <c r="K13" s="501">
        <f>0.8</f>
        <v>0.8</v>
      </c>
      <c r="L13" s="418">
        <f t="shared" si="2"/>
        <v>3.0691067790470421E-2</v>
      </c>
      <c r="M13" s="383">
        <f t="shared" si="3"/>
        <v>0.80374793028322455</v>
      </c>
      <c r="N13" s="500" t="s">
        <v>330</v>
      </c>
      <c r="O13" s="500">
        <v>1</v>
      </c>
      <c r="P13" s="501">
        <v>4.5</v>
      </c>
      <c r="Q13" s="501">
        <v>0</v>
      </c>
      <c r="R13" s="500">
        <f t="shared" si="4"/>
        <v>4.5</v>
      </c>
      <c r="S13" s="380">
        <f>[2]押出工时ekstrusi!I7</f>
        <v>8668.5552407931991</v>
      </c>
      <c r="T13" s="419">
        <f t="shared" si="5"/>
        <v>1.1535947712418304E-4</v>
      </c>
      <c r="U13" s="419">
        <f t="shared" si="6"/>
        <v>3.6168656862745108</v>
      </c>
      <c r="V13" s="362">
        <f t="shared" si="7"/>
        <v>3.6168656862745108</v>
      </c>
      <c r="W13" s="405">
        <f t="shared" si="8"/>
        <v>4.5</v>
      </c>
      <c r="X13" s="490" t="s">
        <v>322</v>
      </c>
    </row>
    <row r="14" spans="1:24" ht="21" customHeight="1">
      <c r="A14" s="357">
        <v>45352</v>
      </c>
      <c r="B14" s="500" t="s">
        <v>331</v>
      </c>
      <c r="C14" s="500">
        <v>20240122002</v>
      </c>
      <c r="D14" s="500" t="s">
        <v>446</v>
      </c>
      <c r="E14" s="416">
        <f t="shared" si="0"/>
        <v>11709.183673469386</v>
      </c>
      <c r="F14" s="379" t="s">
        <v>10</v>
      </c>
      <c r="G14" s="420">
        <f>1.59*H14</f>
        <v>12430.62</v>
      </c>
      <c r="H14" s="421">
        <f>7818</f>
        <v>7818</v>
      </c>
      <c r="I14" s="370">
        <f>20.1406*G14/1000</f>
        <v>250.36014517200002</v>
      </c>
      <c r="J14" s="367">
        <f>5.35</f>
        <v>5.35</v>
      </c>
      <c r="K14" s="367">
        <f>0.95</f>
        <v>0.95</v>
      </c>
      <c r="L14" s="418">
        <f t="shared" si="2"/>
        <v>2.4546078222538504E-2</v>
      </c>
      <c r="M14" s="383">
        <f t="shared" si="3"/>
        <v>1.0616128627450983</v>
      </c>
      <c r="N14" s="500" t="s">
        <v>332</v>
      </c>
      <c r="O14" s="500">
        <v>1</v>
      </c>
      <c r="P14" s="501">
        <v>4.5</v>
      </c>
      <c r="Q14" s="501">
        <v>0</v>
      </c>
      <c r="R14" s="500">
        <f t="shared" si="4"/>
        <v>4.5</v>
      </c>
      <c r="S14" s="380">
        <f>[2]押出工时ekstrusi!I27</f>
        <v>2602.0408163265301</v>
      </c>
      <c r="T14" s="419">
        <f t="shared" si="5"/>
        <v>3.8431372549019614E-4</v>
      </c>
      <c r="U14" s="419">
        <f t="shared" si="6"/>
        <v>4.7772578823529424</v>
      </c>
      <c r="V14" s="362">
        <f t="shared" si="7"/>
        <v>4.7772578823529424</v>
      </c>
      <c r="W14" s="405">
        <f t="shared" si="8"/>
        <v>4.5</v>
      </c>
      <c r="X14" s="490"/>
    </row>
    <row r="15" spans="1:24" ht="21" customHeight="1">
      <c r="A15" s="357">
        <v>45352</v>
      </c>
      <c r="B15" s="500" t="s">
        <v>331</v>
      </c>
      <c r="C15" s="490"/>
      <c r="D15" s="415" t="s">
        <v>318</v>
      </c>
      <c r="E15" s="416">
        <f t="shared" si="0"/>
        <v>8668.5552407931991</v>
      </c>
      <c r="F15" s="500" t="s">
        <v>319</v>
      </c>
      <c r="G15" s="417">
        <f>1.82*H15</f>
        <v>11011</v>
      </c>
      <c r="H15" s="421">
        <f>6050</f>
        <v>6050</v>
      </c>
      <c r="I15" s="370">
        <f>26.744*G15/1000</f>
        <v>294.478184</v>
      </c>
      <c r="J15" s="501">
        <f>4.6</f>
        <v>4.5999999999999996</v>
      </c>
      <c r="K15" s="501">
        <f>6.7</f>
        <v>6.7</v>
      </c>
      <c r="L15" s="418">
        <f t="shared" si="2"/>
        <v>3.6954892766319788E-2</v>
      </c>
      <c r="M15" s="383">
        <f t="shared" si="3"/>
        <v>1.2702232026143794</v>
      </c>
      <c r="N15" s="500" t="s">
        <v>181</v>
      </c>
      <c r="O15" s="500">
        <v>1</v>
      </c>
      <c r="P15" s="501">
        <v>4</v>
      </c>
      <c r="Q15" s="501">
        <v>0</v>
      </c>
      <c r="R15" s="500">
        <f t="shared" si="4"/>
        <v>4</v>
      </c>
      <c r="S15" s="380">
        <f>[2]押出工时ekstrusi!I28</f>
        <v>2167.1388101982998</v>
      </c>
      <c r="T15" s="419">
        <f t="shared" si="5"/>
        <v>4.6143790849673214E-4</v>
      </c>
      <c r="U15" s="419">
        <f t="shared" si="6"/>
        <v>5.0808928104575175</v>
      </c>
      <c r="V15" s="362">
        <f t="shared" si="7"/>
        <v>5.0808928104575175</v>
      </c>
      <c r="W15" s="405">
        <f t="shared" si="8"/>
        <v>4</v>
      </c>
      <c r="X15" s="422"/>
    </row>
    <row r="16" spans="1:24" ht="21" customHeight="1">
      <c r="A16" s="357"/>
      <c r="B16" s="500"/>
      <c r="C16" s="490"/>
      <c r="D16" s="415"/>
      <c r="E16" s="416"/>
      <c r="F16" s="500"/>
      <c r="G16" s="417"/>
      <c r="H16" s="421"/>
      <c r="I16" s="370"/>
      <c r="J16" s="501"/>
      <c r="K16" s="501"/>
      <c r="L16" s="418"/>
      <c r="M16" s="383" t="str">
        <f t="shared" si="3"/>
        <v/>
      </c>
      <c r="N16" s="500"/>
      <c r="O16" s="500"/>
      <c r="P16" s="501"/>
      <c r="Q16" s="501"/>
      <c r="R16" s="500"/>
      <c r="S16" s="380"/>
      <c r="T16" s="419"/>
      <c r="U16" s="419"/>
      <c r="V16" s="362"/>
      <c r="W16" s="405"/>
      <c r="X16" s="422"/>
    </row>
    <row r="17" spans="1:24" ht="21" customHeight="1">
      <c r="A17" s="357">
        <v>45353</v>
      </c>
      <c r="B17" s="500" t="s">
        <v>317</v>
      </c>
      <c r="C17" s="490"/>
      <c r="D17" s="501" t="s">
        <v>226</v>
      </c>
      <c r="E17" s="416">
        <f t="shared" ref="E17:E20" si="9">IFERROR(IF(S17&lt;&gt;"",W17*S17,""),"input error")</f>
        <v>69348.441926345593</v>
      </c>
      <c r="F17" s="500" t="s">
        <v>50</v>
      </c>
      <c r="G17" s="417">
        <f t="shared" ref="G17:G19" si="10">H17</f>
        <v>58919</v>
      </c>
      <c r="H17" s="417">
        <f>34090+24829</f>
        <v>58919</v>
      </c>
      <c r="I17" s="370">
        <f>3.3514*G17/1000</f>
        <v>197.4611366</v>
      </c>
      <c r="J17" s="501">
        <f>0.8+0.2</f>
        <v>1</v>
      </c>
      <c r="K17" s="501">
        <f>0.5+0.6</f>
        <v>1.1000000000000001</v>
      </c>
      <c r="L17" s="418">
        <f t="shared" ref="L17:L20" si="11">IFERROR(IF(I17&lt;&gt;"",(J17+K17)/(I17+J17+K17),""),"input error")</f>
        <v>1.0523090997468293E-2</v>
      </c>
      <c r="M17" s="383">
        <f t="shared" si="3"/>
        <v>0.84960812908496752</v>
      </c>
      <c r="N17" s="500" t="s">
        <v>333</v>
      </c>
      <c r="O17" s="500">
        <v>2</v>
      </c>
      <c r="P17" s="501">
        <v>4</v>
      </c>
      <c r="Q17" s="501">
        <v>0</v>
      </c>
      <c r="R17" s="500">
        <f t="shared" si="4"/>
        <v>8</v>
      </c>
      <c r="S17" s="380">
        <f>[2]押出工时ekstrusi!I7</f>
        <v>8668.5552407931991</v>
      </c>
      <c r="T17" s="419">
        <f t="shared" ref="T17:T20" si="12">IFERROR(IF(S17&lt;&gt;"",1/S17,""),"input error")</f>
        <v>1.1535947712418304E-4</v>
      </c>
      <c r="U17" s="419">
        <f t="shared" ref="U17:U20" si="13">IFERROR(IF(T17&lt;&gt;"",T17*G17,""),"input error")</f>
        <v>6.7968650326797402</v>
      </c>
      <c r="V17" s="362">
        <f t="shared" ref="V17:V20" si="14">IFERROR(IF(U17&lt;&gt;"",SUM(U17),""),"input error")</f>
        <v>6.7968650326797402</v>
      </c>
      <c r="W17" s="405">
        <f t="shared" ref="W17:W20" si="15">IFERROR(IF(R17&lt;&gt;"",R17*U17/V17,""),"input error")</f>
        <v>8</v>
      </c>
      <c r="X17" s="490" t="s">
        <v>324</v>
      </c>
    </row>
    <row r="18" spans="1:24" ht="21" customHeight="1">
      <c r="A18" s="357">
        <v>45353</v>
      </c>
      <c r="B18" s="500" t="s">
        <v>327</v>
      </c>
      <c r="C18" s="490"/>
      <c r="D18" s="500" t="s">
        <v>31</v>
      </c>
      <c r="E18" s="416">
        <f t="shared" si="9"/>
        <v>39869.706840390878</v>
      </c>
      <c r="F18" s="379" t="s">
        <v>32</v>
      </c>
      <c r="G18" s="417">
        <f t="shared" si="10"/>
        <v>41340</v>
      </c>
      <c r="H18" s="417">
        <f>29860+11480</f>
        <v>41340</v>
      </c>
      <c r="I18" s="370">
        <f>0.7593*G18/1000</f>
        <v>31.389461999999998</v>
      </c>
      <c r="J18" s="501">
        <f>0.4+0.35</f>
        <v>0.75</v>
      </c>
      <c r="K18" s="501">
        <f>0.1+0.74</f>
        <v>0.84</v>
      </c>
      <c r="L18" s="418">
        <f t="shared" si="11"/>
        <v>4.8211823467587192E-2</v>
      </c>
      <c r="M18" s="383">
        <f t="shared" si="3"/>
        <v>1.0368774509803922</v>
      </c>
      <c r="N18" s="500" t="s">
        <v>329</v>
      </c>
      <c r="O18" s="500">
        <v>2</v>
      </c>
      <c r="P18" s="501">
        <v>2</v>
      </c>
      <c r="Q18" s="501">
        <v>0</v>
      </c>
      <c r="R18" s="500">
        <f t="shared" si="4"/>
        <v>4</v>
      </c>
      <c r="S18" s="380">
        <f>[2]押出工时ekstrusi!I6</f>
        <v>9967.4267100977195</v>
      </c>
      <c r="T18" s="419">
        <f t="shared" si="12"/>
        <v>1.0032679738562091E-4</v>
      </c>
      <c r="U18" s="419">
        <f t="shared" si="13"/>
        <v>4.1475098039215688</v>
      </c>
      <c r="V18" s="362">
        <f t="shared" si="14"/>
        <v>4.1475098039215688</v>
      </c>
      <c r="W18" s="405">
        <f t="shared" si="15"/>
        <v>4</v>
      </c>
      <c r="X18" s="493" t="s">
        <v>334</v>
      </c>
    </row>
    <row r="19" spans="1:24" ht="21" customHeight="1">
      <c r="A19" s="357">
        <v>45353</v>
      </c>
      <c r="B19" s="500" t="s">
        <v>327</v>
      </c>
      <c r="C19" s="490"/>
      <c r="D19" s="500" t="s">
        <v>446</v>
      </c>
      <c r="E19" s="416">
        <f t="shared" si="9"/>
        <v>43342.776203965994</v>
      </c>
      <c r="F19" s="379" t="s">
        <v>10</v>
      </c>
      <c r="G19" s="417">
        <f t="shared" si="10"/>
        <v>48753</v>
      </c>
      <c r="H19" s="417">
        <f>31895+16858</f>
        <v>48753</v>
      </c>
      <c r="I19" s="370">
        <f>1.9381*G19/1000</f>
        <v>94.488189300000002</v>
      </c>
      <c r="J19" s="501">
        <f>0.35+0.23</f>
        <v>0.57999999999999996</v>
      </c>
      <c r="K19" s="501">
        <f>0.1+0.5</f>
        <v>0.6</v>
      </c>
      <c r="L19" s="418">
        <f t="shared" si="11"/>
        <v>1.2334298460481053E-2</v>
      </c>
      <c r="M19" s="383">
        <f t="shared" si="3"/>
        <v>1.124824117647059</v>
      </c>
      <c r="N19" s="500" t="s">
        <v>335</v>
      </c>
      <c r="O19" s="500">
        <v>2</v>
      </c>
      <c r="P19" s="501">
        <v>2.5</v>
      </c>
      <c r="Q19" s="501">
        <v>0</v>
      </c>
      <c r="R19" s="500">
        <f t="shared" si="4"/>
        <v>5</v>
      </c>
      <c r="S19" s="380">
        <f>[2]押出工时ekstrusi!I7</f>
        <v>8668.5552407931991</v>
      </c>
      <c r="T19" s="419">
        <f t="shared" si="12"/>
        <v>1.1535947712418304E-4</v>
      </c>
      <c r="U19" s="419">
        <f t="shared" si="13"/>
        <v>5.6241205882352956</v>
      </c>
      <c r="V19" s="362">
        <f t="shared" si="14"/>
        <v>5.6241205882352956</v>
      </c>
      <c r="W19" s="405">
        <f t="shared" si="15"/>
        <v>5</v>
      </c>
      <c r="X19" s="490" t="s">
        <v>324</v>
      </c>
    </row>
    <row r="20" spans="1:24" ht="21" customHeight="1">
      <c r="A20" s="357">
        <v>45353</v>
      </c>
      <c r="B20" s="500" t="s">
        <v>336</v>
      </c>
      <c r="C20" s="490">
        <v>20240111008</v>
      </c>
      <c r="D20" s="500" t="s">
        <v>49</v>
      </c>
      <c r="E20" s="416">
        <f t="shared" si="9"/>
        <v>27755.10204081632</v>
      </c>
      <c r="F20" s="374" t="s">
        <v>337</v>
      </c>
      <c r="G20" s="417">
        <f>1.56*H20</f>
        <v>30516.720000000001</v>
      </c>
      <c r="H20" s="421">
        <f>10962+8600</f>
        <v>19562</v>
      </c>
      <c r="I20" s="370">
        <f>10.6615*G20/1000</f>
        <v>325.35401028000007</v>
      </c>
      <c r="J20" s="501">
        <f>0.45+1.4</f>
        <v>1.8499999999999999</v>
      </c>
      <c r="K20" s="501">
        <f>1.3+1.5</f>
        <v>2.8</v>
      </c>
      <c r="L20" s="418">
        <f t="shared" si="11"/>
        <v>1.4090737855138764E-2</v>
      </c>
      <c r="M20" s="383">
        <f t="shared" si="3"/>
        <v>1.0994994705882355</v>
      </c>
      <c r="N20" s="500" t="s">
        <v>338</v>
      </c>
      <c r="O20" s="500">
        <v>2</v>
      </c>
      <c r="P20" s="501">
        <v>4</v>
      </c>
      <c r="Q20" s="501">
        <v>0</v>
      </c>
      <c r="R20" s="500">
        <f t="shared" si="4"/>
        <v>8</v>
      </c>
      <c r="S20" s="380">
        <f>[2]押出工时ekstrusi!I19</f>
        <v>3469.38775510204</v>
      </c>
      <c r="T20" s="419">
        <f t="shared" si="12"/>
        <v>2.8823529411764714E-4</v>
      </c>
      <c r="U20" s="419">
        <f t="shared" si="13"/>
        <v>8.7959957647058857</v>
      </c>
      <c r="V20" s="362">
        <f t="shared" si="14"/>
        <v>8.7959957647058857</v>
      </c>
      <c r="W20" s="405">
        <f t="shared" si="15"/>
        <v>8</v>
      </c>
      <c r="X20" s="422"/>
    </row>
    <row r="21" spans="1:24" ht="21" customHeight="1">
      <c r="A21" s="357"/>
      <c r="B21" s="500"/>
      <c r="C21" s="490"/>
      <c r="D21" s="500"/>
      <c r="E21" s="416"/>
      <c r="F21" s="374"/>
      <c r="G21" s="417"/>
      <c r="H21" s="421"/>
      <c r="I21" s="370"/>
      <c r="J21" s="501"/>
      <c r="K21" s="501"/>
      <c r="L21" s="418"/>
      <c r="M21" s="383" t="str">
        <f t="shared" si="3"/>
        <v/>
      </c>
      <c r="N21" s="500"/>
      <c r="O21" s="500"/>
      <c r="P21" s="501"/>
      <c r="Q21" s="501"/>
      <c r="R21" s="500"/>
      <c r="S21" s="380"/>
      <c r="T21" s="419"/>
      <c r="U21" s="419"/>
      <c r="V21" s="362"/>
      <c r="W21" s="405"/>
      <c r="X21" s="422"/>
    </row>
    <row r="22" spans="1:24" ht="21" customHeight="1">
      <c r="A22" s="357">
        <v>45355</v>
      </c>
      <c r="B22" s="500" t="s">
        <v>317</v>
      </c>
      <c r="C22" s="490"/>
      <c r="D22" s="415" t="s">
        <v>318</v>
      </c>
      <c r="E22" s="416">
        <f t="shared" ref="E22:E28" si="16">IFERROR(IF(S22&lt;&gt;"",W22*S22,""),"input error")</f>
        <v>52011.331444759198</v>
      </c>
      <c r="F22" s="500" t="s">
        <v>319</v>
      </c>
      <c r="G22" s="417">
        <f t="shared" ref="G22:G25" si="17">H22</f>
        <v>43398</v>
      </c>
      <c r="H22" s="417">
        <f>36245+7153</f>
        <v>43398</v>
      </c>
      <c r="I22" s="370">
        <f>1.2238*G22/1000</f>
        <v>53.110472399999999</v>
      </c>
      <c r="J22" s="501">
        <f>0.3+1</f>
        <v>1.3</v>
      </c>
      <c r="K22" s="501">
        <f>0.1+1</f>
        <v>1.1000000000000001</v>
      </c>
      <c r="L22" s="418">
        <f t="shared" ref="L22:L28" si="18">IFERROR(IF(I22&lt;&gt;"",(J22+K22)/(I22+J22+K22),""),"input error")</f>
        <v>4.3235085133233354E-2</v>
      </c>
      <c r="M22" s="383">
        <f t="shared" si="3"/>
        <v>0.83439509803921585</v>
      </c>
      <c r="N22" s="500" t="s">
        <v>339</v>
      </c>
      <c r="O22" s="500">
        <v>2</v>
      </c>
      <c r="P22" s="501">
        <v>3</v>
      </c>
      <c r="Q22" s="501">
        <v>0</v>
      </c>
      <c r="R22" s="500">
        <f t="shared" si="4"/>
        <v>6</v>
      </c>
      <c r="S22" s="380">
        <f>[2]押出工时ekstrusi!I7</f>
        <v>8668.5552407931991</v>
      </c>
      <c r="T22" s="419">
        <f t="shared" ref="T22:T28" si="19">IFERROR(IF(S22&lt;&gt;"",1/S22,""),"input error")</f>
        <v>1.1535947712418304E-4</v>
      </c>
      <c r="U22" s="419">
        <f t="shared" ref="U22:U28" si="20">IFERROR(IF(T22&lt;&gt;"",T22*G22,""),"input error")</f>
        <v>5.0063705882352956</v>
      </c>
      <c r="V22" s="362">
        <f t="shared" ref="V22:V28" si="21">IFERROR(IF(U22&lt;&gt;"",SUM(U22),""),"input error")</f>
        <v>5.0063705882352956</v>
      </c>
      <c r="W22" s="405">
        <f t="shared" ref="W22:W28" si="22">IFERROR(IF(R22&lt;&gt;"",R22*U22/V22,""),"input error")</f>
        <v>6</v>
      </c>
      <c r="X22" s="490" t="s">
        <v>324</v>
      </c>
    </row>
    <row r="23" spans="1:24" ht="21" customHeight="1">
      <c r="A23" s="357">
        <v>45355</v>
      </c>
      <c r="B23" s="500" t="s">
        <v>317</v>
      </c>
      <c r="C23" s="490"/>
      <c r="D23" s="415" t="s">
        <v>340</v>
      </c>
      <c r="E23" s="416">
        <f t="shared" si="16"/>
        <v>43342.776203965994</v>
      </c>
      <c r="F23" s="500" t="s">
        <v>341</v>
      </c>
      <c r="G23" s="417">
        <f t="shared" si="17"/>
        <v>18970</v>
      </c>
      <c r="H23" s="417">
        <f>18970</f>
        <v>18970</v>
      </c>
      <c r="I23" s="370">
        <f>1.2238*G23/1000</f>
        <v>23.215486000000002</v>
      </c>
      <c r="J23" s="501">
        <f>1</f>
        <v>1</v>
      </c>
      <c r="K23" s="501">
        <f>1.5</f>
        <v>1.5</v>
      </c>
      <c r="L23" s="418">
        <f t="shared" si="18"/>
        <v>9.7217684316757605E-2</v>
      </c>
      <c r="M23" s="383">
        <f t="shared" si="3"/>
        <v>0.43767385620915045</v>
      </c>
      <c r="N23" s="500" t="s">
        <v>320</v>
      </c>
      <c r="O23" s="500">
        <v>1</v>
      </c>
      <c r="P23" s="501">
        <v>5</v>
      </c>
      <c r="Q23" s="501">
        <v>0</v>
      </c>
      <c r="R23" s="500">
        <f t="shared" si="4"/>
        <v>5</v>
      </c>
      <c r="S23" s="380">
        <f>[2]押出工时ekstrusi!I7</f>
        <v>8668.5552407931991</v>
      </c>
      <c r="T23" s="419">
        <f t="shared" si="19"/>
        <v>1.1535947712418304E-4</v>
      </c>
      <c r="U23" s="419">
        <f t="shared" si="20"/>
        <v>2.1883692810457522</v>
      </c>
      <c r="V23" s="362">
        <f t="shared" si="21"/>
        <v>2.1883692810457522</v>
      </c>
      <c r="W23" s="405">
        <f t="shared" si="22"/>
        <v>5</v>
      </c>
      <c r="X23" s="490" t="s">
        <v>321</v>
      </c>
    </row>
    <row r="24" spans="1:24" ht="21" customHeight="1">
      <c r="A24" s="357">
        <v>45355</v>
      </c>
      <c r="B24" s="500" t="s">
        <v>327</v>
      </c>
      <c r="C24" s="490"/>
      <c r="D24" s="500" t="s">
        <v>446</v>
      </c>
      <c r="E24" s="416">
        <f t="shared" si="16"/>
        <v>156033.99433427758</v>
      </c>
      <c r="F24" s="379" t="s">
        <v>10</v>
      </c>
      <c r="G24" s="417">
        <f t="shared" si="17"/>
        <v>147887</v>
      </c>
      <c r="H24" s="417">
        <f>45519+83790+18578</f>
        <v>147887</v>
      </c>
      <c r="I24" s="370">
        <f>1.9381*G24/1000</f>
        <v>286.61979469999994</v>
      </c>
      <c r="J24" s="501">
        <f>1.1+0.9+0.2</f>
        <v>2.2000000000000002</v>
      </c>
      <c r="K24" s="501">
        <f>0.13+0.1+0.4</f>
        <v>0.63</v>
      </c>
      <c r="L24" s="418">
        <f t="shared" si="18"/>
        <v>9.7771705208260801E-3</v>
      </c>
      <c r="M24" s="383">
        <f t="shared" si="3"/>
        <v>0.94778705519244755</v>
      </c>
      <c r="N24" s="500" t="s">
        <v>329</v>
      </c>
      <c r="O24" s="500">
        <v>3</v>
      </c>
      <c r="P24" s="501">
        <v>6</v>
      </c>
      <c r="Q24" s="501">
        <v>0</v>
      </c>
      <c r="R24" s="500">
        <f t="shared" si="4"/>
        <v>18</v>
      </c>
      <c r="S24" s="380">
        <f>[2]押出工时ekstrusi!I7</f>
        <v>8668.5552407931991</v>
      </c>
      <c r="T24" s="419">
        <f t="shared" si="19"/>
        <v>1.1535947712418304E-4</v>
      </c>
      <c r="U24" s="419">
        <f t="shared" si="20"/>
        <v>17.060166993464058</v>
      </c>
      <c r="V24" s="362">
        <f t="shared" si="21"/>
        <v>17.060166993464058</v>
      </c>
      <c r="W24" s="405">
        <f t="shared" si="22"/>
        <v>18</v>
      </c>
      <c r="X24" s="490" t="s">
        <v>322</v>
      </c>
    </row>
    <row r="25" spans="1:24" ht="21" customHeight="1">
      <c r="A25" s="357">
        <v>45355</v>
      </c>
      <c r="B25" s="500" t="s">
        <v>327</v>
      </c>
      <c r="C25" s="490"/>
      <c r="D25" s="500" t="s">
        <v>31</v>
      </c>
      <c r="E25" s="416">
        <f t="shared" si="16"/>
        <v>34674.220963172796</v>
      </c>
      <c r="F25" s="379" t="s">
        <v>32</v>
      </c>
      <c r="G25" s="417">
        <f t="shared" si="17"/>
        <v>34445</v>
      </c>
      <c r="H25" s="417">
        <f>34445</f>
        <v>34445</v>
      </c>
      <c r="I25" s="370">
        <f>0.7593*G25/1000</f>
        <v>26.154088499999997</v>
      </c>
      <c r="J25" s="501">
        <f>0.19</f>
        <v>0.19</v>
      </c>
      <c r="K25" s="501">
        <f>0.5</f>
        <v>0.5</v>
      </c>
      <c r="L25" s="418">
        <f t="shared" si="18"/>
        <v>2.5703983206581963E-2</v>
      </c>
      <c r="M25" s="383">
        <f t="shared" si="3"/>
        <v>0.9933892973856211</v>
      </c>
      <c r="N25" s="500" t="s">
        <v>328</v>
      </c>
      <c r="O25" s="500">
        <v>1</v>
      </c>
      <c r="P25" s="501">
        <v>4</v>
      </c>
      <c r="Q25" s="501">
        <v>0</v>
      </c>
      <c r="R25" s="500">
        <f t="shared" si="4"/>
        <v>4</v>
      </c>
      <c r="S25" s="380">
        <f>[2]押出工时ekstrusi!I7</f>
        <v>8668.5552407931991</v>
      </c>
      <c r="T25" s="419">
        <f t="shared" si="19"/>
        <v>1.1535947712418304E-4</v>
      </c>
      <c r="U25" s="419">
        <f t="shared" si="20"/>
        <v>3.9735571895424848</v>
      </c>
      <c r="V25" s="362">
        <f t="shared" si="21"/>
        <v>3.9735571895424848</v>
      </c>
      <c r="W25" s="405">
        <f t="shared" si="22"/>
        <v>4</v>
      </c>
      <c r="X25" s="493" t="s">
        <v>334</v>
      </c>
    </row>
    <row r="26" spans="1:24" ht="21" customHeight="1">
      <c r="A26" s="357">
        <v>45355</v>
      </c>
      <c r="B26" s="500" t="s">
        <v>336</v>
      </c>
      <c r="C26" s="490">
        <v>2240207005</v>
      </c>
      <c r="D26" s="500" t="s">
        <v>31</v>
      </c>
      <c r="E26" s="416">
        <f t="shared" si="16"/>
        <v>21671.388101982997</v>
      </c>
      <c r="F26" s="379" t="s">
        <v>32</v>
      </c>
      <c r="G26" s="420">
        <f>1.275*H26</f>
        <v>20411.474999999999</v>
      </c>
      <c r="H26" s="421">
        <f>13323+2686</f>
        <v>16009</v>
      </c>
      <c r="I26" s="370">
        <f>18.008*G26/1000</f>
        <v>367.56984179999995</v>
      </c>
      <c r="J26" s="501">
        <f>1.5+0.35</f>
        <v>1.85</v>
      </c>
      <c r="K26" s="501">
        <f>0.5+0.2</f>
        <v>0.7</v>
      </c>
      <c r="L26" s="418">
        <f t="shared" si="18"/>
        <v>6.8896603532483192E-3</v>
      </c>
      <c r="M26" s="383">
        <f t="shared" si="3"/>
        <v>0.94186283333333354</v>
      </c>
      <c r="N26" s="500" t="s">
        <v>338</v>
      </c>
      <c r="O26" s="500">
        <v>2</v>
      </c>
      <c r="P26" s="501">
        <v>5</v>
      </c>
      <c r="Q26" s="501">
        <v>0</v>
      </c>
      <c r="R26" s="500">
        <f t="shared" si="4"/>
        <v>10</v>
      </c>
      <c r="S26" s="380">
        <f>[2]押出工时ekstrusi!I20</f>
        <v>2167.1388101982998</v>
      </c>
      <c r="T26" s="419">
        <f t="shared" si="19"/>
        <v>4.6143790849673214E-4</v>
      </c>
      <c r="U26" s="419">
        <f t="shared" si="20"/>
        <v>9.4186283333333343</v>
      </c>
      <c r="V26" s="362">
        <f t="shared" si="21"/>
        <v>9.4186283333333343</v>
      </c>
      <c r="W26" s="405">
        <f t="shared" si="22"/>
        <v>10</v>
      </c>
      <c r="X26" s="422"/>
    </row>
    <row r="27" spans="1:24" ht="21" customHeight="1">
      <c r="A27" s="357">
        <v>45355</v>
      </c>
      <c r="B27" s="500" t="s">
        <v>336</v>
      </c>
      <c r="C27" s="490">
        <v>20240115001</v>
      </c>
      <c r="D27" s="500" t="s">
        <v>31</v>
      </c>
      <c r="E27" s="416">
        <f t="shared" si="16"/>
        <v>6501.4164305948998</v>
      </c>
      <c r="F27" s="379" t="s">
        <v>32</v>
      </c>
      <c r="G27" s="420">
        <f>1.275*H27</f>
        <v>7285.3499999999995</v>
      </c>
      <c r="H27" s="421">
        <f>5714</f>
        <v>5714</v>
      </c>
      <c r="I27" s="370">
        <f>18.008*G27/1000</f>
        <v>131.19458279999998</v>
      </c>
      <c r="J27" s="501">
        <f>1.75</f>
        <v>1.75</v>
      </c>
      <c r="K27" s="501">
        <f>1</f>
        <v>1</v>
      </c>
      <c r="L27" s="418">
        <f t="shared" si="18"/>
        <v>2.0530878834466759E-2</v>
      </c>
      <c r="M27" s="383">
        <f t="shared" si="3"/>
        <v>1.120578888888889</v>
      </c>
      <c r="N27" s="500" t="s">
        <v>342</v>
      </c>
      <c r="O27" s="500">
        <v>1</v>
      </c>
      <c r="P27" s="501">
        <v>3</v>
      </c>
      <c r="Q27" s="501">
        <v>0</v>
      </c>
      <c r="R27" s="500">
        <f t="shared" si="4"/>
        <v>3</v>
      </c>
      <c r="S27" s="380">
        <f>[2]押出工时ekstrusi!I20</f>
        <v>2167.1388101982998</v>
      </c>
      <c r="T27" s="419">
        <f t="shared" si="19"/>
        <v>4.6143790849673214E-4</v>
      </c>
      <c r="U27" s="419">
        <f t="shared" si="20"/>
        <v>3.3617366666666673</v>
      </c>
      <c r="V27" s="362">
        <f t="shared" si="21"/>
        <v>3.3617366666666673</v>
      </c>
      <c r="W27" s="405">
        <f t="shared" si="22"/>
        <v>3</v>
      </c>
      <c r="X27" s="422"/>
    </row>
    <row r="28" spans="1:24" ht="21" customHeight="1">
      <c r="A28" s="357">
        <v>45355</v>
      </c>
      <c r="B28" s="500" t="s">
        <v>331</v>
      </c>
      <c r="C28" s="500">
        <v>20240122002</v>
      </c>
      <c r="D28" s="500" t="s">
        <v>446</v>
      </c>
      <c r="E28" s="416">
        <f t="shared" si="16"/>
        <v>36428.57142857142</v>
      </c>
      <c r="F28" s="379" t="s">
        <v>10</v>
      </c>
      <c r="G28" s="420">
        <f>1.59*H28</f>
        <v>35646.21</v>
      </c>
      <c r="H28" s="421">
        <f>10669+11750</f>
        <v>22419</v>
      </c>
      <c r="I28" s="370">
        <f>20.1406*G28/1000</f>
        <v>717.93605712599992</v>
      </c>
      <c r="J28" s="501">
        <f>4+2.15</f>
        <v>6.15</v>
      </c>
      <c r="K28" s="501">
        <f>2.3+2.05</f>
        <v>4.3499999999999996</v>
      </c>
      <c r="L28" s="418">
        <f t="shared" si="18"/>
        <v>1.4414442966246221E-2</v>
      </c>
      <c r="M28" s="383">
        <f t="shared" si="3"/>
        <v>0.97852341176470603</v>
      </c>
      <c r="N28" s="500" t="s">
        <v>181</v>
      </c>
      <c r="O28" s="500">
        <v>2</v>
      </c>
      <c r="P28" s="501">
        <v>7</v>
      </c>
      <c r="Q28" s="501">
        <v>0</v>
      </c>
      <c r="R28" s="500">
        <f t="shared" si="4"/>
        <v>14</v>
      </c>
      <c r="S28" s="380">
        <f>[2]押出工时ekstrusi!I27</f>
        <v>2602.0408163265301</v>
      </c>
      <c r="T28" s="419">
        <f t="shared" si="19"/>
        <v>3.8431372549019614E-4</v>
      </c>
      <c r="U28" s="419">
        <f t="shared" si="20"/>
        <v>13.699327764705885</v>
      </c>
      <c r="V28" s="362">
        <f t="shared" si="21"/>
        <v>13.699327764705885</v>
      </c>
      <c r="W28" s="405">
        <f t="shared" si="22"/>
        <v>14</v>
      </c>
      <c r="X28" s="422"/>
    </row>
    <row r="29" spans="1:24" ht="21" customHeight="1">
      <c r="A29" s="357"/>
      <c r="B29" s="500"/>
      <c r="C29" s="500"/>
      <c r="D29" s="500"/>
      <c r="E29" s="416"/>
      <c r="F29" s="379"/>
      <c r="G29" s="420"/>
      <c r="H29" s="421"/>
      <c r="I29" s="370"/>
      <c r="J29" s="501"/>
      <c r="K29" s="501"/>
      <c r="L29" s="418"/>
      <c r="M29" s="383" t="str">
        <f t="shared" si="3"/>
        <v/>
      </c>
      <c r="N29" s="500"/>
      <c r="O29" s="500"/>
      <c r="P29" s="501"/>
      <c r="Q29" s="501"/>
      <c r="R29" s="500"/>
      <c r="S29" s="380"/>
      <c r="T29" s="419"/>
      <c r="U29" s="419"/>
      <c r="V29" s="362"/>
      <c r="W29" s="405"/>
      <c r="X29" s="422"/>
    </row>
    <row r="30" spans="1:24" ht="21" customHeight="1">
      <c r="A30" s="357">
        <v>45356</v>
      </c>
      <c r="B30" s="500" t="s">
        <v>317</v>
      </c>
      <c r="C30" s="500"/>
      <c r="D30" s="415" t="s">
        <v>318</v>
      </c>
      <c r="E30" s="416">
        <f t="shared" ref="E30:E41" si="23">IFERROR(IF(S30&lt;&gt;"",W30*S30,""),"input error")</f>
        <v>26005.665722379599</v>
      </c>
      <c r="F30" s="500" t="s">
        <v>319</v>
      </c>
      <c r="G30" s="417">
        <f t="shared" ref="G30:G35" si="24">H30</f>
        <v>12281</v>
      </c>
      <c r="H30" s="417">
        <v>12281</v>
      </c>
      <c r="I30" s="370">
        <f>1.2245*G30/1000</f>
        <v>15.038084499999998</v>
      </c>
      <c r="J30" s="501">
        <f>0.4</f>
        <v>0.4</v>
      </c>
      <c r="K30" s="501">
        <f>0.3</f>
        <v>0.3</v>
      </c>
      <c r="L30" s="418">
        <f t="shared" ref="L30:L41" si="25">IFERROR(IF(I30&lt;&gt;"",(J30+K30)/(I30+J30+K30),""),"input error")</f>
        <v>4.4478093887474042E-2</v>
      </c>
      <c r="M30" s="383">
        <f t="shared" si="3"/>
        <v>0.47224324618736391</v>
      </c>
      <c r="N30" s="500" t="s">
        <v>320</v>
      </c>
      <c r="O30" s="500">
        <v>1</v>
      </c>
      <c r="P30" s="501">
        <v>3</v>
      </c>
      <c r="Q30" s="501">
        <v>0</v>
      </c>
      <c r="R30" s="500">
        <f t="shared" si="4"/>
        <v>3</v>
      </c>
      <c r="S30" s="380">
        <f>[2]押出工时ekstrusi!I7</f>
        <v>8668.5552407931991</v>
      </c>
      <c r="T30" s="419">
        <f t="shared" ref="T30:T41" si="26">IFERROR(IF(S30&lt;&gt;"",1/S30,""),"input error")</f>
        <v>1.1535947712418304E-4</v>
      </c>
      <c r="U30" s="419">
        <f t="shared" ref="U30:U32" si="27">IFERROR(IF(T30&lt;&gt;"",T30*G30,""),"input error")</f>
        <v>1.4167297385620918</v>
      </c>
      <c r="V30" s="362">
        <f t="shared" ref="V30:V32" si="28">IFERROR(IF(U30&lt;&gt;"",SUM(U30),""),"input error")</f>
        <v>1.4167297385620918</v>
      </c>
      <c r="W30" s="405">
        <f t="shared" ref="W30:W41" si="29">IFERROR(IF(R30&lt;&gt;"",R30*U30/V30,""),"input error")</f>
        <v>3</v>
      </c>
      <c r="X30" s="490" t="s">
        <v>326</v>
      </c>
    </row>
    <row r="31" spans="1:24" ht="21" customHeight="1">
      <c r="A31" s="357">
        <v>45356</v>
      </c>
      <c r="B31" s="500" t="s">
        <v>317</v>
      </c>
      <c r="C31" s="500"/>
      <c r="D31" s="500" t="s">
        <v>31</v>
      </c>
      <c r="E31" s="416">
        <f t="shared" si="23"/>
        <v>52011.331444759198</v>
      </c>
      <c r="F31" s="379" t="s">
        <v>32</v>
      </c>
      <c r="G31" s="417">
        <f t="shared" si="24"/>
        <v>60907</v>
      </c>
      <c r="H31" s="417">
        <f>29665+31242</f>
        <v>60907</v>
      </c>
      <c r="I31" s="370">
        <f>0.7593*G31/1000</f>
        <v>46.246685099999993</v>
      </c>
      <c r="J31" s="501">
        <f>0.5+1</f>
        <v>1.5</v>
      </c>
      <c r="K31" s="501">
        <f>0.3+0.1</f>
        <v>0.4</v>
      </c>
      <c r="L31" s="418">
        <f t="shared" si="25"/>
        <v>3.9462737591460899E-2</v>
      </c>
      <c r="M31" s="383">
        <f t="shared" si="3"/>
        <v>1.1710332788671025</v>
      </c>
      <c r="N31" s="500" t="s">
        <v>343</v>
      </c>
      <c r="O31" s="500">
        <v>2</v>
      </c>
      <c r="P31" s="501">
        <v>3</v>
      </c>
      <c r="Q31" s="501">
        <v>0</v>
      </c>
      <c r="R31" s="500">
        <f t="shared" si="4"/>
        <v>6</v>
      </c>
      <c r="S31" s="380">
        <f>[2]押出工时ekstrusi!I7</f>
        <v>8668.5552407931991</v>
      </c>
      <c r="T31" s="419">
        <f t="shared" si="26"/>
        <v>1.1535947712418304E-4</v>
      </c>
      <c r="U31" s="419">
        <f t="shared" si="27"/>
        <v>7.0261996732026164</v>
      </c>
      <c r="V31" s="362">
        <f t="shared" si="28"/>
        <v>7.0261996732026164</v>
      </c>
      <c r="W31" s="405">
        <f t="shared" si="29"/>
        <v>6</v>
      </c>
      <c r="X31" s="493" t="s">
        <v>334</v>
      </c>
    </row>
    <row r="32" spans="1:24" ht="21" customHeight="1">
      <c r="A32" s="357">
        <v>45356</v>
      </c>
      <c r="B32" s="500" t="s">
        <v>317</v>
      </c>
      <c r="C32" s="500"/>
      <c r="D32" s="500" t="s">
        <v>446</v>
      </c>
      <c r="E32" s="416">
        <f t="shared" si="23"/>
        <v>21671.388101982993</v>
      </c>
      <c r="F32" s="379" t="s">
        <v>10</v>
      </c>
      <c r="G32" s="417">
        <f t="shared" si="24"/>
        <v>15750</v>
      </c>
      <c r="H32" s="417">
        <f>15750</f>
        <v>15750</v>
      </c>
      <c r="I32" s="370">
        <f>1.9381*G32/1000</f>
        <v>30.525075000000001</v>
      </c>
      <c r="J32" s="501">
        <f>0.7</f>
        <v>0.7</v>
      </c>
      <c r="K32" s="501">
        <f>0.5</f>
        <v>0.5</v>
      </c>
      <c r="L32" s="418">
        <f t="shared" si="25"/>
        <v>3.7824969680922742E-2</v>
      </c>
      <c r="M32" s="383">
        <f t="shared" si="3"/>
        <v>0.72676470588235331</v>
      </c>
      <c r="N32" s="500" t="s">
        <v>325</v>
      </c>
      <c r="O32" s="500">
        <v>1</v>
      </c>
      <c r="P32" s="501">
        <v>2.5</v>
      </c>
      <c r="Q32" s="501">
        <v>0</v>
      </c>
      <c r="R32" s="500">
        <f t="shared" si="4"/>
        <v>2.5</v>
      </c>
      <c r="S32" s="380">
        <f>[2]押出工时ekstrusi!I7</f>
        <v>8668.5552407931991</v>
      </c>
      <c r="T32" s="419">
        <f t="shared" si="26"/>
        <v>1.1535947712418304E-4</v>
      </c>
      <c r="U32" s="419">
        <f t="shared" si="27"/>
        <v>1.8169117647058828</v>
      </c>
      <c r="V32" s="362">
        <f t="shared" si="28"/>
        <v>1.8169117647058828</v>
      </c>
      <c r="W32" s="405">
        <f t="shared" si="29"/>
        <v>2.4999999999999996</v>
      </c>
      <c r="X32" s="490" t="s">
        <v>324</v>
      </c>
    </row>
    <row r="33" spans="1:24" ht="21" customHeight="1">
      <c r="A33" s="357">
        <v>45356</v>
      </c>
      <c r="B33" s="500" t="s">
        <v>344</v>
      </c>
      <c r="C33" s="500"/>
      <c r="D33" s="501" t="s">
        <v>229</v>
      </c>
      <c r="E33" s="416">
        <f>IFERROR(IF(S33&lt;&gt;"",W33*S33,""),"input error")</f>
        <v>23838.526912181296</v>
      </c>
      <c r="F33" s="387" t="s">
        <v>61</v>
      </c>
      <c r="G33" s="417">
        <f>H33</f>
        <v>15347</v>
      </c>
      <c r="H33" s="417">
        <f>15347</f>
        <v>15347</v>
      </c>
      <c r="I33" s="370"/>
      <c r="J33" s="501">
        <f>6.6</f>
        <v>6.6</v>
      </c>
      <c r="K33" s="501">
        <f>2.48</f>
        <v>2.48</v>
      </c>
      <c r="L33" s="418" t="str">
        <f t="shared" si="25"/>
        <v/>
      </c>
      <c r="M33" s="383">
        <f>IFERROR(IF(G33&lt;&gt;"",G33/E33,""),"input error")</f>
        <v>0.64378978015448618</v>
      </c>
      <c r="N33" s="500" t="s">
        <v>181</v>
      </c>
      <c r="O33" s="500">
        <v>1</v>
      </c>
      <c r="P33" s="501">
        <v>5.5</v>
      </c>
      <c r="Q33" s="501">
        <v>0</v>
      </c>
      <c r="R33" s="500">
        <f>O33*P33-Q33</f>
        <v>5.5</v>
      </c>
      <c r="S33" s="380">
        <f>[2]押出工时ekstrusi!I11</f>
        <v>4334.2776203965996</v>
      </c>
      <c r="T33" s="419">
        <f t="shared" si="26"/>
        <v>2.3071895424836607E-4</v>
      </c>
      <c r="U33" s="419">
        <f>IFERROR(IF(T33&lt;&gt;"",T33*G33,""),"input error")</f>
        <v>3.5408437908496739</v>
      </c>
      <c r="V33" s="362">
        <f t="shared" ref="V33" si="30">IFERROR(IF(U33&lt;&gt;"",SUM(U33),""),"input error")</f>
        <v>3.5408437908496739</v>
      </c>
      <c r="W33" s="405">
        <f t="shared" si="29"/>
        <v>5.5</v>
      </c>
      <c r="X33" s="422"/>
    </row>
    <row r="34" spans="1:24" ht="21" customHeight="1">
      <c r="A34" s="357">
        <v>45356</v>
      </c>
      <c r="B34" s="500" t="s">
        <v>327</v>
      </c>
      <c r="C34" s="500"/>
      <c r="D34" s="500" t="s">
        <v>446</v>
      </c>
      <c r="E34" s="416">
        <f t="shared" si="23"/>
        <v>17337.110481586398</v>
      </c>
      <c r="F34" s="423" t="s">
        <v>10</v>
      </c>
      <c r="G34" s="417">
        <f t="shared" si="24"/>
        <v>18769</v>
      </c>
      <c r="H34" s="417">
        <f>13969+4800</f>
        <v>18769</v>
      </c>
      <c r="I34" s="370">
        <f>1.9509*G34/1000</f>
        <v>36.6164421</v>
      </c>
      <c r="J34" s="501">
        <f>0.4+0.1</f>
        <v>0.5</v>
      </c>
      <c r="K34" s="501">
        <f>1.8+0</f>
        <v>1.8</v>
      </c>
      <c r="L34" s="418">
        <f t="shared" si="25"/>
        <v>5.9100983437537828E-2</v>
      </c>
      <c r="M34" s="383">
        <f t="shared" ref="M34:M41" si="31">IFERROR(IF(G34&lt;&gt;"",G34/E34,""),"input error")</f>
        <v>1.0825910130718956</v>
      </c>
      <c r="N34" s="500" t="s">
        <v>345</v>
      </c>
      <c r="O34" s="500">
        <v>2</v>
      </c>
      <c r="P34" s="501">
        <v>1</v>
      </c>
      <c r="Q34" s="501">
        <v>0</v>
      </c>
      <c r="R34" s="500">
        <f t="shared" si="4"/>
        <v>2</v>
      </c>
      <c r="S34" s="380">
        <f>[2]押出工时ekstrusi!I7</f>
        <v>8668.5552407931991</v>
      </c>
      <c r="T34" s="419">
        <f t="shared" si="26"/>
        <v>1.1535947712418304E-4</v>
      </c>
      <c r="U34" s="419">
        <f t="shared" ref="U34:U41" si="32">IFERROR(IF(T34&lt;&gt;"",T34*G34,""),"input error")</f>
        <v>2.1651820261437913</v>
      </c>
      <c r="V34" s="362">
        <f t="shared" ref="V34:V36" si="33">IFERROR(IF(U34&lt;&gt;"",SUM(U34),""),"input error")</f>
        <v>2.1651820261437913</v>
      </c>
      <c r="W34" s="405">
        <f t="shared" si="29"/>
        <v>2</v>
      </c>
      <c r="X34" s="490" t="s">
        <v>321</v>
      </c>
    </row>
    <row r="35" spans="1:24" ht="21" customHeight="1">
      <c r="A35" s="357">
        <v>45356</v>
      </c>
      <c r="B35" s="500" t="s">
        <v>327</v>
      </c>
      <c r="C35" s="500"/>
      <c r="D35" s="500" t="s">
        <v>31</v>
      </c>
      <c r="E35" s="416">
        <f t="shared" si="23"/>
        <v>70255.102040816317</v>
      </c>
      <c r="F35" s="379" t="s">
        <v>32</v>
      </c>
      <c r="G35" s="417">
        <f t="shared" si="24"/>
        <v>83127</v>
      </c>
      <c r="H35" s="417">
        <f>36695+46432</f>
        <v>83127</v>
      </c>
      <c r="I35" s="370">
        <f>3.6328*G35/1000</f>
        <v>301.98376559999997</v>
      </c>
      <c r="J35" s="501">
        <f>1.1+0.89</f>
        <v>1.9900000000000002</v>
      </c>
      <c r="K35" s="501">
        <f>0.3+0.3</f>
        <v>0.6</v>
      </c>
      <c r="L35" s="418">
        <f t="shared" si="25"/>
        <v>8.5036870949728328E-3</v>
      </c>
      <c r="M35" s="383">
        <f t="shared" si="31"/>
        <v>1.1832165577342049</v>
      </c>
      <c r="N35" s="500" t="s">
        <v>329</v>
      </c>
      <c r="O35" s="500">
        <v>2</v>
      </c>
      <c r="P35" s="501">
        <v>4.5</v>
      </c>
      <c r="Q35" s="501">
        <v>0</v>
      </c>
      <c r="R35" s="500">
        <f t="shared" si="4"/>
        <v>9</v>
      </c>
      <c r="S35" s="380">
        <f>[2]押出工时ekstrusi!I8</f>
        <v>7806.1224489795904</v>
      </c>
      <c r="T35" s="419">
        <f t="shared" si="26"/>
        <v>1.2810457516339871E-4</v>
      </c>
      <c r="U35" s="419">
        <f t="shared" si="32"/>
        <v>10.648949019607844</v>
      </c>
      <c r="V35" s="362">
        <f t="shared" si="33"/>
        <v>10.648949019607844</v>
      </c>
      <c r="W35" s="405">
        <f t="shared" si="29"/>
        <v>9</v>
      </c>
      <c r="X35" s="490" t="s">
        <v>321</v>
      </c>
    </row>
    <row r="36" spans="1:24" ht="21" customHeight="1">
      <c r="A36" s="357">
        <v>45356</v>
      </c>
      <c r="B36" s="500" t="s">
        <v>327</v>
      </c>
      <c r="C36" s="500"/>
      <c r="D36" s="500" t="s">
        <v>31</v>
      </c>
      <c r="E36" s="416">
        <f t="shared" si="23"/>
        <v>4334.2776203965996</v>
      </c>
      <c r="F36" s="379" t="s">
        <v>32</v>
      </c>
      <c r="G36" s="417">
        <f>H36</f>
        <v>5322</v>
      </c>
      <c r="H36" s="417">
        <f>5322</f>
        <v>5322</v>
      </c>
      <c r="I36" s="370">
        <f>3.6328*G36/1000</f>
        <v>19.333761600000003</v>
      </c>
      <c r="J36" s="501">
        <f>0.57</f>
        <v>0.56999999999999995</v>
      </c>
      <c r="K36" s="501">
        <f>0.43</f>
        <v>0.43</v>
      </c>
      <c r="L36" s="418">
        <f t="shared" si="25"/>
        <v>4.9179292040091582E-2</v>
      </c>
      <c r="M36" s="383">
        <f t="shared" si="31"/>
        <v>1.2278862745098043</v>
      </c>
      <c r="N36" s="500" t="s">
        <v>330</v>
      </c>
      <c r="O36" s="500">
        <v>1</v>
      </c>
      <c r="P36" s="501">
        <v>0.5</v>
      </c>
      <c r="Q36" s="501">
        <v>0</v>
      </c>
      <c r="R36" s="500">
        <f t="shared" si="4"/>
        <v>0.5</v>
      </c>
      <c r="S36" s="380">
        <f>[2]押出工时ekstrusi!I7</f>
        <v>8668.5552407931991</v>
      </c>
      <c r="T36" s="419">
        <f t="shared" si="26"/>
        <v>1.1535947712418304E-4</v>
      </c>
      <c r="U36" s="419">
        <f t="shared" si="32"/>
        <v>0.61394313725490213</v>
      </c>
      <c r="V36" s="362">
        <f t="shared" si="33"/>
        <v>0.61394313725490213</v>
      </c>
      <c r="W36" s="405">
        <f t="shared" si="29"/>
        <v>0.5</v>
      </c>
      <c r="X36" s="490" t="s">
        <v>322</v>
      </c>
    </row>
    <row r="37" spans="1:24" ht="21" customHeight="1">
      <c r="A37" s="357">
        <v>45356</v>
      </c>
      <c r="B37" s="500" t="s">
        <v>336</v>
      </c>
      <c r="C37" s="500">
        <v>20240207005</v>
      </c>
      <c r="D37" s="500" t="s">
        <v>31</v>
      </c>
      <c r="E37" s="416">
        <f t="shared" si="23"/>
        <v>32507.082152974497</v>
      </c>
      <c r="F37" s="379" t="s">
        <v>32</v>
      </c>
      <c r="G37" s="420">
        <f>1.275*H37</f>
        <v>31445.324999999997</v>
      </c>
      <c r="H37" s="421">
        <f>11790+12873</f>
        <v>24663</v>
      </c>
      <c r="I37" s="370">
        <f>18.008*G37/1000</f>
        <v>566.26741259999994</v>
      </c>
      <c r="J37" s="501">
        <f>2.9+1.35</f>
        <v>4.25</v>
      </c>
      <c r="K37" s="501">
        <f>1+0.55</f>
        <v>1.55</v>
      </c>
      <c r="L37" s="418">
        <f t="shared" si="25"/>
        <v>1.0138665255619912E-2</v>
      </c>
      <c r="M37" s="383">
        <f t="shared" si="31"/>
        <v>0.96733766666666676</v>
      </c>
      <c r="N37" s="500" t="s">
        <v>346</v>
      </c>
      <c r="O37" s="500">
        <v>2</v>
      </c>
      <c r="P37" s="501">
        <v>7.5</v>
      </c>
      <c r="Q37" s="501">
        <v>0</v>
      </c>
      <c r="R37" s="500">
        <f t="shared" si="4"/>
        <v>15</v>
      </c>
      <c r="S37" s="380">
        <f>[2]押出工时ekstrusi!I20</f>
        <v>2167.1388101982998</v>
      </c>
      <c r="T37" s="419">
        <f t="shared" si="26"/>
        <v>4.6143790849673214E-4</v>
      </c>
      <c r="U37" s="419">
        <f t="shared" si="32"/>
        <v>14.510065000000003</v>
      </c>
      <c r="V37" s="362">
        <f t="shared" ref="V37:V41" si="34">IFERROR(IF(U37&lt;&gt;"",SUM(U37),""),"input error")</f>
        <v>14.510065000000003</v>
      </c>
      <c r="W37" s="405">
        <f t="shared" si="29"/>
        <v>15</v>
      </c>
      <c r="X37" s="490"/>
    </row>
    <row r="38" spans="1:24" ht="21" customHeight="1">
      <c r="A38" s="357">
        <v>45356</v>
      </c>
      <c r="B38" s="500" t="s">
        <v>331</v>
      </c>
      <c r="C38" s="500"/>
      <c r="D38" s="415" t="s">
        <v>340</v>
      </c>
      <c r="E38" s="416">
        <f t="shared" si="23"/>
        <v>7584.9858356940495</v>
      </c>
      <c r="F38" s="406" t="s">
        <v>347</v>
      </c>
      <c r="G38" s="417">
        <f>1.83*H38</f>
        <v>5713.26</v>
      </c>
      <c r="H38" s="421">
        <f>3122</f>
        <v>3122</v>
      </c>
      <c r="I38" s="370">
        <f>19.1368*G38/1000</f>
        <v>109.33351396800002</v>
      </c>
      <c r="J38" s="501">
        <f>5</f>
        <v>5</v>
      </c>
      <c r="K38" s="501">
        <f>3.9</f>
        <v>3.9</v>
      </c>
      <c r="L38" s="418">
        <f t="shared" si="25"/>
        <v>7.5274765177061317E-2</v>
      </c>
      <c r="M38" s="383">
        <f t="shared" si="31"/>
        <v>0.75323278431372565</v>
      </c>
      <c r="N38" s="500" t="s">
        <v>348</v>
      </c>
      <c r="O38" s="500">
        <v>1</v>
      </c>
      <c r="P38" s="501">
        <v>3.5</v>
      </c>
      <c r="Q38" s="501">
        <v>0</v>
      </c>
      <c r="R38" s="500">
        <f t="shared" si="4"/>
        <v>3.5</v>
      </c>
      <c r="S38" s="380">
        <f>[2]押出工时ekstrusi!I28</f>
        <v>2167.1388101982998</v>
      </c>
      <c r="T38" s="419">
        <f t="shared" si="26"/>
        <v>4.6143790849673214E-4</v>
      </c>
      <c r="U38" s="419">
        <f t="shared" si="32"/>
        <v>2.6363147450980402</v>
      </c>
      <c r="V38" s="362">
        <f t="shared" si="34"/>
        <v>2.6363147450980402</v>
      </c>
      <c r="W38" s="405">
        <f t="shared" si="29"/>
        <v>3.5</v>
      </c>
      <c r="X38" s="490"/>
    </row>
    <row r="39" spans="1:24" ht="21" customHeight="1">
      <c r="A39" s="357">
        <v>45356</v>
      </c>
      <c r="B39" s="500" t="s">
        <v>331</v>
      </c>
      <c r="C39" s="500">
        <v>20240103032</v>
      </c>
      <c r="D39" s="415" t="s">
        <v>318</v>
      </c>
      <c r="E39" s="416">
        <f t="shared" si="23"/>
        <v>13002.832861189796</v>
      </c>
      <c r="F39" s="500" t="s">
        <v>319</v>
      </c>
      <c r="G39" s="417">
        <f>4.55*H39</f>
        <v>13422.5</v>
      </c>
      <c r="H39" s="421">
        <f>1600+1350</f>
        <v>2950</v>
      </c>
      <c r="I39" s="370">
        <f>26.744*G39/1000</f>
        <v>358.97134</v>
      </c>
      <c r="J39" s="501">
        <f>0+2.45</f>
        <v>2.4500000000000002</v>
      </c>
      <c r="K39" s="501">
        <f>0.6+0.35</f>
        <v>0.95</v>
      </c>
      <c r="L39" s="418">
        <f t="shared" si="25"/>
        <v>9.3826404704080643E-3</v>
      </c>
      <c r="M39" s="383">
        <f t="shared" si="31"/>
        <v>1.0322750544662314</v>
      </c>
      <c r="N39" s="500" t="s">
        <v>338</v>
      </c>
      <c r="O39" s="500">
        <v>2</v>
      </c>
      <c r="P39" s="501">
        <v>3</v>
      </c>
      <c r="Q39" s="501">
        <v>0</v>
      </c>
      <c r="R39" s="500">
        <f t="shared" si="4"/>
        <v>6</v>
      </c>
      <c r="S39" s="380">
        <f>[2]押出工时ekstrusi!I28</f>
        <v>2167.1388101982998</v>
      </c>
      <c r="T39" s="419">
        <f t="shared" si="26"/>
        <v>4.6143790849673214E-4</v>
      </c>
      <c r="U39" s="419">
        <f t="shared" si="32"/>
        <v>6.1936503267973873</v>
      </c>
      <c r="V39" s="362">
        <f t="shared" si="34"/>
        <v>6.1936503267973873</v>
      </c>
      <c r="W39" s="405">
        <f t="shared" si="29"/>
        <v>5.9999999999999991</v>
      </c>
      <c r="X39" s="490"/>
    </row>
    <row r="40" spans="1:24" ht="21" customHeight="1">
      <c r="A40" s="357">
        <v>45356</v>
      </c>
      <c r="B40" s="500" t="s">
        <v>331</v>
      </c>
      <c r="C40" s="500">
        <v>20231127004</v>
      </c>
      <c r="D40" s="415" t="s">
        <v>318</v>
      </c>
      <c r="E40" s="416">
        <f t="shared" si="23"/>
        <v>1083.5694050991499</v>
      </c>
      <c r="F40" s="500" t="s">
        <v>319</v>
      </c>
      <c r="G40" s="417">
        <f>3.03*H40</f>
        <v>1363.5</v>
      </c>
      <c r="H40" s="421">
        <f>450</f>
        <v>450</v>
      </c>
      <c r="I40" s="370">
        <f>26.744*G40/1000</f>
        <v>36.465444000000005</v>
      </c>
      <c r="J40" s="501">
        <f>0</f>
        <v>0</v>
      </c>
      <c r="K40" s="501">
        <f>0</f>
        <v>0</v>
      </c>
      <c r="L40" s="418">
        <f t="shared" si="25"/>
        <v>0</v>
      </c>
      <c r="M40" s="383">
        <f t="shared" si="31"/>
        <v>1.2583411764705885</v>
      </c>
      <c r="N40" s="500" t="s">
        <v>348</v>
      </c>
      <c r="O40" s="500">
        <v>1</v>
      </c>
      <c r="P40" s="501">
        <v>0.5</v>
      </c>
      <c r="Q40" s="501">
        <v>0</v>
      </c>
      <c r="R40" s="500">
        <f t="shared" si="4"/>
        <v>0.5</v>
      </c>
      <c r="S40" s="380">
        <f>[2]押出工时ekstrusi!I28</f>
        <v>2167.1388101982998</v>
      </c>
      <c r="T40" s="419">
        <f t="shared" si="26"/>
        <v>4.6143790849673214E-4</v>
      </c>
      <c r="U40" s="419">
        <f t="shared" si="32"/>
        <v>0.62917058823529426</v>
      </c>
      <c r="V40" s="362">
        <f t="shared" si="34"/>
        <v>0.62917058823529426</v>
      </c>
      <c r="W40" s="405">
        <f t="shared" si="29"/>
        <v>0.5</v>
      </c>
      <c r="X40" s="490"/>
    </row>
    <row r="41" spans="1:24" ht="21" customHeight="1">
      <c r="A41" s="357">
        <v>45356</v>
      </c>
      <c r="B41" s="500" t="s">
        <v>331</v>
      </c>
      <c r="C41" s="500">
        <v>20240103033</v>
      </c>
      <c r="D41" s="500" t="s">
        <v>349</v>
      </c>
      <c r="E41" s="416">
        <f t="shared" si="23"/>
        <v>2167.1388101982998</v>
      </c>
      <c r="F41" s="406" t="s">
        <v>84</v>
      </c>
      <c r="G41" s="417">
        <f>1.475*H41</f>
        <v>1677.075</v>
      </c>
      <c r="H41" s="421">
        <v>1137</v>
      </c>
      <c r="I41" s="370"/>
      <c r="J41" s="501">
        <f>3.3</f>
        <v>3.3</v>
      </c>
      <c r="K41" s="501">
        <f>4.5</f>
        <v>4.5</v>
      </c>
      <c r="L41" s="418" t="str">
        <f t="shared" si="25"/>
        <v/>
      </c>
      <c r="M41" s="383">
        <f t="shared" si="31"/>
        <v>0.77386598039215704</v>
      </c>
      <c r="N41" s="500" t="s">
        <v>342</v>
      </c>
      <c r="O41" s="500">
        <v>1</v>
      </c>
      <c r="P41" s="501">
        <v>1</v>
      </c>
      <c r="Q41" s="501">
        <v>0</v>
      </c>
      <c r="R41" s="500">
        <f t="shared" si="4"/>
        <v>1</v>
      </c>
      <c r="S41" s="380">
        <f>[2]押出工时ekstrusi!I28</f>
        <v>2167.1388101982998</v>
      </c>
      <c r="T41" s="419">
        <f t="shared" si="26"/>
        <v>4.6143790849673214E-4</v>
      </c>
      <c r="U41" s="419">
        <f t="shared" si="32"/>
        <v>0.77386598039215704</v>
      </c>
      <c r="V41" s="362">
        <f t="shared" si="34"/>
        <v>0.77386598039215704</v>
      </c>
      <c r="W41" s="405">
        <f t="shared" si="29"/>
        <v>1</v>
      </c>
      <c r="X41" s="490"/>
    </row>
    <row r="42" spans="1:24" ht="21" customHeight="1">
      <c r="A42" s="357"/>
      <c r="B42" s="500"/>
      <c r="C42" s="500"/>
      <c r="D42" s="500"/>
      <c r="E42" s="416"/>
      <c r="F42" s="379"/>
      <c r="G42" s="420"/>
      <c r="H42" s="421"/>
      <c r="I42" s="370"/>
      <c r="J42" s="501"/>
      <c r="K42" s="501"/>
      <c r="L42" s="418"/>
      <c r="M42" s="383" t="str">
        <f t="shared" si="3"/>
        <v/>
      </c>
      <c r="N42" s="500"/>
      <c r="O42" s="500"/>
      <c r="P42" s="501"/>
      <c r="Q42" s="501"/>
      <c r="R42" s="500"/>
      <c r="S42" s="380"/>
      <c r="T42" s="419"/>
      <c r="U42" s="419"/>
      <c r="V42" s="362"/>
      <c r="W42" s="405"/>
      <c r="X42" s="422"/>
    </row>
    <row r="43" spans="1:24" ht="21" customHeight="1">
      <c r="A43" s="357">
        <v>45357</v>
      </c>
      <c r="B43" s="500" t="s">
        <v>317</v>
      </c>
      <c r="C43" s="500"/>
      <c r="D43" s="500" t="s">
        <v>446</v>
      </c>
      <c r="E43" s="416">
        <f t="shared" ref="E43:E49" si="35">IFERROR(IF(S43&lt;&gt;"",W43*S43,""),"input error")</f>
        <v>179413.68078175894</v>
      </c>
      <c r="F43" s="423" t="s">
        <v>10</v>
      </c>
      <c r="G43" s="417">
        <f t="shared" ref="G43:G45" si="36">H43</f>
        <v>156884</v>
      </c>
      <c r="H43" s="417">
        <f>55505+50660+50719</f>
        <v>156884</v>
      </c>
      <c r="I43" s="370">
        <f>1.9509*G43/1000</f>
        <v>306.06499560000003</v>
      </c>
      <c r="J43" s="501">
        <f>0.8+0.7+1</f>
        <v>2.5</v>
      </c>
      <c r="K43" s="501">
        <f>0.2+1.3+0.5</f>
        <v>2</v>
      </c>
      <c r="L43" s="418">
        <f t="shared" ref="L43:L49" si="37">IFERROR(IF(I43&lt;&gt;"",(J43+K43)/(I43+J43+K43),""),"input error")</f>
        <v>1.4489720553683673E-2</v>
      </c>
      <c r="M43" s="383">
        <f t="shared" si="3"/>
        <v>0.87442607116920845</v>
      </c>
      <c r="N43" s="500" t="s">
        <v>350</v>
      </c>
      <c r="O43" s="500">
        <v>3</v>
      </c>
      <c r="P43" s="501">
        <v>6</v>
      </c>
      <c r="Q43" s="501">
        <v>0</v>
      </c>
      <c r="R43" s="500">
        <f t="shared" si="4"/>
        <v>18</v>
      </c>
      <c r="S43" s="380">
        <f>[2]押出工时ekstrusi!I6</f>
        <v>9967.4267100977195</v>
      </c>
      <c r="T43" s="419">
        <f t="shared" ref="T43:T49" si="38">IFERROR(IF(S43&lt;&gt;"",1/S43,""),"input error")</f>
        <v>1.0032679738562091E-4</v>
      </c>
      <c r="U43" s="419">
        <f t="shared" ref="U43:U49" si="39">IFERROR(IF(T43&lt;&gt;"",T43*G43,""),"input error")</f>
        <v>15.739669281045751</v>
      </c>
      <c r="V43" s="362">
        <f t="shared" ref="V43" si="40">IFERROR(IF(U43&lt;&gt;"",SUM(U43),""),"input error")</f>
        <v>15.739669281045751</v>
      </c>
      <c r="W43" s="405">
        <f t="shared" ref="W43:W49" si="41">IFERROR(IF(R43&lt;&gt;"",R43*U43/V43,""),"input error")</f>
        <v>18</v>
      </c>
      <c r="X43" s="490" t="s">
        <v>321</v>
      </c>
    </row>
    <row r="44" spans="1:24" ht="21" customHeight="1">
      <c r="A44" s="357">
        <v>45357</v>
      </c>
      <c r="B44" s="500" t="s">
        <v>317</v>
      </c>
      <c r="C44" s="500"/>
      <c r="D44" s="500" t="s">
        <v>446</v>
      </c>
      <c r="E44" s="416">
        <f t="shared" si="35"/>
        <v>29902.280130293155</v>
      </c>
      <c r="F44" s="379" t="s">
        <v>10</v>
      </c>
      <c r="G44" s="417">
        <f t="shared" si="36"/>
        <v>29160</v>
      </c>
      <c r="H44" s="417">
        <f>29160</f>
        <v>29160</v>
      </c>
      <c r="I44" s="370">
        <f>1.9381*G44/1000</f>
        <v>56.514995999999996</v>
      </c>
      <c r="J44" s="501">
        <f>0.2</f>
        <v>0.2</v>
      </c>
      <c r="K44" s="501">
        <f>0.6</f>
        <v>0.6</v>
      </c>
      <c r="L44" s="418">
        <f t="shared" si="37"/>
        <v>1.3957952644714484E-2</v>
      </c>
      <c r="M44" s="383">
        <f t="shared" si="3"/>
        <v>0.97517647058823542</v>
      </c>
      <c r="N44" s="500" t="s">
        <v>320</v>
      </c>
      <c r="O44" s="500">
        <v>1</v>
      </c>
      <c r="P44" s="501">
        <v>3</v>
      </c>
      <c r="Q44" s="501">
        <v>0</v>
      </c>
      <c r="R44" s="500">
        <f t="shared" si="4"/>
        <v>3</v>
      </c>
      <c r="S44" s="380">
        <f>[2]押出工时ekstrusi!I6</f>
        <v>9967.4267100977195</v>
      </c>
      <c r="T44" s="419">
        <f t="shared" si="38"/>
        <v>1.0032679738562091E-4</v>
      </c>
      <c r="U44" s="419">
        <f t="shared" si="39"/>
        <v>2.9255294117647059</v>
      </c>
      <c r="V44" s="362">
        <f t="shared" ref="V44:V46" si="42">IFERROR(IF(U44&lt;&gt;"",SUM(U44),""),"input error")</f>
        <v>2.9255294117647059</v>
      </c>
      <c r="W44" s="405">
        <f t="shared" si="41"/>
        <v>2.9999999999999996</v>
      </c>
      <c r="X44" s="490" t="s">
        <v>324</v>
      </c>
    </row>
    <row r="45" spans="1:24" ht="21" customHeight="1">
      <c r="A45" s="357">
        <v>45357</v>
      </c>
      <c r="B45" s="500" t="s">
        <v>327</v>
      </c>
      <c r="C45" s="500"/>
      <c r="D45" s="500" t="s">
        <v>446</v>
      </c>
      <c r="E45" s="416">
        <f t="shared" si="35"/>
        <v>79739.413680781756</v>
      </c>
      <c r="F45" s="379" t="s">
        <v>10</v>
      </c>
      <c r="G45" s="417">
        <f t="shared" si="36"/>
        <v>100793</v>
      </c>
      <c r="H45" s="417">
        <f>89138+11655</f>
        <v>100793</v>
      </c>
      <c r="I45" s="370">
        <f>1.9381*G45/1000</f>
        <v>195.34691329999998</v>
      </c>
      <c r="J45" s="501">
        <f>0.7+0.03</f>
        <v>0.73</v>
      </c>
      <c r="K45" s="501">
        <f>0.2+0.1</f>
        <v>0.30000000000000004</v>
      </c>
      <c r="L45" s="418">
        <f t="shared" si="37"/>
        <v>5.2450157337308552E-3</v>
      </c>
      <c r="M45" s="383">
        <f t="shared" si="3"/>
        <v>1.2640298611111112</v>
      </c>
      <c r="N45" s="500" t="s">
        <v>329</v>
      </c>
      <c r="O45" s="500">
        <v>2</v>
      </c>
      <c r="P45" s="501">
        <v>4</v>
      </c>
      <c r="Q45" s="501">
        <v>0</v>
      </c>
      <c r="R45" s="500">
        <f t="shared" si="4"/>
        <v>8</v>
      </c>
      <c r="S45" s="380">
        <f>[2]押出工时ekstrusi!I6</f>
        <v>9967.4267100977195</v>
      </c>
      <c r="T45" s="419">
        <f t="shared" si="38"/>
        <v>1.0032679738562091E-4</v>
      </c>
      <c r="U45" s="419">
        <f t="shared" si="39"/>
        <v>10.112238888888889</v>
      </c>
      <c r="V45" s="362">
        <f t="shared" si="42"/>
        <v>10.112238888888889</v>
      </c>
      <c r="W45" s="405">
        <f t="shared" si="41"/>
        <v>8</v>
      </c>
      <c r="X45" s="490" t="s">
        <v>322</v>
      </c>
    </row>
    <row r="46" spans="1:24" ht="21" customHeight="1">
      <c r="A46" s="357">
        <v>45357</v>
      </c>
      <c r="B46" s="500" t="s">
        <v>327</v>
      </c>
      <c r="C46" s="500"/>
      <c r="D46" s="500" t="s">
        <v>31</v>
      </c>
      <c r="E46" s="416">
        <f t="shared" si="35"/>
        <v>56345.609065155797</v>
      </c>
      <c r="F46" s="379" t="s">
        <v>32</v>
      </c>
      <c r="G46" s="417">
        <f>H46</f>
        <v>57384</v>
      </c>
      <c r="H46" s="417">
        <f>57384</f>
        <v>57384</v>
      </c>
      <c r="I46" s="370">
        <f>3.6328*G46/1000</f>
        <v>208.46459520000002</v>
      </c>
      <c r="J46" s="501">
        <f>0.05</f>
        <v>0.05</v>
      </c>
      <c r="K46" s="501">
        <f>1.2</f>
        <v>1.2</v>
      </c>
      <c r="L46" s="418">
        <f t="shared" si="37"/>
        <v>5.9604816670384983E-3</v>
      </c>
      <c r="M46" s="383">
        <f t="shared" si="3"/>
        <v>1.0184289592760183</v>
      </c>
      <c r="N46" s="500" t="s">
        <v>328</v>
      </c>
      <c r="O46" s="500">
        <v>1</v>
      </c>
      <c r="P46" s="501">
        <v>6.5</v>
      </c>
      <c r="Q46" s="501">
        <v>0</v>
      </c>
      <c r="R46" s="500">
        <f t="shared" si="4"/>
        <v>6.5</v>
      </c>
      <c r="S46" s="380">
        <f>[2]押出工时ekstrusi!I7</f>
        <v>8668.5552407931991</v>
      </c>
      <c r="T46" s="419">
        <f t="shared" si="38"/>
        <v>1.1535947712418304E-4</v>
      </c>
      <c r="U46" s="419">
        <f t="shared" si="39"/>
        <v>6.6197882352941191</v>
      </c>
      <c r="V46" s="362">
        <f t="shared" si="42"/>
        <v>6.6197882352941191</v>
      </c>
      <c r="W46" s="405">
        <f t="shared" si="41"/>
        <v>6.5</v>
      </c>
      <c r="X46" s="490" t="s">
        <v>322</v>
      </c>
    </row>
    <row r="47" spans="1:24" ht="21" customHeight="1">
      <c r="A47" s="357">
        <v>45357</v>
      </c>
      <c r="B47" s="500" t="s">
        <v>327</v>
      </c>
      <c r="C47" s="500"/>
      <c r="D47" s="500" t="s">
        <v>446</v>
      </c>
      <c r="E47" s="416">
        <f t="shared" si="35"/>
        <v>34674.220963172796</v>
      </c>
      <c r="F47" s="379" t="s">
        <v>10</v>
      </c>
      <c r="G47" s="417">
        <f t="shared" ref="G47" si="43">H47</f>
        <v>31705</v>
      </c>
      <c r="H47" s="417">
        <f>31705</f>
        <v>31705</v>
      </c>
      <c r="I47" s="370">
        <f>1.9381*G47/1000</f>
        <v>61.447460499999998</v>
      </c>
      <c r="J47" s="501">
        <f>0.73</f>
        <v>0.73</v>
      </c>
      <c r="K47" s="501">
        <f>1.13</f>
        <v>1.1299999999999999</v>
      </c>
      <c r="L47" s="418">
        <f t="shared" si="37"/>
        <v>2.9380423496848367E-2</v>
      </c>
      <c r="M47" s="383">
        <f t="shared" si="3"/>
        <v>0.91436805555555578</v>
      </c>
      <c r="N47" s="500" t="s">
        <v>330</v>
      </c>
      <c r="O47" s="500">
        <v>1</v>
      </c>
      <c r="P47" s="501">
        <v>4</v>
      </c>
      <c r="Q47" s="501">
        <v>0</v>
      </c>
      <c r="R47" s="500">
        <f t="shared" si="4"/>
        <v>4</v>
      </c>
      <c r="S47" s="380">
        <f>[2]押出工时ekstrusi!I7</f>
        <v>8668.5552407931991</v>
      </c>
      <c r="T47" s="419">
        <f t="shared" si="38"/>
        <v>1.1535947712418304E-4</v>
      </c>
      <c r="U47" s="419">
        <f t="shared" si="39"/>
        <v>3.6574722222222231</v>
      </c>
      <c r="V47" s="362">
        <f t="shared" ref="V47:V49" si="44">IFERROR(IF(U47&lt;&gt;"",SUM(U47),""),"input error")</f>
        <v>3.6574722222222231</v>
      </c>
      <c r="W47" s="405">
        <f t="shared" si="41"/>
        <v>4</v>
      </c>
      <c r="X47" s="490" t="s">
        <v>324</v>
      </c>
    </row>
    <row r="48" spans="1:24" ht="21" customHeight="1">
      <c r="A48" s="357">
        <v>45357</v>
      </c>
      <c r="B48" s="500" t="s">
        <v>336</v>
      </c>
      <c r="C48" s="500">
        <v>20240122001</v>
      </c>
      <c r="D48" s="785" t="s">
        <v>265</v>
      </c>
      <c r="E48" s="786">
        <f t="shared" si="35"/>
        <v>34674.220963172796</v>
      </c>
      <c r="F48" s="751" t="s">
        <v>39</v>
      </c>
      <c r="G48" s="787">
        <f>1.59*H48</f>
        <v>37188.51</v>
      </c>
      <c r="H48" s="788">
        <f>8450+14939</f>
        <v>23389</v>
      </c>
      <c r="I48" s="789">
        <f>21.9*G48/1000</f>
        <v>814.42836899999998</v>
      </c>
      <c r="J48" s="501">
        <f>4.05</f>
        <v>4.05</v>
      </c>
      <c r="K48" s="501">
        <f>0.3</f>
        <v>0.3</v>
      </c>
      <c r="L48" s="418">
        <f t="shared" si="37"/>
        <v>5.3127930154197815E-3</v>
      </c>
      <c r="M48" s="383">
        <f t="shared" si="3"/>
        <v>1.0725117671568631</v>
      </c>
      <c r="N48" s="500" t="s">
        <v>338</v>
      </c>
      <c r="O48" s="500">
        <v>2</v>
      </c>
      <c r="P48" s="501">
        <v>8</v>
      </c>
      <c r="Q48" s="501">
        <v>0</v>
      </c>
      <c r="R48" s="500">
        <f t="shared" si="4"/>
        <v>16</v>
      </c>
      <c r="S48" s="380">
        <f>[2]押出工时ekstrusi!I20</f>
        <v>2167.1388101982998</v>
      </c>
      <c r="T48" s="419">
        <f t="shared" si="38"/>
        <v>4.6143790849673214E-4</v>
      </c>
      <c r="U48" s="419">
        <f t="shared" si="39"/>
        <v>17.16018827450981</v>
      </c>
      <c r="V48" s="362">
        <f t="shared" si="44"/>
        <v>17.16018827450981</v>
      </c>
      <c r="W48" s="405">
        <f t="shared" si="41"/>
        <v>16</v>
      </c>
      <c r="X48" s="490"/>
    </row>
    <row r="49" spans="1:24" ht="21" customHeight="1">
      <c r="A49" s="357">
        <v>45357</v>
      </c>
      <c r="B49" s="500" t="s">
        <v>331</v>
      </c>
      <c r="C49" s="500">
        <v>20240122002</v>
      </c>
      <c r="D49" s="500" t="s">
        <v>446</v>
      </c>
      <c r="E49" s="416">
        <f t="shared" si="35"/>
        <v>30339.943342776198</v>
      </c>
      <c r="F49" s="379" t="s">
        <v>10</v>
      </c>
      <c r="G49" s="420">
        <f>1.59*H49</f>
        <v>37546.26</v>
      </c>
      <c r="H49" s="421">
        <f>13814+9800</f>
        <v>23614</v>
      </c>
      <c r="I49" s="370">
        <f>20.1406*G49/1000</f>
        <v>756.20420415600006</v>
      </c>
      <c r="J49" s="501">
        <f>3.55+2.55</f>
        <v>6.1</v>
      </c>
      <c r="K49" s="501">
        <f>1.5+0.65</f>
        <v>2.15</v>
      </c>
      <c r="L49" s="418">
        <f t="shared" si="37"/>
        <v>1.0792013380459407E-2</v>
      </c>
      <c r="M49" s="383">
        <f t="shared" si="3"/>
        <v>1.2375191204481797</v>
      </c>
      <c r="N49" s="500" t="s">
        <v>338</v>
      </c>
      <c r="O49" s="500">
        <v>2</v>
      </c>
      <c r="P49" s="501">
        <v>7</v>
      </c>
      <c r="Q49" s="501">
        <v>0</v>
      </c>
      <c r="R49" s="500">
        <f t="shared" si="4"/>
        <v>14</v>
      </c>
      <c r="S49" s="380">
        <f>[2]押出工时ekstrusi!I28</f>
        <v>2167.1388101982998</v>
      </c>
      <c r="T49" s="419">
        <f t="shared" si="38"/>
        <v>4.6143790849673214E-4</v>
      </c>
      <c r="U49" s="419">
        <f t="shared" si="39"/>
        <v>17.325267686274515</v>
      </c>
      <c r="V49" s="362">
        <f t="shared" si="44"/>
        <v>17.325267686274515</v>
      </c>
      <c r="W49" s="405">
        <f t="shared" si="41"/>
        <v>14</v>
      </c>
      <c r="X49" s="422"/>
    </row>
    <row r="50" spans="1:24" ht="21" customHeight="1">
      <c r="A50" s="357"/>
      <c r="B50" s="500"/>
      <c r="C50" s="500"/>
      <c r="D50" s="500"/>
      <c r="E50" s="416"/>
      <c r="F50" s="379"/>
      <c r="G50" s="420"/>
      <c r="H50" s="421"/>
      <c r="I50" s="370"/>
      <c r="J50" s="501"/>
      <c r="K50" s="501"/>
      <c r="L50" s="418"/>
      <c r="M50" s="383" t="str">
        <f t="shared" si="3"/>
        <v/>
      </c>
      <c r="N50" s="500"/>
      <c r="O50" s="500"/>
      <c r="P50" s="501"/>
      <c r="Q50" s="501"/>
      <c r="R50" s="500"/>
      <c r="S50" s="380"/>
      <c r="T50" s="419"/>
      <c r="U50" s="419"/>
      <c r="V50" s="362"/>
      <c r="W50" s="405"/>
      <c r="X50" s="422"/>
    </row>
    <row r="51" spans="1:24" ht="21" customHeight="1">
      <c r="A51" s="357">
        <v>45358</v>
      </c>
      <c r="B51" s="500" t="s">
        <v>317</v>
      </c>
      <c r="C51" s="500"/>
      <c r="D51" s="500" t="s">
        <v>31</v>
      </c>
      <c r="E51" s="416">
        <f t="shared" ref="E51:E60" si="45">IFERROR(IF(S51&lt;&gt;"",W51*S51,""),"input error")</f>
        <v>59804.560260586317</v>
      </c>
      <c r="F51" s="379" t="s">
        <v>32</v>
      </c>
      <c r="G51" s="417">
        <f>H51</f>
        <v>51037</v>
      </c>
      <c r="H51" s="417">
        <f>51037</f>
        <v>51037</v>
      </c>
      <c r="I51" s="370">
        <f>3.6328*G51/1000</f>
        <v>185.40721359999998</v>
      </c>
      <c r="J51" s="501">
        <f>1.2</f>
        <v>1.2</v>
      </c>
      <c r="K51" s="501">
        <f>0.4</f>
        <v>0.4</v>
      </c>
      <c r="L51" s="418">
        <f t="shared" ref="L51:L60" si="46">IFERROR(IF(I51&lt;&gt;"",(J51+K51)/(I51+J51+K51),""),"input error")</f>
        <v>8.5558196884443632E-3</v>
      </c>
      <c r="M51" s="383">
        <f t="shared" si="3"/>
        <v>0.85339645969498912</v>
      </c>
      <c r="N51" s="500" t="s">
        <v>320</v>
      </c>
      <c r="O51" s="500">
        <v>1</v>
      </c>
      <c r="P51" s="501">
        <v>6</v>
      </c>
      <c r="Q51" s="501">
        <v>0</v>
      </c>
      <c r="R51" s="500">
        <f t="shared" si="4"/>
        <v>6</v>
      </c>
      <c r="S51" s="380">
        <f>[2]押出工时ekstrusi!I6</f>
        <v>9967.4267100977195</v>
      </c>
      <c r="T51" s="419">
        <f t="shared" ref="T51:T60" si="47">IFERROR(IF(S51&lt;&gt;"",1/S51,""),"input error")</f>
        <v>1.0032679738562091E-4</v>
      </c>
      <c r="U51" s="419">
        <f t="shared" ref="U51:U60" si="48">IFERROR(IF(T51&lt;&gt;"",T51*G51,""),"input error")</f>
        <v>5.1203787581699345</v>
      </c>
      <c r="V51" s="362">
        <f t="shared" ref="V51:V52" si="49">IFERROR(IF(U51&lt;&gt;"",SUM(U51),""),"input error")</f>
        <v>5.1203787581699345</v>
      </c>
      <c r="W51" s="405">
        <f t="shared" ref="W51:W60" si="50">IFERROR(IF(R51&lt;&gt;"",R51*U51/V51,""),"input error")</f>
        <v>6</v>
      </c>
      <c r="X51" s="490" t="s">
        <v>322</v>
      </c>
    </row>
    <row r="52" spans="1:24" ht="21" customHeight="1">
      <c r="A52" s="357">
        <v>45358</v>
      </c>
      <c r="B52" s="500" t="s">
        <v>317</v>
      </c>
      <c r="C52" s="500"/>
      <c r="D52" s="500" t="s">
        <v>446</v>
      </c>
      <c r="E52" s="416">
        <f t="shared" si="45"/>
        <v>86685.552407931988</v>
      </c>
      <c r="F52" s="379" t="s">
        <v>10</v>
      </c>
      <c r="G52" s="417">
        <f t="shared" ref="G52:G56" si="51">H52</f>
        <v>61237</v>
      </c>
      <c r="H52" s="417">
        <f>50017+11220</f>
        <v>61237</v>
      </c>
      <c r="I52" s="370">
        <f>1.9381*G52/1000</f>
        <v>118.68342969999999</v>
      </c>
      <c r="J52" s="501">
        <f>0.3+0.2</f>
        <v>0.5</v>
      </c>
      <c r="K52" s="501">
        <f>1.2+0.1</f>
        <v>1.3</v>
      </c>
      <c r="L52" s="418">
        <f t="shared" si="46"/>
        <v>1.4939813752662456E-2</v>
      </c>
      <c r="M52" s="383">
        <f t="shared" si="3"/>
        <v>0.70642683006535967</v>
      </c>
      <c r="N52" s="500" t="s">
        <v>323</v>
      </c>
      <c r="O52" s="500">
        <v>2</v>
      </c>
      <c r="P52" s="501">
        <v>5</v>
      </c>
      <c r="Q52" s="501">
        <v>0</v>
      </c>
      <c r="R52" s="500">
        <f t="shared" si="4"/>
        <v>10</v>
      </c>
      <c r="S52" s="380">
        <f>[2]押出工时ekstrusi!I7</f>
        <v>8668.5552407931991</v>
      </c>
      <c r="T52" s="419">
        <f t="shared" si="47"/>
        <v>1.1535947712418304E-4</v>
      </c>
      <c r="U52" s="419">
        <f t="shared" si="48"/>
        <v>7.0642683006535965</v>
      </c>
      <c r="V52" s="362">
        <f t="shared" si="49"/>
        <v>7.0642683006535965</v>
      </c>
      <c r="W52" s="405">
        <f t="shared" si="50"/>
        <v>10</v>
      </c>
      <c r="X52" s="490" t="s">
        <v>322</v>
      </c>
    </row>
    <row r="53" spans="1:24" ht="21" customHeight="1">
      <c r="A53" s="357">
        <v>45358</v>
      </c>
      <c r="B53" s="500" t="s">
        <v>317</v>
      </c>
      <c r="C53" s="500"/>
      <c r="D53" s="500" t="s">
        <v>446</v>
      </c>
      <c r="E53" s="416">
        <f t="shared" si="45"/>
        <v>39008.498583569395</v>
      </c>
      <c r="F53" s="423" t="s">
        <v>10</v>
      </c>
      <c r="G53" s="417">
        <f t="shared" si="51"/>
        <v>54116</v>
      </c>
      <c r="H53" s="417">
        <f>54116</f>
        <v>54116</v>
      </c>
      <c r="I53" s="370">
        <f>1.9509*G53/1000</f>
        <v>105.57490439999999</v>
      </c>
      <c r="J53" s="501">
        <f>0.4</f>
        <v>0.4</v>
      </c>
      <c r="K53" s="501">
        <f>1</f>
        <v>1</v>
      </c>
      <c r="L53" s="418">
        <f t="shared" si="46"/>
        <v>1.3087181595088202E-2</v>
      </c>
      <c r="M53" s="383">
        <f t="shared" si="3"/>
        <v>1.3872874364560643</v>
      </c>
      <c r="N53" s="500" t="s">
        <v>325</v>
      </c>
      <c r="O53" s="500">
        <v>1</v>
      </c>
      <c r="P53" s="501">
        <v>4.5</v>
      </c>
      <c r="Q53" s="501">
        <v>0</v>
      </c>
      <c r="R53" s="500">
        <f t="shared" si="4"/>
        <v>4.5</v>
      </c>
      <c r="S53" s="380">
        <f>[2]押出工时ekstrusi!I7</f>
        <v>8668.5552407931991</v>
      </c>
      <c r="T53" s="419">
        <f t="shared" si="47"/>
        <v>1.1535947712418304E-4</v>
      </c>
      <c r="U53" s="419">
        <f t="shared" si="48"/>
        <v>6.2427934640522889</v>
      </c>
      <c r="V53" s="362">
        <f t="shared" ref="V53" si="52">IFERROR(IF(U53&lt;&gt;"",SUM(U53),""),"input error")</f>
        <v>6.2427934640522889</v>
      </c>
      <c r="W53" s="405">
        <f t="shared" si="50"/>
        <v>4.5</v>
      </c>
      <c r="X53" s="490" t="s">
        <v>321</v>
      </c>
    </row>
    <row r="54" spans="1:24" ht="40.5" customHeight="1">
      <c r="A54" s="357">
        <v>45358</v>
      </c>
      <c r="B54" s="500" t="s">
        <v>344</v>
      </c>
      <c r="C54" s="500"/>
      <c r="D54" s="415" t="s">
        <v>318</v>
      </c>
      <c r="E54" s="416">
        <f t="shared" si="45"/>
        <v>21702.127659574398</v>
      </c>
      <c r="F54" s="500" t="s">
        <v>319</v>
      </c>
      <c r="G54" s="417">
        <f t="shared" si="51"/>
        <v>9495</v>
      </c>
      <c r="H54" s="417">
        <f>2310+7185</f>
        <v>9495</v>
      </c>
      <c r="I54" s="370">
        <f>2.9077*G54/1000</f>
        <v>27.608611500000002</v>
      </c>
      <c r="J54" s="501">
        <f>0</f>
        <v>0</v>
      </c>
      <c r="K54" s="501">
        <f>0</f>
        <v>0</v>
      </c>
      <c r="L54" s="418">
        <f t="shared" si="46"/>
        <v>0</v>
      </c>
      <c r="M54" s="383">
        <f t="shared" si="3"/>
        <v>0.43751470588235436</v>
      </c>
      <c r="N54" s="500" t="s">
        <v>332</v>
      </c>
      <c r="O54" s="500">
        <v>1</v>
      </c>
      <c r="P54" s="501">
        <v>2</v>
      </c>
      <c r="Q54" s="501">
        <v>0</v>
      </c>
      <c r="R54" s="500">
        <f t="shared" si="4"/>
        <v>2</v>
      </c>
      <c r="S54" s="380">
        <f>[2]押出工时ekstrusi!I5</f>
        <v>10851.063829787199</v>
      </c>
      <c r="T54" s="419">
        <f t="shared" si="47"/>
        <v>9.2156862745098334E-5</v>
      </c>
      <c r="U54" s="419">
        <f t="shared" si="48"/>
        <v>0.87502941176470872</v>
      </c>
      <c r="V54" s="362">
        <f t="shared" ref="V54:V60" si="53">IFERROR(IF(U54&lt;&gt;"",SUM(U54),""),"input error")</f>
        <v>0.87502941176470872</v>
      </c>
      <c r="W54" s="405">
        <f t="shared" si="50"/>
        <v>2</v>
      </c>
      <c r="X54" s="490" t="s">
        <v>321</v>
      </c>
    </row>
    <row r="55" spans="1:24" ht="28.5" customHeight="1">
      <c r="A55" s="357">
        <v>45358</v>
      </c>
      <c r="B55" s="500" t="s">
        <v>327</v>
      </c>
      <c r="C55" s="500"/>
      <c r="D55" s="500" t="s">
        <v>446</v>
      </c>
      <c r="E55" s="416">
        <f t="shared" si="45"/>
        <v>86685.552407931988</v>
      </c>
      <c r="F55" s="379" t="s">
        <v>10</v>
      </c>
      <c r="G55" s="417">
        <f t="shared" si="51"/>
        <v>89039</v>
      </c>
      <c r="H55" s="417">
        <f>50000+39039</f>
        <v>89039</v>
      </c>
      <c r="I55" s="370">
        <f>1.9381*G55/1000</f>
        <v>172.5664859</v>
      </c>
      <c r="J55" s="501">
        <f>0.3+0.95</f>
        <v>1.25</v>
      </c>
      <c r="K55" s="501">
        <f>0.2+0.62</f>
        <v>0.82000000000000006</v>
      </c>
      <c r="L55" s="418">
        <f t="shared" si="46"/>
        <v>1.1853193159104906E-2</v>
      </c>
      <c r="M55" s="383">
        <f t="shared" si="3"/>
        <v>1.0271492483660134</v>
      </c>
      <c r="N55" s="500" t="s">
        <v>335</v>
      </c>
      <c r="O55" s="500">
        <v>2</v>
      </c>
      <c r="P55" s="501">
        <v>5</v>
      </c>
      <c r="Q55" s="501">
        <v>0</v>
      </c>
      <c r="R55" s="500">
        <f t="shared" si="4"/>
        <v>10</v>
      </c>
      <c r="S55" s="380">
        <f>[2]押出工时ekstrusi!I7</f>
        <v>8668.5552407931991</v>
      </c>
      <c r="T55" s="419">
        <f t="shared" si="47"/>
        <v>1.1535947712418304E-4</v>
      </c>
      <c r="U55" s="419">
        <f t="shared" si="48"/>
        <v>10.271492483660133</v>
      </c>
      <c r="V55" s="362">
        <f t="shared" si="53"/>
        <v>10.271492483660133</v>
      </c>
      <c r="W55" s="405">
        <f t="shared" si="50"/>
        <v>10</v>
      </c>
      <c r="X55" s="490" t="s">
        <v>324</v>
      </c>
    </row>
    <row r="56" spans="1:24" ht="15" customHeight="1">
      <c r="A56" s="357">
        <v>45358</v>
      </c>
      <c r="B56" s="500" t="s">
        <v>327</v>
      </c>
      <c r="C56" s="500"/>
      <c r="D56" s="785" t="s">
        <v>31</v>
      </c>
      <c r="E56" s="786">
        <f t="shared" si="45"/>
        <v>59804.560260586317</v>
      </c>
      <c r="F56" s="753" t="s">
        <v>32</v>
      </c>
      <c r="G56" s="787">
        <f t="shared" si="51"/>
        <v>76342</v>
      </c>
      <c r="H56" s="787">
        <f>76342</f>
        <v>76342</v>
      </c>
      <c r="I56" s="789">
        <f>0.7593*G56/1000</f>
        <v>57.966480599999997</v>
      </c>
      <c r="J56" s="501">
        <f>0.4</f>
        <v>0.4</v>
      </c>
      <c r="K56" s="501">
        <f>0.15</f>
        <v>0.15</v>
      </c>
      <c r="L56" s="418">
        <f t="shared" si="46"/>
        <v>9.3990615013166065E-3</v>
      </c>
      <c r="M56" s="383">
        <f t="shared" si="3"/>
        <v>1.2765247276688454</v>
      </c>
      <c r="N56" s="500" t="s">
        <v>481</v>
      </c>
      <c r="O56" s="500">
        <v>1</v>
      </c>
      <c r="P56" s="501">
        <v>6</v>
      </c>
      <c r="Q56" s="501">
        <v>0</v>
      </c>
      <c r="R56" s="500">
        <f t="shared" si="4"/>
        <v>6</v>
      </c>
      <c r="S56" s="380">
        <f>[2]押出工时ekstrusi!I6</f>
        <v>9967.4267100977195</v>
      </c>
      <c r="T56" s="419">
        <f t="shared" si="47"/>
        <v>1.0032679738562091E-4</v>
      </c>
      <c r="U56" s="419">
        <f t="shared" si="48"/>
        <v>7.6591483660130715</v>
      </c>
      <c r="V56" s="362">
        <f t="shared" si="53"/>
        <v>7.6591483660130715</v>
      </c>
      <c r="W56" s="405">
        <f t="shared" si="50"/>
        <v>6</v>
      </c>
      <c r="X56" s="490" t="s">
        <v>324</v>
      </c>
    </row>
    <row r="57" spans="1:24">
      <c r="A57" s="357">
        <v>45358</v>
      </c>
      <c r="B57" s="500" t="s">
        <v>336</v>
      </c>
      <c r="C57" s="500">
        <v>20240130001</v>
      </c>
      <c r="D57" s="785" t="s">
        <v>261</v>
      </c>
      <c r="E57" s="786">
        <f t="shared" si="45"/>
        <v>21671.388101982997</v>
      </c>
      <c r="F57" s="756" t="s">
        <v>57</v>
      </c>
      <c r="G57" s="787">
        <f>1.555*H57</f>
        <v>25180.114999999998</v>
      </c>
      <c r="H57" s="788">
        <f>13193+3000</f>
        <v>16193</v>
      </c>
      <c r="I57" s="789">
        <f>8.4945*G57/1000</f>
        <v>213.8924868675</v>
      </c>
      <c r="J57" s="501">
        <f>2+0.4</f>
        <v>2.4</v>
      </c>
      <c r="K57" s="501">
        <f>1.3+0.15</f>
        <v>1.45</v>
      </c>
      <c r="L57" s="418">
        <f t="shared" si="46"/>
        <v>1.7681436707126387E-2</v>
      </c>
      <c r="M57" s="383">
        <f t="shared" si="3"/>
        <v>1.1619059601307191</v>
      </c>
      <c r="N57" s="500" t="s">
        <v>338</v>
      </c>
      <c r="O57" s="500">
        <v>2</v>
      </c>
      <c r="P57" s="501">
        <v>5</v>
      </c>
      <c r="Q57" s="501">
        <v>0</v>
      </c>
      <c r="R57" s="500">
        <f t="shared" si="4"/>
        <v>10</v>
      </c>
      <c r="S57" s="380">
        <f>[2]押出工时ekstrusi!I20</f>
        <v>2167.1388101982998</v>
      </c>
      <c r="T57" s="419">
        <f t="shared" si="47"/>
        <v>4.6143790849673214E-4</v>
      </c>
      <c r="U57" s="419">
        <f t="shared" si="48"/>
        <v>11.619059601307191</v>
      </c>
      <c r="V57" s="362">
        <f t="shared" si="53"/>
        <v>11.619059601307191</v>
      </c>
      <c r="W57" s="405">
        <f t="shared" si="50"/>
        <v>10</v>
      </c>
      <c r="X57" s="422"/>
    </row>
    <row r="58" spans="1:24">
      <c r="A58" s="357">
        <v>45359</v>
      </c>
      <c r="B58" s="500" t="s">
        <v>482</v>
      </c>
      <c r="C58" s="500">
        <v>20240213002</v>
      </c>
      <c r="D58" s="785" t="s">
        <v>483</v>
      </c>
      <c r="E58" s="786">
        <f t="shared" si="45"/>
        <v>3250.7082152974499</v>
      </c>
      <c r="F58" s="406" t="s">
        <v>61</v>
      </c>
      <c r="G58" s="787">
        <f>1.525*H58</f>
        <v>1587.5249999999999</v>
      </c>
      <c r="H58" s="788">
        <f>1041</f>
        <v>1041</v>
      </c>
      <c r="I58" s="789"/>
      <c r="J58" s="501">
        <f>1.6</f>
        <v>1.6</v>
      </c>
      <c r="K58" s="501">
        <f>1.85</f>
        <v>1.85</v>
      </c>
      <c r="L58" s="418" t="str">
        <f t="shared" si="46"/>
        <v/>
      </c>
      <c r="M58" s="383">
        <f t="shared" si="3"/>
        <v>0.48836281045751639</v>
      </c>
      <c r="N58" s="500" t="s">
        <v>342</v>
      </c>
      <c r="O58" s="500">
        <v>1</v>
      </c>
      <c r="P58" s="501">
        <v>1.5</v>
      </c>
      <c r="Q58" s="501">
        <v>0</v>
      </c>
      <c r="R58" s="500">
        <f>O58*P58-Q58</f>
        <v>1.5</v>
      </c>
      <c r="S58" s="380">
        <f>[2]押出工时ekstrusi!I20</f>
        <v>2167.1388101982998</v>
      </c>
      <c r="T58" s="419">
        <f t="shared" si="47"/>
        <v>4.6143790849673214E-4</v>
      </c>
      <c r="U58" s="419">
        <f t="shared" si="48"/>
        <v>0.73254421568627459</v>
      </c>
      <c r="V58" s="362">
        <f t="shared" si="53"/>
        <v>0.73254421568627459</v>
      </c>
      <c r="W58" s="405">
        <f t="shared" si="50"/>
        <v>1.5</v>
      </c>
      <c r="X58" s="422"/>
    </row>
    <row r="59" spans="1:24">
      <c r="A59" s="357">
        <v>45358</v>
      </c>
      <c r="B59" s="500" t="s">
        <v>336</v>
      </c>
      <c r="C59" s="500">
        <v>20240301005</v>
      </c>
      <c r="D59" s="785" t="s">
        <v>483</v>
      </c>
      <c r="E59" s="786">
        <f t="shared" si="45"/>
        <v>4334.2776203965996</v>
      </c>
      <c r="F59" s="406" t="s">
        <v>61</v>
      </c>
      <c r="G59" s="787">
        <f>1.525*H59</f>
        <v>3812.5</v>
      </c>
      <c r="H59" s="788">
        <f>2500</f>
        <v>2500</v>
      </c>
      <c r="I59" s="789"/>
      <c r="J59" s="501">
        <f>0.55</f>
        <v>0.55000000000000004</v>
      </c>
      <c r="K59" s="501">
        <f>0.1</f>
        <v>0.1</v>
      </c>
      <c r="L59" s="418" t="str">
        <f t="shared" si="46"/>
        <v/>
      </c>
      <c r="M59" s="383">
        <f t="shared" si="3"/>
        <v>0.87961601307189563</v>
      </c>
      <c r="N59" s="500" t="s">
        <v>342</v>
      </c>
      <c r="O59" s="500">
        <v>1</v>
      </c>
      <c r="P59" s="501">
        <v>2</v>
      </c>
      <c r="Q59" s="501">
        <v>0</v>
      </c>
      <c r="R59" s="500">
        <f t="shared" si="4"/>
        <v>2</v>
      </c>
      <c r="S59" s="380">
        <f>[2]押出工时ekstrusi!I20</f>
        <v>2167.1388101982998</v>
      </c>
      <c r="T59" s="419">
        <f t="shared" si="47"/>
        <v>4.6143790849673214E-4</v>
      </c>
      <c r="U59" s="419">
        <f t="shared" si="48"/>
        <v>1.7592320261437913</v>
      </c>
      <c r="V59" s="362">
        <f t="shared" si="53"/>
        <v>1.7592320261437913</v>
      </c>
      <c r="W59" s="405">
        <f t="shared" si="50"/>
        <v>2</v>
      </c>
      <c r="X59" s="422"/>
    </row>
    <row r="60" spans="1:24">
      <c r="A60" s="357">
        <v>45358</v>
      </c>
      <c r="B60" s="500" t="s">
        <v>331</v>
      </c>
      <c r="C60" s="500"/>
      <c r="D60" s="500" t="s">
        <v>446</v>
      </c>
      <c r="E60" s="416">
        <f t="shared" si="45"/>
        <v>30339.943342776198</v>
      </c>
      <c r="F60" s="379" t="s">
        <v>10</v>
      </c>
      <c r="G60" s="420">
        <f>1.59*H60</f>
        <v>37603.5</v>
      </c>
      <c r="H60" s="421">
        <f>13150+10500</f>
        <v>23650</v>
      </c>
      <c r="I60" s="370">
        <f>20.1406*G60/1000</f>
        <v>757.35705209999992</v>
      </c>
      <c r="J60" s="501">
        <f>2.3+2.6</f>
        <v>4.9000000000000004</v>
      </c>
      <c r="K60" s="501">
        <f>4.15+0.35</f>
        <v>4.5</v>
      </c>
      <c r="L60" s="418">
        <f t="shared" si="46"/>
        <v>1.2259424252121596E-2</v>
      </c>
      <c r="M60" s="383">
        <f t="shared" si="3"/>
        <v>1.2394057422969189</v>
      </c>
      <c r="N60" s="500" t="s">
        <v>181</v>
      </c>
      <c r="O60" s="500">
        <v>2</v>
      </c>
      <c r="P60" s="501">
        <v>7</v>
      </c>
      <c r="Q60" s="501">
        <v>0</v>
      </c>
      <c r="R60" s="500">
        <f t="shared" si="4"/>
        <v>14</v>
      </c>
      <c r="S60" s="380">
        <f>[2]押出工时ekstrusi!I28</f>
        <v>2167.1388101982998</v>
      </c>
      <c r="T60" s="419">
        <f t="shared" si="47"/>
        <v>4.6143790849673214E-4</v>
      </c>
      <c r="U60" s="419">
        <f t="shared" si="48"/>
        <v>17.351680392156869</v>
      </c>
      <c r="V60" s="362">
        <f t="shared" si="53"/>
        <v>17.351680392156869</v>
      </c>
      <c r="W60" s="405">
        <f t="shared" si="50"/>
        <v>14</v>
      </c>
      <c r="X60" s="422"/>
    </row>
    <row r="61" spans="1:24">
      <c r="A61" s="357"/>
      <c r="B61" s="500"/>
      <c r="C61" s="500"/>
      <c r="D61" s="500"/>
      <c r="E61" s="416"/>
      <c r="F61" s="379"/>
      <c r="G61" s="420"/>
      <c r="H61" s="421"/>
      <c r="I61" s="370"/>
      <c r="J61" s="501"/>
      <c r="K61" s="501"/>
      <c r="L61" s="418"/>
      <c r="M61" s="383" t="str">
        <f t="shared" si="3"/>
        <v/>
      </c>
      <c r="N61" s="500"/>
      <c r="O61" s="500"/>
      <c r="P61" s="501"/>
      <c r="Q61" s="501"/>
      <c r="R61" s="500"/>
      <c r="S61" s="380"/>
      <c r="T61" s="419"/>
      <c r="U61" s="419"/>
      <c r="V61" s="362"/>
      <c r="W61" s="405"/>
      <c r="X61" s="422"/>
    </row>
    <row r="62" spans="1:24">
      <c r="A62" s="357">
        <v>45359</v>
      </c>
      <c r="B62" s="500" t="s">
        <v>317</v>
      </c>
      <c r="C62" s="500"/>
      <c r="D62" s="500" t="s">
        <v>31</v>
      </c>
      <c r="E62" s="416">
        <f t="shared" ref="E62:E70" si="54">IFERROR(IF(S62&lt;&gt;"",W62*S62,""),"input error")</f>
        <v>54642.85714285713</v>
      </c>
      <c r="F62" s="379" t="s">
        <v>32</v>
      </c>
      <c r="G62" s="417">
        <f t="shared" ref="G62:G66" si="55">H62</f>
        <v>42979</v>
      </c>
      <c r="H62" s="417">
        <f>30649+12330</f>
        <v>42979</v>
      </c>
      <c r="I62" s="370">
        <f>3.6328*G62/1000</f>
        <v>156.13411120000001</v>
      </c>
      <c r="J62" s="501">
        <f>0+0</f>
        <v>0</v>
      </c>
      <c r="K62" s="501">
        <f>0+0.38</f>
        <v>0.38</v>
      </c>
      <c r="L62" s="418">
        <f t="shared" ref="L62:L70" si="56">IFERROR(IF(I62&lt;&gt;"",(J62+K62)/(I62+J62+K62),""),"input error")</f>
        <v>2.4278960988662599E-3</v>
      </c>
      <c r="M62" s="383">
        <f t="shared" si="3"/>
        <v>0.78654379084967341</v>
      </c>
      <c r="N62" s="500" t="s">
        <v>484</v>
      </c>
      <c r="O62" s="500">
        <v>2</v>
      </c>
      <c r="P62" s="501">
        <v>3.5</v>
      </c>
      <c r="Q62" s="501">
        <v>0</v>
      </c>
      <c r="R62" s="500">
        <f t="shared" si="4"/>
        <v>7</v>
      </c>
      <c r="S62" s="380">
        <f>[2]押出工时ekstrusi!I8</f>
        <v>7806.1224489795904</v>
      </c>
      <c r="T62" s="419">
        <f t="shared" ref="T62:T70" si="57">IFERROR(IF(S62&lt;&gt;"",1/S62,""),"input error")</f>
        <v>1.2810457516339871E-4</v>
      </c>
      <c r="U62" s="419">
        <f t="shared" ref="U62:U70" si="58">IFERROR(IF(T62&lt;&gt;"",T62*G62,""),"input error")</f>
        <v>5.5058065359477135</v>
      </c>
      <c r="V62" s="362">
        <f t="shared" ref="V62:V63" si="59">IFERROR(IF(U62&lt;&gt;"",SUM(U62),""),"input error")</f>
        <v>5.5058065359477135</v>
      </c>
      <c r="W62" s="405">
        <f t="shared" ref="W62:W70" si="60">IFERROR(IF(R62&lt;&gt;"",R62*U62/V62,""),"input error")</f>
        <v>7</v>
      </c>
      <c r="X62" s="490" t="s">
        <v>321</v>
      </c>
    </row>
    <row r="63" spans="1:24">
      <c r="A63" s="357">
        <v>45359</v>
      </c>
      <c r="B63" s="500" t="s">
        <v>317</v>
      </c>
      <c r="C63" s="500"/>
      <c r="D63" s="500" t="s">
        <v>446</v>
      </c>
      <c r="E63" s="416">
        <f t="shared" si="54"/>
        <v>143031.16147308779</v>
      </c>
      <c r="F63" s="423" t="s">
        <v>10</v>
      </c>
      <c r="G63" s="417">
        <f t="shared" si="55"/>
        <v>119858</v>
      </c>
      <c r="H63" s="417">
        <f>26004+7441+5663+80750</f>
        <v>119858</v>
      </c>
      <c r="I63" s="370">
        <f>1.9509*G63/1000</f>
        <v>233.83097220000002</v>
      </c>
      <c r="J63" s="501">
        <f>0+0.56+0.4</f>
        <v>0.96000000000000008</v>
      </c>
      <c r="K63" s="501">
        <f>0.2+0+0.7</f>
        <v>0.89999999999999991</v>
      </c>
      <c r="L63" s="418">
        <f t="shared" si="56"/>
        <v>7.8916896249282796E-3</v>
      </c>
      <c r="M63" s="383">
        <f t="shared" si="3"/>
        <v>0.83798522479698967</v>
      </c>
      <c r="N63" s="500" t="s">
        <v>485</v>
      </c>
      <c r="O63" s="500">
        <v>3</v>
      </c>
      <c r="P63" s="501">
        <v>5.5</v>
      </c>
      <c r="Q63" s="501">
        <v>0</v>
      </c>
      <c r="R63" s="500">
        <f t="shared" si="4"/>
        <v>16.5</v>
      </c>
      <c r="S63" s="380">
        <f>[2]押出工时ekstrusi!I7</f>
        <v>8668.5552407931991</v>
      </c>
      <c r="T63" s="419">
        <f t="shared" si="57"/>
        <v>1.1535947712418304E-4</v>
      </c>
      <c r="U63" s="419">
        <f t="shared" si="58"/>
        <v>13.82675620915033</v>
      </c>
      <c r="V63" s="362">
        <f t="shared" si="59"/>
        <v>13.82675620915033</v>
      </c>
      <c r="W63" s="405">
        <f t="shared" si="60"/>
        <v>16.5</v>
      </c>
      <c r="X63" s="490" t="s">
        <v>321</v>
      </c>
    </row>
    <row r="64" spans="1:24">
      <c r="A64" s="357">
        <v>45359</v>
      </c>
      <c r="B64" s="500" t="s">
        <v>327</v>
      </c>
      <c r="C64" s="500"/>
      <c r="D64" s="500" t="s">
        <v>446</v>
      </c>
      <c r="E64" s="416">
        <f t="shared" si="54"/>
        <v>9745.2229299362989</v>
      </c>
      <c r="F64" s="379" t="s">
        <v>10</v>
      </c>
      <c r="G64" s="417">
        <f t="shared" si="55"/>
        <v>14020</v>
      </c>
      <c r="H64" s="417">
        <f>14020</f>
        <v>14020</v>
      </c>
      <c r="I64" s="370">
        <f>1.9381*G64/1000</f>
        <v>27.172162</v>
      </c>
      <c r="J64" s="501">
        <f>0.67</f>
        <v>0.67</v>
      </c>
      <c r="K64" s="501">
        <f>0.53</f>
        <v>0.53</v>
      </c>
      <c r="L64" s="418">
        <f t="shared" si="56"/>
        <v>4.2294979141878582E-2</v>
      </c>
      <c r="M64" s="383">
        <f t="shared" si="3"/>
        <v>1.4386535947712429</v>
      </c>
      <c r="N64" s="500" t="s">
        <v>328</v>
      </c>
      <c r="O64" s="500">
        <v>1</v>
      </c>
      <c r="P64" s="501">
        <v>1.5</v>
      </c>
      <c r="Q64" s="501">
        <v>0</v>
      </c>
      <c r="R64" s="500">
        <f t="shared" si="4"/>
        <v>1.5</v>
      </c>
      <c r="S64" s="380">
        <f>[2]押出工时ekstrusi!I9</f>
        <v>6496.8152866241999</v>
      </c>
      <c r="T64" s="419">
        <f t="shared" si="57"/>
        <v>1.5392156862745107E-4</v>
      </c>
      <c r="U64" s="419">
        <f t="shared" si="58"/>
        <v>2.1579803921568641</v>
      </c>
      <c r="V64" s="362">
        <f t="shared" ref="V64:V66" si="61">IFERROR(IF(U64&lt;&gt;"",SUM(U64),""),"input error")</f>
        <v>2.1579803921568641</v>
      </c>
      <c r="W64" s="405">
        <f t="shared" si="60"/>
        <v>1.5</v>
      </c>
      <c r="X64" s="490" t="s">
        <v>324</v>
      </c>
    </row>
    <row r="65" spans="1:24">
      <c r="A65" s="357">
        <v>45359</v>
      </c>
      <c r="B65" s="500" t="s">
        <v>327</v>
      </c>
      <c r="C65" s="500"/>
      <c r="D65" s="500" t="s">
        <v>31</v>
      </c>
      <c r="E65" s="416">
        <f t="shared" si="54"/>
        <v>49837.133550488594</v>
      </c>
      <c r="F65" s="379" t="s">
        <v>32</v>
      </c>
      <c r="G65" s="417">
        <f t="shared" si="55"/>
        <v>66548</v>
      </c>
      <c r="H65" s="417">
        <f>33665+32883</f>
        <v>66548</v>
      </c>
      <c r="I65" s="370">
        <f>0.7593*G65/1000</f>
        <v>50.529896399999998</v>
      </c>
      <c r="J65" s="501">
        <f>0.6+0.5</f>
        <v>1.1000000000000001</v>
      </c>
      <c r="K65" s="501">
        <f>0.06+0.4</f>
        <v>0.46</v>
      </c>
      <c r="L65" s="418">
        <f t="shared" si="56"/>
        <v>2.9948226197662395E-2</v>
      </c>
      <c r="M65" s="383">
        <f t="shared" si="3"/>
        <v>1.3353095424836603</v>
      </c>
      <c r="N65" s="500" t="s">
        <v>345</v>
      </c>
      <c r="O65" s="500">
        <v>2</v>
      </c>
      <c r="P65" s="501">
        <v>2.5</v>
      </c>
      <c r="Q65" s="501">
        <v>0</v>
      </c>
      <c r="R65" s="500">
        <f t="shared" si="4"/>
        <v>5</v>
      </c>
      <c r="S65" s="380">
        <f>[2]押出工时ekstrusi!I6</f>
        <v>9967.4267100977195</v>
      </c>
      <c r="T65" s="419">
        <f t="shared" si="57"/>
        <v>1.0032679738562091E-4</v>
      </c>
      <c r="U65" s="419">
        <f t="shared" si="58"/>
        <v>6.6765477124183006</v>
      </c>
      <c r="V65" s="362">
        <f t="shared" si="61"/>
        <v>6.6765477124183006</v>
      </c>
      <c r="W65" s="405">
        <f t="shared" si="60"/>
        <v>5</v>
      </c>
      <c r="X65" s="493" t="s">
        <v>334</v>
      </c>
    </row>
    <row r="66" spans="1:24">
      <c r="A66" s="357">
        <v>45359</v>
      </c>
      <c r="B66" s="500" t="s">
        <v>327</v>
      </c>
      <c r="C66" s="500"/>
      <c r="D66" s="785" t="s">
        <v>31</v>
      </c>
      <c r="E66" s="786">
        <f t="shared" si="54"/>
        <v>79739.413680781756</v>
      </c>
      <c r="F66" s="753" t="s">
        <v>32</v>
      </c>
      <c r="G66" s="787">
        <f t="shared" si="55"/>
        <v>83408</v>
      </c>
      <c r="H66" s="787">
        <f>32557+50851</f>
        <v>83408</v>
      </c>
      <c r="I66" s="789">
        <f>0.7593*G66/1000</f>
        <v>63.331694400000003</v>
      </c>
      <c r="J66" s="501">
        <f>0.5+0.51</f>
        <v>1.01</v>
      </c>
      <c r="K66" s="501">
        <f>0.3+0.1</f>
        <v>0.4</v>
      </c>
      <c r="L66" s="418">
        <f t="shared" si="56"/>
        <v>2.1778855389364041E-2</v>
      </c>
      <c r="M66" s="383">
        <f t="shared" si="3"/>
        <v>1.0460071895424836</v>
      </c>
      <c r="N66" s="500" t="s">
        <v>329</v>
      </c>
      <c r="O66" s="500">
        <v>2</v>
      </c>
      <c r="P66" s="501">
        <v>4</v>
      </c>
      <c r="Q66" s="501">
        <v>0</v>
      </c>
      <c r="R66" s="500">
        <f t="shared" si="4"/>
        <v>8</v>
      </c>
      <c r="S66" s="380">
        <f>[2]押出工时ekstrusi!I6</f>
        <v>9967.4267100977195</v>
      </c>
      <c r="T66" s="419">
        <f t="shared" si="57"/>
        <v>1.0032679738562091E-4</v>
      </c>
      <c r="U66" s="419">
        <f t="shared" si="58"/>
        <v>8.3680575163398689</v>
      </c>
      <c r="V66" s="362">
        <f t="shared" si="61"/>
        <v>8.3680575163398689</v>
      </c>
      <c r="W66" s="405">
        <f t="shared" si="60"/>
        <v>8</v>
      </c>
      <c r="X66" s="490" t="s">
        <v>324</v>
      </c>
    </row>
    <row r="67" spans="1:24">
      <c r="A67" s="357">
        <v>45359</v>
      </c>
      <c r="B67" s="500" t="s">
        <v>336</v>
      </c>
      <c r="C67" s="500">
        <v>20240130001</v>
      </c>
      <c r="D67" s="785" t="s">
        <v>261</v>
      </c>
      <c r="E67" s="786">
        <f t="shared" si="54"/>
        <v>48571.428571428558</v>
      </c>
      <c r="F67" s="790" t="s">
        <v>57</v>
      </c>
      <c r="G67" s="787">
        <f>1.555*H67</f>
        <v>45727.884999999995</v>
      </c>
      <c r="H67" s="788">
        <f>13000+16407</f>
        <v>29407</v>
      </c>
      <c r="I67" s="789">
        <f>8.4945*G67/1000</f>
        <v>388.43551913249996</v>
      </c>
      <c r="J67" s="501">
        <f>2.45+3.6</f>
        <v>6.0500000000000007</v>
      </c>
      <c r="K67" s="501">
        <f>0.4+0.45</f>
        <v>0.85000000000000009</v>
      </c>
      <c r="L67" s="418">
        <f t="shared" si="56"/>
        <v>1.7453529131763665E-2</v>
      </c>
      <c r="M67" s="383">
        <f t="shared" si="3"/>
        <v>0.94145645588235305</v>
      </c>
      <c r="N67" s="500" t="s">
        <v>338</v>
      </c>
      <c r="O67" s="500">
        <v>2</v>
      </c>
      <c r="P67" s="501">
        <v>7</v>
      </c>
      <c r="Q67" s="501">
        <v>0</v>
      </c>
      <c r="R67" s="500">
        <f t="shared" si="4"/>
        <v>14</v>
      </c>
      <c r="S67" s="380">
        <f>[2]押出工时ekstrusi!I19</f>
        <v>3469.38775510204</v>
      </c>
      <c r="T67" s="419">
        <f t="shared" si="57"/>
        <v>2.8823529411764714E-4</v>
      </c>
      <c r="U67" s="419">
        <f t="shared" si="58"/>
        <v>13.180390382352943</v>
      </c>
      <c r="V67" s="362">
        <f t="shared" ref="V67:V70" si="62">IFERROR(IF(U67&lt;&gt;"",SUM(U67),""),"input error")</f>
        <v>13.180390382352943</v>
      </c>
      <c r="W67" s="405">
        <f t="shared" si="60"/>
        <v>14</v>
      </c>
      <c r="X67" s="422"/>
    </row>
    <row r="68" spans="1:24">
      <c r="A68" s="357">
        <v>45359</v>
      </c>
      <c r="B68" s="500" t="s">
        <v>331</v>
      </c>
      <c r="C68" s="500"/>
      <c r="D68" s="791" t="s">
        <v>340</v>
      </c>
      <c r="E68" s="786">
        <f t="shared" si="54"/>
        <v>4334.2776203965996</v>
      </c>
      <c r="F68" s="790" t="s">
        <v>486</v>
      </c>
      <c r="G68" s="787">
        <f>3.05*H68</f>
        <v>6828.95</v>
      </c>
      <c r="H68" s="788">
        <f>1100+1139</f>
        <v>2239</v>
      </c>
      <c r="I68" s="789">
        <f>19.1368*G68/1000</f>
        <v>130.68425035999999</v>
      </c>
      <c r="J68" s="501">
        <f>0.75+0</f>
        <v>0.75</v>
      </c>
      <c r="K68" s="501">
        <f>0+2.85</f>
        <v>2.85</v>
      </c>
      <c r="L68" s="418">
        <f t="shared" si="56"/>
        <v>2.6808802896459052E-2</v>
      </c>
      <c r="M68" s="383">
        <f t="shared" si="3"/>
        <v>1.5755682026143794</v>
      </c>
      <c r="N68" s="500" t="s">
        <v>487</v>
      </c>
      <c r="O68" s="500">
        <v>2</v>
      </c>
      <c r="P68" s="501">
        <v>1</v>
      </c>
      <c r="Q68" s="501">
        <v>0</v>
      </c>
      <c r="R68" s="500">
        <f t="shared" si="4"/>
        <v>2</v>
      </c>
      <c r="S68" s="380">
        <f>[2]押出工时ekstrusi!I28</f>
        <v>2167.1388101982998</v>
      </c>
      <c r="T68" s="419">
        <f t="shared" si="57"/>
        <v>4.6143790849673214E-4</v>
      </c>
      <c r="U68" s="419">
        <f t="shared" si="58"/>
        <v>3.1511364052287587</v>
      </c>
      <c r="V68" s="362">
        <f t="shared" si="62"/>
        <v>3.1511364052287587</v>
      </c>
      <c r="W68" s="405">
        <f t="shared" si="60"/>
        <v>2</v>
      </c>
      <c r="X68" s="422"/>
    </row>
    <row r="69" spans="1:24">
      <c r="A69" s="357">
        <v>45359</v>
      </c>
      <c r="B69" s="500" t="s">
        <v>331</v>
      </c>
      <c r="C69" s="500">
        <v>20240207009</v>
      </c>
      <c r="D69" s="791" t="s">
        <v>340</v>
      </c>
      <c r="E69" s="786">
        <f t="shared" si="54"/>
        <v>10835.694050991498</v>
      </c>
      <c r="F69" s="790" t="s">
        <v>347</v>
      </c>
      <c r="G69" s="787">
        <f>1.83*H69</f>
        <v>15337.230000000001</v>
      </c>
      <c r="H69" s="788">
        <f>8381</f>
        <v>8381</v>
      </c>
      <c r="I69" s="789">
        <f>19.1368*G69/1000</f>
        <v>293.50550306400004</v>
      </c>
      <c r="J69" s="501">
        <f>2</f>
        <v>2</v>
      </c>
      <c r="K69" s="501">
        <f>0.35</f>
        <v>0.35</v>
      </c>
      <c r="L69" s="418">
        <f t="shared" si="56"/>
        <v>7.943066718930164E-3</v>
      </c>
      <c r="M69" s="383">
        <f t="shared" si="3"/>
        <v>1.4154358666666671</v>
      </c>
      <c r="N69" s="500" t="s">
        <v>332</v>
      </c>
      <c r="O69" s="500">
        <v>1</v>
      </c>
      <c r="P69" s="501">
        <v>5</v>
      </c>
      <c r="Q69" s="501">
        <v>0</v>
      </c>
      <c r="R69" s="500">
        <f t="shared" si="4"/>
        <v>5</v>
      </c>
      <c r="S69" s="380">
        <f>[2]押出工时ekstrusi!I28</f>
        <v>2167.1388101982998</v>
      </c>
      <c r="T69" s="419">
        <f t="shared" si="57"/>
        <v>4.6143790849673214E-4</v>
      </c>
      <c r="U69" s="419">
        <f t="shared" si="58"/>
        <v>7.0771793333333362</v>
      </c>
      <c r="V69" s="362">
        <f t="shared" si="62"/>
        <v>7.0771793333333362</v>
      </c>
      <c r="W69" s="405">
        <f t="shared" si="60"/>
        <v>5</v>
      </c>
      <c r="X69" s="422"/>
    </row>
    <row r="70" spans="1:24">
      <c r="A70" s="357">
        <v>45359</v>
      </c>
      <c r="B70" s="500" t="s">
        <v>331</v>
      </c>
      <c r="C70" s="500"/>
      <c r="D70" s="500" t="s">
        <v>446</v>
      </c>
      <c r="E70" s="416">
        <f t="shared" si="54"/>
        <v>4334.2776203965996</v>
      </c>
      <c r="F70" s="379" t="s">
        <v>10</v>
      </c>
      <c r="G70" s="420">
        <f>1.59*H70</f>
        <v>6321.84</v>
      </c>
      <c r="H70" s="421">
        <f>3976</f>
        <v>3976</v>
      </c>
      <c r="I70" s="370">
        <f>20.1406*G70/1000</f>
        <v>127.325650704</v>
      </c>
      <c r="J70" s="501">
        <f>5</f>
        <v>5</v>
      </c>
      <c r="K70" s="501">
        <f>4</f>
        <v>4</v>
      </c>
      <c r="L70" s="418">
        <f t="shared" si="56"/>
        <v>6.6018390182060779E-2</v>
      </c>
      <c r="M70" s="383">
        <f t="shared" si="3"/>
        <v>1.4585683137254906</v>
      </c>
      <c r="N70" s="500" t="s">
        <v>348</v>
      </c>
      <c r="O70" s="500">
        <v>1</v>
      </c>
      <c r="P70" s="501">
        <v>2</v>
      </c>
      <c r="Q70" s="501">
        <v>0</v>
      </c>
      <c r="R70" s="500">
        <f t="shared" si="4"/>
        <v>2</v>
      </c>
      <c r="S70" s="380">
        <f>[2]押出工时ekstrusi!I28</f>
        <v>2167.1388101982998</v>
      </c>
      <c r="T70" s="419">
        <f t="shared" si="57"/>
        <v>4.6143790849673214E-4</v>
      </c>
      <c r="U70" s="419">
        <f t="shared" si="58"/>
        <v>2.9171366274509811</v>
      </c>
      <c r="V70" s="362">
        <f t="shared" si="62"/>
        <v>2.9171366274509811</v>
      </c>
      <c r="W70" s="405">
        <f t="shared" si="60"/>
        <v>2</v>
      </c>
      <c r="X70" s="422"/>
    </row>
    <row r="71" spans="1:24">
      <c r="A71" s="357"/>
      <c r="B71" s="500"/>
      <c r="C71" s="500"/>
      <c r="D71" s="500"/>
      <c r="E71" s="416"/>
      <c r="F71" s="379"/>
      <c r="G71" s="420"/>
      <c r="H71" s="421"/>
      <c r="I71" s="370"/>
      <c r="J71" s="501"/>
      <c r="K71" s="501"/>
      <c r="L71" s="418"/>
      <c r="M71" s="383" t="str">
        <f t="shared" ref="M71:M138" si="63">IFERROR(IF(G71&lt;&gt;"",G71/E71,""),"input error")</f>
        <v/>
      </c>
      <c r="N71" s="500"/>
      <c r="O71" s="500"/>
      <c r="P71" s="501"/>
      <c r="Q71" s="501"/>
      <c r="R71" s="500"/>
      <c r="S71" s="380"/>
      <c r="T71" s="419"/>
      <c r="U71" s="419"/>
      <c r="V71" s="362"/>
      <c r="W71" s="405"/>
      <c r="X71" s="422"/>
    </row>
    <row r="72" spans="1:24">
      <c r="A72" s="357">
        <v>45360</v>
      </c>
      <c r="B72" s="500" t="s">
        <v>317</v>
      </c>
      <c r="C72" s="500"/>
      <c r="D72" s="500" t="s">
        <v>446</v>
      </c>
      <c r="E72" s="416">
        <f t="shared" ref="E72:E78" si="64">IFERROR(IF(S72&lt;&gt;"",W72*S72,""),"input error")</f>
        <v>69771.986970684025</v>
      </c>
      <c r="F72" s="379" t="s">
        <v>10</v>
      </c>
      <c r="G72" s="417">
        <f t="shared" ref="G72" si="65">H72</f>
        <v>62268</v>
      </c>
      <c r="H72" s="417">
        <f>45788+16480</f>
        <v>62268</v>
      </c>
      <c r="I72" s="370">
        <f>1.9381*G72/1000</f>
        <v>120.6816108</v>
      </c>
      <c r="J72" s="501">
        <f>0.1+0.4</f>
        <v>0.5</v>
      </c>
      <c r="K72" s="501">
        <f>0+0.2</f>
        <v>0.2</v>
      </c>
      <c r="L72" s="418">
        <f t="shared" ref="L72:L78" si="66">IFERROR(IF(I72&lt;&gt;"",(J72+K72)/(I72+J72+K72),""),"input error")</f>
        <v>5.7669361560326229E-3</v>
      </c>
      <c r="M72" s="383">
        <f t="shared" si="63"/>
        <v>0.89244985994397774</v>
      </c>
      <c r="N72" s="500" t="s">
        <v>488</v>
      </c>
      <c r="O72" s="500">
        <v>2</v>
      </c>
      <c r="P72" s="501">
        <v>3.5</v>
      </c>
      <c r="Q72" s="501">
        <v>0</v>
      </c>
      <c r="R72" s="500">
        <f t="shared" si="4"/>
        <v>7</v>
      </c>
      <c r="S72" s="380">
        <f>[2]押出工时ekstrusi!I6</f>
        <v>9967.4267100977195</v>
      </c>
      <c r="T72" s="419">
        <f t="shared" ref="T72:T78" si="67">IFERROR(IF(S72&lt;&gt;"",1/S72,""),"input error")</f>
        <v>1.0032679738562091E-4</v>
      </c>
      <c r="U72" s="419">
        <f t="shared" ref="U72:U78" si="68">IFERROR(IF(T72&lt;&gt;"",T72*G72,""),"input error")</f>
        <v>6.2471490196078427</v>
      </c>
      <c r="V72" s="362">
        <f t="shared" ref="V72:V74" si="69">IFERROR(IF(U72&lt;&gt;"",SUM(U72),""),"input error")</f>
        <v>6.2471490196078427</v>
      </c>
      <c r="W72" s="405">
        <f t="shared" ref="W72:W78" si="70">IFERROR(IF(R72&lt;&gt;"",R72*U72/V72,""),"input error")</f>
        <v>6.9999999999999991</v>
      </c>
      <c r="X72" s="490" t="s">
        <v>322</v>
      </c>
    </row>
    <row r="73" spans="1:24">
      <c r="A73" s="357">
        <v>45360</v>
      </c>
      <c r="B73" s="500" t="s">
        <v>317</v>
      </c>
      <c r="C73" s="500"/>
      <c r="D73" s="500" t="s">
        <v>31</v>
      </c>
      <c r="E73" s="416">
        <f t="shared" si="64"/>
        <v>24918.566775244297</v>
      </c>
      <c r="F73" s="379" t="s">
        <v>32</v>
      </c>
      <c r="G73" s="417">
        <f>H73</f>
        <v>20178</v>
      </c>
      <c r="H73" s="417">
        <f>20178</f>
        <v>20178</v>
      </c>
      <c r="I73" s="370">
        <f>3.6328*G73/1000</f>
        <v>73.302638399999992</v>
      </c>
      <c r="J73" s="501">
        <f>0.8</f>
        <v>0.8</v>
      </c>
      <c r="K73" s="501">
        <f>0.2</f>
        <v>0.2</v>
      </c>
      <c r="L73" s="418">
        <f t="shared" si="66"/>
        <v>1.3458472290265269E-2</v>
      </c>
      <c r="M73" s="383">
        <f t="shared" si="63"/>
        <v>0.80975764705882358</v>
      </c>
      <c r="N73" s="500" t="s">
        <v>320</v>
      </c>
      <c r="O73" s="500">
        <v>1</v>
      </c>
      <c r="P73" s="501">
        <v>2.5</v>
      </c>
      <c r="Q73" s="501">
        <v>0</v>
      </c>
      <c r="R73" s="500">
        <f t="shared" si="4"/>
        <v>2.5</v>
      </c>
      <c r="S73" s="380">
        <f>[2]押出工时ekstrusi!I6</f>
        <v>9967.4267100977195</v>
      </c>
      <c r="T73" s="419">
        <f t="shared" si="67"/>
        <v>1.0032679738562091E-4</v>
      </c>
      <c r="U73" s="419">
        <f t="shared" si="68"/>
        <v>2.0243941176470588</v>
      </c>
      <c r="V73" s="362">
        <f t="shared" si="69"/>
        <v>2.0243941176470588</v>
      </c>
      <c r="W73" s="405">
        <f t="shared" si="70"/>
        <v>2.5</v>
      </c>
      <c r="X73" s="490" t="s">
        <v>322</v>
      </c>
    </row>
    <row r="74" spans="1:24">
      <c r="A74" s="357">
        <v>45360</v>
      </c>
      <c r="B74" s="500" t="s">
        <v>317</v>
      </c>
      <c r="C74" s="500"/>
      <c r="D74" s="785" t="s">
        <v>265</v>
      </c>
      <c r="E74" s="786">
        <f t="shared" si="64"/>
        <v>26005.665722379599</v>
      </c>
      <c r="F74" s="753" t="s">
        <v>39</v>
      </c>
      <c r="G74" s="787">
        <f>H74</f>
        <v>20272</v>
      </c>
      <c r="H74" s="787">
        <f>13794+6478</f>
        <v>20272</v>
      </c>
      <c r="I74" s="789">
        <f>5.4304*G74/1000</f>
        <v>110.08506879999999</v>
      </c>
      <c r="J74" s="501">
        <f>0.7+0.5</f>
        <v>1.2</v>
      </c>
      <c r="K74" s="501">
        <f>0.4+0.2</f>
        <v>0.60000000000000009</v>
      </c>
      <c r="L74" s="418">
        <f t="shared" si="66"/>
        <v>1.6087937553290403E-2</v>
      </c>
      <c r="M74" s="383">
        <f t="shared" si="63"/>
        <v>0.77952244008714611</v>
      </c>
      <c r="N74" s="500" t="s">
        <v>488</v>
      </c>
      <c r="O74" s="500">
        <v>2</v>
      </c>
      <c r="P74" s="501">
        <v>1.5</v>
      </c>
      <c r="Q74" s="501">
        <v>0</v>
      </c>
      <c r="R74" s="500">
        <f t="shared" si="4"/>
        <v>3</v>
      </c>
      <c r="S74" s="380">
        <f>[2]押出工时ekstrusi!I7</f>
        <v>8668.5552407931991</v>
      </c>
      <c r="T74" s="419">
        <f t="shared" si="67"/>
        <v>1.1535947712418304E-4</v>
      </c>
      <c r="U74" s="419">
        <f t="shared" si="68"/>
        <v>2.3385673202614385</v>
      </c>
      <c r="V74" s="362">
        <f t="shared" si="69"/>
        <v>2.3385673202614385</v>
      </c>
      <c r="W74" s="405">
        <f t="shared" si="70"/>
        <v>3</v>
      </c>
      <c r="X74" s="490" t="s">
        <v>322</v>
      </c>
    </row>
    <row r="75" spans="1:24">
      <c r="A75" s="357">
        <v>45360</v>
      </c>
      <c r="B75" s="500" t="s">
        <v>344</v>
      </c>
      <c r="C75" s="500"/>
      <c r="D75" s="785" t="s">
        <v>261</v>
      </c>
      <c r="E75" s="786">
        <f t="shared" si="64"/>
        <v>78016.99716713879</v>
      </c>
      <c r="F75" s="756" t="s">
        <v>57</v>
      </c>
      <c r="G75" s="787">
        <f t="shared" ref="G75:G76" si="71">H75</f>
        <v>85779</v>
      </c>
      <c r="H75" s="787">
        <f>34716+42365+8698</f>
        <v>85779</v>
      </c>
      <c r="I75" s="789">
        <f>2.8565*G75/1000</f>
        <v>245.0277135</v>
      </c>
      <c r="J75" s="501">
        <f>0.4+0.3+0.16</f>
        <v>0.86</v>
      </c>
      <c r="K75" s="501">
        <f>0.7+0.1+0.64</f>
        <v>1.44</v>
      </c>
      <c r="L75" s="418">
        <f t="shared" si="66"/>
        <v>9.2994026728832387E-3</v>
      </c>
      <c r="M75" s="383">
        <f t="shared" si="63"/>
        <v>1.0994911764705886</v>
      </c>
      <c r="N75" s="500" t="s">
        <v>489</v>
      </c>
      <c r="O75" s="500">
        <v>3</v>
      </c>
      <c r="P75" s="501">
        <v>3</v>
      </c>
      <c r="Q75" s="501">
        <v>0</v>
      </c>
      <c r="R75" s="500">
        <f t="shared" si="4"/>
        <v>9</v>
      </c>
      <c r="S75" s="380">
        <f>[2]押出工时ekstrusi!I7</f>
        <v>8668.5552407931991</v>
      </c>
      <c r="T75" s="419">
        <f t="shared" si="67"/>
        <v>1.1535947712418304E-4</v>
      </c>
      <c r="U75" s="419">
        <f t="shared" si="68"/>
        <v>9.8954205882352966</v>
      </c>
      <c r="V75" s="362">
        <f t="shared" ref="V75:V76" si="72">IFERROR(IF(U75&lt;&gt;"",SUM(U75),""),"input error")</f>
        <v>9.8954205882352966</v>
      </c>
      <c r="W75" s="405">
        <f t="shared" si="70"/>
        <v>9</v>
      </c>
      <c r="X75" s="490" t="s">
        <v>324</v>
      </c>
    </row>
    <row r="76" spans="1:24">
      <c r="A76" s="357">
        <v>45360</v>
      </c>
      <c r="B76" s="500" t="s">
        <v>327</v>
      </c>
      <c r="C76" s="500"/>
      <c r="D76" s="500" t="s">
        <v>446</v>
      </c>
      <c r="E76" s="416">
        <f t="shared" si="64"/>
        <v>13002.8328611898</v>
      </c>
      <c r="F76" s="379" t="s">
        <v>10</v>
      </c>
      <c r="G76" s="417">
        <f t="shared" si="71"/>
        <v>17952</v>
      </c>
      <c r="H76" s="417">
        <f>17952</f>
        <v>17952</v>
      </c>
      <c r="I76" s="370">
        <f>1.9381*G76/1000</f>
        <v>34.792771199999997</v>
      </c>
      <c r="J76" s="501">
        <f>0.5</f>
        <v>0.5</v>
      </c>
      <c r="K76" s="501">
        <f>0.02</f>
        <v>0.02</v>
      </c>
      <c r="L76" s="418">
        <f t="shared" si="66"/>
        <v>1.4725550624585363E-2</v>
      </c>
      <c r="M76" s="383">
        <f t="shared" si="63"/>
        <v>1.3806222222222224</v>
      </c>
      <c r="N76" s="500" t="s">
        <v>328</v>
      </c>
      <c r="O76" s="500">
        <v>1</v>
      </c>
      <c r="P76" s="501">
        <v>1.5</v>
      </c>
      <c r="Q76" s="501">
        <v>0</v>
      </c>
      <c r="R76" s="500">
        <f t="shared" si="4"/>
        <v>1.5</v>
      </c>
      <c r="S76" s="380">
        <f>[2]押出工时ekstrusi!I7</f>
        <v>8668.5552407931991</v>
      </c>
      <c r="T76" s="419">
        <f t="shared" si="67"/>
        <v>1.1535947712418304E-4</v>
      </c>
      <c r="U76" s="419">
        <f t="shared" si="68"/>
        <v>2.070933333333334</v>
      </c>
      <c r="V76" s="362">
        <f t="shared" si="72"/>
        <v>2.070933333333334</v>
      </c>
      <c r="W76" s="405">
        <f t="shared" si="70"/>
        <v>1.5</v>
      </c>
      <c r="X76" s="490" t="s">
        <v>324</v>
      </c>
    </row>
    <row r="77" spans="1:24">
      <c r="A77" s="357">
        <v>45360</v>
      </c>
      <c r="B77" s="500" t="s">
        <v>336</v>
      </c>
      <c r="C77" s="500"/>
      <c r="D77" s="785" t="s">
        <v>261</v>
      </c>
      <c r="E77" s="786">
        <f t="shared" si="64"/>
        <v>27755.10204081632</v>
      </c>
      <c r="F77" s="790" t="s">
        <v>57</v>
      </c>
      <c r="G77" s="787">
        <f>1.555*H77</f>
        <v>25139.684999999998</v>
      </c>
      <c r="H77" s="788">
        <f>9367+6800</f>
        <v>16167</v>
      </c>
      <c r="I77" s="789">
        <f>8.4945*G77/1000</f>
        <v>213.5490542325</v>
      </c>
      <c r="J77" s="501">
        <f>2.3+1.5</f>
        <v>3.8</v>
      </c>
      <c r="K77" s="501">
        <f>1.55+0.45</f>
        <v>2</v>
      </c>
      <c r="L77" s="418">
        <f t="shared" si="66"/>
        <v>2.6441873753657783E-2</v>
      </c>
      <c r="M77" s="383">
        <f t="shared" si="63"/>
        <v>0.90576806250000008</v>
      </c>
      <c r="N77" s="500" t="s">
        <v>338</v>
      </c>
      <c r="O77" s="500">
        <v>2</v>
      </c>
      <c r="P77" s="501">
        <v>4</v>
      </c>
      <c r="Q77" s="501">
        <v>0</v>
      </c>
      <c r="R77" s="500">
        <f t="shared" si="4"/>
        <v>8</v>
      </c>
      <c r="S77" s="380">
        <f>[2]押出工时ekstrusi!I19</f>
        <v>3469.38775510204</v>
      </c>
      <c r="T77" s="419">
        <f t="shared" si="67"/>
        <v>2.8823529411764714E-4</v>
      </c>
      <c r="U77" s="419">
        <f t="shared" si="68"/>
        <v>7.2461445000000015</v>
      </c>
      <c r="V77" s="362">
        <f t="shared" ref="V77:V78" si="73">IFERROR(IF(U77&lt;&gt;"",SUM(U77),""),"input error")</f>
        <v>7.2461445000000015</v>
      </c>
      <c r="W77" s="405">
        <f t="shared" si="70"/>
        <v>8</v>
      </c>
      <c r="X77" s="422"/>
    </row>
    <row r="78" spans="1:24">
      <c r="A78" s="357">
        <v>45360</v>
      </c>
      <c r="B78" s="500" t="s">
        <v>331</v>
      </c>
      <c r="C78" s="500"/>
      <c r="D78" s="500" t="s">
        <v>446</v>
      </c>
      <c r="E78" s="416">
        <f t="shared" si="64"/>
        <v>17337.110481586398</v>
      </c>
      <c r="F78" s="379" t="s">
        <v>10</v>
      </c>
      <c r="G78" s="420">
        <f>1.59*H78</f>
        <v>19531.560000000001</v>
      </c>
      <c r="H78" s="421">
        <f>7320+4964</f>
        <v>12284</v>
      </c>
      <c r="I78" s="370">
        <f>20.1406*G78/1000</f>
        <v>393.37733733599998</v>
      </c>
      <c r="J78" s="501">
        <f>1.65+2.5</f>
        <v>4.1500000000000004</v>
      </c>
      <c r="K78" s="501">
        <f>3.6+0.85</f>
        <v>4.45</v>
      </c>
      <c r="L78" s="418">
        <f t="shared" si="66"/>
        <v>2.1394240921625732E-2</v>
      </c>
      <c r="M78" s="383">
        <f t="shared" si="63"/>
        <v>1.1265752745098043</v>
      </c>
      <c r="N78" s="500" t="s">
        <v>181</v>
      </c>
      <c r="O78" s="500">
        <v>2</v>
      </c>
      <c r="P78" s="501">
        <v>4</v>
      </c>
      <c r="Q78" s="501">
        <v>0</v>
      </c>
      <c r="R78" s="500">
        <f t="shared" si="4"/>
        <v>8</v>
      </c>
      <c r="S78" s="380">
        <f>[2]押出工时ekstrusi!I28</f>
        <v>2167.1388101982998</v>
      </c>
      <c r="T78" s="419">
        <f t="shared" si="67"/>
        <v>4.6143790849673214E-4</v>
      </c>
      <c r="U78" s="419">
        <f t="shared" si="68"/>
        <v>9.0126021960784346</v>
      </c>
      <c r="V78" s="362">
        <f t="shared" si="73"/>
        <v>9.0126021960784346</v>
      </c>
      <c r="W78" s="405">
        <f t="shared" si="70"/>
        <v>8</v>
      </c>
      <c r="X78" s="422"/>
    </row>
    <row r="79" spans="1:24">
      <c r="A79" s="357"/>
      <c r="B79" s="500"/>
      <c r="C79" s="500"/>
      <c r="D79" s="500"/>
      <c r="E79" s="416"/>
      <c r="F79" s="379"/>
      <c r="G79" s="420"/>
      <c r="H79" s="421"/>
      <c r="I79" s="370"/>
      <c r="J79" s="501"/>
      <c r="K79" s="501"/>
      <c r="L79" s="418"/>
      <c r="M79" s="383" t="str">
        <f t="shared" si="63"/>
        <v/>
      </c>
      <c r="N79" s="500"/>
      <c r="O79" s="500"/>
      <c r="P79" s="501"/>
      <c r="Q79" s="501"/>
      <c r="R79" s="500"/>
      <c r="S79" s="380"/>
      <c r="T79" s="419"/>
      <c r="U79" s="419"/>
      <c r="V79" s="362"/>
      <c r="W79" s="405"/>
      <c r="X79" s="422"/>
    </row>
    <row r="80" spans="1:24">
      <c r="A80" s="357">
        <v>45363</v>
      </c>
      <c r="B80" s="500" t="s">
        <v>317</v>
      </c>
      <c r="C80" s="500"/>
      <c r="D80" s="500" t="s">
        <v>31</v>
      </c>
      <c r="E80" s="416">
        <f t="shared" ref="E80:E88" si="74">IFERROR(IF(S80&lt;&gt;"",W80*S80,""),"input error")</f>
        <v>13002.8328611898</v>
      </c>
      <c r="F80" s="379" t="s">
        <v>32</v>
      </c>
      <c r="G80" s="417">
        <f>H80</f>
        <v>13675</v>
      </c>
      <c r="H80" s="417">
        <f>13675</f>
        <v>13675</v>
      </c>
      <c r="I80" s="370">
        <f>3.6328*G80/1000</f>
        <v>49.678539999999998</v>
      </c>
      <c r="J80" s="501">
        <f>0.57</f>
        <v>0.56999999999999995</v>
      </c>
      <c r="K80" s="501">
        <f>0.65</f>
        <v>0.65</v>
      </c>
      <c r="L80" s="418">
        <f t="shared" ref="L80:L88" si="75">IFERROR(IF(I80&lt;&gt;"",(J80+K80)/(I80+J80+K80),""),"input error")</f>
        <v>2.3969253342040853E-2</v>
      </c>
      <c r="M80" s="383">
        <f t="shared" si="63"/>
        <v>1.0516938997821352</v>
      </c>
      <c r="N80" s="500" t="s">
        <v>490</v>
      </c>
      <c r="O80" s="500">
        <v>1</v>
      </c>
      <c r="P80" s="501">
        <v>1.5</v>
      </c>
      <c r="Q80" s="501">
        <v>0</v>
      </c>
      <c r="R80" s="500">
        <f t="shared" si="4"/>
        <v>1.5</v>
      </c>
      <c r="S80" s="380">
        <f>[2]押出工时ekstrusi!I7</f>
        <v>8668.5552407931991</v>
      </c>
      <c r="T80" s="419">
        <f t="shared" ref="T80:T88" si="76">IFERROR(IF(S80&lt;&gt;"",1/S80,""),"input error")</f>
        <v>1.1535947712418304E-4</v>
      </c>
      <c r="U80" s="419">
        <f t="shared" ref="U80:U88" si="77">IFERROR(IF(T80&lt;&gt;"",T80*G80,""),"input error")</f>
        <v>1.5775408496732031</v>
      </c>
      <c r="V80" s="362">
        <f t="shared" ref="V80:V82" si="78">IFERROR(IF(U80&lt;&gt;"",SUM(U80),""),"input error")</f>
        <v>1.5775408496732031</v>
      </c>
      <c r="W80" s="405">
        <f t="shared" ref="W80:W88" si="79">IFERROR(IF(R80&lt;&gt;"",R80*U80/V80,""),"input error")</f>
        <v>1.5</v>
      </c>
      <c r="X80" s="490" t="s">
        <v>322</v>
      </c>
    </row>
    <row r="81" spans="1:24">
      <c r="A81" s="357">
        <v>45363</v>
      </c>
      <c r="B81" s="500" t="s">
        <v>317</v>
      </c>
      <c r="C81" s="500"/>
      <c r="D81" s="500" t="s">
        <v>446</v>
      </c>
      <c r="E81" s="416">
        <f t="shared" si="74"/>
        <v>69348.441926345593</v>
      </c>
      <c r="F81" s="423" t="s">
        <v>10</v>
      </c>
      <c r="G81" s="417">
        <f t="shared" ref="G81:G86" si="80">H81</f>
        <v>56335</v>
      </c>
      <c r="H81" s="417">
        <f>28597+27738</f>
        <v>56335</v>
      </c>
      <c r="I81" s="370">
        <f>1.9509*G81/1000</f>
        <v>109.90395150000001</v>
      </c>
      <c r="J81" s="501">
        <f>0.8+1.5</f>
        <v>2.2999999999999998</v>
      </c>
      <c r="K81" s="501">
        <f>0.44+2.2</f>
        <v>2.64</v>
      </c>
      <c r="L81" s="418">
        <f t="shared" si="75"/>
        <v>4.3014890514281888E-2</v>
      </c>
      <c r="M81" s="383">
        <f t="shared" si="63"/>
        <v>0.81234701797385644</v>
      </c>
      <c r="N81" s="500" t="s">
        <v>491</v>
      </c>
      <c r="O81" s="500">
        <v>2</v>
      </c>
      <c r="P81" s="501">
        <v>4</v>
      </c>
      <c r="Q81" s="501">
        <v>0</v>
      </c>
      <c r="R81" s="500">
        <f t="shared" si="4"/>
        <v>8</v>
      </c>
      <c r="S81" s="380">
        <f>[2]押出工时ekstrusi!I7</f>
        <v>8668.5552407931991</v>
      </c>
      <c r="T81" s="419">
        <f t="shared" si="76"/>
        <v>1.1535947712418304E-4</v>
      </c>
      <c r="U81" s="419">
        <f t="shared" si="77"/>
        <v>6.4987761437908516</v>
      </c>
      <c r="V81" s="362">
        <f t="shared" si="78"/>
        <v>6.4987761437908516</v>
      </c>
      <c r="W81" s="405">
        <f t="shared" si="79"/>
        <v>8</v>
      </c>
      <c r="X81" s="490" t="s">
        <v>321</v>
      </c>
    </row>
    <row r="82" spans="1:24">
      <c r="A82" s="357">
        <v>45363</v>
      </c>
      <c r="B82" s="500" t="s">
        <v>317</v>
      </c>
      <c r="C82" s="500"/>
      <c r="D82" s="500" t="s">
        <v>446</v>
      </c>
      <c r="E82" s="416">
        <f t="shared" si="74"/>
        <v>65106.382978723195</v>
      </c>
      <c r="F82" s="379" t="s">
        <v>10</v>
      </c>
      <c r="G82" s="417">
        <f t="shared" si="80"/>
        <v>38005</v>
      </c>
      <c r="H82" s="417">
        <f>38005</f>
        <v>38005</v>
      </c>
      <c r="I82" s="370">
        <f>1.9381*G82/1000</f>
        <v>73.657490499999994</v>
      </c>
      <c r="J82" s="501">
        <f>2</f>
        <v>2</v>
      </c>
      <c r="K82" s="501">
        <f>0</f>
        <v>0</v>
      </c>
      <c r="L82" s="418">
        <f t="shared" si="75"/>
        <v>2.6434923849344438E-2</v>
      </c>
      <c r="M82" s="383">
        <f t="shared" si="63"/>
        <v>0.583736928104577</v>
      </c>
      <c r="N82" s="500" t="s">
        <v>492</v>
      </c>
      <c r="O82" s="500">
        <v>1</v>
      </c>
      <c r="P82" s="501">
        <v>6</v>
      </c>
      <c r="Q82" s="501">
        <v>0</v>
      </c>
      <c r="R82" s="500">
        <f t="shared" si="4"/>
        <v>6</v>
      </c>
      <c r="S82" s="380">
        <f>[2]押出工时ekstrusi!I5</f>
        <v>10851.063829787199</v>
      </c>
      <c r="T82" s="419">
        <f t="shared" si="76"/>
        <v>9.2156862745098334E-5</v>
      </c>
      <c r="U82" s="419">
        <f t="shared" si="77"/>
        <v>3.502421568627462</v>
      </c>
      <c r="V82" s="362">
        <f t="shared" si="78"/>
        <v>3.502421568627462</v>
      </c>
      <c r="W82" s="405">
        <f t="shared" si="79"/>
        <v>6</v>
      </c>
      <c r="X82" s="490" t="s">
        <v>322</v>
      </c>
    </row>
    <row r="83" spans="1:24">
      <c r="A83" s="357">
        <v>45363</v>
      </c>
      <c r="B83" s="500" t="s">
        <v>344</v>
      </c>
      <c r="C83" s="500"/>
      <c r="D83" s="785" t="s">
        <v>261</v>
      </c>
      <c r="E83" s="786">
        <f t="shared" si="74"/>
        <v>43342.776203965994</v>
      </c>
      <c r="F83" s="756" t="s">
        <v>57</v>
      </c>
      <c r="G83" s="787">
        <f t="shared" si="80"/>
        <v>37778</v>
      </c>
      <c r="H83" s="787">
        <f>37778</f>
        <v>37778</v>
      </c>
      <c r="I83" s="789">
        <f>2.8565*G83/1000</f>
        <v>107.912857</v>
      </c>
      <c r="J83" s="501">
        <f>0.5</f>
        <v>0.5</v>
      </c>
      <c r="K83" s="501">
        <f>0.7</f>
        <v>0.7</v>
      </c>
      <c r="L83" s="418">
        <f t="shared" si="75"/>
        <v>1.0997787364324994E-2</v>
      </c>
      <c r="M83" s="383">
        <f t="shared" si="63"/>
        <v>0.87161006535947738</v>
      </c>
      <c r="N83" s="500" t="s">
        <v>325</v>
      </c>
      <c r="O83" s="500">
        <v>1</v>
      </c>
      <c r="P83" s="501">
        <v>5</v>
      </c>
      <c r="Q83" s="501">
        <v>0</v>
      </c>
      <c r="R83" s="500">
        <f t="shared" si="4"/>
        <v>5</v>
      </c>
      <c r="S83" s="380">
        <f>[2]押出工时ekstrusi!I7</f>
        <v>8668.5552407931991</v>
      </c>
      <c r="T83" s="419">
        <f t="shared" si="76"/>
        <v>1.1535947712418304E-4</v>
      </c>
      <c r="U83" s="419">
        <f t="shared" si="77"/>
        <v>4.3580503267973869</v>
      </c>
      <c r="V83" s="362">
        <f t="shared" ref="V83:V86" si="81">IFERROR(IF(U83&lt;&gt;"",SUM(U83),""),"input error")</f>
        <v>4.3580503267973869</v>
      </c>
      <c r="W83" s="405">
        <f t="shared" si="79"/>
        <v>5</v>
      </c>
      <c r="X83" s="490" t="s">
        <v>324</v>
      </c>
    </row>
    <row r="84" spans="1:24">
      <c r="A84" s="357">
        <v>45363</v>
      </c>
      <c r="B84" s="500" t="s">
        <v>327</v>
      </c>
      <c r="C84" s="500"/>
      <c r="D84" s="500" t="s">
        <v>31</v>
      </c>
      <c r="E84" s="416">
        <f t="shared" si="74"/>
        <v>26005.665722379599</v>
      </c>
      <c r="F84" s="379" t="s">
        <v>32</v>
      </c>
      <c r="G84" s="417">
        <f t="shared" si="80"/>
        <v>23888</v>
      </c>
      <c r="H84" s="417">
        <f>5040+18848</f>
        <v>23888</v>
      </c>
      <c r="I84" s="370">
        <f>0.7593*G84/1000</f>
        <v>18.138158400000002</v>
      </c>
      <c r="J84" s="501">
        <f>0.13+0.51</f>
        <v>0.64</v>
      </c>
      <c r="K84" s="501">
        <f>0.95+0.93</f>
        <v>1.88</v>
      </c>
      <c r="L84" s="418">
        <f t="shared" si="75"/>
        <v>0.12198570420488207</v>
      </c>
      <c r="M84" s="383">
        <f t="shared" si="63"/>
        <v>0.91856906318082798</v>
      </c>
      <c r="N84" s="500" t="s">
        <v>493</v>
      </c>
      <c r="O84" s="500">
        <v>2</v>
      </c>
      <c r="P84" s="501">
        <v>1.5</v>
      </c>
      <c r="Q84" s="501">
        <v>0</v>
      </c>
      <c r="R84" s="500">
        <f t="shared" si="4"/>
        <v>3</v>
      </c>
      <c r="S84" s="380">
        <f>[2]押出工时ekstrusi!I7</f>
        <v>8668.5552407931991</v>
      </c>
      <c r="T84" s="419">
        <f t="shared" si="76"/>
        <v>1.1535947712418304E-4</v>
      </c>
      <c r="U84" s="419">
        <f t="shared" si="77"/>
        <v>2.7557071895424845</v>
      </c>
      <c r="V84" s="362">
        <f t="shared" si="81"/>
        <v>2.7557071895424845</v>
      </c>
      <c r="W84" s="405">
        <f t="shared" si="79"/>
        <v>3</v>
      </c>
      <c r="X84" s="493" t="s">
        <v>334</v>
      </c>
    </row>
    <row r="85" spans="1:24">
      <c r="A85" s="357">
        <v>45363</v>
      </c>
      <c r="B85" s="500" t="s">
        <v>327</v>
      </c>
      <c r="C85" s="500"/>
      <c r="D85" s="785" t="s">
        <v>265</v>
      </c>
      <c r="E85" s="786">
        <f t="shared" si="74"/>
        <v>30339.943342776198</v>
      </c>
      <c r="F85" s="753" t="s">
        <v>39</v>
      </c>
      <c r="G85" s="787">
        <f t="shared" si="80"/>
        <v>40764</v>
      </c>
      <c r="H85" s="787">
        <f>40764</f>
        <v>40764</v>
      </c>
      <c r="I85" s="789">
        <f>0.8*G85/1000</f>
        <v>32.611200000000004</v>
      </c>
      <c r="J85" s="501">
        <f>0.85</f>
        <v>0.85</v>
      </c>
      <c r="K85" s="501">
        <f>1.39</f>
        <v>1.39</v>
      </c>
      <c r="L85" s="418">
        <f t="shared" si="75"/>
        <v>6.427325314479844E-2</v>
      </c>
      <c r="M85" s="383">
        <f t="shared" si="63"/>
        <v>1.3435753501400562</v>
      </c>
      <c r="N85" s="500" t="s">
        <v>330</v>
      </c>
      <c r="O85" s="500">
        <v>1</v>
      </c>
      <c r="P85" s="501">
        <v>3.5</v>
      </c>
      <c r="Q85" s="501">
        <v>0</v>
      </c>
      <c r="R85" s="500">
        <f t="shared" si="4"/>
        <v>3.5</v>
      </c>
      <c r="S85" s="380">
        <f>[2]押出工时ekstrusi!I7</f>
        <v>8668.5552407931991</v>
      </c>
      <c r="T85" s="792">
        <f t="shared" si="76"/>
        <v>1.1535947712418304E-4</v>
      </c>
      <c r="U85" s="792">
        <f t="shared" si="77"/>
        <v>4.7025137254901974</v>
      </c>
      <c r="V85" s="793">
        <f t="shared" si="81"/>
        <v>4.7025137254901974</v>
      </c>
      <c r="W85" s="771">
        <f t="shared" si="79"/>
        <v>3.5</v>
      </c>
      <c r="X85" s="794" t="s">
        <v>494</v>
      </c>
    </row>
    <row r="86" spans="1:24">
      <c r="A86" s="357">
        <v>45363</v>
      </c>
      <c r="B86" s="500" t="s">
        <v>327</v>
      </c>
      <c r="C86" s="500"/>
      <c r="D86" s="415" t="s">
        <v>318</v>
      </c>
      <c r="E86" s="416">
        <f t="shared" si="74"/>
        <v>44853.420195439736</v>
      </c>
      <c r="F86" s="500" t="s">
        <v>319</v>
      </c>
      <c r="G86" s="417">
        <f t="shared" si="80"/>
        <v>59431</v>
      </c>
      <c r="H86" s="417">
        <f>59431</f>
        <v>59431</v>
      </c>
      <c r="I86" s="370">
        <f>1.2238*G86/1000</f>
        <v>72.731657800000008</v>
      </c>
      <c r="J86" s="501">
        <f>0.5</f>
        <v>0.5</v>
      </c>
      <c r="K86" s="501">
        <f>0.5</f>
        <v>0.5</v>
      </c>
      <c r="L86" s="418">
        <f t="shared" si="75"/>
        <v>1.3562695181933098E-2</v>
      </c>
      <c r="M86" s="383">
        <f t="shared" si="63"/>
        <v>1.3250048656499638</v>
      </c>
      <c r="N86" s="500" t="s">
        <v>481</v>
      </c>
      <c r="O86" s="500">
        <v>1</v>
      </c>
      <c r="P86" s="501">
        <v>4.5</v>
      </c>
      <c r="Q86" s="501">
        <v>0</v>
      </c>
      <c r="R86" s="500">
        <f t="shared" ref="R86:R88" si="82">O86*P86-Q86</f>
        <v>4.5</v>
      </c>
      <c r="S86" s="380">
        <f>[2]押出工时ekstrusi!I6</f>
        <v>9967.4267100977195</v>
      </c>
      <c r="T86" s="419">
        <f t="shared" si="76"/>
        <v>1.0032679738562091E-4</v>
      </c>
      <c r="U86" s="419">
        <f t="shared" si="77"/>
        <v>5.9625218954248362</v>
      </c>
      <c r="V86" s="362">
        <f t="shared" si="81"/>
        <v>5.9625218954248362</v>
      </c>
      <c r="W86" s="405">
        <f t="shared" si="79"/>
        <v>4.5</v>
      </c>
      <c r="X86" s="490" t="s">
        <v>324</v>
      </c>
    </row>
    <row r="87" spans="1:24">
      <c r="A87" s="357">
        <v>45363</v>
      </c>
      <c r="B87" s="500" t="s">
        <v>336</v>
      </c>
      <c r="C87" s="500">
        <v>20240207005</v>
      </c>
      <c r="D87" s="500" t="s">
        <v>31</v>
      </c>
      <c r="E87" s="416">
        <f t="shared" si="74"/>
        <v>32507.082152974497</v>
      </c>
      <c r="F87" s="379" t="s">
        <v>32</v>
      </c>
      <c r="G87" s="420">
        <f>1.275*H87</f>
        <v>36104.174999999996</v>
      </c>
      <c r="H87" s="421">
        <f>13300+15017</f>
        <v>28317</v>
      </c>
      <c r="I87" s="370">
        <f>18.008*G87/1000</f>
        <v>650.16398339999989</v>
      </c>
      <c r="J87" s="501">
        <f>3.16+1.2</f>
        <v>4.3600000000000003</v>
      </c>
      <c r="K87" s="501">
        <f>1.55+0.3</f>
        <v>1.85</v>
      </c>
      <c r="L87" s="418">
        <f t="shared" si="75"/>
        <v>9.4610696905327724E-3</v>
      </c>
      <c r="M87" s="383">
        <f t="shared" si="63"/>
        <v>1.1106556666666667</v>
      </c>
      <c r="N87" s="500" t="s">
        <v>495</v>
      </c>
      <c r="O87" s="500">
        <v>2</v>
      </c>
      <c r="P87" s="501">
        <v>7.5</v>
      </c>
      <c r="Q87" s="501">
        <v>0</v>
      </c>
      <c r="R87" s="500">
        <f t="shared" si="82"/>
        <v>15</v>
      </c>
      <c r="S87" s="380">
        <f>[2]押出工时ekstrusi!I20</f>
        <v>2167.1388101982998</v>
      </c>
      <c r="T87" s="419">
        <f t="shared" si="76"/>
        <v>4.6143790849673214E-4</v>
      </c>
      <c r="U87" s="419">
        <f t="shared" si="77"/>
        <v>16.659835000000001</v>
      </c>
      <c r="V87" s="362">
        <f t="shared" ref="V87:V88" si="83">IFERROR(IF(U87&lt;&gt;"",SUM(U87),""),"input error")</f>
        <v>16.659835000000001</v>
      </c>
      <c r="W87" s="405">
        <f t="shared" si="79"/>
        <v>15</v>
      </c>
      <c r="X87" s="422"/>
    </row>
    <row r="88" spans="1:24">
      <c r="A88" s="357">
        <v>45363</v>
      </c>
      <c r="B88" s="500" t="s">
        <v>331</v>
      </c>
      <c r="C88" s="500">
        <v>20240202002</v>
      </c>
      <c r="D88" s="500" t="s">
        <v>446</v>
      </c>
      <c r="E88" s="416">
        <f t="shared" si="74"/>
        <v>39030.612244897951</v>
      </c>
      <c r="F88" s="379" t="s">
        <v>10</v>
      </c>
      <c r="G88" s="420">
        <f>1.59*H88</f>
        <v>40932.959999999999</v>
      </c>
      <c r="H88" s="421">
        <f>12200+13544</f>
        <v>25744</v>
      </c>
      <c r="I88" s="370">
        <f>20.1406*G88/1000</f>
        <v>824.41437417599991</v>
      </c>
      <c r="J88" s="501">
        <f>2.656+8.65</f>
        <v>11.306000000000001</v>
      </c>
      <c r="K88" s="501">
        <f>0.7+0.6</f>
        <v>1.2999999999999998</v>
      </c>
      <c r="L88" s="418">
        <f t="shared" si="75"/>
        <v>1.5060565296764621E-2</v>
      </c>
      <c r="M88" s="383">
        <f t="shared" si="63"/>
        <v>1.0487398901960787</v>
      </c>
      <c r="N88" s="500" t="s">
        <v>496</v>
      </c>
      <c r="O88" s="500">
        <v>2</v>
      </c>
      <c r="P88" s="501">
        <v>7.5</v>
      </c>
      <c r="Q88" s="501">
        <v>0</v>
      </c>
      <c r="R88" s="500">
        <f t="shared" si="82"/>
        <v>15</v>
      </c>
      <c r="S88" s="380">
        <f>[2]押出工时ekstrusi!I27</f>
        <v>2602.0408163265301</v>
      </c>
      <c r="T88" s="419">
        <f t="shared" si="76"/>
        <v>3.8431372549019614E-4</v>
      </c>
      <c r="U88" s="419">
        <f t="shared" si="77"/>
        <v>15.731098352941178</v>
      </c>
      <c r="V88" s="362">
        <f t="shared" si="83"/>
        <v>15.731098352941178</v>
      </c>
      <c r="W88" s="405">
        <f t="shared" si="79"/>
        <v>15</v>
      </c>
      <c r="X88" s="422"/>
    </row>
    <row r="89" spans="1:24">
      <c r="A89" s="357"/>
      <c r="B89" s="500"/>
      <c r="C89" s="500"/>
      <c r="D89" s="500"/>
      <c r="E89" s="416"/>
      <c r="F89" s="379"/>
      <c r="G89" s="420"/>
      <c r="H89" s="421"/>
      <c r="I89" s="370"/>
      <c r="J89" s="501"/>
      <c r="K89" s="501"/>
      <c r="L89" s="418"/>
      <c r="M89" s="383" t="str">
        <f t="shared" si="63"/>
        <v/>
      </c>
      <c r="N89" s="500"/>
      <c r="O89" s="500"/>
      <c r="P89" s="501"/>
      <c r="Q89" s="501"/>
      <c r="R89" s="500"/>
      <c r="S89" s="380"/>
      <c r="T89" s="419"/>
      <c r="U89" s="419"/>
      <c r="V89" s="362"/>
      <c r="W89" s="405"/>
      <c r="X89" s="422"/>
    </row>
    <row r="90" spans="1:24">
      <c r="A90" s="357"/>
      <c r="B90" s="500"/>
      <c r="C90" s="500"/>
      <c r="D90" s="500"/>
      <c r="E90" s="416"/>
      <c r="F90" s="379"/>
      <c r="G90" s="420"/>
      <c r="H90" s="421"/>
      <c r="I90" s="370"/>
      <c r="J90" s="501"/>
      <c r="K90" s="501"/>
      <c r="L90" s="418"/>
      <c r="M90" s="383" t="str">
        <f t="shared" si="63"/>
        <v/>
      </c>
      <c r="N90" s="500"/>
      <c r="O90" s="500"/>
      <c r="P90" s="501"/>
      <c r="Q90" s="501"/>
      <c r="R90" s="500"/>
      <c r="S90" s="380"/>
      <c r="T90" s="419"/>
      <c r="U90" s="419"/>
      <c r="V90" s="362"/>
      <c r="W90" s="405"/>
      <c r="X90" s="422"/>
    </row>
    <row r="91" spans="1:24">
      <c r="A91" s="357"/>
      <c r="B91" s="500"/>
      <c r="C91" s="500"/>
      <c r="D91" s="500"/>
      <c r="E91" s="416"/>
      <c r="F91" s="379"/>
      <c r="G91" s="420"/>
      <c r="H91" s="421"/>
      <c r="I91" s="370"/>
      <c r="J91" s="501"/>
      <c r="K91" s="501"/>
      <c r="L91" s="418"/>
      <c r="M91" s="383" t="str">
        <f t="shared" si="63"/>
        <v/>
      </c>
      <c r="N91" s="500"/>
      <c r="O91" s="500"/>
      <c r="P91" s="501"/>
      <c r="Q91" s="501"/>
      <c r="R91" s="500"/>
      <c r="S91" s="380"/>
      <c r="T91" s="419"/>
      <c r="U91" s="419"/>
      <c r="V91" s="362"/>
      <c r="W91" s="405"/>
      <c r="X91" s="422"/>
    </row>
    <row r="92" spans="1:24">
      <c r="A92" s="357"/>
      <c r="B92" s="500"/>
      <c r="C92" s="500"/>
      <c r="D92" s="500"/>
      <c r="E92" s="416"/>
      <c r="F92" s="379"/>
      <c r="G92" s="420"/>
      <c r="H92" s="421"/>
      <c r="I92" s="370"/>
      <c r="J92" s="501"/>
      <c r="K92" s="501"/>
      <c r="L92" s="418"/>
      <c r="M92" s="383" t="str">
        <f t="shared" si="63"/>
        <v/>
      </c>
      <c r="N92" s="500"/>
      <c r="O92" s="500"/>
      <c r="P92" s="501"/>
      <c r="Q92" s="501"/>
      <c r="R92" s="500"/>
      <c r="S92" s="380"/>
      <c r="T92" s="419"/>
      <c r="U92" s="419"/>
      <c r="V92" s="362"/>
      <c r="W92" s="405"/>
      <c r="X92" s="422"/>
    </row>
    <row r="93" spans="1:24">
      <c r="A93" s="364"/>
      <c r="B93" s="500"/>
      <c r="C93" s="490"/>
      <c r="D93" s="500"/>
      <c r="E93" s="416"/>
      <c r="F93" s="374"/>
      <c r="G93" s="417"/>
      <c r="H93" s="421"/>
      <c r="I93" s="370"/>
      <c r="J93" s="501"/>
      <c r="K93" s="501"/>
      <c r="L93" s="418"/>
      <c r="M93" s="383" t="str">
        <f t="shared" si="63"/>
        <v/>
      </c>
      <c r="N93" s="500"/>
      <c r="O93" s="500"/>
      <c r="P93" s="501"/>
      <c r="Q93" s="501"/>
      <c r="R93" s="500"/>
      <c r="S93" s="380"/>
      <c r="T93" s="419"/>
      <c r="U93" s="419"/>
      <c r="V93" s="362"/>
      <c r="W93" s="405"/>
      <c r="X93" s="422"/>
    </row>
    <row r="94" spans="1:24" ht="37.5">
      <c r="K94" s="693"/>
      <c r="L94" s="693"/>
      <c r="M94" s="352"/>
      <c r="N94" s="352"/>
      <c r="O94" s="352"/>
      <c r="P94" s="352"/>
      <c r="Q94" s="352"/>
      <c r="R94" s="366"/>
      <c r="S94" s="366"/>
      <c r="T94" s="683" t="s">
        <v>182</v>
      </c>
      <c r="U94" s="683"/>
      <c r="V94" s="683" t="s">
        <v>183</v>
      </c>
      <c r="W94" s="683"/>
      <c r="X94" s="512" t="s">
        <v>184</v>
      </c>
    </row>
    <row r="95" spans="1:24">
      <c r="D95" s="365"/>
      <c r="I95" s="704"/>
      <c r="J95" s="704"/>
      <c r="K95" s="693"/>
      <c r="L95" s="693"/>
      <c r="M95" s="352"/>
      <c r="N95" s="352"/>
      <c r="O95" s="352"/>
      <c r="P95" s="352"/>
      <c r="Q95" s="352"/>
      <c r="R95" s="352"/>
      <c r="S95" s="352"/>
      <c r="T95" s="673" t="s">
        <v>185</v>
      </c>
      <c r="U95" s="673"/>
      <c r="V95" s="674" t="s">
        <v>186</v>
      </c>
      <c r="W95" s="674"/>
      <c r="X95" s="512" t="s">
        <v>187</v>
      </c>
    </row>
    <row r="96" spans="1:24" s="424" customFormat="1" ht="15.75">
      <c r="B96" s="703"/>
      <c r="C96" s="703"/>
      <c r="D96" s="425"/>
      <c r="E96" s="352"/>
      <c r="F96" s="365"/>
      <c r="G96" s="693"/>
      <c r="H96" s="693"/>
      <c r="I96" s="693"/>
      <c r="J96" s="426"/>
      <c r="K96" s="426"/>
      <c r="L96" s="426"/>
      <c r="M96" s="351"/>
      <c r="N96" s="351"/>
      <c r="O96" s="351"/>
      <c r="P96" s="351"/>
      <c r="Q96" s="351"/>
      <c r="R96" s="351"/>
      <c r="S96" s="351"/>
      <c r="T96" s="675" t="s">
        <v>351</v>
      </c>
      <c r="U96" s="675"/>
      <c r="V96" s="675"/>
      <c r="W96" s="675"/>
      <c r="X96" s="675"/>
    </row>
    <row r="97" spans="2:17" s="424" customFormat="1" ht="14.25">
      <c r="B97" s="427"/>
      <c r="C97" s="427"/>
      <c r="D97" s="425"/>
      <c r="E97" s="426"/>
      <c r="F97" s="352"/>
      <c r="G97" s="426"/>
      <c r="H97" s="426"/>
      <c r="I97" s="426"/>
      <c r="J97" s="426"/>
      <c r="K97" s="426"/>
      <c r="L97" s="426"/>
      <c r="M97" s="426"/>
      <c r="N97" s="426"/>
      <c r="O97" s="426"/>
      <c r="P97" s="426"/>
      <c r="Q97" s="426"/>
    </row>
    <row r="98" spans="2:17">
      <c r="F98" s="426"/>
    </row>
  </sheetData>
  <autoFilter ref="A6:X56"/>
  <mergeCells count="16">
    <mergeCell ref="B96:C96"/>
    <mergeCell ref="G96:I96"/>
    <mergeCell ref="T96:X96"/>
    <mergeCell ref="K94:L94"/>
    <mergeCell ref="T94:U94"/>
    <mergeCell ref="V94:W94"/>
    <mergeCell ref="I95:J95"/>
    <mergeCell ref="K95:L95"/>
    <mergeCell ref="T95:U95"/>
    <mergeCell ref="V95:W95"/>
    <mergeCell ref="B1:X1"/>
    <mergeCell ref="B2:X2"/>
    <mergeCell ref="B3:X3"/>
    <mergeCell ref="B4:X4"/>
    <mergeCell ref="A5:C5"/>
    <mergeCell ref="W5:X5"/>
  </mergeCells>
  <conditionalFormatting sqref="M8 M11:M15 M58:M59">
    <cfRule type="cellIs" dxfId="111" priority="111" operator="lessThan">
      <formula>0.4759</formula>
    </cfRule>
    <cfRule type="cellIs" dxfId="110" priority="112" operator="lessThan">
      <formula>0.3</formula>
    </cfRule>
  </conditionalFormatting>
  <conditionalFormatting sqref="M7">
    <cfRule type="cellIs" dxfId="109" priority="109" operator="lessThan">
      <formula>0.4759</formula>
    </cfRule>
    <cfRule type="cellIs" dxfId="108" priority="110" operator="lessThan">
      <formula>0.3</formula>
    </cfRule>
  </conditionalFormatting>
  <conditionalFormatting sqref="M9">
    <cfRule type="cellIs" dxfId="107" priority="107" operator="lessThan">
      <formula>0.4759</formula>
    </cfRule>
    <cfRule type="cellIs" dxfId="106" priority="108" operator="lessThan">
      <formula>0.3</formula>
    </cfRule>
  </conditionalFormatting>
  <conditionalFormatting sqref="M10">
    <cfRule type="cellIs" dxfId="105" priority="105" operator="lessThan">
      <formula>0.4759</formula>
    </cfRule>
    <cfRule type="cellIs" dxfId="104" priority="106" operator="lessThan">
      <formula>0.3</formula>
    </cfRule>
  </conditionalFormatting>
  <conditionalFormatting sqref="M17">
    <cfRule type="cellIs" dxfId="103" priority="103" operator="lessThan">
      <formula>0.4759</formula>
    </cfRule>
    <cfRule type="cellIs" dxfId="102" priority="104" operator="lessThan">
      <formula>0.3</formula>
    </cfRule>
  </conditionalFormatting>
  <conditionalFormatting sqref="M18">
    <cfRule type="cellIs" dxfId="101" priority="101" operator="lessThan">
      <formula>0.4759</formula>
    </cfRule>
    <cfRule type="cellIs" dxfId="100" priority="102" operator="lessThan">
      <formula>0.3</formula>
    </cfRule>
  </conditionalFormatting>
  <conditionalFormatting sqref="M19">
    <cfRule type="cellIs" dxfId="99" priority="99" operator="lessThan">
      <formula>0.4759</formula>
    </cfRule>
    <cfRule type="cellIs" dxfId="98" priority="100" operator="lessThan">
      <formula>0.3</formula>
    </cfRule>
  </conditionalFormatting>
  <conditionalFormatting sqref="M20">
    <cfRule type="cellIs" dxfId="97" priority="97" operator="lessThan">
      <formula>0.4759</formula>
    </cfRule>
    <cfRule type="cellIs" dxfId="96" priority="98" operator="lessThan">
      <formula>0.3</formula>
    </cfRule>
  </conditionalFormatting>
  <conditionalFormatting sqref="M22">
    <cfRule type="cellIs" dxfId="95" priority="95" operator="lessThan">
      <formula>0.4759</formula>
    </cfRule>
    <cfRule type="cellIs" dxfId="94" priority="96" operator="lessThan">
      <formula>0.3</formula>
    </cfRule>
  </conditionalFormatting>
  <conditionalFormatting sqref="M23">
    <cfRule type="cellIs" dxfId="93" priority="93" operator="lessThan">
      <formula>0.4759</formula>
    </cfRule>
    <cfRule type="cellIs" dxfId="92" priority="94" operator="lessThan">
      <formula>0.3</formula>
    </cfRule>
  </conditionalFormatting>
  <conditionalFormatting sqref="M24">
    <cfRule type="cellIs" dxfId="91" priority="91" operator="lessThan">
      <formula>0.4759</formula>
    </cfRule>
    <cfRule type="cellIs" dxfId="90" priority="92" operator="lessThan">
      <formula>0.3</formula>
    </cfRule>
  </conditionalFormatting>
  <conditionalFormatting sqref="M25">
    <cfRule type="cellIs" dxfId="89" priority="89" operator="lessThan">
      <formula>0.4759</formula>
    </cfRule>
    <cfRule type="cellIs" dxfId="88" priority="90" operator="lessThan">
      <formula>0.3</formula>
    </cfRule>
  </conditionalFormatting>
  <conditionalFormatting sqref="M26">
    <cfRule type="cellIs" dxfId="87" priority="87" operator="lessThan">
      <formula>0.4759</formula>
    </cfRule>
    <cfRule type="cellIs" dxfId="86" priority="88" operator="lessThan">
      <formula>0.3</formula>
    </cfRule>
  </conditionalFormatting>
  <conditionalFormatting sqref="M16">
    <cfRule type="cellIs" dxfId="85" priority="85" operator="lessThan">
      <formula>0.4759</formula>
    </cfRule>
    <cfRule type="cellIs" dxfId="84" priority="86" operator="lessThan">
      <formula>0.3</formula>
    </cfRule>
  </conditionalFormatting>
  <conditionalFormatting sqref="M21">
    <cfRule type="cellIs" dxfId="83" priority="83" operator="lessThan">
      <formula>0.4759</formula>
    </cfRule>
    <cfRule type="cellIs" dxfId="82" priority="84" operator="lessThan">
      <formula>0.3</formula>
    </cfRule>
  </conditionalFormatting>
  <conditionalFormatting sqref="M27:M29 M42 M61 M71 M89:M93">
    <cfRule type="cellIs" dxfId="81" priority="81" operator="lessThan">
      <formula>0.4759</formula>
    </cfRule>
    <cfRule type="cellIs" dxfId="80" priority="82" operator="lessThan">
      <formula>0.3</formula>
    </cfRule>
  </conditionalFormatting>
  <conditionalFormatting sqref="M30:M32 M34:M35">
    <cfRule type="cellIs" dxfId="79" priority="79" operator="lessThan">
      <formula>0.4759</formula>
    </cfRule>
    <cfRule type="cellIs" dxfId="78" priority="80" operator="lessThan">
      <formula>0.3</formula>
    </cfRule>
  </conditionalFormatting>
  <conditionalFormatting sqref="M36">
    <cfRule type="cellIs" dxfId="77" priority="77" operator="lessThan">
      <formula>0.4759</formula>
    </cfRule>
    <cfRule type="cellIs" dxfId="76" priority="78" operator="lessThan">
      <formula>0.3</formula>
    </cfRule>
  </conditionalFormatting>
  <conditionalFormatting sqref="M33">
    <cfRule type="cellIs" dxfId="75" priority="75" operator="lessThan">
      <formula>0.4759</formula>
    </cfRule>
    <cfRule type="cellIs" dxfId="74" priority="76" operator="lessThan">
      <formula>0.3</formula>
    </cfRule>
  </conditionalFormatting>
  <conditionalFormatting sqref="M37">
    <cfRule type="cellIs" dxfId="73" priority="73" operator="lessThan">
      <formula>0.4759</formula>
    </cfRule>
    <cfRule type="cellIs" dxfId="72" priority="74" operator="lessThan">
      <formula>0.3</formula>
    </cfRule>
  </conditionalFormatting>
  <conditionalFormatting sqref="M38">
    <cfRule type="cellIs" dxfId="71" priority="71" operator="lessThan">
      <formula>0.4759</formula>
    </cfRule>
    <cfRule type="cellIs" dxfId="70" priority="72" operator="lessThan">
      <formula>0.3</formula>
    </cfRule>
  </conditionalFormatting>
  <conditionalFormatting sqref="M39:M41">
    <cfRule type="cellIs" dxfId="69" priority="69" operator="lessThan">
      <formula>0.4759</formula>
    </cfRule>
    <cfRule type="cellIs" dxfId="68" priority="70" operator="lessThan">
      <formula>0.3</formula>
    </cfRule>
  </conditionalFormatting>
  <conditionalFormatting sqref="M43">
    <cfRule type="cellIs" dxfId="67" priority="67" operator="lessThan">
      <formula>0.4759</formula>
    </cfRule>
    <cfRule type="cellIs" dxfId="66" priority="68" operator="lessThan">
      <formula>0.3</formula>
    </cfRule>
  </conditionalFormatting>
  <conditionalFormatting sqref="M44">
    <cfRule type="cellIs" dxfId="65" priority="65" operator="lessThan">
      <formula>0.4759</formula>
    </cfRule>
    <cfRule type="cellIs" dxfId="64" priority="66" operator="lessThan">
      <formula>0.3</formula>
    </cfRule>
  </conditionalFormatting>
  <conditionalFormatting sqref="M46">
    <cfRule type="cellIs" dxfId="63" priority="63" operator="lessThan">
      <formula>0.4759</formula>
    </cfRule>
    <cfRule type="cellIs" dxfId="62" priority="64" operator="lessThan">
      <formula>0.3</formula>
    </cfRule>
  </conditionalFormatting>
  <conditionalFormatting sqref="M45">
    <cfRule type="cellIs" dxfId="61" priority="61" operator="lessThan">
      <formula>0.4759</formula>
    </cfRule>
    <cfRule type="cellIs" dxfId="60" priority="62" operator="lessThan">
      <formula>0.3</formula>
    </cfRule>
  </conditionalFormatting>
  <conditionalFormatting sqref="M47">
    <cfRule type="cellIs" dxfId="59" priority="59" operator="lessThan">
      <formula>0.4759</formula>
    </cfRule>
    <cfRule type="cellIs" dxfId="58" priority="60" operator="lessThan">
      <formula>0.3</formula>
    </cfRule>
  </conditionalFormatting>
  <conditionalFormatting sqref="M49">
    <cfRule type="cellIs" dxfId="57" priority="57" operator="lessThan">
      <formula>0.4759</formula>
    </cfRule>
    <cfRule type="cellIs" dxfId="56" priority="58" operator="lessThan">
      <formula>0.3</formula>
    </cfRule>
  </conditionalFormatting>
  <conditionalFormatting sqref="M48">
    <cfRule type="cellIs" dxfId="55" priority="55" operator="lessThan">
      <formula>0.4759</formula>
    </cfRule>
    <cfRule type="cellIs" dxfId="54" priority="56" operator="lessThan">
      <formula>0.3</formula>
    </cfRule>
  </conditionalFormatting>
  <conditionalFormatting sqref="M50 M57 M60">
    <cfRule type="cellIs" dxfId="53" priority="53" operator="lessThan">
      <formula>0.4759</formula>
    </cfRule>
    <cfRule type="cellIs" dxfId="52" priority="54" operator="lessThan">
      <formula>0.3</formula>
    </cfRule>
  </conditionalFormatting>
  <conditionalFormatting sqref="M51:M52">
    <cfRule type="cellIs" dxfId="51" priority="51" operator="lessThan">
      <formula>0.4759</formula>
    </cfRule>
    <cfRule type="cellIs" dxfId="50" priority="52" operator="lessThan">
      <formula>0.3</formula>
    </cfRule>
  </conditionalFormatting>
  <conditionalFormatting sqref="M53:M54">
    <cfRule type="cellIs" dxfId="49" priority="49" operator="lessThan">
      <formula>0.4759</formula>
    </cfRule>
    <cfRule type="cellIs" dxfId="48" priority="50" operator="lessThan">
      <formula>0.3</formula>
    </cfRule>
  </conditionalFormatting>
  <conditionalFormatting sqref="M55:M56">
    <cfRule type="cellIs" dxfId="47" priority="47" operator="lessThan">
      <formula>0.4759</formula>
    </cfRule>
    <cfRule type="cellIs" dxfId="46" priority="48" operator="lessThan">
      <formula>0.3</formula>
    </cfRule>
  </conditionalFormatting>
  <conditionalFormatting sqref="M62">
    <cfRule type="cellIs" dxfId="45" priority="45" operator="lessThan">
      <formula>0.4759</formula>
    </cfRule>
    <cfRule type="cellIs" dxfId="44" priority="46" operator="lessThan">
      <formula>0.3</formula>
    </cfRule>
  </conditionalFormatting>
  <conditionalFormatting sqref="M63">
    <cfRule type="cellIs" dxfId="43" priority="43" operator="lessThan">
      <formula>0.4759</formula>
    </cfRule>
    <cfRule type="cellIs" dxfId="42" priority="44" operator="lessThan">
      <formula>0.3</formula>
    </cfRule>
  </conditionalFormatting>
  <conditionalFormatting sqref="M64">
    <cfRule type="cellIs" dxfId="41" priority="41" operator="lessThan">
      <formula>0.4759</formula>
    </cfRule>
    <cfRule type="cellIs" dxfId="40" priority="42" operator="lessThan">
      <formula>0.3</formula>
    </cfRule>
  </conditionalFormatting>
  <conditionalFormatting sqref="M65">
    <cfRule type="cellIs" dxfId="39" priority="39" operator="lessThan">
      <formula>0.4759</formula>
    </cfRule>
    <cfRule type="cellIs" dxfId="38" priority="40" operator="lessThan">
      <formula>0.3</formula>
    </cfRule>
  </conditionalFormatting>
  <conditionalFormatting sqref="M66">
    <cfRule type="cellIs" dxfId="37" priority="37" operator="lessThan">
      <formula>0.4759</formula>
    </cfRule>
    <cfRule type="cellIs" dxfId="36" priority="38" operator="lessThan">
      <formula>0.3</formula>
    </cfRule>
  </conditionalFormatting>
  <conditionalFormatting sqref="M67">
    <cfRule type="cellIs" dxfId="35" priority="35" operator="lessThan">
      <formula>0.4759</formula>
    </cfRule>
    <cfRule type="cellIs" dxfId="34" priority="36" operator="lessThan">
      <formula>0.3</formula>
    </cfRule>
  </conditionalFormatting>
  <conditionalFormatting sqref="M68">
    <cfRule type="cellIs" dxfId="33" priority="33" operator="lessThan">
      <formula>0.4759</formula>
    </cfRule>
    <cfRule type="cellIs" dxfId="32" priority="34" operator="lessThan">
      <formula>0.3</formula>
    </cfRule>
  </conditionalFormatting>
  <conditionalFormatting sqref="M69">
    <cfRule type="cellIs" dxfId="31" priority="31" operator="lessThan">
      <formula>0.4759</formula>
    </cfRule>
    <cfRule type="cellIs" dxfId="30" priority="32" operator="lessThan">
      <formula>0.3</formula>
    </cfRule>
  </conditionalFormatting>
  <conditionalFormatting sqref="M70">
    <cfRule type="cellIs" dxfId="29" priority="29" operator="lessThan">
      <formula>0.4759</formula>
    </cfRule>
    <cfRule type="cellIs" dxfId="28" priority="30" operator="lessThan">
      <formula>0.3</formula>
    </cfRule>
  </conditionalFormatting>
  <conditionalFormatting sqref="M72">
    <cfRule type="cellIs" dxfId="27" priority="27" operator="lessThan">
      <formula>0.4759</formula>
    </cfRule>
    <cfRule type="cellIs" dxfId="26" priority="28" operator="lessThan">
      <formula>0.3</formula>
    </cfRule>
  </conditionalFormatting>
  <conditionalFormatting sqref="M73">
    <cfRule type="cellIs" dxfId="25" priority="25" operator="lessThan">
      <formula>0.4759</formula>
    </cfRule>
    <cfRule type="cellIs" dxfId="24" priority="26" operator="lessThan">
      <formula>0.3</formula>
    </cfRule>
  </conditionalFormatting>
  <conditionalFormatting sqref="M74">
    <cfRule type="cellIs" dxfId="23" priority="23" operator="lessThan">
      <formula>0.4759</formula>
    </cfRule>
    <cfRule type="cellIs" dxfId="22" priority="24" operator="lessThan">
      <formula>0.3</formula>
    </cfRule>
  </conditionalFormatting>
  <conditionalFormatting sqref="M75:M78">
    <cfRule type="cellIs" dxfId="21" priority="21" operator="lessThan">
      <formula>0.4759</formula>
    </cfRule>
    <cfRule type="cellIs" dxfId="20" priority="22" operator="lessThan">
      <formula>0.3</formula>
    </cfRule>
  </conditionalFormatting>
  <conditionalFormatting sqref="M80">
    <cfRule type="cellIs" dxfId="19" priority="19" operator="lessThan">
      <formula>0.4759</formula>
    </cfRule>
    <cfRule type="cellIs" dxfId="18" priority="20" operator="lessThan">
      <formula>0.3</formula>
    </cfRule>
  </conditionalFormatting>
  <conditionalFormatting sqref="M81">
    <cfRule type="cellIs" dxfId="17" priority="17" operator="lessThan">
      <formula>0.4759</formula>
    </cfRule>
    <cfRule type="cellIs" dxfId="16" priority="18" operator="lessThan">
      <formula>0.3</formula>
    </cfRule>
  </conditionalFormatting>
  <conditionalFormatting sqref="M82">
    <cfRule type="cellIs" dxfId="15" priority="15" operator="lessThan">
      <formula>0.4759</formula>
    </cfRule>
    <cfRule type="cellIs" dxfId="14" priority="16" operator="lessThan">
      <formula>0.3</formula>
    </cfRule>
  </conditionalFormatting>
  <conditionalFormatting sqref="M83">
    <cfRule type="cellIs" dxfId="13" priority="13" operator="lessThan">
      <formula>0.4759</formula>
    </cfRule>
    <cfRule type="cellIs" dxfId="12" priority="14" operator="lessThan">
      <formula>0.3</formula>
    </cfRule>
  </conditionalFormatting>
  <conditionalFormatting sqref="M84">
    <cfRule type="cellIs" dxfId="11" priority="11" operator="lessThan">
      <formula>0.4759</formula>
    </cfRule>
    <cfRule type="cellIs" dxfId="10" priority="12" operator="lessThan">
      <formula>0.3</formula>
    </cfRule>
  </conditionalFormatting>
  <conditionalFormatting sqref="M85">
    <cfRule type="cellIs" dxfId="9" priority="9" operator="lessThan">
      <formula>0.4759</formula>
    </cfRule>
    <cfRule type="cellIs" dxfId="8" priority="10" operator="lessThan">
      <formula>0.3</formula>
    </cfRule>
  </conditionalFormatting>
  <conditionalFormatting sqref="M79">
    <cfRule type="cellIs" dxfId="7" priority="7" operator="lessThan">
      <formula>0.4759</formula>
    </cfRule>
    <cfRule type="cellIs" dxfId="6" priority="8" operator="lessThan">
      <formula>0.3</formula>
    </cfRule>
  </conditionalFormatting>
  <conditionalFormatting sqref="M86">
    <cfRule type="cellIs" dxfId="5" priority="5" operator="lessThan">
      <formula>0.4759</formula>
    </cfRule>
    <cfRule type="cellIs" dxfId="4" priority="6" operator="lessThan">
      <formula>0.3</formula>
    </cfRule>
  </conditionalFormatting>
  <conditionalFormatting sqref="M87">
    <cfRule type="cellIs" dxfId="3" priority="3" operator="lessThan">
      <formula>0.4759</formula>
    </cfRule>
    <cfRule type="cellIs" dxfId="2" priority="4" operator="lessThan">
      <formula>0.3</formula>
    </cfRule>
  </conditionalFormatting>
  <conditionalFormatting sqref="M88">
    <cfRule type="cellIs" dxfId="1" priority="1" operator="lessThan">
      <formula>0.4759</formula>
    </cfRule>
    <cfRule type="cellIs" dxfId="0" priority="2" operator="lessThan">
      <formula>0.3</formula>
    </cfRule>
  </conditionalFormatting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zoomScale="85" zoomScaleNormal="85" workbookViewId="0">
      <selection activeCell="J10" sqref="J10"/>
    </sheetView>
  </sheetViews>
  <sheetFormatPr defaultColWidth="9" defaultRowHeight="16.899999999999999" customHeight="1"/>
  <cols>
    <col min="1" max="2" width="8.140625" style="445" customWidth="1"/>
    <col min="3" max="3" width="10.5703125" style="445" customWidth="1"/>
    <col min="4" max="6" width="12.7109375" style="445" customWidth="1"/>
    <col min="7" max="8" width="19.42578125" style="445" customWidth="1"/>
    <col min="9" max="9" width="10.28515625" style="445" customWidth="1"/>
    <col min="10" max="10" width="12.28515625" style="431" customWidth="1"/>
    <col min="11" max="16384" width="9" style="431"/>
  </cols>
  <sheetData>
    <row r="1" spans="1:16" s="430" customFormat="1" ht="24" customHeight="1">
      <c r="A1" s="428" t="s">
        <v>352</v>
      </c>
      <c r="B1" s="428"/>
      <c r="C1" s="429"/>
      <c r="D1" s="429"/>
      <c r="E1" s="429"/>
      <c r="F1" s="429"/>
      <c r="G1" s="429"/>
      <c r="H1" s="429"/>
      <c r="I1" s="429"/>
    </row>
    <row r="2" spans="1:16" ht="16.899999999999999" customHeight="1">
      <c r="A2" s="712" t="s">
        <v>353</v>
      </c>
      <c r="B2" s="713" t="s">
        <v>170</v>
      </c>
      <c r="C2" s="712" t="s">
        <v>354</v>
      </c>
      <c r="D2" s="715" t="s">
        <v>355</v>
      </c>
      <c r="E2" s="711" t="s">
        <v>356</v>
      </c>
      <c r="F2" s="711" t="s">
        <v>357</v>
      </c>
      <c r="G2" s="711" t="s">
        <v>358</v>
      </c>
      <c r="H2" s="713" t="s">
        <v>178</v>
      </c>
      <c r="I2" s="711" t="s">
        <v>359</v>
      </c>
      <c r="J2" s="712" t="s">
        <v>360</v>
      </c>
      <c r="K2" s="712"/>
      <c r="L2" s="712"/>
      <c r="M2" s="712"/>
      <c r="N2" s="712"/>
      <c r="O2" s="711" t="s">
        <v>361</v>
      </c>
      <c r="P2" s="711" t="s">
        <v>362</v>
      </c>
    </row>
    <row r="3" spans="1:16" s="459" customFormat="1" ht="70.900000000000006" customHeight="1">
      <c r="A3" s="712"/>
      <c r="B3" s="714"/>
      <c r="C3" s="712"/>
      <c r="D3" s="716"/>
      <c r="E3" s="712"/>
      <c r="F3" s="712"/>
      <c r="G3" s="712"/>
      <c r="H3" s="714"/>
      <c r="I3" s="712"/>
      <c r="J3" s="432" t="s">
        <v>363</v>
      </c>
      <c r="K3" s="432" t="s">
        <v>364</v>
      </c>
      <c r="L3" s="432" t="s">
        <v>445</v>
      </c>
      <c r="M3" s="432" t="s">
        <v>365</v>
      </c>
      <c r="N3" s="432" t="s">
        <v>366</v>
      </c>
      <c r="O3" s="711"/>
      <c r="P3" s="711"/>
    </row>
    <row r="4" spans="1:16" s="459" customFormat="1" ht="18" customHeight="1">
      <c r="A4" s="446"/>
      <c r="B4" s="433" t="s">
        <v>367</v>
      </c>
      <c r="C4" s="434"/>
      <c r="D4" s="435" t="s">
        <v>368</v>
      </c>
      <c r="E4" s="436"/>
      <c r="F4" s="436"/>
      <c r="G4" s="436"/>
      <c r="H4" s="437"/>
      <c r="I4" s="436"/>
      <c r="J4" s="432"/>
      <c r="K4" s="432"/>
      <c r="L4" s="432"/>
      <c r="M4" s="432"/>
      <c r="N4" s="432"/>
      <c r="O4" s="432"/>
      <c r="P4" s="432"/>
    </row>
    <row r="5" spans="1:16" ht="16.899999999999999" customHeight="1">
      <c r="A5" s="446" t="s">
        <v>369</v>
      </c>
      <c r="B5" s="438" t="s">
        <v>370</v>
      </c>
      <c r="C5" s="434"/>
      <c r="D5" s="435">
        <v>0.72</v>
      </c>
      <c r="E5" s="436">
        <v>2.6</v>
      </c>
      <c r="F5" s="436">
        <v>800</v>
      </c>
      <c r="G5" s="439">
        <f>IFERROR(((1/(D5^2*0.7854*8.9)*1000))/F5*60/0.85,"")</f>
        <v>24.349858467246335</v>
      </c>
      <c r="H5" s="440">
        <f>IFERROR(60/G5*60,"")</f>
        <v>147.8448018432</v>
      </c>
      <c r="I5" s="436"/>
      <c r="J5" s="436">
        <v>15</v>
      </c>
      <c r="K5" s="441"/>
      <c r="L5" s="441"/>
      <c r="M5" s="441"/>
      <c r="N5" s="441"/>
      <c r="O5" s="441"/>
      <c r="P5" s="441"/>
    </row>
    <row r="6" spans="1:16" ht="16.899999999999999" customHeight="1">
      <c r="A6" s="446"/>
      <c r="B6" s="438"/>
      <c r="C6" s="434"/>
      <c r="D6" s="435">
        <v>0.54</v>
      </c>
      <c r="E6" s="436">
        <v>2.6</v>
      </c>
      <c r="F6" s="436">
        <v>800</v>
      </c>
      <c r="G6" s="439">
        <f>IFERROR(((1/(D6^2*0.7854*8.9)*1000))/F6*60/0.85,"")</f>
        <v>43.288637275104591</v>
      </c>
      <c r="H6" s="440">
        <f>IFERROR(60/G6*60,"")</f>
        <v>83.162701036800001</v>
      </c>
      <c r="I6" s="436"/>
      <c r="J6" s="436"/>
      <c r="K6" s="441"/>
      <c r="L6" s="441"/>
      <c r="M6" s="441"/>
      <c r="N6" s="441"/>
      <c r="O6" s="441"/>
      <c r="P6" s="441"/>
    </row>
    <row r="7" spans="1:16" ht="16.899999999999999" customHeight="1">
      <c r="A7" s="706" t="s">
        <v>371</v>
      </c>
      <c r="B7" s="442">
        <v>7</v>
      </c>
      <c r="C7" s="708" t="s">
        <v>372</v>
      </c>
      <c r="D7" s="435">
        <v>0.05</v>
      </c>
      <c r="E7" s="436">
        <v>0.16</v>
      </c>
      <c r="F7" s="436">
        <v>1600</v>
      </c>
      <c r="G7" s="439">
        <f t="shared" ref="G7:G35" si="0">IFERROR(((1/(D7^2*0.7854*8.9)*1000))/F7*60/0.85,"")</f>
        <v>2524.5933258840996</v>
      </c>
      <c r="H7" s="440">
        <f t="shared" ref="H7:H34" si="1">IFERROR(60/G7*60,"")</f>
        <v>1.4259722400000001</v>
      </c>
      <c r="I7" s="436"/>
      <c r="J7" s="436">
        <v>1.7</v>
      </c>
      <c r="K7" s="441"/>
      <c r="L7" s="441"/>
      <c r="M7" s="441"/>
      <c r="N7" s="441"/>
      <c r="O7" s="441"/>
      <c r="P7" s="441"/>
    </row>
    <row r="8" spans="1:16" ht="16.899999999999999" customHeight="1">
      <c r="A8" s="707"/>
      <c r="B8" s="442">
        <v>7</v>
      </c>
      <c r="C8" s="709"/>
      <c r="D8" s="435">
        <v>0.06</v>
      </c>
      <c r="E8" s="436">
        <v>0.16</v>
      </c>
      <c r="F8" s="436">
        <v>1600</v>
      </c>
      <c r="G8" s="439">
        <f t="shared" si="0"/>
        <v>1753.189809641736</v>
      </c>
      <c r="H8" s="440">
        <f t="shared" si="1"/>
        <v>2.0534000256000002</v>
      </c>
      <c r="I8" s="436"/>
      <c r="J8" s="436">
        <v>1.7</v>
      </c>
      <c r="K8" s="441"/>
      <c r="L8" s="441"/>
      <c r="M8" s="441"/>
      <c r="N8" s="441"/>
      <c r="O8" s="441"/>
      <c r="P8" s="441"/>
    </row>
    <row r="9" spans="1:16" ht="16.899999999999999" customHeight="1">
      <c r="A9" s="707"/>
      <c r="B9" s="442">
        <v>7</v>
      </c>
      <c r="C9" s="709"/>
      <c r="D9" s="435">
        <v>7.0000000000000007E-2</v>
      </c>
      <c r="E9" s="436">
        <v>0.16</v>
      </c>
      <c r="F9" s="436">
        <v>1600</v>
      </c>
      <c r="G9" s="439">
        <f t="shared" si="0"/>
        <v>1288.0578193286221</v>
      </c>
      <c r="H9" s="440">
        <f t="shared" si="1"/>
        <v>2.7949055904000004</v>
      </c>
      <c r="I9" s="436"/>
      <c r="J9" s="436">
        <v>1.7</v>
      </c>
      <c r="K9" s="441"/>
      <c r="L9" s="441"/>
      <c r="M9" s="441"/>
      <c r="N9" s="441"/>
      <c r="O9" s="441"/>
      <c r="P9" s="441"/>
    </row>
    <row r="10" spans="1:16" ht="16.899999999999999" customHeight="1">
      <c r="A10" s="707"/>
      <c r="B10" s="442">
        <v>7</v>
      </c>
      <c r="C10" s="709"/>
      <c r="D10" s="435">
        <v>7.4999999999999997E-2</v>
      </c>
      <c r="E10" s="436">
        <v>0.16</v>
      </c>
      <c r="F10" s="436">
        <v>1600</v>
      </c>
      <c r="G10" s="439">
        <f t="shared" si="0"/>
        <v>1122.0414781707111</v>
      </c>
      <c r="H10" s="440">
        <f t="shared" si="1"/>
        <v>3.2084375400000003</v>
      </c>
      <c r="I10" s="436"/>
      <c r="J10" s="436">
        <v>1.7</v>
      </c>
      <c r="K10" s="441"/>
      <c r="L10" s="441"/>
      <c r="M10" s="441"/>
      <c r="N10" s="441"/>
      <c r="O10" s="441"/>
      <c r="P10" s="441"/>
    </row>
    <row r="11" spans="1:16" ht="16.899999999999999" customHeight="1">
      <c r="A11" s="707"/>
      <c r="B11" s="442">
        <v>7</v>
      </c>
      <c r="C11" s="709"/>
      <c r="D11" s="435">
        <v>0.08</v>
      </c>
      <c r="E11" s="436">
        <v>0.54</v>
      </c>
      <c r="F11" s="436">
        <v>1500</v>
      </c>
      <c r="G11" s="439">
        <f t="shared" si="0"/>
        <v>1051.9138857850417</v>
      </c>
      <c r="H11" s="440">
        <f t="shared" si="1"/>
        <v>3.4223333759999996</v>
      </c>
      <c r="I11" s="436"/>
      <c r="J11" s="436">
        <v>1.7</v>
      </c>
      <c r="K11" s="441"/>
      <c r="L11" s="441"/>
      <c r="M11" s="441"/>
      <c r="N11" s="441"/>
      <c r="O11" s="441"/>
      <c r="P11" s="441"/>
    </row>
    <row r="12" spans="1:16" ht="16.899999999999999" customHeight="1">
      <c r="A12" s="707"/>
      <c r="B12" s="442">
        <v>7</v>
      </c>
      <c r="C12" s="709"/>
      <c r="D12" s="435">
        <v>0.1</v>
      </c>
      <c r="E12" s="436">
        <v>0.54</v>
      </c>
      <c r="F12" s="436">
        <v>1500</v>
      </c>
      <c r="G12" s="439">
        <f t="shared" si="0"/>
        <v>673.22488690242642</v>
      </c>
      <c r="H12" s="440">
        <f t="shared" si="1"/>
        <v>5.3473959000000022</v>
      </c>
      <c r="I12" s="436"/>
      <c r="J12" s="436">
        <v>1.7</v>
      </c>
      <c r="K12" s="441"/>
      <c r="L12" s="441"/>
      <c r="M12" s="441"/>
      <c r="N12" s="441"/>
      <c r="O12" s="441"/>
      <c r="P12" s="441"/>
    </row>
    <row r="13" spans="1:16" ht="16.899999999999999" customHeight="1">
      <c r="A13" s="707"/>
      <c r="B13" s="442">
        <v>7</v>
      </c>
      <c r="C13" s="709"/>
      <c r="D13" s="435">
        <v>0.11</v>
      </c>
      <c r="E13" s="436">
        <v>0.54</v>
      </c>
      <c r="F13" s="436">
        <v>1500</v>
      </c>
      <c r="G13" s="439">
        <f t="shared" si="0"/>
        <v>556.38420405159241</v>
      </c>
      <c r="H13" s="440">
        <f t="shared" si="1"/>
        <v>6.4703490389999985</v>
      </c>
      <c r="I13" s="436"/>
      <c r="J13" s="436">
        <v>1.7</v>
      </c>
      <c r="K13" s="441"/>
      <c r="L13" s="441"/>
      <c r="M13" s="441"/>
      <c r="N13" s="441"/>
      <c r="O13" s="441"/>
      <c r="P13" s="441"/>
    </row>
    <row r="14" spans="1:16" ht="16.899999999999999" customHeight="1">
      <c r="A14" s="707"/>
      <c r="B14" s="442">
        <v>7</v>
      </c>
      <c r="C14" s="709"/>
      <c r="D14" s="435">
        <v>0.12</v>
      </c>
      <c r="E14" s="436">
        <v>0.54</v>
      </c>
      <c r="F14" s="436">
        <v>1400</v>
      </c>
      <c r="G14" s="439">
        <f t="shared" si="0"/>
        <v>500.91137418335313</v>
      </c>
      <c r="H14" s="440">
        <f t="shared" si="1"/>
        <v>7.1869000896000008</v>
      </c>
      <c r="I14" s="436"/>
      <c r="J14" s="436">
        <v>1.7</v>
      </c>
      <c r="K14" s="441"/>
      <c r="L14" s="441"/>
      <c r="M14" s="441"/>
      <c r="N14" s="441"/>
      <c r="O14" s="441"/>
      <c r="P14" s="441"/>
    </row>
    <row r="15" spans="1:16" ht="16.899999999999999" customHeight="1">
      <c r="A15" s="707"/>
      <c r="B15" s="442">
        <v>7</v>
      </c>
      <c r="C15" s="709"/>
      <c r="D15" s="435">
        <v>0.127</v>
      </c>
      <c r="E15" s="436">
        <v>0.54</v>
      </c>
      <c r="F15" s="436">
        <v>1400</v>
      </c>
      <c r="G15" s="439">
        <f t="shared" si="0"/>
        <v>447.21456930003632</v>
      </c>
      <c r="H15" s="440">
        <f t="shared" si="1"/>
        <v>8.0498271906359999</v>
      </c>
      <c r="I15" s="436"/>
      <c r="J15" s="436">
        <v>1.7</v>
      </c>
      <c r="K15" s="441"/>
      <c r="L15" s="441"/>
      <c r="M15" s="441"/>
      <c r="N15" s="441"/>
      <c r="O15" s="441"/>
      <c r="P15" s="441"/>
    </row>
    <row r="16" spans="1:16" ht="16.899999999999999" customHeight="1">
      <c r="A16" s="707"/>
      <c r="B16" s="442">
        <v>7</v>
      </c>
      <c r="C16" s="709"/>
      <c r="D16" s="435">
        <v>0.13</v>
      </c>
      <c r="E16" s="436">
        <v>0.54</v>
      </c>
      <c r="F16" s="436">
        <v>1300</v>
      </c>
      <c r="G16" s="439">
        <f t="shared" si="0"/>
        <v>459.64375528158394</v>
      </c>
      <c r="H16" s="440">
        <f t="shared" si="1"/>
        <v>7.8321525282</v>
      </c>
      <c r="I16" s="436"/>
      <c r="J16" s="436">
        <v>1.7</v>
      </c>
      <c r="K16" s="441"/>
      <c r="L16" s="441"/>
      <c r="M16" s="441"/>
      <c r="N16" s="441"/>
      <c r="O16" s="441"/>
      <c r="P16" s="441"/>
    </row>
    <row r="17" spans="1:16" ht="16.899999999999999" customHeight="1">
      <c r="A17" s="707"/>
      <c r="B17" s="442">
        <v>7</v>
      </c>
      <c r="C17" s="709"/>
      <c r="D17" s="435">
        <v>0.14000000000000001</v>
      </c>
      <c r="E17" s="436">
        <v>0.54</v>
      </c>
      <c r="F17" s="436">
        <v>1300</v>
      </c>
      <c r="G17" s="439">
        <f t="shared" si="0"/>
        <v>396.32548287034524</v>
      </c>
      <c r="H17" s="440">
        <f t="shared" si="1"/>
        <v>9.0834431688000024</v>
      </c>
      <c r="I17" s="436"/>
      <c r="J17" s="436">
        <v>1.7</v>
      </c>
      <c r="K17" s="441"/>
      <c r="L17" s="441"/>
      <c r="M17" s="441"/>
      <c r="N17" s="441"/>
      <c r="O17" s="441"/>
      <c r="P17" s="441"/>
    </row>
    <row r="18" spans="1:16" ht="16.899999999999999" customHeight="1">
      <c r="A18" s="707"/>
      <c r="B18" s="442">
        <v>7</v>
      </c>
      <c r="C18" s="709"/>
      <c r="D18" s="435">
        <v>0.15</v>
      </c>
      <c r="E18" s="436">
        <v>0.54</v>
      </c>
      <c r="F18" s="436">
        <v>1300</v>
      </c>
      <c r="G18" s="439">
        <f t="shared" si="0"/>
        <v>345.24353174483417</v>
      </c>
      <c r="H18" s="440">
        <f t="shared" si="1"/>
        <v>10.427422005</v>
      </c>
      <c r="I18" s="436"/>
      <c r="J18" s="436">
        <v>1.7</v>
      </c>
      <c r="K18" s="441"/>
      <c r="L18" s="441"/>
      <c r="M18" s="441"/>
      <c r="N18" s="441"/>
      <c r="O18" s="441"/>
      <c r="P18" s="441"/>
    </row>
    <row r="19" spans="1:16" ht="16.899999999999999" customHeight="1">
      <c r="A19" s="707"/>
      <c r="B19" s="442">
        <v>7</v>
      </c>
      <c r="C19" s="709"/>
      <c r="D19" s="435">
        <v>0.16</v>
      </c>
      <c r="E19" s="436">
        <v>0.54</v>
      </c>
      <c r="F19" s="436">
        <v>1300</v>
      </c>
      <c r="G19" s="439">
        <f t="shared" si="0"/>
        <v>303.43669782260815</v>
      </c>
      <c r="H19" s="440">
        <f t="shared" si="1"/>
        <v>11.864089036799999</v>
      </c>
      <c r="I19" s="436"/>
      <c r="J19" s="436">
        <v>1.7</v>
      </c>
      <c r="K19" s="441"/>
      <c r="L19" s="441"/>
      <c r="M19" s="441"/>
      <c r="N19" s="441"/>
      <c r="O19" s="441"/>
      <c r="P19" s="441"/>
    </row>
    <row r="20" spans="1:16" ht="16.899999999999999" customHeight="1">
      <c r="A20" s="707"/>
      <c r="B20" s="442">
        <v>7</v>
      </c>
      <c r="C20" s="709"/>
      <c r="D20" s="435">
        <v>0.17</v>
      </c>
      <c r="E20" s="436">
        <v>0.54</v>
      </c>
      <c r="F20" s="436">
        <v>1200</v>
      </c>
      <c r="G20" s="439">
        <f t="shared" si="0"/>
        <v>291.18723481938866</v>
      </c>
      <c r="H20" s="440">
        <f t="shared" si="1"/>
        <v>12.3631793208</v>
      </c>
      <c r="I20" s="436"/>
      <c r="J20" s="436">
        <v>1.7</v>
      </c>
      <c r="K20" s="441"/>
      <c r="L20" s="441"/>
      <c r="M20" s="441"/>
      <c r="N20" s="441"/>
      <c r="O20" s="441"/>
      <c r="P20" s="441"/>
    </row>
    <row r="21" spans="1:16" ht="16.899999999999999" customHeight="1">
      <c r="A21" s="707"/>
      <c r="B21" s="442">
        <v>7</v>
      </c>
      <c r="C21" s="709"/>
      <c r="D21" s="435">
        <v>0.18</v>
      </c>
      <c r="E21" s="436">
        <v>0.54</v>
      </c>
      <c r="F21" s="436">
        <v>1200</v>
      </c>
      <c r="G21" s="439">
        <f t="shared" si="0"/>
        <v>259.73182365062758</v>
      </c>
      <c r="H21" s="440">
        <f t="shared" si="1"/>
        <v>13.8604501728</v>
      </c>
      <c r="I21" s="436"/>
      <c r="J21" s="436">
        <v>1.7</v>
      </c>
      <c r="K21" s="441"/>
      <c r="L21" s="441"/>
      <c r="M21" s="441"/>
      <c r="N21" s="441"/>
      <c r="O21" s="441"/>
      <c r="P21" s="441"/>
    </row>
    <row r="22" spans="1:16" ht="16.899999999999999" customHeight="1">
      <c r="A22" s="707"/>
      <c r="B22" s="442">
        <v>7</v>
      </c>
      <c r="C22" s="709"/>
      <c r="D22" s="435">
        <v>0.19</v>
      </c>
      <c r="E22" s="436">
        <v>0.54</v>
      </c>
      <c r="F22" s="436">
        <v>1200</v>
      </c>
      <c r="G22" s="439">
        <f t="shared" si="0"/>
        <v>233.11111042327792</v>
      </c>
      <c r="H22" s="440">
        <f t="shared" si="1"/>
        <v>15.4432793592</v>
      </c>
      <c r="I22" s="436"/>
      <c r="J22" s="436">
        <v>1.7</v>
      </c>
      <c r="K22" s="441"/>
      <c r="L22" s="441"/>
      <c r="M22" s="441"/>
      <c r="N22" s="441"/>
      <c r="O22" s="441"/>
      <c r="P22" s="441"/>
    </row>
    <row r="23" spans="1:16" ht="16.899999999999999" customHeight="1">
      <c r="A23" s="707"/>
      <c r="B23" s="442">
        <v>7</v>
      </c>
      <c r="C23" s="709"/>
      <c r="D23" s="435">
        <v>0.2</v>
      </c>
      <c r="E23" s="436">
        <v>0.54</v>
      </c>
      <c r="F23" s="436">
        <v>1200</v>
      </c>
      <c r="G23" s="439">
        <f t="shared" si="0"/>
        <v>210.38277715700826</v>
      </c>
      <c r="H23" s="440">
        <f t="shared" si="1"/>
        <v>17.111666880000005</v>
      </c>
      <c r="I23" s="436"/>
      <c r="J23" s="436">
        <v>1.7</v>
      </c>
      <c r="K23" s="441"/>
      <c r="L23" s="441"/>
      <c r="M23" s="441"/>
      <c r="N23" s="441"/>
      <c r="O23" s="441"/>
      <c r="P23" s="441"/>
    </row>
    <row r="24" spans="1:16" ht="16.899999999999999" customHeight="1">
      <c r="A24" s="707"/>
      <c r="B24" s="442">
        <v>7</v>
      </c>
      <c r="C24" s="709"/>
      <c r="D24" s="435">
        <v>0.21</v>
      </c>
      <c r="E24" s="443">
        <v>1</v>
      </c>
      <c r="F24" s="436">
        <v>1200</v>
      </c>
      <c r="G24" s="439">
        <f t="shared" si="0"/>
        <v>190.8233806412774</v>
      </c>
      <c r="H24" s="440">
        <f t="shared" si="1"/>
        <v>18.865612735199999</v>
      </c>
      <c r="I24" s="436"/>
      <c r="J24" s="436">
        <v>1.7</v>
      </c>
      <c r="K24" s="441"/>
      <c r="L24" s="441"/>
      <c r="M24" s="441"/>
      <c r="N24" s="441"/>
      <c r="O24" s="441"/>
      <c r="P24" s="441"/>
    </row>
    <row r="25" spans="1:16" ht="16.899999999999999" customHeight="1">
      <c r="A25" s="707"/>
      <c r="B25" s="442">
        <v>7</v>
      </c>
      <c r="C25" s="709"/>
      <c r="D25" s="435">
        <v>0.22</v>
      </c>
      <c r="E25" s="443">
        <v>1</v>
      </c>
      <c r="F25" s="436">
        <v>1200</v>
      </c>
      <c r="G25" s="439">
        <f t="shared" si="0"/>
        <v>173.87006376612263</v>
      </c>
      <c r="H25" s="440">
        <f t="shared" si="1"/>
        <v>20.705116924799995</v>
      </c>
      <c r="I25" s="436"/>
      <c r="J25" s="436">
        <v>1.7</v>
      </c>
      <c r="K25" s="441"/>
      <c r="L25" s="441"/>
      <c r="M25" s="441"/>
      <c r="N25" s="441"/>
      <c r="O25" s="441"/>
      <c r="P25" s="441"/>
    </row>
    <row r="26" spans="1:16" ht="16.899999999999999" customHeight="1">
      <c r="A26" s="707"/>
      <c r="B26" s="442">
        <v>7</v>
      </c>
      <c r="C26" s="709"/>
      <c r="D26" s="435">
        <v>0.23</v>
      </c>
      <c r="E26" s="443">
        <v>1</v>
      </c>
      <c r="F26" s="436">
        <v>1200</v>
      </c>
      <c r="G26" s="439">
        <f t="shared" si="0"/>
        <v>159.07960465558284</v>
      </c>
      <c r="H26" s="440">
        <f t="shared" si="1"/>
        <v>22.630179448800003</v>
      </c>
      <c r="I26" s="436"/>
      <c r="J26" s="436">
        <v>1.7</v>
      </c>
      <c r="K26" s="441"/>
      <c r="L26" s="441"/>
      <c r="M26" s="441"/>
      <c r="N26" s="441"/>
      <c r="O26" s="441"/>
      <c r="P26" s="441"/>
    </row>
    <row r="27" spans="1:16" ht="16.899999999999999" customHeight="1">
      <c r="A27" s="707"/>
      <c r="B27" s="442">
        <v>7</v>
      </c>
      <c r="C27" s="709"/>
      <c r="D27" s="435">
        <v>0.24</v>
      </c>
      <c r="E27" s="443">
        <v>1</v>
      </c>
      <c r="F27" s="436">
        <v>1200</v>
      </c>
      <c r="G27" s="439">
        <f t="shared" si="0"/>
        <v>146.09915080347798</v>
      </c>
      <c r="H27" s="440">
        <f t="shared" si="1"/>
        <v>24.640800307200006</v>
      </c>
      <c r="I27" s="436"/>
      <c r="J27" s="436">
        <v>1.7</v>
      </c>
      <c r="K27" s="441"/>
      <c r="L27" s="441"/>
      <c r="M27" s="441"/>
      <c r="N27" s="441"/>
      <c r="O27" s="441"/>
      <c r="P27" s="441"/>
    </row>
    <row r="28" spans="1:16" ht="16.899999999999999" customHeight="1">
      <c r="A28" s="707"/>
      <c r="B28" s="442">
        <v>7</v>
      </c>
      <c r="C28" s="709"/>
      <c r="D28" s="435">
        <v>0.25</v>
      </c>
      <c r="E28" s="443">
        <v>1</v>
      </c>
      <c r="F28" s="436">
        <v>1200</v>
      </c>
      <c r="G28" s="439">
        <f t="shared" si="0"/>
        <v>134.64497738048533</v>
      </c>
      <c r="H28" s="440">
        <f t="shared" si="1"/>
        <v>26.7369795</v>
      </c>
      <c r="I28" s="436"/>
      <c r="J28" s="436">
        <v>1.7</v>
      </c>
      <c r="K28" s="441"/>
      <c r="L28" s="441"/>
      <c r="M28" s="441"/>
      <c r="N28" s="441"/>
      <c r="O28" s="441"/>
      <c r="P28" s="441"/>
    </row>
    <row r="29" spans="1:16" ht="16.899999999999999" customHeight="1">
      <c r="A29" s="707"/>
      <c r="B29" s="442">
        <v>7</v>
      </c>
      <c r="C29" s="709"/>
      <c r="D29" s="435">
        <v>0.26</v>
      </c>
      <c r="E29" s="443">
        <v>1</v>
      </c>
      <c r="F29" s="436">
        <v>1200</v>
      </c>
      <c r="G29" s="439">
        <f t="shared" si="0"/>
        <v>124.48685038876229</v>
      </c>
      <c r="H29" s="440">
        <f t="shared" si="1"/>
        <v>28.918717027200007</v>
      </c>
      <c r="I29" s="436"/>
      <c r="J29" s="436">
        <v>1.7</v>
      </c>
      <c r="K29" s="441"/>
      <c r="L29" s="441"/>
      <c r="M29" s="441"/>
      <c r="N29" s="441"/>
      <c r="O29" s="441"/>
      <c r="P29" s="441"/>
    </row>
    <row r="30" spans="1:16" ht="16.899999999999999" customHeight="1">
      <c r="A30" s="707"/>
      <c r="B30" s="442">
        <v>7</v>
      </c>
      <c r="C30" s="709"/>
      <c r="D30" s="435">
        <v>0.27</v>
      </c>
      <c r="E30" s="443">
        <v>1</v>
      </c>
      <c r="F30" s="436">
        <v>1200</v>
      </c>
      <c r="G30" s="439">
        <f t="shared" si="0"/>
        <v>115.43636606694557</v>
      </c>
      <c r="H30" s="440">
        <f t="shared" si="1"/>
        <v>31.186012888800004</v>
      </c>
      <c r="I30" s="436"/>
      <c r="J30" s="436">
        <v>1.7</v>
      </c>
      <c r="K30" s="441"/>
      <c r="L30" s="441"/>
      <c r="M30" s="441"/>
      <c r="N30" s="441"/>
      <c r="O30" s="441"/>
      <c r="P30" s="441"/>
    </row>
    <row r="31" spans="1:16" ht="16.899999999999999" customHeight="1">
      <c r="A31" s="707"/>
      <c r="B31" s="442">
        <v>7</v>
      </c>
      <c r="C31" s="709"/>
      <c r="D31" s="435">
        <v>0.28000000000000003</v>
      </c>
      <c r="E31" s="443">
        <v>1</v>
      </c>
      <c r="F31" s="436">
        <v>1200</v>
      </c>
      <c r="G31" s="439">
        <f t="shared" si="0"/>
        <v>107.33815161071851</v>
      </c>
      <c r="H31" s="440">
        <f t="shared" si="1"/>
        <v>33.53886708480001</v>
      </c>
      <c r="I31" s="436"/>
      <c r="J31" s="436">
        <v>1.7</v>
      </c>
      <c r="K31" s="441"/>
      <c r="L31" s="441"/>
      <c r="M31" s="441"/>
      <c r="N31" s="441"/>
      <c r="O31" s="441"/>
      <c r="P31" s="441"/>
    </row>
    <row r="32" spans="1:16" ht="16.899999999999999" customHeight="1">
      <c r="A32" s="707"/>
      <c r="B32" s="442">
        <v>7</v>
      </c>
      <c r="C32" s="709"/>
      <c r="D32" s="435">
        <v>0.28999999999999998</v>
      </c>
      <c r="E32" s="443">
        <v>1</v>
      </c>
      <c r="F32" s="436">
        <v>1200</v>
      </c>
      <c r="G32" s="439">
        <f t="shared" si="0"/>
        <v>100.06315203662705</v>
      </c>
      <c r="H32" s="440">
        <f t="shared" si="1"/>
        <v>35.977279615199997</v>
      </c>
      <c r="I32" s="436"/>
      <c r="J32" s="436">
        <v>1.7</v>
      </c>
      <c r="K32" s="441"/>
      <c r="L32" s="441"/>
      <c r="M32" s="441"/>
      <c r="N32" s="441"/>
      <c r="O32" s="441"/>
      <c r="P32" s="441"/>
    </row>
    <row r="33" spans="1:16" ht="16.899999999999999" customHeight="1">
      <c r="A33" s="707"/>
      <c r="B33" s="442">
        <v>7</v>
      </c>
      <c r="C33" s="709"/>
      <c r="D33" s="435">
        <v>0.3</v>
      </c>
      <c r="E33" s="443">
        <v>1</v>
      </c>
      <c r="F33" s="436">
        <v>1100</v>
      </c>
      <c r="G33" s="439">
        <f t="shared" si="0"/>
        <v>102.00377074279191</v>
      </c>
      <c r="H33" s="440">
        <f t="shared" si="1"/>
        <v>35.292812939999997</v>
      </c>
      <c r="I33" s="436"/>
      <c r="J33" s="436">
        <v>1.7</v>
      </c>
      <c r="K33" s="441"/>
      <c r="L33" s="441"/>
      <c r="M33" s="441"/>
      <c r="N33" s="441"/>
      <c r="O33" s="441"/>
      <c r="P33" s="441"/>
    </row>
    <row r="34" spans="1:16" ht="16.899999999999999" customHeight="1">
      <c r="A34" s="707"/>
      <c r="B34" s="442">
        <v>7</v>
      </c>
      <c r="C34" s="710"/>
      <c r="D34" s="435">
        <v>0.315</v>
      </c>
      <c r="E34" s="443">
        <v>1</v>
      </c>
      <c r="F34" s="436">
        <v>1100</v>
      </c>
      <c r="G34" s="439">
        <f t="shared" si="0"/>
        <v>92.52042697758904</v>
      </c>
      <c r="H34" s="440">
        <f t="shared" si="1"/>
        <v>38.910326266350005</v>
      </c>
      <c r="I34" s="436"/>
      <c r="J34" s="436">
        <v>1.7</v>
      </c>
      <c r="K34" s="441"/>
      <c r="L34" s="441"/>
      <c r="M34" s="441"/>
      <c r="N34" s="441"/>
      <c r="O34" s="441"/>
      <c r="P34" s="441"/>
    </row>
    <row r="35" spans="1:16" ht="16.899999999999999" customHeight="1">
      <c r="A35" s="441" t="s">
        <v>373</v>
      </c>
      <c r="B35" s="441"/>
      <c r="C35" s="441"/>
      <c r="D35" s="436"/>
      <c r="E35" s="436"/>
      <c r="F35" s="436"/>
      <c r="G35" s="439" t="str">
        <f t="shared" si="0"/>
        <v/>
      </c>
      <c r="H35" s="444"/>
      <c r="I35" s="441"/>
      <c r="J35" s="441"/>
      <c r="K35" s="441"/>
      <c r="L35" s="441"/>
      <c r="M35" s="441"/>
      <c r="N35" s="441"/>
      <c r="O35" s="441"/>
      <c r="P35" s="441"/>
    </row>
    <row r="37" spans="1:16" ht="16.899999999999999" customHeight="1">
      <c r="A37" s="431">
        <f>0.08*0.08*0.7854*8.9</f>
        <v>4.4736384000000004E-2</v>
      </c>
      <c r="B37" s="431"/>
      <c r="C37" s="431">
        <f>1/A37*1000</f>
        <v>22353.170072932135</v>
      </c>
      <c r="D37" s="431">
        <f>C37/1800*60</f>
        <v>745.10566909773775</v>
      </c>
      <c r="E37" s="431">
        <f>D37/0.85</f>
        <v>876.59490482086801</v>
      </c>
    </row>
    <row r="38" spans="1:16" ht="16.899999999999999" customHeight="1">
      <c r="A38" s="431" t="s">
        <v>374</v>
      </c>
      <c r="B38" s="431"/>
      <c r="C38" s="431" t="s">
        <v>375</v>
      </c>
      <c r="D38" s="431" t="s">
        <v>376</v>
      </c>
      <c r="E38" s="431" t="s">
        <v>377</v>
      </c>
    </row>
  </sheetData>
  <mergeCells count="14">
    <mergeCell ref="J2:N2"/>
    <mergeCell ref="O2:O3"/>
    <mergeCell ref="P2:P3"/>
    <mergeCell ref="A2:A3"/>
    <mergeCell ref="B2:B3"/>
    <mergeCell ref="C2:C3"/>
    <mergeCell ref="D2:D3"/>
    <mergeCell ref="E2:E3"/>
    <mergeCell ref="F2:F3"/>
    <mergeCell ref="A7:A34"/>
    <mergeCell ref="C7:C34"/>
    <mergeCell ref="G2:G3"/>
    <mergeCell ref="H2:H3"/>
    <mergeCell ref="I2:I3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workbookViewId="0">
      <selection activeCell="J10" sqref="J10"/>
    </sheetView>
  </sheetViews>
  <sheetFormatPr defaultColWidth="9" defaultRowHeight="16.899999999999999" customHeight="1"/>
  <cols>
    <col min="1" max="2" width="8.140625" style="445" customWidth="1"/>
    <col min="3" max="3" width="10.5703125" style="445" customWidth="1"/>
    <col min="4" max="5" width="12.7109375" style="445" customWidth="1"/>
    <col min="6" max="7" width="19.42578125" style="445" customWidth="1"/>
    <col min="8" max="8" width="10.28515625" style="445" customWidth="1"/>
    <col min="9" max="16384" width="9" style="431"/>
  </cols>
  <sheetData>
    <row r="1" spans="1:15" s="430" customFormat="1" ht="24" customHeight="1">
      <c r="A1" s="428" t="s">
        <v>378</v>
      </c>
      <c r="B1" s="428"/>
      <c r="C1" s="429"/>
      <c r="D1" s="429"/>
      <c r="E1" s="429"/>
      <c r="F1" s="429"/>
      <c r="G1" s="429"/>
      <c r="H1" s="429"/>
    </row>
    <row r="2" spans="1:15" ht="16.899999999999999" customHeight="1">
      <c r="A2" s="712" t="s">
        <v>353</v>
      </c>
      <c r="B2" s="729" t="s">
        <v>379</v>
      </c>
      <c r="C2" s="712" t="s">
        <v>354</v>
      </c>
      <c r="D2" s="713" t="s">
        <v>380</v>
      </c>
      <c r="E2" s="706" t="s">
        <v>381</v>
      </c>
      <c r="F2" s="711" t="s">
        <v>358</v>
      </c>
      <c r="G2" s="713" t="s">
        <v>178</v>
      </c>
      <c r="H2" s="711" t="s">
        <v>359</v>
      </c>
      <c r="I2" s="712" t="s">
        <v>360</v>
      </c>
      <c r="J2" s="712"/>
      <c r="K2" s="712"/>
      <c r="L2" s="712"/>
      <c r="M2" s="712"/>
      <c r="N2" s="711" t="s">
        <v>361</v>
      </c>
      <c r="O2" s="711" t="s">
        <v>362</v>
      </c>
    </row>
    <row r="3" spans="1:15" s="459" customFormat="1" ht="56.45" customHeight="1">
      <c r="A3" s="712"/>
      <c r="B3" s="730"/>
      <c r="C3" s="712"/>
      <c r="D3" s="714"/>
      <c r="E3" s="718"/>
      <c r="F3" s="712"/>
      <c r="G3" s="714"/>
      <c r="H3" s="712"/>
      <c r="I3" s="432" t="s">
        <v>363</v>
      </c>
      <c r="J3" s="432" t="s">
        <v>364</v>
      </c>
      <c r="K3" s="432" t="s">
        <v>445</v>
      </c>
      <c r="L3" s="432" t="s">
        <v>365</v>
      </c>
      <c r="M3" s="432" t="s">
        <v>366</v>
      </c>
      <c r="N3" s="711"/>
      <c r="O3" s="711"/>
    </row>
    <row r="4" spans="1:15" ht="16.899999999999999" customHeight="1">
      <c r="A4" s="706" t="s">
        <v>382</v>
      </c>
      <c r="B4" s="711" t="s">
        <v>383</v>
      </c>
      <c r="C4" s="728" t="s">
        <v>384</v>
      </c>
      <c r="D4" s="435">
        <v>0.05</v>
      </c>
      <c r="E4" s="436">
        <v>250</v>
      </c>
      <c r="F4" s="439">
        <f>IFERROR(((1/(D4^2*0.7854*8.9)*1000))/E4*60/26,"")</f>
        <v>528.22260356959612</v>
      </c>
      <c r="G4" s="440">
        <f>IFERROR(60/F4*60,"")</f>
        <v>6.8153085000000022</v>
      </c>
      <c r="H4" s="436"/>
      <c r="I4" s="436">
        <v>26.6</v>
      </c>
      <c r="J4" s="441"/>
      <c r="K4" s="441"/>
      <c r="L4" s="441"/>
      <c r="M4" s="441"/>
      <c r="N4" s="441"/>
      <c r="O4" s="441"/>
    </row>
    <row r="5" spans="1:15" ht="16.899999999999999" customHeight="1">
      <c r="A5" s="707"/>
      <c r="B5" s="711"/>
      <c r="C5" s="728"/>
      <c r="D5" s="435">
        <v>0.06</v>
      </c>
      <c r="E5" s="436">
        <v>250</v>
      </c>
      <c r="F5" s="439">
        <f t="shared" ref="F5:F29" si="0">IFERROR(((1/(D5^2*0.7854*8.9)*1000))/E5*60/26,"")</f>
        <v>366.82125247888632</v>
      </c>
      <c r="G5" s="440">
        <f t="shared" ref="G5:G28" si="1">IFERROR(60/F5*60,"")</f>
        <v>9.8140442399999994</v>
      </c>
      <c r="H5" s="436"/>
      <c r="I5" s="436">
        <v>26.6</v>
      </c>
      <c r="J5" s="441"/>
      <c r="K5" s="441"/>
      <c r="L5" s="441"/>
      <c r="M5" s="441"/>
      <c r="N5" s="441"/>
      <c r="O5" s="441"/>
    </row>
    <row r="6" spans="1:15" ht="16.899999999999999" customHeight="1">
      <c r="A6" s="707"/>
      <c r="B6" s="711"/>
      <c r="C6" s="728"/>
      <c r="D6" s="435">
        <v>0.08</v>
      </c>
      <c r="E6" s="436">
        <v>230</v>
      </c>
      <c r="F6" s="439">
        <f t="shared" si="0"/>
        <v>224.27929839062341</v>
      </c>
      <c r="G6" s="440">
        <f t="shared" si="1"/>
        <v>16.051414579199999</v>
      </c>
      <c r="H6" s="436"/>
      <c r="I6" s="436">
        <v>26.6</v>
      </c>
      <c r="J6" s="441"/>
      <c r="K6" s="441"/>
      <c r="L6" s="441"/>
      <c r="M6" s="441"/>
      <c r="N6" s="441"/>
      <c r="O6" s="441"/>
    </row>
    <row r="7" spans="1:15" ht="16.899999999999999" customHeight="1">
      <c r="A7" s="707"/>
      <c r="B7" s="711"/>
      <c r="C7" s="728"/>
      <c r="D7" s="435">
        <v>0.1</v>
      </c>
      <c r="E7" s="436">
        <v>220</v>
      </c>
      <c r="F7" s="439">
        <f t="shared" si="0"/>
        <v>150.06323965045345</v>
      </c>
      <c r="G7" s="440">
        <f t="shared" si="1"/>
        <v>23.989885920000006</v>
      </c>
      <c r="H7" s="436"/>
      <c r="I7" s="436">
        <v>26.6</v>
      </c>
      <c r="J7" s="441"/>
      <c r="K7" s="441"/>
      <c r="L7" s="441"/>
      <c r="M7" s="441"/>
      <c r="N7" s="441"/>
      <c r="O7" s="441"/>
    </row>
    <row r="8" spans="1:15" ht="16.899999999999999" customHeight="1">
      <c r="A8" s="707"/>
      <c r="B8" s="711"/>
      <c r="C8" s="728"/>
      <c r="D8" s="435">
        <v>0.12</v>
      </c>
      <c r="E8" s="436">
        <v>220</v>
      </c>
      <c r="F8" s="439">
        <f t="shared" si="0"/>
        <v>104.21058309059269</v>
      </c>
      <c r="G8" s="440">
        <f t="shared" si="1"/>
        <v>34.545435724800008</v>
      </c>
      <c r="H8" s="436"/>
      <c r="I8" s="436">
        <v>26.6</v>
      </c>
      <c r="J8" s="441"/>
      <c r="K8" s="441"/>
      <c r="L8" s="441"/>
      <c r="M8" s="441"/>
      <c r="N8" s="441"/>
      <c r="O8" s="441"/>
    </row>
    <row r="9" spans="1:15" ht="16.899999999999999" customHeight="1">
      <c r="A9" s="707"/>
      <c r="B9" s="711"/>
      <c r="C9" s="728"/>
      <c r="D9" s="435">
        <v>0.14000000000000001</v>
      </c>
      <c r="E9" s="436">
        <v>200</v>
      </c>
      <c r="F9" s="439">
        <f t="shared" si="0"/>
        <v>84.219165109948364</v>
      </c>
      <c r="G9" s="440">
        <f t="shared" si="1"/>
        <v>42.745614912000015</v>
      </c>
      <c r="H9" s="436"/>
      <c r="I9" s="436">
        <v>26.6</v>
      </c>
      <c r="J9" s="441"/>
      <c r="K9" s="441"/>
      <c r="L9" s="441"/>
      <c r="M9" s="441"/>
      <c r="N9" s="441"/>
      <c r="O9" s="441"/>
    </row>
    <row r="10" spans="1:15" ht="16.899999999999999" customHeight="1">
      <c r="A10" s="707"/>
      <c r="B10" s="711"/>
      <c r="C10" s="728"/>
      <c r="D10" s="435">
        <v>0.16</v>
      </c>
      <c r="E10" s="436">
        <v>200</v>
      </c>
      <c r="F10" s="439">
        <f t="shared" si="0"/>
        <v>64.480298287304237</v>
      </c>
      <c r="G10" s="440">
        <f t="shared" si="1"/>
        <v>55.831007231999997</v>
      </c>
      <c r="H10" s="436"/>
      <c r="I10" s="436">
        <v>26.6</v>
      </c>
      <c r="J10" s="441"/>
      <c r="K10" s="441"/>
      <c r="L10" s="441"/>
      <c r="M10" s="441"/>
      <c r="N10" s="441"/>
      <c r="O10" s="441"/>
    </row>
    <row r="11" spans="1:15" ht="16.899999999999999" customHeight="1">
      <c r="A11" s="707"/>
      <c r="B11" s="711"/>
      <c r="C11" s="728"/>
      <c r="D11" s="435">
        <v>0.18</v>
      </c>
      <c r="E11" s="436">
        <v>180</v>
      </c>
      <c r="F11" s="439">
        <f t="shared" si="0"/>
        <v>56.608217975136775</v>
      </c>
      <c r="G11" s="440">
        <f t="shared" si="1"/>
        <v>63.595006675200004</v>
      </c>
      <c r="H11" s="436"/>
      <c r="I11" s="436">
        <v>26.6</v>
      </c>
      <c r="J11" s="441"/>
      <c r="K11" s="441"/>
      <c r="L11" s="441"/>
      <c r="M11" s="441"/>
      <c r="N11" s="441"/>
      <c r="O11" s="441"/>
    </row>
    <row r="12" spans="1:15" ht="16.899999999999999" customHeight="1">
      <c r="A12" s="707"/>
      <c r="B12" s="711"/>
      <c r="C12" s="728"/>
      <c r="D12" s="435">
        <v>0.2</v>
      </c>
      <c r="E12" s="436">
        <v>180</v>
      </c>
      <c r="F12" s="439">
        <f t="shared" si="0"/>
        <v>45.852656559860776</v>
      </c>
      <c r="G12" s="440">
        <f t="shared" si="1"/>
        <v>78.512353920000024</v>
      </c>
      <c r="H12" s="436"/>
      <c r="I12" s="436">
        <v>26.6</v>
      </c>
      <c r="J12" s="441"/>
      <c r="K12" s="441"/>
      <c r="L12" s="441"/>
      <c r="M12" s="441"/>
      <c r="N12" s="441"/>
      <c r="O12" s="441"/>
    </row>
    <row r="13" spans="1:15" ht="16.899999999999999" customHeight="1">
      <c r="A13" s="707"/>
      <c r="B13" s="711"/>
      <c r="C13" s="728"/>
      <c r="D13" s="435">
        <v>0.22</v>
      </c>
      <c r="E13" s="436">
        <v>160</v>
      </c>
      <c r="F13" s="439">
        <f t="shared" si="0"/>
        <v>42.631602173424298</v>
      </c>
      <c r="G13" s="440">
        <f t="shared" si="1"/>
        <v>84.444398438399986</v>
      </c>
      <c r="H13" s="436"/>
      <c r="I13" s="436">
        <v>26.6</v>
      </c>
      <c r="J13" s="441"/>
      <c r="K13" s="441"/>
      <c r="L13" s="441"/>
      <c r="M13" s="441"/>
      <c r="N13" s="441"/>
      <c r="O13" s="441"/>
    </row>
    <row r="14" spans="1:15" ht="16.899999999999999" customHeight="1">
      <c r="A14" s="707"/>
      <c r="B14" s="711"/>
      <c r="C14" s="728"/>
      <c r="D14" s="435">
        <v>0.24</v>
      </c>
      <c r="E14" s="436">
        <v>160</v>
      </c>
      <c r="F14" s="439">
        <f t="shared" si="0"/>
        <v>35.822387937391234</v>
      </c>
      <c r="G14" s="440">
        <f t="shared" si="1"/>
        <v>100.49581301760003</v>
      </c>
      <c r="H14" s="436"/>
      <c r="I14" s="436">
        <v>26.6</v>
      </c>
      <c r="J14" s="441"/>
      <c r="K14" s="441"/>
      <c r="L14" s="441"/>
      <c r="M14" s="441"/>
      <c r="N14" s="441"/>
      <c r="O14" s="441"/>
    </row>
    <row r="15" spans="1:15" ht="16.899999999999999" customHeight="1">
      <c r="A15" s="707"/>
      <c r="B15" s="711"/>
      <c r="C15" s="728"/>
      <c r="D15" s="435">
        <v>0.26</v>
      </c>
      <c r="E15" s="436">
        <v>150</v>
      </c>
      <c r="F15" s="439">
        <f t="shared" si="0"/>
        <v>32.558099332445522</v>
      </c>
      <c r="G15" s="440">
        <f t="shared" si="1"/>
        <v>110.57156510400003</v>
      </c>
      <c r="H15" s="436"/>
      <c r="I15" s="436">
        <v>26.6</v>
      </c>
      <c r="J15" s="441"/>
      <c r="K15" s="441"/>
      <c r="L15" s="441"/>
      <c r="M15" s="441"/>
      <c r="N15" s="441"/>
      <c r="O15" s="441"/>
    </row>
    <row r="16" spans="1:15" ht="16.899999999999999" customHeight="1">
      <c r="A16" s="707"/>
      <c r="B16" s="711"/>
      <c r="C16" s="728"/>
      <c r="D16" s="435">
        <v>0.28000000000000003</v>
      </c>
      <c r="E16" s="436">
        <v>140</v>
      </c>
      <c r="F16" s="439">
        <f t="shared" si="0"/>
        <v>30.07827325355299</v>
      </c>
      <c r="G16" s="440">
        <f t="shared" si="1"/>
        <v>119.68772175360002</v>
      </c>
      <c r="H16" s="436"/>
      <c r="I16" s="436">
        <v>26.6</v>
      </c>
      <c r="J16" s="441"/>
      <c r="K16" s="441"/>
      <c r="L16" s="441"/>
      <c r="M16" s="441"/>
      <c r="N16" s="441"/>
      <c r="O16" s="441"/>
    </row>
    <row r="17" spans="1:15" ht="16.899999999999999" customHeight="1">
      <c r="A17" s="707"/>
      <c r="B17" s="711"/>
      <c r="C17" s="728"/>
      <c r="D17" s="435">
        <v>0.3</v>
      </c>
      <c r="E17" s="436">
        <v>130</v>
      </c>
      <c r="F17" s="439">
        <f t="shared" si="0"/>
        <v>28.21701942145279</v>
      </c>
      <c r="G17" s="440">
        <f t="shared" si="1"/>
        <v>127.58257512000003</v>
      </c>
      <c r="H17" s="436"/>
      <c r="I17" s="436">
        <v>26.6</v>
      </c>
      <c r="J17" s="441"/>
      <c r="K17" s="441"/>
      <c r="L17" s="441"/>
      <c r="M17" s="441"/>
      <c r="N17" s="441"/>
      <c r="O17" s="441"/>
    </row>
    <row r="18" spans="1:15" ht="16.899999999999999" customHeight="1">
      <c r="A18" s="707"/>
      <c r="B18" s="711"/>
      <c r="C18" s="728"/>
      <c r="D18" s="435">
        <v>0.32</v>
      </c>
      <c r="E18" s="436">
        <v>120</v>
      </c>
      <c r="F18" s="439">
        <f t="shared" si="0"/>
        <v>26.866790953043431</v>
      </c>
      <c r="G18" s="440">
        <f t="shared" si="1"/>
        <v>133.9944173568</v>
      </c>
      <c r="H18" s="436"/>
      <c r="I18" s="436">
        <v>26.6</v>
      </c>
      <c r="J18" s="441"/>
      <c r="K18" s="441"/>
      <c r="L18" s="441"/>
      <c r="M18" s="441"/>
      <c r="N18" s="441"/>
      <c r="O18" s="441"/>
    </row>
    <row r="19" spans="1:15" ht="16.899999999999999" customHeight="1">
      <c r="A19" s="718"/>
      <c r="B19" s="711"/>
      <c r="C19" s="450" t="s">
        <v>385</v>
      </c>
      <c r="D19" s="447"/>
      <c r="E19" s="450"/>
      <c r="F19" s="439" t="str">
        <f t="shared" si="0"/>
        <v/>
      </c>
      <c r="G19" s="448"/>
      <c r="H19" s="436"/>
      <c r="I19" s="441"/>
      <c r="J19" s="441"/>
      <c r="K19" s="441"/>
      <c r="L19" s="441"/>
      <c r="M19" s="441"/>
      <c r="N19" s="441"/>
      <c r="O19" s="441"/>
    </row>
    <row r="20" spans="1:15" ht="16.899999999999999" customHeight="1">
      <c r="A20" s="717" t="s">
        <v>386</v>
      </c>
      <c r="B20" s="711" t="s">
        <v>383</v>
      </c>
      <c r="C20" s="719" t="s">
        <v>387</v>
      </c>
      <c r="D20" s="435">
        <v>0.08</v>
      </c>
      <c r="E20" s="436">
        <v>220</v>
      </c>
      <c r="F20" s="439">
        <f t="shared" si="0"/>
        <v>234.4738119538336</v>
      </c>
      <c r="G20" s="440">
        <f t="shared" si="1"/>
        <v>15.353526988799999</v>
      </c>
      <c r="H20" s="436"/>
      <c r="I20" s="436">
        <v>19</v>
      </c>
      <c r="J20" s="441"/>
      <c r="K20" s="441"/>
      <c r="L20" s="441"/>
      <c r="M20" s="441"/>
      <c r="N20" s="441"/>
      <c r="O20" s="441"/>
    </row>
    <row r="21" spans="1:15" ht="16.899999999999999" customHeight="1">
      <c r="A21" s="707"/>
      <c r="B21" s="711"/>
      <c r="C21" s="720"/>
      <c r="D21" s="435">
        <v>0.1</v>
      </c>
      <c r="E21" s="436">
        <v>210</v>
      </c>
      <c r="F21" s="439">
        <f t="shared" si="0"/>
        <v>157.20910820523693</v>
      </c>
      <c r="G21" s="440">
        <f t="shared" si="1"/>
        <v>22.899436560000009</v>
      </c>
      <c r="H21" s="436"/>
      <c r="I21" s="436">
        <v>19</v>
      </c>
      <c r="J21" s="441"/>
      <c r="K21" s="441"/>
      <c r="L21" s="441"/>
      <c r="M21" s="441"/>
      <c r="N21" s="441"/>
      <c r="O21" s="441"/>
    </row>
    <row r="22" spans="1:15" ht="16.899999999999999" customHeight="1">
      <c r="A22" s="707"/>
      <c r="B22" s="711"/>
      <c r="C22" s="720"/>
      <c r="D22" s="435">
        <v>0.12</v>
      </c>
      <c r="E22" s="436">
        <v>210</v>
      </c>
      <c r="F22" s="439">
        <f t="shared" si="0"/>
        <v>109.17299180919235</v>
      </c>
      <c r="G22" s="440">
        <f t="shared" si="1"/>
        <v>32.975188646399999</v>
      </c>
      <c r="H22" s="436"/>
      <c r="I22" s="436">
        <v>19</v>
      </c>
      <c r="J22" s="441"/>
      <c r="K22" s="441"/>
      <c r="L22" s="441"/>
      <c r="M22" s="441"/>
      <c r="N22" s="441"/>
      <c r="O22" s="441"/>
    </row>
    <row r="23" spans="1:15" ht="16.899999999999999" customHeight="1">
      <c r="A23" s="707"/>
      <c r="B23" s="711"/>
      <c r="C23" s="720"/>
      <c r="D23" s="435">
        <v>0.127</v>
      </c>
      <c r="E23" s="436">
        <v>210</v>
      </c>
      <c r="F23" s="439">
        <f t="shared" si="0"/>
        <v>97.469842026930991</v>
      </c>
      <c r="G23" s="440">
        <f t="shared" si="1"/>
        <v>36.934501227624004</v>
      </c>
      <c r="H23" s="436"/>
      <c r="I23" s="436">
        <v>19</v>
      </c>
      <c r="J23" s="441"/>
      <c r="K23" s="441"/>
      <c r="L23" s="441"/>
      <c r="M23" s="441"/>
      <c r="N23" s="441"/>
      <c r="O23" s="441"/>
    </row>
    <row r="24" spans="1:15" ht="16.899999999999999" customHeight="1">
      <c r="A24" s="707"/>
      <c r="B24" s="711"/>
      <c r="C24" s="720"/>
      <c r="D24" s="435">
        <v>0.16</v>
      </c>
      <c r="E24" s="436">
        <v>190</v>
      </c>
      <c r="F24" s="439">
        <f t="shared" si="0"/>
        <v>67.873998197162351</v>
      </c>
      <c r="G24" s="440">
        <f t="shared" si="1"/>
        <v>53.039456870400002</v>
      </c>
      <c r="H24" s="436"/>
      <c r="I24" s="436">
        <v>19</v>
      </c>
      <c r="J24" s="441"/>
      <c r="K24" s="441"/>
      <c r="L24" s="441"/>
      <c r="M24" s="441"/>
      <c r="N24" s="441"/>
      <c r="O24" s="441"/>
    </row>
    <row r="25" spans="1:15" ht="16.899999999999999" customHeight="1">
      <c r="A25" s="707"/>
      <c r="B25" s="711"/>
      <c r="C25" s="720"/>
      <c r="D25" s="435">
        <v>0.2</v>
      </c>
      <c r="E25" s="436">
        <v>180</v>
      </c>
      <c r="F25" s="439">
        <f t="shared" si="0"/>
        <v>45.852656559860776</v>
      </c>
      <c r="G25" s="440">
        <f t="shared" si="1"/>
        <v>78.512353920000024</v>
      </c>
      <c r="H25" s="436"/>
      <c r="I25" s="436">
        <v>19</v>
      </c>
      <c r="J25" s="441"/>
      <c r="K25" s="441"/>
      <c r="L25" s="441"/>
      <c r="M25" s="441"/>
      <c r="N25" s="441"/>
      <c r="O25" s="441"/>
    </row>
    <row r="26" spans="1:15" ht="16.899999999999999" customHeight="1">
      <c r="A26" s="707"/>
      <c r="B26" s="711"/>
      <c r="C26" s="720"/>
      <c r="D26" s="435">
        <v>0.20300000000000001</v>
      </c>
      <c r="E26" s="436">
        <v>180</v>
      </c>
      <c r="F26" s="439">
        <f t="shared" si="0"/>
        <v>44.507419796511236</v>
      </c>
      <c r="G26" s="440">
        <f t="shared" si="1"/>
        <v>80.885389817231996</v>
      </c>
      <c r="H26" s="449"/>
      <c r="I26" s="436">
        <v>19</v>
      </c>
      <c r="J26" s="441"/>
      <c r="K26" s="441"/>
      <c r="L26" s="441"/>
      <c r="M26" s="441"/>
      <c r="N26" s="441"/>
      <c r="O26" s="441"/>
    </row>
    <row r="27" spans="1:15" ht="16.899999999999999" customHeight="1">
      <c r="A27" s="707"/>
      <c r="B27" s="711"/>
      <c r="C27" s="720"/>
      <c r="D27" s="435">
        <v>0.254</v>
      </c>
      <c r="E27" s="436">
        <v>180</v>
      </c>
      <c r="F27" s="439">
        <f t="shared" si="0"/>
        <v>28.428703924521535</v>
      </c>
      <c r="G27" s="440">
        <f t="shared" si="1"/>
        <v>126.63257563756802</v>
      </c>
      <c r="H27" s="449"/>
      <c r="I27" s="436">
        <v>19</v>
      </c>
      <c r="J27" s="441"/>
      <c r="K27" s="441"/>
      <c r="L27" s="441"/>
      <c r="M27" s="441"/>
      <c r="N27" s="441"/>
      <c r="O27" s="441"/>
    </row>
    <row r="28" spans="1:15" ht="16.899999999999999" customHeight="1">
      <c r="A28" s="707"/>
      <c r="B28" s="711"/>
      <c r="C28" s="721"/>
      <c r="D28" s="435">
        <v>0.31</v>
      </c>
      <c r="E28" s="436">
        <v>180</v>
      </c>
      <c r="F28" s="439">
        <f t="shared" si="0"/>
        <v>19.085392948953498</v>
      </c>
      <c r="G28" s="440">
        <f t="shared" si="1"/>
        <v>188.62593029280004</v>
      </c>
      <c r="H28" s="449"/>
      <c r="I28" s="436">
        <v>19</v>
      </c>
      <c r="J28" s="441"/>
      <c r="K28" s="441"/>
      <c r="L28" s="441"/>
      <c r="M28" s="441"/>
      <c r="N28" s="441"/>
      <c r="O28" s="441"/>
    </row>
    <row r="29" spans="1:15" ht="17.45" customHeight="1">
      <c r="A29" s="718"/>
      <c r="B29" s="711"/>
      <c r="C29" s="450" t="s">
        <v>388</v>
      </c>
      <c r="D29" s="447"/>
      <c r="E29" s="450"/>
      <c r="F29" s="439" t="str">
        <f t="shared" si="0"/>
        <v/>
      </c>
      <c r="G29" s="448"/>
      <c r="H29" s="451"/>
      <c r="I29" s="436"/>
      <c r="J29" s="441"/>
      <c r="K29" s="441"/>
      <c r="L29" s="441"/>
      <c r="M29" s="441"/>
      <c r="N29" s="441"/>
      <c r="O29" s="441"/>
    </row>
    <row r="30" spans="1:15" ht="16.899999999999999" customHeight="1">
      <c r="A30" s="717" t="s">
        <v>389</v>
      </c>
      <c r="B30" s="722" t="s">
        <v>383</v>
      </c>
      <c r="C30" s="708" t="s">
        <v>390</v>
      </c>
      <c r="D30" s="435">
        <v>0.05</v>
      </c>
      <c r="E30" s="436">
        <v>250</v>
      </c>
      <c r="F30" s="439">
        <f>IFERROR(((1/(D30^2*0.7854*8.9)*1000))/E30*60/22,"")</f>
        <v>624.26307694588638</v>
      </c>
      <c r="G30" s="440">
        <f t="shared" ref="G30:G56" si="2">IFERROR(60/F30*60,"")</f>
        <v>5.7667995000000012</v>
      </c>
      <c r="H30" s="436"/>
      <c r="I30" s="436">
        <v>30</v>
      </c>
      <c r="J30" s="441"/>
      <c r="K30" s="441"/>
      <c r="L30" s="441"/>
      <c r="M30" s="441"/>
      <c r="N30" s="441"/>
      <c r="O30" s="441"/>
    </row>
    <row r="31" spans="1:15" ht="16.899999999999999" customHeight="1">
      <c r="A31" s="707"/>
      <c r="B31" s="723"/>
      <c r="C31" s="709"/>
      <c r="D31" s="435">
        <v>0.06</v>
      </c>
      <c r="E31" s="436">
        <v>230</v>
      </c>
      <c r="F31" s="439">
        <f t="shared" ref="F31:F56" si="3">IFERROR(((1/(D31^2*0.7854*8.9)*1000))/E31*60/22,"")</f>
        <v>471.2130713661582</v>
      </c>
      <c r="G31" s="440">
        <f t="shared" si="2"/>
        <v>7.6398559776000017</v>
      </c>
      <c r="H31" s="436"/>
      <c r="I31" s="436">
        <v>30</v>
      </c>
      <c r="J31" s="441"/>
      <c r="K31" s="441"/>
      <c r="L31" s="441"/>
      <c r="M31" s="441"/>
      <c r="N31" s="441"/>
      <c r="O31" s="441"/>
    </row>
    <row r="32" spans="1:15" ht="16.899999999999999" customHeight="1">
      <c r="A32" s="707"/>
      <c r="B32" s="723"/>
      <c r="C32" s="709"/>
      <c r="D32" s="435">
        <v>7.0000000000000007E-2</v>
      </c>
      <c r="E32" s="436">
        <v>230</v>
      </c>
      <c r="F32" s="439">
        <f t="shared" si="3"/>
        <v>346.19735855472845</v>
      </c>
      <c r="G32" s="440">
        <f t="shared" si="2"/>
        <v>10.398692858400004</v>
      </c>
      <c r="H32" s="436"/>
      <c r="I32" s="436">
        <v>30</v>
      </c>
      <c r="J32" s="441"/>
      <c r="K32" s="441"/>
      <c r="L32" s="441"/>
      <c r="M32" s="441"/>
      <c r="N32" s="441"/>
      <c r="O32" s="441"/>
    </row>
    <row r="33" spans="1:15" ht="16.899999999999999" customHeight="1">
      <c r="A33" s="707"/>
      <c r="B33" s="723"/>
      <c r="C33" s="709"/>
      <c r="D33" s="435">
        <v>7.4999999999999997E-2</v>
      </c>
      <c r="E33" s="436">
        <v>220</v>
      </c>
      <c r="F33" s="439">
        <f t="shared" si="3"/>
        <v>315.28438229590228</v>
      </c>
      <c r="G33" s="440">
        <f t="shared" si="2"/>
        <v>11.41826301</v>
      </c>
      <c r="H33" s="436"/>
      <c r="I33" s="436">
        <v>30</v>
      </c>
      <c r="J33" s="441"/>
      <c r="K33" s="441"/>
      <c r="L33" s="441"/>
      <c r="M33" s="441"/>
      <c r="N33" s="441"/>
      <c r="O33" s="441"/>
    </row>
    <row r="34" spans="1:15" ht="16.899999999999999" customHeight="1">
      <c r="A34" s="707"/>
      <c r="B34" s="723"/>
      <c r="C34" s="709"/>
      <c r="D34" s="435">
        <v>0.08</v>
      </c>
      <c r="E34" s="436">
        <v>220</v>
      </c>
      <c r="F34" s="439">
        <f t="shared" si="3"/>
        <v>277.10541412725792</v>
      </c>
      <c r="G34" s="440">
        <f t="shared" si="2"/>
        <v>12.991445913599998</v>
      </c>
      <c r="H34" s="436"/>
      <c r="I34" s="436">
        <v>30</v>
      </c>
      <c r="J34" s="441"/>
      <c r="K34" s="441"/>
      <c r="L34" s="441"/>
      <c r="M34" s="441"/>
      <c r="N34" s="441"/>
      <c r="O34" s="441"/>
    </row>
    <row r="35" spans="1:15" ht="16.899999999999999" customHeight="1">
      <c r="A35" s="707"/>
      <c r="B35" s="723"/>
      <c r="C35" s="709"/>
      <c r="D35" s="435">
        <v>0.09</v>
      </c>
      <c r="E35" s="436">
        <v>220</v>
      </c>
      <c r="F35" s="439">
        <f t="shared" si="3"/>
        <v>218.94748770548767</v>
      </c>
      <c r="G35" s="440">
        <f t="shared" si="2"/>
        <v>16.442298734400001</v>
      </c>
      <c r="H35" s="436"/>
      <c r="I35" s="436">
        <v>30</v>
      </c>
      <c r="J35" s="441"/>
      <c r="K35" s="441"/>
      <c r="L35" s="441"/>
      <c r="M35" s="441"/>
      <c r="N35" s="441"/>
      <c r="O35" s="441"/>
    </row>
    <row r="36" spans="1:15" ht="16.899999999999999" customHeight="1">
      <c r="A36" s="707"/>
      <c r="B36" s="723"/>
      <c r="C36" s="709"/>
      <c r="D36" s="435">
        <v>0.1</v>
      </c>
      <c r="E36" s="436">
        <v>190</v>
      </c>
      <c r="F36" s="439">
        <f t="shared" si="3"/>
        <v>205.34969636377843</v>
      </c>
      <c r="G36" s="440">
        <f t="shared" si="2"/>
        <v>17.531070480000004</v>
      </c>
      <c r="H36" s="436"/>
      <c r="I36" s="436">
        <v>30</v>
      </c>
      <c r="J36" s="441"/>
      <c r="K36" s="441"/>
      <c r="L36" s="441"/>
      <c r="M36" s="441"/>
      <c r="N36" s="441"/>
      <c r="O36" s="441"/>
    </row>
    <row r="37" spans="1:15" ht="16.899999999999999" customHeight="1">
      <c r="A37" s="707"/>
      <c r="B37" s="723"/>
      <c r="C37" s="709"/>
      <c r="D37" s="435">
        <v>0.11</v>
      </c>
      <c r="E37" s="436">
        <v>210</v>
      </c>
      <c r="F37" s="439">
        <f t="shared" si="3"/>
        <v>153.5475887804719</v>
      </c>
      <c r="G37" s="440">
        <f t="shared" si="2"/>
        <v>23.445500047199999</v>
      </c>
      <c r="H37" s="436"/>
      <c r="I37" s="436">
        <v>30</v>
      </c>
      <c r="J37" s="441"/>
      <c r="K37" s="441"/>
      <c r="L37" s="441"/>
      <c r="M37" s="441"/>
      <c r="N37" s="441"/>
      <c r="O37" s="441"/>
    </row>
    <row r="38" spans="1:15" ht="16.899999999999999" customHeight="1">
      <c r="A38" s="707"/>
      <c r="B38" s="723"/>
      <c r="C38" s="709"/>
      <c r="D38" s="435">
        <v>0.12</v>
      </c>
      <c r="E38" s="436">
        <v>200</v>
      </c>
      <c r="F38" s="439">
        <f t="shared" si="3"/>
        <v>135.47375801777051</v>
      </c>
      <c r="G38" s="440">
        <f t="shared" si="2"/>
        <v>26.573412096000002</v>
      </c>
      <c r="H38" s="436"/>
      <c r="I38" s="436">
        <v>30</v>
      </c>
      <c r="J38" s="441"/>
      <c r="K38" s="441"/>
      <c r="L38" s="441"/>
      <c r="M38" s="441"/>
      <c r="N38" s="441"/>
      <c r="O38" s="441"/>
    </row>
    <row r="39" spans="1:15" ht="16.899999999999999" customHeight="1">
      <c r="A39" s="707"/>
      <c r="B39" s="723"/>
      <c r="C39" s="709"/>
      <c r="D39" s="435">
        <v>0.13</v>
      </c>
      <c r="E39" s="436">
        <v>180</v>
      </c>
      <c r="F39" s="439">
        <f t="shared" si="3"/>
        <v>128.25917918842177</v>
      </c>
      <c r="G39" s="440">
        <f t="shared" si="2"/>
        <v>28.068166526400006</v>
      </c>
      <c r="H39" s="436"/>
      <c r="I39" s="436">
        <v>30</v>
      </c>
      <c r="J39" s="441"/>
      <c r="K39" s="441"/>
      <c r="L39" s="441"/>
      <c r="M39" s="441"/>
      <c r="N39" s="441"/>
      <c r="O39" s="441"/>
    </row>
    <row r="40" spans="1:15" ht="16.899999999999999" customHeight="1">
      <c r="A40" s="707"/>
      <c r="B40" s="723"/>
      <c r="C40" s="709"/>
      <c r="D40" s="435">
        <v>0.14000000000000001</v>
      </c>
      <c r="E40" s="436">
        <v>170</v>
      </c>
      <c r="F40" s="439">
        <f t="shared" si="3"/>
        <v>117.0961653935111</v>
      </c>
      <c r="G40" s="440">
        <f t="shared" si="2"/>
        <v>30.743961494400011</v>
      </c>
      <c r="H40" s="436"/>
      <c r="I40" s="436">
        <v>30</v>
      </c>
      <c r="J40" s="441"/>
      <c r="K40" s="441"/>
      <c r="L40" s="441"/>
      <c r="M40" s="441"/>
      <c r="N40" s="441"/>
      <c r="O40" s="441"/>
    </row>
    <row r="41" spans="1:15" ht="16.899999999999999" customHeight="1">
      <c r="A41" s="707"/>
      <c r="B41" s="723"/>
      <c r="C41" s="709"/>
      <c r="D41" s="435">
        <v>0.15</v>
      </c>
      <c r="E41" s="436">
        <v>160</v>
      </c>
      <c r="F41" s="439">
        <f t="shared" si="3"/>
        <v>108.37900641421642</v>
      </c>
      <c r="G41" s="440">
        <f t="shared" si="2"/>
        <v>33.216765119999998</v>
      </c>
      <c r="H41" s="436"/>
      <c r="I41" s="436">
        <v>30</v>
      </c>
      <c r="J41" s="441"/>
      <c r="K41" s="441"/>
      <c r="L41" s="441"/>
      <c r="M41" s="441"/>
      <c r="N41" s="441"/>
      <c r="O41" s="441"/>
    </row>
    <row r="42" spans="1:15" ht="16.899999999999999" customHeight="1">
      <c r="A42" s="707"/>
      <c r="B42" s="723"/>
      <c r="C42" s="709"/>
      <c r="D42" s="435">
        <v>0.16</v>
      </c>
      <c r="E42" s="436">
        <v>150</v>
      </c>
      <c r="F42" s="439">
        <f t="shared" si="3"/>
        <v>101.60531851332789</v>
      </c>
      <c r="G42" s="440">
        <f t="shared" si="2"/>
        <v>35.431216127999996</v>
      </c>
      <c r="H42" s="436"/>
      <c r="I42" s="436">
        <v>30</v>
      </c>
      <c r="J42" s="441"/>
      <c r="K42" s="441"/>
      <c r="L42" s="441"/>
      <c r="M42" s="441"/>
      <c r="N42" s="441"/>
      <c r="O42" s="441"/>
    </row>
    <row r="43" spans="1:15" ht="16.899999999999999" customHeight="1">
      <c r="A43" s="707"/>
      <c r="B43" s="723"/>
      <c r="C43" s="709"/>
      <c r="D43" s="435">
        <v>0.17</v>
      </c>
      <c r="E43" s="436">
        <v>140</v>
      </c>
      <c r="F43" s="439">
        <f t="shared" si="3"/>
        <v>96.432136206420907</v>
      </c>
      <c r="G43" s="440">
        <f t="shared" si="2"/>
        <v>37.331953243200005</v>
      </c>
      <c r="H43" s="436"/>
      <c r="I43" s="436">
        <v>30</v>
      </c>
      <c r="J43" s="441"/>
      <c r="K43" s="441"/>
      <c r="L43" s="441"/>
      <c r="M43" s="441"/>
      <c r="N43" s="441"/>
      <c r="O43" s="441"/>
    </row>
    <row r="44" spans="1:15" ht="16.899999999999999" customHeight="1">
      <c r="A44" s="707"/>
      <c r="B44" s="723"/>
      <c r="C44" s="709"/>
      <c r="D44" s="435">
        <v>0.18</v>
      </c>
      <c r="E44" s="436">
        <v>130</v>
      </c>
      <c r="F44" s="439">
        <f t="shared" si="3"/>
        <v>92.631629413860168</v>
      </c>
      <c r="G44" s="440">
        <f t="shared" si="2"/>
        <v>38.863615190400004</v>
      </c>
      <c r="H44" s="436"/>
      <c r="I44" s="436">
        <v>30</v>
      </c>
      <c r="J44" s="441"/>
      <c r="K44" s="441"/>
      <c r="L44" s="441"/>
      <c r="M44" s="441"/>
      <c r="N44" s="441"/>
      <c r="O44" s="441"/>
    </row>
    <row r="45" spans="1:15" ht="16.899999999999999" customHeight="1">
      <c r="A45" s="707"/>
      <c r="B45" s="723"/>
      <c r="C45" s="709"/>
      <c r="D45" s="435">
        <v>0.19</v>
      </c>
      <c r="E45" s="436">
        <v>120</v>
      </c>
      <c r="F45" s="439">
        <f t="shared" si="3"/>
        <v>90.065656299902827</v>
      </c>
      <c r="G45" s="440">
        <f t="shared" si="2"/>
        <v>39.970840694400003</v>
      </c>
      <c r="H45" s="436"/>
      <c r="I45" s="436">
        <v>30</v>
      </c>
      <c r="J45" s="441"/>
      <c r="K45" s="441"/>
      <c r="L45" s="441"/>
      <c r="M45" s="441"/>
      <c r="N45" s="441"/>
      <c r="O45" s="441"/>
    </row>
    <row r="46" spans="1:15" ht="16.899999999999999" customHeight="1">
      <c r="A46" s="707"/>
      <c r="B46" s="723"/>
      <c r="C46" s="709"/>
      <c r="D46" s="435">
        <v>0.2</v>
      </c>
      <c r="E46" s="436">
        <v>110</v>
      </c>
      <c r="F46" s="439">
        <f t="shared" si="3"/>
        <v>88.673732520722496</v>
      </c>
      <c r="G46" s="440">
        <f t="shared" si="2"/>
        <v>40.598268480000009</v>
      </c>
      <c r="H46" s="436"/>
      <c r="I46" s="436">
        <v>30</v>
      </c>
      <c r="J46" s="441"/>
      <c r="K46" s="441"/>
      <c r="L46" s="441"/>
      <c r="M46" s="441"/>
      <c r="N46" s="441"/>
      <c r="O46" s="441"/>
    </row>
    <row r="47" spans="1:15" ht="16.899999999999999" customHeight="1">
      <c r="A47" s="707"/>
      <c r="B47" s="723"/>
      <c r="C47" s="709"/>
      <c r="D47" s="435">
        <v>0.21</v>
      </c>
      <c r="E47" s="436">
        <v>100</v>
      </c>
      <c r="F47" s="439">
        <f t="shared" si="3"/>
        <v>88.472658297319512</v>
      </c>
      <c r="G47" s="440">
        <f t="shared" si="2"/>
        <v>40.690537272000007</v>
      </c>
      <c r="H47" s="436"/>
      <c r="I47" s="436">
        <v>30</v>
      </c>
      <c r="J47" s="441"/>
      <c r="K47" s="441"/>
      <c r="L47" s="441"/>
      <c r="M47" s="441"/>
      <c r="N47" s="441"/>
      <c r="O47" s="441"/>
    </row>
    <row r="48" spans="1:15" ht="16.899999999999999" customHeight="1">
      <c r="A48" s="707"/>
      <c r="B48" s="723"/>
      <c r="C48" s="709"/>
      <c r="D48" s="435">
        <v>0.22</v>
      </c>
      <c r="E48" s="436">
        <v>100</v>
      </c>
      <c r="F48" s="439">
        <f t="shared" si="3"/>
        <v>80.612484109747754</v>
      </c>
      <c r="G48" s="440">
        <f t="shared" si="2"/>
        <v>44.658095327999995</v>
      </c>
      <c r="H48" s="436"/>
      <c r="I48" s="436">
        <v>30</v>
      </c>
      <c r="J48" s="441"/>
      <c r="K48" s="441"/>
      <c r="L48" s="441"/>
      <c r="M48" s="441"/>
      <c r="N48" s="441"/>
      <c r="O48" s="441"/>
    </row>
    <row r="49" spans="1:15" ht="16.899999999999999" customHeight="1">
      <c r="A49" s="707"/>
      <c r="B49" s="723"/>
      <c r="C49" s="709"/>
      <c r="D49" s="435">
        <v>0.23</v>
      </c>
      <c r="E49" s="436">
        <v>95</v>
      </c>
      <c r="F49" s="439">
        <f t="shared" si="3"/>
        <v>77.636936243394501</v>
      </c>
      <c r="G49" s="440">
        <f t="shared" si="2"/>
        <v>46.369681419599999</v>
      </c>
      <c r="H49" s="436"/>
      <c r="I49" s="436">
        <v>30</v>
      </c>
      <c r="J49" s="441"/>
      <c r="K49" s="441"/>
      <c r="L49" s="441"/>
      <c r="M49" s="441"/>
      <c r="N49" s="441"/>
      <c r="O49" s="441"/>
    </row>
    <row r="50" spans="1:15" ht="16.899999999999999" customHeight="1">
      <c r="A50" s="707"/>
      <c r="B50" s="723"/>
      <c r="C50" s="709"/>
      <c r="D50" s="435">
        <v>0.24</v>
      </c>
      <c r="E50" s="436">
        <v>95</v>
      </c>
      <c r="F50" s="439">
        <f t="shared" si="3"/>
        <v>71.301977904089739</v>
      </c>
      <c r="G50" s="440">
        <f t="shared" si="2"/>
        <v>50.489482982400006</v>
      </c>
      <c r="H50" s="436"/>
      <c r="I50" s="436">
        <v>30</v>
      </c>
      <c r="J50" s="441"/>
      <c r="K50" s="441"/>
      <c r="L50" s="441"/>
      <c r="M50" s="441"/>
      <c r="N50" s="441"/>
      <c r="O50" s="441"/>
    </row>
    <row r="51" spans="1:15" ht="16.899999999999999" customHeight="1">
      <c r="A51" s="707"/>
      <c r="B51" s="723"/>
      <c r="C51" s="709"/>
      <c r="D51" s="435">
        <v>0.25</v>
      </c>
      <c r="E51" s="436">
        <v>90</v>
      </c>
      <c r="F51" s="439">
        <f t="shared" si="3"/>
        <v>69.3625641050985</v>
      </c>
      <c r="G51" s="440">
        <f t="shared" si="2"/>
        <v>51.9011955</v>
      </c>
      <c r="H51" s="436"/>
      <c r="I51" s="436">
        <v>30</v>
      </c>
      <c r="J51" s="441"/>
      <c r="K51" s="441"/>
      <c r="L51" s="441"/>
      <c r="M51" s="441"/>
      <c r="N51" s="441"/>
      <c r="O51" s="441"/>
    </row>
    <row r="52" spans="1:15" ht="16.899999999999999" customHeight="1">
      <c r="A52" s="707"/>
      <c r="B52" s="723"/>
      <c r="C52" s="709"/>
      <c r="D52" s="435">
        <v>0.26</v>
      </c>
      <c r="E52" s="436">
        <v>90</v>
      </c>
      <c r="F52" s="439">
        <f t="shared" si="3"/>
        <v>64.129589594210884</v>
      </c>
      <c r="G52" s="440">
        <f t="shared" si="2"/>
        <v>56.136333052800012</v>
      </c>
      <c r="H52" s="436"/>
      <c r="I52" s="436">
        <v>30</v>
      </c>
      <c r="J52" s="441"/>
      <c r="K52" s="441"/>
      <c r="L52" s="441"/>
      <c r="M52" s="441"/>
      <c r="N52" s="441"/>
      <c r="O52" s="441"/>
    </row>
    <row r="53" spans="1:15" ht="16.899999999999999" customHeight="1">
      <c r="A53" s="707"/>
      <c r="B53" s="723"/>
      <c r="C53" s="709"/>
      <c r="D53" s="435">
        <v>0.27300000000000002</v>
      </c>
      <c r="E53" s="436">
        <v>85</v>
      </c>
      <c r="F53" s="439">
        <f t="shared" si="3"/>
        <v>61.589041627093295</v>
      </c>
      <c r="G53" s="440">
        <f t="shared" si="2"/>
        <v>58.451956791228007</v>
      </c>
      <c r="H53" s="436"/>
      <c r="I53" s="436">
        <v>30</v>
      </c>
      <c r="J53" s="441"/>
      <c r="K53" s="441"/>
      <c r="L53" s="441"/>
      <c r="M53" s="441"/>
      <c r="N53" s="441"/>
      <c r="O53" s="441"/>
    </row>
    <row r="54" spans="1:15" ht="16.899999999999999" customHeight="1">
      <c r="A54" s="707"/>
      <c r="B54" s="723"/>
      <c r="C54" s="709"/>
      <c r="D54" s="435">
        <v>0.28000000000000003</v>
      </c>
      <c r="E54" s="436">
        <v>85</v>
      </c>
      <c r="F54" s="439">
        <f t="shared" si="3"/>
        <v>58.54808269675555</v>
      </c>
      <c r="G54" s="440">
        <f t="shared" si="2"/>
        <v>61.487922988800022</v>
      </c>
      <c r="H54" s="436"/>
      <c r="I54" s="436">
        <v>30</v>
      </c>
      <c r="J54" s="441"/>
      <c r="K54" s="441"/>
      <c r="L54" s="441"/>
      <c r="M54" s="441"/>
      <c r="N54" s="441"/>
      <c r="O54" s="441"/>
    </row>
    <row r="55" spans="1:15" ht="16.899999999999999" customHeight="1">
      <c r="A55" s="707"/>
      <c r="B55" s="723"/>
      <c r="C55" s="709"/>
      <c r="D55" s="435">
        <v>0.28999999999999998</v>
      </c>
      <c r="E55" s="436">
        <v>80</v>
      </c>
      <c r="F55" s="439">
        <f t="shared" si="3"/>
        <v>57.991144930317937</v>
      </c>
      <c r="G55" s="440">
        <f t="shared" si="2"/>
        <v>62.078443257599993</v>
      </c>
      <c r="H55" s="436"/>
      <c r="I55" s="436">
        <v>30</v>
      </c>
      <c r="J55" s="441"/>
      <c r="K55" s="441"/>
      <c r="L55" s="441"/>
      <c r="M55" s="441"/>
      <c r="N55" s="441"/>
      <c r="O55" s="441"/>
    </row>
    <row r="56" spans="1:15" ht="16.899999999999999" customHeight="1">
      <c r="A56" s="707"/>
      <c r="B56" s="723"/>
      <c r="C56" s="710"/>
      <c r="D56" s="435">
        <v>0.3</v>
      </c>
      <c r="E56" s="436">
        <v>80</v>
      </c>
      <c r="F56" s="439">
        <f t="shared" si="3"/>
        <v>54.18950320710821</v>
      </c>
      <c r="G56" s="440">
        <f t="shared" si="2"/>
        <v>66.433530239999996</v>
      </c>
      <c r="H56" s="436"/>
      <c r="I56" s="436">
        <v>30</v>
      </c>
      <c r="J56" s="441"/>
      <c r="K56" s="441"/>
      <c r="L56" s="441"/>
      <c r="M56" s="441"/>
      <c r="N56" s="441"/>
      <c r="O56" s="441"/>
    </row>
    <row r="57" spans="1:15" ht="16.899999999999999" customHeight="1">
      <c r="A57" s="718"/>
      <c r="B57" s="724"/>
      <c r="C57" s="725" t="s">
        <v>391</v>
      </c>
      <c r="D57" s="726"/>
      <c r="E57" s="726"/>
      <c r="F57" s="726"/>
      <c r="G57" s="727"/>
      <c r="H57" s="436"/>
      <c r="I57" s="441"/>
      <c r="J57" s="441"/>
      <c r="K57" s="441"/>
      <c r="L57" s="441"/>
      <c r="M57" s="441"/>
      <c r="N57" s="441"/>
      <c r="O57" s="441"/>
    </row>
    <row r="58" spans="1:15" ht="16.899999999999999" customHeight="1">
      <c r="A58" s="441" t="s">
        <v>373</v>
      </c>
      <c r="B58" s="441"/>
      <c r="C58" s="441"/>
      <c r="D58" s="436"/>
      <c r="E58" s="436"/>
      <c r="F58" s="441"/>
      <c r="G58" s="441"/>
      <c r="H58" s="441"/>
      <c r="I58" s="441"/>
      <c r="J58" s="441"/>
      <c r="K58" s="441"/>
      <c r="L58" s="441"/>
      <c r="M58" s="441"/>
      <c r="N58" s="441"/>
      <c r="O58" s="441"/>
    </row>
  </sheetData>
  <mergeCells count="21">
    <mergeCell ref="D2:D3"/>
    <mergeCell ref="E2:E3"/>
    <mergeCell ref="F2:F3"/>
    <mergeCell ref="A4:A19"/>
    <mergeCell ref="B4:B19"/>
    <mergeCell ref="C4:C18"/>
    <mergeCell ref="A2:A3"/>
    <mergeCell ref="B2:B3"/>
    <mergeCell ref="C2:C3"/>
    <mergeCell ref="G2:G3"/>
    <mergeCell ref="H2:H3"/>
    <mergeCell ref="I2:M2"/>
    <mergeCell ref="N2:N3"/>
    <mergeCell ref="O2:O3"/>
    <mergeCell ref="A20:A29"/>
    <mergeCell ref="B20:B29"/>
    <mergeCell ref="C20:C28"/>
    <mergeCell ref="A30:A57"/>
    <mergeCell ref="B30:B57"/>
    <mergeCell ref="C30:C56"/>
    <mergeCell ref="C57:G57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02</vt:lpstr>
      <vt:lpstr>03</vt:lpstr>
      <vt:lpstr>Sheet1</vt:lpstr>
      <vt:lpstr>絞線Twisting wire</vt:lpstr>
      <vt:lpstr>编织 缠绕 Winding, Braiding,</vt:lpstr>
      <vt:lpstr>總絞Twisting core</vt:lpstr>
      <vt:lpstr> 押出ekstrusi</vt:lpstr>
      <vt:lpstr>伸线工时wire drawing</vt:lpstr>
      <vt:lpstr>退火 镀锡 烤漆工时anil celup cat</vt:lpstr>
      <vt:lpstr>绞线工时Twisting wire</vt:lpstr>
      <vt:lpstr>缠绕 编织工时Winding, Braiding,</vt:lpstr>
      <vt:lpstr>对绞 总绞工时Twisting core</vt:lpstr>
      <vt:lpstr>押出工时ekstrusi</vt:lpstr>
      <vt:lpstr>'02'!Print_Area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2024-03-12T06:05:45Z</dcterms:created>
  <dcterms:modified xsi:type="dcterms:W3CDTF">2024-03-14T06:24:50Z</dcterms:modified>
</cp:coreProperties>
</file>