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531"/>
  </bookViews>
  <sheets>
    <sheet name="04" sheetId="1" r:id="rId1"/>
    <sheet name="絞線Twisting wire" sheetId="2" r:id="rId2"/>
    <sheet name="编织 缠绕 Winding, Braiding," sheetId="3" r:id="rId3"/>
    <sheet name="總絞Twisting core" sheetId="4" r:id="rId4"/>
    <sheet name=" 押出ekstrusi" sheetId="5" r:id="rId5"/>
  </sheets>
  <externalReferences>
    <externalReference r:id="rId6"/>
  </externalReferences>
  <definedNames>
    <definedName name="_xlnm._FilterDatabase" localSheetId="4" hidden="1">' 押出ekstrusi'!$A$6:$X$32</definedName>
    <definedName name="_xlnm._FilterDatabase" localSheetId="0" hidden="1">'04'!$A$2:$AW$284</definedName>
    <definedName name="_xlnm._FilterDatabase" localSheetId="1" hidden="1">'絞線Twisting wire'!$A$6:$AB$35</definedName>
    <definedName name="_xlnm._FilterDatabase" localSheetId="3" hidden="1">'總絞Twisting core'!$A$6:$AA$25</definedName>
    <definedName name="_xlnm._FilterDatabase" localSheetId="2" hidden="1">'编织 缠绕 Winding, Braiding,'!$A$6:$AB$23</definedName>
  </definedNames>
  <calcPr calcId="144525"/>
</workbook>
</file>

<file path=xl/calcChain.xml><?xml version="1.0" encoding="utf-8"?>
<calcChain xmlns="http://schemas.openxmlformats.org/spreadsheetml/2006/main">
  <c r="AL105" i="1" l="1"/>
  <c r="AK105" i="1"/>
  <c r="AI105" i="1"/>
  <c r="AH105" i="1"/>
  <c r="AG105" i="1"/>
  <c r="AF105" i="1"/>
  <c r="AE105" i="1"/>
  <c r="AD105" i="1"/>
  <c r="AB105" i="1"/>
  <c r="AA105" i="1"/>
  <c r="Z105" i="1"/>
  <c r="Y105" i="1"/>
  <c r="X105" i="1"/>
  <c r="W105" i="1"/>
  <c r="N105" i="1"/>
  <c r="M105" i="1"/>
  <c r="L105" i="1"/>
  <c r="K105" i="1"/>
  <c r="J105" i="1"/>
  <c r="I105" i="1"/>
  <c r="AL101" i="1"/>
  <c r="AK101" i="1"/>
  <c r="AI101" i="1"/>
  <c r="AH101" i="1"/>
  <c r="AG101" i="1"/>
  <c r="AF101" i="1"/>
  <c r="AE101" i="1"/>
  <c r="AD101" i="1"/>
  <c r="AB101" i="1"/>
  <c r="AA101" i="1"/>
  <c r="Z101" i="1"/>
  <c r="Y101" i="1"/>
  <c r="X101" i="1"/>
  <c r="W101" i="1"/>
  <c r="N101" i="1"/>
  <c r="M101" i="1"/>
  <c r="L101" i="1"/>
  <c r="K101" i="1"/>
  <c r="J101" i="1"/>
  <c r="I101" i="1"/>
  <c r="AL97" i="1"/>
  <c r="AK97" i="1"/>
  <c r="AI97" i="1"/>
  <c r="AH97" i="1"/>
  <c r="AG97" i="1"/>
  <c r="AF97" i="1"/>
  <c r="AE97" i="1"/>
  <c r="AD97" i="1"/>
  <c r="AB97" i="1"/>
  <c r="AA97" i="1"/>
  <c r="Z97" i="1"/>
  <c r="Y97" i="1"/>
  <c r="X97" i="1"/>
  <c r="W97" i="1"/>
  <c r="N97" i="1"/>
  <c r="M97" i="1"/>
  <c r="L97" i="1"/>
  <c r="K97" i="1"/>
  <c r="J97" i="1"/>
  <c r="I97" i="1"/>
  <c r="AL93" i="1"/>
  <c r="AK93" i="1"/>
  <c r="AI93" i="1"/>
  <c r="AH93" i="1"/>
  <c r="AG93" i="1"/>
  <c r="AF93" i="1"/>
  <c r="AE93" i="1"/>
  <c r="AD93" i="1"/>
  <c r="AB93" i="1"/>
  <c r="AA93" i="1"/>
  <c r="Z93" i="1"/>
  <c r="Y93" i="1"/>
  <c r="X93" i="1"/>
  <c r="W93" i="1"/>
  <c r="N93" i="1"/>
  <c r="M93" i="1"/>
  <c r="L93" i="1"/>
  <c r="K93" i="1"/>
  <c r="J93" i="1"/>
  <c r="I93" i="1"/>
  <c r="AL90" i="1"/>
  <c r="AK90" i="1"/>
  <c r="AI90" i="1"/>
  <c r="AH90" i="1"/>
  <c r="AG90" i="1"/>
  <c r="AF90" i="1"/>
  <c r="AE90" i="1"/>
  <c r="AD90" i="1"/>
  <c r="AB90" i="1"/>
  <c r="AA90" i="1"/>
  <c r="Z90" i="1"/>
  <c r="Y90" i="1"/>
  <c r="X90" i="1"/>
  <c r="W90" i="1"/>
  <c r="N90" i="1"/>
  <c r="M90" i="1"/>
  <c r="L90" i="1"/>
  <c r="K90" i="1"/>
  <c r="J90" i="1"/>
  <c r="I90" i="1"/>
  <c r="W122" i="1" l="1"/>
  <c r="W118" i="1"/>
  <c r="W114" i="1"/>
  <c r="Y87" i="1"/>
  <c r="Z87" i="1" s="1"/>
  <c r="W87" i="1"/>
  <c r="K87" i="1"/>
  <c r="L87" i="1" s="1"/>
  <c r="AL83" i="1"/>
  <c r="AK83" i="1"/>
  <c r="AF83" i="1"/>
  <c r="AG83" i="1" s="1"/>
  <c r="AD83" i="1"/>
  <c r="Y83" i="1"/>
  <c r="Z83" i="1" s="1"/>
  <c r="W83" i="1"/>
  <c r="K83" i="1"/>
  <c r="L83" i="1" s="1"/>
  <c r="AL86" i="1"/>
  <c r="AK86" i="1"/>
  <c r="AI86" i="1"/>
  <c r="AH86" i="1"/>
  <c r="AG86" i="1"/>
  <c r="AF86" i="1"/>
  <c r="AE86" i="1"/>
  <c r="AD86" i="1"/>
  <c r="AB86" i="1"/>
  <c r="AA86" i="1"/>
  <c r="Z86" i="1"/>
  <c r="Y86" i="1"/>
  <c r="X86" i="1"/>
  <c r="W86" i="1"/>
  <c r="N86" i="1"/>
  <c r="M86" i="1"/>
  <c r="L86" i="1"/>
  <c r="K86" i="1"/>
  <c r="J86" i="1"/>
  <c r="I86" i="1"/>
  <c r="AL82" i="1"/>
  <c r="AK82" i="1"/>
  <c r="AI82" i="1"/>
  <c r="AH82" i="1"/>
  <c r="AG82" i="1"/>
  <c r="AF82" i="1"/>
  <c r="AE82" i="1"/>
  <c r="AD82" i="1"/>
  <c r="AB82" i="1"/>
  <c r="AA82" i="1"/>
  <c r="Z82" i="1"/>
  <c r="Y82" i="1"/>
  <c r="X82" i="1"/>
  <c r="W82" i="1"/>
  <c r="N82" i="1"/>
  <c r="M82" i="1"/>
  <c r="L82" i="1"/>
  <c r="K82" i="1"/>
  <c r="J82" i="1"/>
  <c r="I82" i="1"/>
  <c r="AL68" i="1"/>
  <c r="AK68" i="1"/>
  <c r="AI68" i="1"/>
  <c r="AH68" i="1"/>
  <c r="AG68" i="1"/>
  <c r="AF68" i="1"/>
  <c r="AE68" i="1"/>
  <c r="AD68" i="1"/>
  <c r="AB68" i="1"/>
  <c r="AA68" i="1"/>
  <c r="Z68" i="1"/>
  <c r="Y68" i="1"/>
  <c r="X68" i="1"/>
  <c r="W68" i="1"/>
  <c r="N68" i="1"/>
  <c r="M68" i="1"/>
  <c r="L68" i="1"/>
  <c r="K68" i="1"/>
  <c r="J68" i="1"/>
  <c r="I68" i="1"/>
  <c r="AL64" i="1"/>
  <c r="AK64" i="1"/>
  <c r="AI64" i="1"/>
  <c r="AH64" i="1"/>
  <c r="AG64" i="1"/>
  <c r="AF64" i="1"/>
  <c r="AE64" i="1"/>
  <c r="AD64" i="1"/>
  <c r="AB64" i="1"/>
  <c r="AA64" i="1"/>
  <c r="Z64" i="1"/>
  <c r="Y64" i="1"/>
  <c r="X64" i="1"/>
  <c r="W64" i="1"/>
  <c r="N64" i="1"/>
  <c r="M64" i="1"/>
  <c r="L64" i="1"/>
  <c r="K64" i="1"/>
  <c r="J64" i="1"/>
  <c r="I64" i="1"/>
  <c r="AL60" i="1"/>
  <c r="AK60" i="1"/>
  <c r="AI60" i="1"/>
  <c r="AH60" i="1"/>
  <c r="AG60" i="1"/>
  <c r="AF60" i="1"/>
  <c r="AE60" i="1"/>
  <c r="AD60" i="1"/>
  <c r="AB60" i="1"/>
  <c r="AA60" i="1"/>
  <c r="Z60" i="1"/>
  <c r="Y60" i="1"/>
  <c r="X60" i="1"/>
  <c r="W60" i="1"/>
  <c r="N60" i="1"/>
  <c r="M60" i="1"/>
  <c r="L60" i="1"/>
  <c r="K60" i="1"/>
  <c r="J60" i="1"/>
  <c r="I60" i="1"/>
  <c r="AL57" i="1"/>
  <c r="AK57" i="1"/>
  <c r="AI57" i="1"/>
  <c r="AH57" i="1"/>
  <c r="AG57" i="1"/>
  <c r="AF57" i="1"/>
  <c r="AE57" i="1"/>
  <c r="AD57" i="1"/>
  <c r="AB57" i="1"/>
  <c r="AA57" i="1"/>
  <c r="Z57" i="1"/>
  <c r="Y57" i="1"/>
  <c r="X57" i="1"/>
  <c r="W57" i="1"/>
  <c r="N57" i="1"/>
  <c r="M57" i="1"/>
  <c r="L57" i="1"/>
  <c r="K57" i="1"/>
  <c r="J57" i="1"/>
  <c r="I57" i="1"/>
  <c r="AL53" i="1"/>
  <c r="AK53" i="1"/>
  <c r="AI53" i="1"/>
  <c r="AH53" i="1"/>
  <c r="AG53" i="1"/>
  <c r="AF53" i="1"/>
  <c r="AE53" i="1"/>
  <c r="AD53" i="1"/>
  <c r="AB53" i="1"/>
  <c r="AA53" i="1"/>
  <c r="Z53" i="1"/>
  <c r="Y53" i="1"/>
  <c r="X53" i="1"/>
  <c r="W53" i="1"/>
  <c r="N53" i="1"/>
  <c r="M53" i="1"/>
  <c r="L53" i="1"/>
  <c r="K53" i="1"/>
  <c r="J53" i="1"/>
  <c r="I53" i="1"/>
  <c r="W51" i="1"/>
  <c r="W47" i="1"/>
  <c r="AL50" i="1"/>
  <c r="AK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N50" i="1"/>
  <c r="M50" i="1"/>
  <c r="L50" i="1"/>
  <c r="K50" i="1"/>
  <c r="J50" i="1"/>
  <c r="I50" i="1"/>
  <c r="AL46" i="1"/>
  <c r="AK46" i="1"/>
  <c r="AI46" i="1"/>
  <c r="AH46" i="1"/>
  <c r="AG46" i="1"/>
  <c r="AF46" i="1"/>
  <c r="AE46" i="1"/>
  <c r="AD46" i="1"/>
  <c r="AB46" i="1"/>
  <c r="AA46" i="1"/>
  <c r="Z46" i="1"/>
  <c r="Y46" i="1"/>
  <c r="X46" i="1"/>
  <c r="W46" i="1"/>
  <c r="N46" i="1"/>
  <c r="M46" i="1"/>
  <c r="L46" i="1"/>
  <c r="K46" i="1"/>
  <c r="J46" i="1"/>
  <c r="I46" i="1"/>
  <c r="AL33" i="1"/>
  <c r="AK33" i="1"/>
  <c r="AI33" i="1"/>
  <c r="AF33" i="1"/>
  <c r="AG33" i="1" s="1"/>
  <c r="AD33" i="1"/>
  <c r="Z33" i="1"/>
  <c r="AA33" i="1" s="1"/>
  <c r="Y33" i="1"/>
  <c r="AL32" i="1"/>
  <c r="AK32" i="1"/>
  <c r="AI32" i="1"/>
  <c r="AH32" i="1"/>
  <c r="AG32" i="1"/>
  <c r="AF32" i="1"/>
  <c r="AE32" i="1"/>
  <c r="AD32" i="1"/>
  <c r="AB32" i="1"/>
  <c r="AA32" i="1"/>
  <c r="Z32" i="1"/>
  <c r="Y32" i="1"/>
  <c r="X32" i="1"/>
  <c r="W32" i="1"/>
  <c r="N32" i="1"/>
  <c r="M32" i="1"/>
  <c r="L32" i="1"/>
  <c r="K32" i="1"/>
  <c r="J32" i="1"/>
  <c r="I32" i="1"/>
  <c r="W37" i="1"/>
  <c r="W29" i="1"/>
  <c r="W25" i="1"/>
  <c r="W21" i="1"/>
  <c r="W18" i="1"/>
  <c r="AL28" i="1"/>
  <c r="AK28" i="1"/>
  <c r="AI28" i="1"/>
  <c r="AH28" i="1"/>
  <c r="AG28" i="1"/>
  <c r="AF28" i="1"/>
  <c r="AE28" i="1"/>
  <c r="AD28" i="1"/>
  <c r="AB28" i="1"/>
  <c r="AA28" i="1"/>
  <c r="Z28" i="1"/>
  <c r="Y28" i="1"/>
  <c r="X28" i="1"/>
  <c r="W28" i="1"/>
  <c r="N28" i="1"/>
  <c r="M28" i="1"/>
  <c r="L28" i="1"/>
  <c r="K28" i="1"/>
  <c r="J28" i="1"/>
  <c r="I28" i="1"/>
  <c r="AL24" i="1"/>
  <c r="AK24" i="1"/>
  <c r="AI24" i="1"/>
  <c r="AH24" i="1"/>
  <c r="AG24" i="1"/>
  <c r="AF24" i="1"/>
  <c r="AE24" i="1"/>
  <c r="AD24" i="1"/>
  <c r="AB24" i="1"/>
  <c r="AA24" i="1"/>
  <c r="Z24" i="1"/>
  <c r="Y24" i="1"/>
  <c r="X24" i="1"/>
  <c r="W24" i="1"/>
  <c r="N24" i="1"/>
  <c r="M24" i="1"/>
  <c r="L24" i="1"/>
  <c r="K24" i="1"/>
  <c r="J24" i="1"/>
  <c r="I24" i="1"/>
  <c r="AL20" i="1"/>
  <c r="AK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N20" i="1"/>
  <c r="M20" i="1"/>
  <c r="L20" i="1"/>
  <c r="K20" i="1"/>
  <c r="J20" i="1"/>
  <c r="I20" i="1"/>
  <c r="AL17" i="1"/>
  <c r="AK17" i="1"/>
  <c r="AI17" i="1"/>
  <c r="AH17" i="1"/>
  <c r="AG17" i="1"/>
  <c r="AF17" i="1"/>
  <c r="AE17" i="1"/>
  <c r="AD17" i="1"/>
  <c r="AB17" i="1"/>
  <c r="AA17" i="1"/>
  <c r="Z17" i="1"/>
  <c r="Y17" i="1"/>
  <c r="X17" i="1"/>
  <c r="W17" i="1"/>
  <c r="N17" i="1"/>
  <c r="M17" i="1"/>
  <c r="L17" i="1"/>
  <c r="K17" i="1"/>
  <c r="J17" i="1"/>
  <c r="I17" i="1"/>
  <c r="W14" i="1"/>
  <c r="AL13" i="1"/>
  <c r="AK13" i="1"/>
  <c r="AI13" i="1"/>
  <c r="AH13" i="1"/>
  <c r="AG13" i="1"/>
  <c r="AF13" i="1"/>
  <c r="AE13" i="1"/>
  <c r="AD13" i="1"/>
  <c r="X13" i="1"/>
  <c r="Y13" i="1"/>
  <c r="Z13" i="1"/>
  <c r="AA13" i="1"/>
  <c r="AB13" i="1"/>
  <c r="W13" i="1"/>
  <c r="J13" i="1"/>
  <c r="K13" i="1"/>
  <c r="L13" i="1"/>
  <c r="M13" i="1"/>
  <c r="N13" i="1"/>
  <c r="M281" i="1"/>
  <c r="M331" i="1"/>
  <c r="I13" i="1"/>
  <c r="S26" i="5" l="1"/>
  <c r="T26" i="5" s="1"/>
  <c r="R26" i="5"/>
  <c r="K26" i="5"/>
  <c r="J26" i="5"/>
  <c r="H26" i="5"/>
  <c r="G26" i="5"/>
  <c r="T25" i="5"/>
  <c r="S25" i="5"/>
  <c r="R25" i="5"/>
  <c r="K25" i="5"/>
  <c r="H25" i="5"/>
  <c r="G25" i="5" s="1"/>
  <c r="I25" i="5" s="1"/>
  <c r="S24" i="5"/>
  <c r="T24" i="5" s="1"/>
  <c r="R24" i="5"/>
  <c r="K24" i="5"/>
  <c r="J24" i="5"/>
  <c r="H24" i="5"/>
  <c r="G24" i="5" s="1"/>
  <c r="I24" i="5" s="1"/>
  <c r="S23" i="5"/>
  <c r="T23" i="5" s="1"/>
  <c r="R23" i="5"/>
  <c r="J23" i="5"/>
  <c r="H23" i="5"/>
  <c r="G23" i="5"/>
  <c r="I23" i="5" s="1"/>
  <c r="S22" i="5"/>
  <c r="T22" i="5" s="1"/>
  <c r="R22" i="5"/>
  <c r="K22" i="5"/>
  <c r="J22" i="5"/>
  <c r="H22" i="5"/>
  <c r="G22" i="5" s="1"/>
  <c r="I22" i="5" s="1"/>
  <c r="S21" i="5"/>
  <c r="T21" i="5" s="1"/>
  <c r="R21" i="5"/>
  <c r="J21" i="5"/>
  <c r="H21" i="5"/>
  <c r="G21" i="5" s="1"/>
  <c r="S20" i="5"/>
  <c r="T20" i="5" s="1"/>
  <c r="R20" i="5"/>
  <c r="K20" i="5"/>
  <c r="J20" i="5"/>
  <c r="H20" i="5"/>
  <c r="G20" i="5"/>
  <c r="S19" i="5"/>
  <c r="T19" i="5" s="1"/>
  <c r="R19" i="5"/>
  <c r="L19" i="5"/>
  <c r="K19" i="5"/>
  <c r="J19" i="5"/>
  <c r="H19" i="5"/>
  <c r="G19" i="5"/>
  <c r="S18" i="5"/>
  <c r="T18" i="5" s="1"/>
  <c r="R18" i="5"/>
  <c r="L18" i="5"/>
  <c r="K18" i="5"/>
  <c r="J18" i="5"/>
  <c r="H18" i="5"/>
  <c r="G18" i="5" s="1"/>
  <c r="S16" i="5"/>
  <c r="T16" i="5" s="1"/>
  <c r="U16" i="5" s="1"/>
  <c r="V16" i="5" s="1"/>
  <c r="R16" i="5"/>
  <c r="K16" i="5"/>
  <c r="J16" i="5"/>
  <c r="H16" i="5"/>
  <c r="G16" i="5"/>
  <c r="T15" i="5"/>
  <c r="U15" i="5" s="1"/>
  <c r="S15" i="5"/>
  <c r="R15" i="5"/>
  <c r="K15" i="5"/>
  <c r="J15" i="5"/>
  <c r="H15" i="5"/>
  <c r="G15" i="5" s="1"/>
  <c r="S14" i="5"/>
  <c r="T14" i="5" s="1"/>
  <c r="U14" i="5" s="1"/>
  <c r="V14" i="5" s="1"/>
  <c r="R14" i="5"/>
  <c r="K14" i="5"/>
  <c r="J14" i="5"/>
  <c r="H14" i="5"/>
  <c r="G14" i="5"/>
  <c r="T13" i="5"/>
  <c r="U13" i="5" s="1"/>
  <c r="S13" i="5"/>
  <c r="R13" i="5"/>
  <c r="K13" i="5"/>
  <c r="J13" i="5"/>
  <c r="H13" i="5"/>
  <c r="G13" i="5" s="1"/>
  <c r="S12" i="5"/>
  <c r="T12" i="5" s="1"/>
  <c r="U12" i="5" s="1"/>
  <c r="V12" i="5" s="1"/>
  <c r="R12" i="5"/>
  <c r="K12" i="5"/>
  <c r="J12" i="5"/>
  <c r="H12" i="5"/>
  <c r="G12" i="5"/>
  <c r="T11" i="5"/>
  <c r="U11" i="5" s="1"/>
  <c r="S11" i="5"/>
  <c r="R11" i="5"/>
  <c r="K11" i="5"/>
  <c r="J11" i="5"/>
  <c r="H11" i="5"/>
  <c r="G11" i="5" s="1"/>
  <c r="S10" i="5"/>
  <c r="T10" i="5" s="1"/>
  <c r="U10" i="5" s="1"/>
  <c r="V10" i="5" s="1"/>
  <c r="R10" i="5"/>
  <c r="K10" i="5"/>
  <c r="J10" i="5"/>
  <c r="H10" i="5"/>
  <c r="G10" i="5"/>
  <c r="T9" i="5"/>
  <c r="S9" i="5"/>
  <c r="R9" i="5"/>
  <c r="L9" i="5"/>
  <c r="K9" i="5"/>
  <c r="J9" i="5"/>
  <c r="H9" i="5"/>
  <c r="G9" i="5"/>
  <c r="T8" i="5"/>
  <c r="S8" i="5"/>
  <c r="R8" i="5"/>
  <c r="L8" i="5"/>
  <c r="K8" i="5"/>
  <c r="J8" i="5"/>
  <c r="H8" i="5"/>
  <c r="G8" i="5" s="1"/>
  <c r="N22" i="4"/>
  <c r="V21" i="4"/>
  <c r="W21" i="4" s="1"/>
  <c r="X21" i="4" s="1"/>
  <c r="K21" i="4"/>
  <c r="L21" i="4" s="1"/>
  <c r="P21" i="4" s="1"/>
  <c r="W20" i="4"/>
  <c r="X20" i="4" s="1"/>
  <c r="V20" i="4"/>
  <c r="L20" i="4"/>
  <c r="P20" i="4" s="1"/>
  <c r="K20" i="4"/>
  <c r="V19" i="4"/>
  <c r="W19" i="4" s="1"/>
  <c r="X19" i="4" s="1"/>
  <c r="L19" i="4"/>
  <c r="P19" i="4" s="1"/>
  <c r="K19" i="4"/>
  <c r="W18" i="4"/>
  <c r="V18" i="4"/>
  <c r="U18" i="4"/>
  <c r="L18" i="4"/>
  <c r="P18" i="4" s="1"/>
  <c r="K18" i="4"/>
  <c r="X18" i="4" s="1"/>
  <c r="W17" i="4"/>
  <c r="V17" i="4"/>
  <c r="U17" i="4"/>
  <c r="Z17" i="4" s="1"/>
  <c r="I17" i="4" s="1"/>
  <c r="L17" i="4"/>
  <c r="P17" i="4" s="1"/>
  <c r="K17" i="4"/>
  <c r="X17" i="4" s="1"/>
  <c r="Y17" i="4" s="1"/>
  <c r="V16" i="4"/>
  <c r="W16" i="4" s="1"/>
  <c r="X16" i="4" s="1"/>
  <c r="N16" i="4"/>
  <c r="L16" i="4"/>
  <c r="P16" i="4" s="1"/>
  <c r="K16" i="4"/>
  <c r="V15" i="4"/>
  <c r="W15" i="4" s="1"/>
  <c r="X15" i="4" s="1"/>
  <c r="U15" i="4"/>
  <c r="L15" i="4"/>
  <c r="P15" i="4" s="1"/>
  <c r="K15" i="4"/>
  <c r="W13" i="4"/>
  <c r="V13" i="4"/>
  <c r="K13" i="4"/>
  <c r="L13" i="4" s="1"/>
  <c r="P13" i="4" s="1"/>
  <c r="W12" i="4"/>
  <c r="X12" i="4" s="1"/>
  <c r="V12" i="4"/>
  <c r="L12" i="4"/>
  <c r="P12" i="4" s="1"/>
  <c r="K12" i="4"/>
  <c r="V11" i="4"/>
  <c r="W11" i="4" s="1"/>
  <c r="X11" i="4" s="1"/>
  <c r="U11" i="4"/>
  <c r="L11" i="4"/>
  <c r="P11" i="4" s="1"/>
  <c r="K11" i="4"/>
  <c r="V10" i="4"/>
  <c r="W10" i="4" s="1"/>
  <c r="X10" i="4" s="1"/>
  <c r="Y10" i="4" s="1"/>
  <c r="U10" i="4"/>
  <c r="L10" i="4"/>
  <c r="P10" i="4" s="1"/>
  <c r="K10" i="4"/>
  <c r="W9" i="4"/>
  <c r="V9" i="4"/>
  <c r="K9" i="4"/>
  <c r="L9" i="4" s="1"/>
  <c r="P9" i="4" s="1"/>
  <c r="X8" i="4"/>
  <c r="W8" i="4"/>
  <c r="V8" i="4"/>
  <c r="U8" i="4"/>
  <c r="P8" i="4"/>
  <c r="K8" i="4"/>
  <c r="L8" i="4" s="1"/>
  <c r="N7" i="4"/>
  <c r="T26" i="3"/>
  <c r="U22" i="3"/>
  <c r="T22" i="3"/>
  <c r="R22" i="3"/>
  <c r="N20" i="3"/>
  <c r="N19" i="3"/>
  <c r="N18" i="3"/>
  <c r="P17" i="3"/>
  <c r="O17" i="3"/>
  <c r="N17" i="3"/>
  <c r="W16" i="3"/>
  <c r="L16" i="3"/>
  <c r="P16" i="3" s="1"/>
  <c r="K16" i="3"/>
  <c r="Y15" i="3"/>
  <c r="X15" i="3"/>
  <c r="W15" i="3"/>
  <c r="L15" i="3"/>
  <c r="P15" i="3" s="1"/>
  <c r="K15" i="3"/>
  <c r="W14" i="3"/>
  <c r="L14" i="3"/>
  <c r="P14" i="3" s="1"/>
  <c r="K14" i="3"/>
  <c r="X13" i="3"/>
  <c r="W13" i="3"/>
  <c r="V13" i="3"/>
  <c r="L13" i="3"/>
  <c r="P13" i="3" s="1"/>
  <c r="K13" i="3"/>
  <c r="N12" i="3"/>
  <c r="X11" i="3"/>
  <c r="W11" i="3"/>
  <c r="K11" i="3"/>
  <c r="X10" i="3"/>
  <c r="W10" i="3"/>
  <c r="L10" i="3"/>
  <c r="P10" i="3" s="1"/>
  <c r="K10" i="3"/>
  <c r="Y10" i="3" s="1"/>
  <c r="W9" i="3"/>
  <c r="X9" i="3" s="1"/>
  <c r="K9" i="3"/>
  <c r="Y8" i="3"/>
  <c r="X8" i="3"/>
  <c r="W8" i="3"/>
  <c r="V8" i="3"/>
  <c r="K8" i="3"/>
  <c r="N7" i="3"/>
  <c r="M34" i="2"/>
  <c r="N32" i="2"/>
  <c r="H32" i="2"/>
  <c r="N31" i="2"/>
  <c r="N30" i="2"/>
  <c r="N29" i="2"/>
  <c r="N28" i="2"/>
  <c r="N27" i="2"/>
  <c r="Y26" i="2"/>
  <c r="X26" i="2"/>
  <c r="W26" i="2"/>
  <c r="M26" i="2"/>
  <c r="P26" i="2" s="1"/>
  <c r="K26" i="2"/>
  <c r="L26" i="2" s="1"/>
  <c r="I26" i="2"/>
  <c r="Y25" i="2"/>
  <c r="X25" i="2"/>
  <c r="W25" i="2"/>
  <c r="M25" i="2"/>
  <c r="P25" i="2" s="1"/>
  <c r="K25" i="2"/>
  <c r="L25" i="2" s="1"/>
  <c r="I25" i="2"/>
  <c r="Y24" i="2"/>
  <c r="X24" i="2"/>
  <c r="W24" i="2"/>
  <c r="M24" i="2"/>
  <c r="P24" i="2" s="1"/>
  <c r="K24" i="2"/>
  <c r="L24" i="2" s="1"/>
  <c r="I24" i="2"/>
  <c r="W23" i="2"/>
  <c r="X23" i="2" s="1"/>
  <c r="Y23" i="2" s="1"/>
  <c r="M23" i="2"/>
  <c r="K23" i="2"/>
  <c r="L23" i="2" s="1"/>
  <c r="I23" i="2"/>
  <c r="X22" i="2"/>
  <c r="W22" i="2"/>
  <c r="M22" i="2"/>
  <c r="K22" i="2"/>
  <c r="I22" i="2"/>
  <c r="X21" i="2"/>
  <c r="W21" i="2"/>
  <c r="M21" i="2"/>
  <c r="K21" i="2"/>
  <c r="I21" i="2"/>
  <c r="X20" i="2"/>
  <c r="W20" i="2"/>
  <c r="M20" i="2"/>
  <c r="K20" i="2"/>
  <c r="I20" i="2"/>
  <c r="Y19" i="2"/>
  <c r="X19" i="2"/>
  <c r="W19" i="2"/>
  <c r="V19" i="2"/>
  <c r="M19" i="2"/>
  <c r="P19" i="2" s="1"/>
  <c r="L19" i="2"/>
  <c r="K19" i="2"/>
  <c r="I19" i="2"/>
  <c r="N18" i="2"/>
  <c r="X17" i="2"/>
  <c r="Y17" i="2" s="1"/>
  <c r="W17" i="2"/>
  <c r="M17" i="2"/>
  <c r="P17" i="2" s="1"/>
  <c r="L17" i="2"/>
  <c r="K17" i="2"/>
  <c r="I17" i="2"/>
  <c r="X16" i="2"/>
  <c r="Y16" i="2" s="1"/>
  <c r="W16" i="2"/>
  <c r="M16" i="2"/>
  <c r="P16" i="2" s="1"/>
  <c r="L16" i="2"/>
  <c r="K16" i="2"/>
  <c r="I16" i="2"/>
  <c r="X15" i="2"/>
  <c r="Y15" i="2" s="1"/>
  <c r="W15" i="2"/>
  <c r="M15" i="2"/>
  <c r="P15" i="2" s="1"/>
  <c r="L15" i="2"/>
  <c r="K15" i="2"/>
  <c r="I15" i="2"/>
  <c r="X14" i="2"/>
  <c r="Y14" i="2" s="1"/>
  <c r="W14" i="2"/>
  <c r="M14" i="2"/>
  <c r="P14" i="2" s="1"/>
  <c r="L14" i="2"/>
  <c r="K14" i="2"/>
  <c r="I14" i="2"/>
  <c r="X13" i="2"/>
  <c r="Y13" i="2" s="1"/>
  <c r="W13" i="2"/>
  <c r="M13" i="2"/>
  <c r="P13" i="2" s="1"/>
  <c r="L13" i="2"/>
  <c r="K13" i="2"/>
  <c r="I13" i="2"/>
  <c r="X12" i="2"/>
  <c r="Y12" i="2" s="1"/>
  <c r="W12" i="2"/>
  <c r="M12" i="2"/>
  <c r="P12" i="2" s="1"/>
  <c r="L12" i="2"/>
  <c r="K12" i="2"/>
  <c r="I12" i="2"/>
  <c r="X11" i="2"/>
  <c r="Y11" i="2" s="1"/>
  <c r="W11" i="2"/>
  <c r="M11" i="2"/>
  <c r="P11" i="2" s="1"/>
  <c r="L11" i="2"/>
  <c r="K11" i="2"/>
  <c r="I11" i="2"/>
  <c r="X10" i="2"/>
  <c r="Y10" i="2" s="1"/>
  <c r="W10" i="2"/>
  <c r="M10" i="2"/>
  <c r="P10" i="2" s="1"/>
  <c r="L10" i="2"/>
  <c r="K10" i="2"/>
  <c r="I10" i="2"/>
  <c r="X9" i="2"/>
  <c r="Y9" i="2" s="1"/>
  <c r="W9" i="2"/>
  <c r="M9" i="2"/>
  <c r="P9" i="2" s="1"/>
  <c r="L9" i="2"/>
  <c r="K9" i="2"/>
  <c r="I9" i="2"/>
  <c r="Y8" i="2"/>
  <c r="X8" i="2"/>
  <c r="W8" i="2"/>
  <c r="V8" i="2"/>
  <c r="M8" i="2"/>
  <c r="L8" i="2"/>
  <c r="P8" i="2" s="1"/>
  <c r="K8" i="2"/>
  <c r="I8" i="2"/>
  <c r="N7" i="2"/>
  <c r="U19" i="5" l="1"/>
  <c r="V19" i="5" s="1"/>
  <c r="U23" i="5"/>
  <c r="V23" i="5" s="1"/>
  <c r="U26" i="5"/>
  <c r="V26" i="5" s="1"/>
  <c r="U9" i="5"/>
  <c r="V9" i="5" s="1"/>
  <c r="W9" i="5" s="1"/>
  <c r="E9" i="5" s="1"/>
  <c r="M9" i="5" s="1"/>
  <c r="U18" i="5"/>
  <c r="V18" i="5" s="1"/>
  <c r="U24" i="5"/>
  <c r="V24" i="5" s="1"/>
  <c r="U20" i="5"/>
  <c r="P21" i="2"/>
  <c r="Y20" i="2"/>
  <c r="Y21" i="2"/>
  <c r="Y22" i="2"/>
  <c r="X14" i="3"/>
  <c r="V11" i="5"/>
  <c r="W11" i="5" s="1"/>
  <c r="E11" i="5" s="1"/>
  <c r="M11" i="5" s="1"/>
  <c r="V13" i="5"/>
  <c r="W13" i="5" s="1"/>
  <c r="E13" i="5" s="1"/>
  <c r="M13" i="5" s="1"/>
  <c r="V15" i="5"/>
  <c r="W15" i="5" s="1"/>
  <c r="E15" i="5" s="1"/>
  <c r="M15" i="5" s="1"/>
  <c r="Z8" i="2"/>
  <c r="AA15" i="2" s="1"/>
  <c r="L20" i="2"/>
  <c r="P20" i="2" s="1"/>
  <c r="L21" i="2"/>
  <c r="L22" i="2"/>
  <c r="P22" i="2" s="1"/>
  <c r="P23" i="2"/>
  <c r="L9" i="3"/>
  <c r="P9" i="3" s="1"/>
  <c r="Y9" i="3"/>
  <c r="Z10" i="4"/>
  <c r="Y15" i="4"/>
  <c r="Z15" i="4" s="1"/>
  <c r="I15" i="4" s="1"/>
  <c r="W10" i="5"/>
  <c r="E10" i="5" s="1"/>
  <c r="M10" i="5" s="1"/>
  <c r="W12" i="5"/>
  <c r="E12" i="5" s="1"/>
  <c r="M12" i="5" s="1"/>
  <c r="W14" i="5"/>
  <c r="E14" i="5" s="1"/>
  <c r="M14" i="5" s="1"/>
  <c r="W16" i="5"/>
  <c r="E16" i="5" s="1"/>
  <c r="M16" i="5" s="1"/>
  <c r="V20" i="5"/>
  <c r="W20" i="5" s="1"/>
  <c r="E20" i="5" s="1"/>
  <c r="M20" i="5" s="1"/>
  <c r="U21" i="5"/>
  <c r="V21" i="5" s="1"/>
  <c r="U25" i="5"/>
  <c r="V25" i="5" s="1"/>
  <c r="Z8" i="3"/>
  <c r="AA8" i="3" s="1"/>
  <c r="N17" i="4"/>
  <c r="O17" i="4"/>
  <c r="L8" i="3"/>
  <c r="P8" i="3" s="1"/>
  <c r="L11" i="3"/>
  <c r="P11" i="3" s="1"/>
  <c r="Y11" i="3"/>
  <c r="X16" i="3"/>
  <c r="Y11" i="4"/>
  <c r="Z12" i="4" s="1"/>
  <c r="I12" i="4" s="1"/>
  <c r="Z19" i="4"/>
  <c r="U8" i="5"/>
  <c r="V8" i="5" s="1"/>
  <c r="W8" i="5" s="1"/>
  <c r="E8" i="5" s="1"/>
  <c r="M8" i="5" s="1"/>
  <c r="W19" i="5"/>
  <c r="E19" i="5" s="1"/>
  <c r="M19" i="5" s="1"/>
  <c r="I21" i="5"/>
  <c r="L21" i="5" s="1"/>
  <c r="U22" i="5"/>
  <c r="W23" i="5"/>
  <c r="W26" i="5"/>
  <c r="E26" i="5" s="1"/>
  <c r="M26" i="5" s="1"/>
  <c r="Z18" i="4"/>
  <c r="I18" i="4" s="1"/>
  <c r="Y18" i="4"/>
  <c r="Z21" i="4" s="1"/>
  <c r="I21" i="4" s="1"/>
  <c r="I11" i="5"/>
  <c r="L11" i="5" s="1"/>
  <c r="I13" i="5"/>
  <c r="L13" i="5" s="1"/>
  <c r="I15" i="5"/>
  <c r="L15" i="5" s="1"/>
  <c r="W18" i="5"/>
  <c r="E18" i="5" s="1"/>
  <c r="M18" i="5" s="1"/>
  <c r="W24" i="5"/>
  <c r="Y14" i="3"/>
  <c r="Y16" i="3"/>
  <c r="I19" i="4"/>
  <c r="I10" i="5"/>
  <c r="L10" i="5" s="1"/>
  <c r="I12" i="5"/>
  <c r="L12" i="5" s="1"/>
  <c r="I14" i="5"/>
  <c r="L14" i="5" s="1"/>
  <c r="I16" i="5"/>
  <c r="L16" i="5" s="1"/>
  <c r="I20" i="5"/>
  <c r="L20" i="5" s="1"/>
  <c r="Y13" i="3"/>
  <c r="X9" i="4"/>
  <c r="X13" i="4"/>
  <c r="I26" i="5"/>
  <c r="L26" i="5" s="1"/>
  <c r="I10" i="4"/>
  <c r="W25" i="5" l="1"/>
  <c r="O8" i="3"/>
  <c r="H8" i="3"/>
  <c r="N8" i="3" s="1"/>
  <c r="H15" i="2"/>
  <c r="N15" i="2" s="1"/>
  <c r="O15" i="2"/>
  <c r="O12" i="4"/>
  <c r="N12" i="4"/>
  <c r="O15" i="4"/>
  <c r="N15" i="4"/>
  <c r="N21" i="4"/>
  <c r="O21" i="4"/>
  <c r="N19" i="4"/>
  <c r="O19" i="4"/>
  <c r="N18" i="4"/>
  <c r="O18" i="4"/>
  <c r="AA10" i="2"/>
  <c r="Z13" i="3"/>
  <c r="AA15" i="3" s="1"/>
  <c r="Z20" i="4"/>
  <c r="I20" i="4" s="1"/>
  <c r="Z11" i="4"/>
  <c r="I11" i="4" s="1"/>
  <c r="Z16" i="4"/>
  <c r="O16" i="4" s="1"/>
  <c r="AA9" i="3"/>
  <c r="W21" i="5"/>
  <c r="E21" i="5" s="1"/>
  <c r="M21" i="5" s="1"/>
  <c r="AA16" i="2"/>
  <c r="AA8" i="2"/>
  <c r="AA13" i="2"/>
  <c r="AA10" i="3"/>
  <c r="Y8" i="4"/>
  <c r="Z8" i="4" s="1"/>
  <c r="I8" i="4" s="1"/>
  <c r="V22" i="5"/>
  <c r="W22" i="5" s="1"/>
  <c r="AA14" i="2"/>
  <c r="AA11" i="2"/>
  <c r="O10" i="4"/>
  <c r="N10" i="4"/>
  <c r="Z13" i="4"/>
  <c r="I13" i="4" s="1"/>
  <c r="AA11" i="3"/>
  <c r="Z19" i="2"/>
  <c r="AA20" i="2"/>
  <c r="AA12" i="2"/>
  <c r="AA17" i="2"/>
  <c r="AA9" i="2"/>
  <c r="H20" i="2" l="1"/>
  <c r="N20" i="2" s="1"/>
  <c r="O20" i="2"/>
  <c r="O8" i="4"/>
  <c r="N8" i="4"/>
  <c r="H16" i="2"/>
  <c r="N16" i="2" s="1"/>
  <c r="O16" i="2"/>
  <c r="O15" i="3"/>
  <c r="H15" i="3"/>
  <c r="N15" i="3" s="1"/>
  <c r="AA19" i="2"/>
  <c r="AA24" i="2"/>
  <c r="AA25" i="2"/>
  <c r="AA23" i="2"/>
  <c r="AA26" i="2"/>
  <c r="AA21" i="2"/>
  <c r="AA22" i="2"/>
  <c r="AA13" i="3"/>
  <c r="H17" i="2"/>
  <c r="N17" i="2" s="1"/>
  <c r="O17" i="2"/>
  <c r="H11" i="3"/>
  <c r="N11" i="3" s="1"/>
  <c r="O11" i="3"/>
  <c r="H13" i="2"/>
  <c r="N13" i="2" s="1"/>
  <c r="O13" i="2"/>
  <c r="O20" i="4"/>
  <c r="N20" i="4"/>
  <c r="H10" i="2"/>
  <c r="N10" i="2" s="1"/>
  <c r="O10" i="2"/>
  <c r="O13" i="4"/>
  <c r="N13" i="4"/>
  <c r="H14" i="2"/>
  <c r="N14" i="2" s="1"/>
  <c r="O14" i="2"/>
  <c r="H9" i="2"/>
  <c r="N9" i="2" s="1"/>
  <c r="O9" i="2"/>
  <c r="H10" i="3"/>
  <c r="N10" i="3" s="1"/>
  <c r="O10" i="3"/>
  <c r="O11" i="4"/>
  <c r="N11" i="4"/>
  <c r="H12" i="2"/>
  <c r="N12" i="2" s="1"/>
  <c r="O12" i="2"/>
  <c r="AA14" i="3"/>
  <c r="H11" i="2"/>
  <c r="N11" i="2" s="1"/>
  <c r="O11" i="2"/>
  <c r="H8" i="2"/>
  <c r="N8" i="2" s="1"/>
  <c r="O8" i="2"/>
  <c r="H9" i="3"/>
  <c r="N9" i="3" s="1"/>
  <c r="O9" i="3"/>
  <c r="AA16" i="3"/>
  <c r="Z9" i="4"/>
  <c r="I9" i="4" s="1"/>
  <c r="O16" i="3" l="1"/>
  <c r="H16" i="3"/>
  <c r="N16" i="3" s="1"/>
  <c r="H21" i="2"/>
  <c r="N21" i="2" s="1"/>
  <c r="O21" i="2"/>
  <c r="H26" i="2"/>
  <c r="N26" i="2" s="1"/>
  <c r="O26" i="2"/>
  <c r="H13" i="3"/>
  <c r="N13" i="3" s="1"/>
  <c r="O13" i="3"/>
  <c r="H23" i="2"/>
  <c r="N23" i="2" s="1"/>
  <c r="O23" i="2"/>
  <c r="H24" i="2"/>
  <c r="N24" i="2" s="1"/>
  <c r="O24" i="2"/>
  <c r="H19" i="2"/>
  <c r="N19" i="2" s="1"/>
  <c r="O19" i="2"/>
  <c r="O9" i="4"/>
  <c r="N9" i="4"/>
  <c r="O14" i="3"/>
  <c r="H14" i="3"/>
  <c r="N14" i="3" s="1"/>
  <c r="H22" i="2"/>
  <c r="N22" i="2" s="1"/>
  <c r="O22" i="2"/>
  <c r="H25" i="2"/>
  <c r="N25" i="2" s="1"/>
  <c r="O25" i="2"/>
  <c r="AH225" i="1" l="1"/>
  <c r="AH221" i="1"/>
  <c r="AD225" i="1"/>
  <c r="AD221" i="1"/>
  <c r="X225" i="1"/>
  <c r="X221" i="1"/>
  <c r="I163" i="1"/>
  <c r="AH168" i="1"/>
  <c r="X168" i="1"/>
  <c r="AL149" i="1"/>
  <c r="AH149" i="1"/>
  <c r="AF149" i="1"/>
  <c r="AD149" i="1"/>
  <c r="Z149" i="1"/>
  <c r="X149" i="1"/>
  <c r="L149" i="1"/>
  <c r="AK145" i="1" s="1"/>
  <c r="J149" i="1"/>
  <c r="K137" i="1" l="1"/>
  <c r="I141" i="1"/>
  <c r="I144" i="1" s="1"/>
  <c r="AL141" i="1"/>
  <c r="AF145" i="1"/>
  <c r="J145" i="1"/>
  <c r="AE137" i="1"/>
  <c r="I137" i="1"/>
  <c r="I140" i="1" s="1"/>
  <c r="AK137" i="1"/>
  <c r="AE141" i="1"/>
  <c r="Y145" i="1"/>
  <c r="J137" i="1"/>
  <c r="J140" i="1" s="1"/>
  <c r="K140" i="1" s="1"/>
  <c r="X137" i="1"/>
  <c r="AF141" i="1"/>
  <c r="AE145" i="1"/>
  <c r="AF137" i="1"/>
  <c r="J141" i="1"/>
  <c r="J144" i="1" s="1"/>
  <c r="Y141" i="1"/>
  <c r="AL145" i="1"/>
  <c r="Y137" i="1"/>
  <c r="AL137" i="1"/>
  <c r="K141" i="1"/>
  <c r="X141" i="1"/>
  <c r="AK141" i="1"/>
  <c r="K145" i="1"/>
  <c r="X145" i="1"/>
  <c r="AH127" i="1"/>
  <c r="AH123" i="1"/>
  <c r="AA127" i="1"/>
  <c r="AA123" i="1"/>
  <c r="M123" i="1"/>
  <c r="M127" i="1"/>
  <c r="AK107" i="1"/>
  <c r="AD107" i="1"/>
  <c r="K144" i="1" l="1"/>
  <c r="AG119" i="1"/>
  <c r="AD115" i="1"/>
  <c r="M111" i="1"/>
  <c r="AF119" i="1"/>
  <c r="Z119" i="1"/>
  <c r="J115" i="1"/>
  <c r="AE119" i="1"/>
  <c r="Y119" i="1"/>
  <c r="K119" i="1"/>
  <c r="AA111" i="1"/>
  <c r="AL119" i="1"/>
  <c r="M119" i="1"/>
  <c r="X119" i="1"/>
  <c r="AK115" i="1"/>
  <c r="AK70" i="1" l="1"/>
  <c r="AE70" i="1"/>
  <c r="Y70" i="1"/>
  <c r="M70" i="1"/>
  <c r="AL11" i="1"/>
  <c r="AK11" i="1"/>
  <c r="AF11" i="1"/>
  <c r="AE11" i="1"/>
  <c r="Y11" i="1"/>
  <c r="X11" i="1"/>
  <c r="AL19" i="1"/>
  <c r="AK19" i="1"/>
  <c r="AF19" i="1"/>
  <c r="AE19" i="1"/>
  <c r="Y19" i="1"/>
  <c r="X19" i="1"/>
  <c r="K19" i="1"/>
  <c r="J19" i="1"/>
  <c r="AL22" i="1"/>
  <c r="AK22" i="1"/>
  <c r="AF22" i="1"/>
  <c r="AE22" i="1"/>
  <c r="Y22" i="1"/>
  <c r="X22" i="1"/>
  <c r="K22" i="1"/>
  <c r="J22" i="1"/>
  <c r="AL26" i="1"/>
  <c r="AK26" i="1"/>
  <c r="AF26" i="1"/>
  <c r="AE26" i="1"/>
  <c r="Y26" i="1"/>
  <c r="X26" i="1"/>
  <c r="K26" i="1"/>
  <c r="J26" i="1"/>
  <c r="AL30" i="1"/>
  <c r="AK30" i="1"/>
  <c r="AF30" i="1"/>
  <c r="AE30" i="1"/>
  <c r="Y30" i="1"/>
  <c r="X30" i="1"/>
  <c r="K30" i="1"/>
  <c r="J30" i="1"/>
  <c r="AL3" i="1"/>
  <c r="AK3" i="1"/>
  <c r="AL7" i="1"/>
  <c r="AK7" i="1"/>
  <c r="AF7" i="1"/>
  <c r="AE7" i="1"/>
  <c r="AF3" i="1"/>
  <c r="AE3" i="1"/>
  <c r="Y7" i="1"/>
  <c r="X7" i="1"/>
  <c r="W7" i="1"/>
  <c r="Y3" i="1"/>
  <c r="X3" i="1"/>
  <c r="S7" i="1"/>
  <c r="R7" i="1"/>
  <c r="Q7" i="1"/>
  <c r="P7" i="1"/>
  <c r="S3" i="1"/>
  <c r="R3" i="1"/>
  <c r="Q3" i="1"/>
  <c r="K7" i="1"/>
  <c r="J7" i="1"/>
  <c r="K3" i="1"/>
  <c r="J3" i="1"/>
  <c r="I3" i="1" l="1"/>
  <c r="L3" i="1"/>
  <c r="M3" i="1"/>
  <c r="P3" i="1"/>
  <c r="T3" i="1"/>
  <c r="U3" i="1"/>
  <c r="V3" i="1"/>
  <c r="W3" i="1"/>
  <c r="Z3" i="1"/>
  <c r="AA3" i="1"/>
  <c r="AB3" i="1"/>
  <c r="AC3" i="1"/>
  <c r="AD3" i="1"/>
  <c r="AG3" i="1"/>
  <c r="AH3" i="1"/>
  <c r="AI3" i="1"/>
  <c r="AJ3" i="1"/>
  <c r="I7" i="1"/>
  <c r="L7" i="1"/>
  <c r="M7" i="1"/>
  <c r="T7" i="1"/>
  <c r="U7" i="1"/>
  <c r="V7" i="1"/>
  <c r="Z7" i="1"/>
  <c r="AA7" i="1"/>
  <c r="AB7" i="1"/>
  <c r="AC7" i="1"/>
  <c r="AD7" i="1"/>
  <c r="AG7" i="1"/>
  <c r="AH7" i="1"/>
  <c r="AI7" i="1"/>
  <c r="AJ7" i="1"/>
  <c r="Z11" i="1"/>
  <c r="AA11" i="1"/>
  <c r="AD11" i="1"/>
  <c r="AG11" i="1"/>
  <c r="AH11" i="1"/>
  <c r="I14" i="1"/>
  <c r="J14" i="1" s="1"/>
  <c r="K14" i="1" s="1"/>
  <c r="L14" i="1" s="1"/>
  <c r="Z15" i="1"/>
  <c r="AA15" i="1"/>
  <c r="AD15" i="1"/>
  <c r="AG15" i="1"/>
  <c r="AH15" i="1"/>
  <c r="I18" i="1"/>
  <c r="J18" i="1" s="1"/>
  <c r="K18" i="1" s="1"/>
  <c r="L18" i="1" s="1"/>
  <c r="Z19" i="1"/>
  <c r="AA19" i="1"/>
  <c r="AD19" i="1"/>
  <c r="AG19" i="1"/>
  <c r="AH19" i="1"/>
  <c r="Z22" i="1"/>
  <c r="AA22" i="1"/>
  <c r="AD22" i="1"/>
  <c r="AG22" i="1"/>
  <c r="AH22" i="1"/>
  <c r="Z26" i="1"/>
  <c r="AA26" i="1"/>
  <c r="AD26" i="1"/>
  <c r="AG26" i="1"/>
  <c r="AH26" i="1"/>
  <c r="Z30" i="1"/>
  <c r="AA30" i="1"/>
  <c r="AB30" i="1"/>
  <c r="AD30" i="1"/>
  <c r="AG30" i="1"/>
  <c r="AH30" i="1"/>
  <c r="AI30" i="1"/>
  <c r="I37" i="1"/>
  <c r="J37" i="1" s="1"/>
  <c r="K37" i="1" s="1"/>
  <c r="L37" i="1" s="1"/>
  <c r="M37" i="1" s="1"/>
  <c r="K70" i="1"/>
  <c r="W70" i="1"/>
  <c r="AA70" i="1"/>
  <c r="AG70" i="1"/>
  <c r="W107" i="1"/>
  <c r="I118" i="1"/>
  <c r="I122" i="1"/>
  <c r="J122" i="1" s="1"/>
  <c r="K122" i="1" s="1"/>
  <c r="L168" i="1"/>
  <c r="I156" i="1" s="1"/>
  <c r="I159" i="1" s="1"/>
  <c r="J159" i="1" s="1"/>
  <c r="K159" i="1" s="1"/>
  <c r="L159" i="1" s="1"/>
  <c r="AD168" i="1"/>
  <c r="L221" i="1"/>
  <c r="L225" i="1"/>
  <c r="AA191" i="1" s="1"/>
  <c r="W281" i="1"/>
  <c r="AD281" i="1"/>
  <c r="AG328" i="1"/>
  <c r="Z306" i="1"/>
  <c r="Z331" i="1"/>
  <c r="AG331" i="1"/>
  <c r="I273" i="1" l="1"/>
  <c r="AL248" i="1"/>
  <c r="AK248" i="1"/>
  <c r="AI265" i="1"/>
  <c r="AB328" i="1"/>
  <c r="L319" i="1"/>
  <c r="Z255" i="1"/>
  <c r="AG66" i="1"/>
  <c r="AJ325" i="1"/>
  <c r="L315" i="1"/>
  <c r="AH164" i="1"/>
  <c r="M325" i="1"/>
  <c r="AG306" i="1"/>
  <c r="AD217" i="1"/>
  <c r="AD220" i="1" s="1"/>
  <c r="Z325" i="1"/>
  <c r="AC322" i="1"/>
  <c r="AH319" i="1"/>
  <c r="N317" i="1"/>
  <c r="AI309" i="1"/>
  <c r="AC303" i="1"/>
  <c r="AE248" i="1"/>
  <c r="AE245" i="1"/>
  <c r="AE241" i="1"/>
  <c r="I241" i="1"/>
  <c r="Y248" i="1"/>
  <c r="AL245" i="1"/>
  <c r="Y245" i="1"/>
  <c r="AL241" i="1"/>
  <c r="Y241" i="1"/>
  <c r="X248" i="1"/>
  <c r="K248" i="1"/>
  <c r="AK245" i="1"/>
  <c r="X245" i="1"/>
  <c r="K245" i="1"/>
  <c r="AK241" i="1"/>
  <c r="X241" i="1"/>
  <c r="K241" i="1"/>
  <c r="AF248" i="1"/>
  <c r="J248" i="1"/>
  <c r="AF245" i="1"/>
  <c r="J245" i="1"/>
  <c r="AF241" i="1"/>
  <c r="J241" i="1"/>
  <c r="AG261" i="1"/>
  <c r="I244" i="1"/>
  <c r="AD213" i="1"/>
  <c r="AD216" i="1" s="1"/>
  <c r="W209" i="1"/>
  <c r="W212" i="1" s="1"/>
  <c r="W205" i="1"/>
  <c r="W208" i="1" s="1"/>
  <c r="AG194" i="1"/>
  <c r="AH187" i="1"/>
  <c r="Z172" i="1"/>
  <c r="W88" i="1"/>
  <c r="AG80" i="1"/>
  <c r="L55" i="1"/>
  <c r="AK52" i="1"/>
  <c r="X52" i="1"/>
  <c r="K52" i="1"/>
  <c r="AK55" i="1"/>
  <c r="X55" i="1"/>
  <c r="K55" i="1"/>
  <c r="AK59" i="1"/>
  <c r="X59" i="1"/>
  <c r="K59" i="1"/>
  <c r="AK62" i="1"/>
  <c r="X62" i="1"/>
  <c r="K62" i="1"/>
  <c r="AL66" i="1"/>
  <c r="Y66" i="1"/>
  <c r="AF52" i="1"/>
  <c r="J52" i="1"/>
  <c r="AF55" i="1"/>
  <c r="J55" i="1"/>
  <c r="AF59" i="1"/>
  <c r="J59" i="1"/>
  <c r="AF62" i="1"/>
  <c r="J62" i="1"/>
  <c r="AK66" i="1"/>
  <c r="X66" i="1"/>
  <c r="K66" i="1"/>
  <c r="AE52" i="1"/>
  <c r="AE55" i="1"/>
  <c r="AE59" i="1"/>
  <c r="AE62" i="1"/>
  <c r="I62" i="1"/>
  <c r="AF66" i="1"/>
  <c r="J66" i="1"/>
  <c r="AL52" i="1"/>
  <c r="Y52" i="1"/>
  <c r="AL55" i="1"/>
  <c r="Y55" i="1"/>
  <c r="AL59" i="1"/>
  <c r="Y59" i="1"/>
  <c r="AL62" i="1"/>
  <c r="Y62" i="1"/>
  <c r="AE66" i="1"/>
  <c r="I66" i="1"/>
  <c r="AD59" i="1"/>
  <c r="AG55" i="1"/>
  <c r="Z322" i="1"/>
  <c r="AC319" i="1"/>
  <c r="AI315" i="1"/>
  <c r="AB309" i="1"/>
  <c r="N277" i="1"/>
  <c r="AB258" i="1"/>
  <c r="I191" i="1"/>
  <c r="I193" i="1" s="1"/>
  <c r="AK191" i="1"/>
  <c r="X191" i="1"/>
  <c r="K191" i="1"/>
  <c r="AK194" i="1"/>
  <c r="AK197" i="1" s="1"/>
  <c r="X194" i="1"/>
  <c r="K194" i="1"/>
  <c r="AE209" i="1"/>
  <c r="J209" i="1"/>
  <c r="AF217" i="1"/>
  <c r="J217" i="1"/>
  <c r="AL191" i="1"/>
  <c r="Y194" i="1"/>
  <c r="J194" i="1"/>
  <c r="AF209" i="1"/>
  <c r="Y217" i="1"/>
  <c r="K217" i="1"/>
  <c r="AF191" i="1"/>
  <c r="AL194" i="1"/>
  <c r="I194" i="1"/>
  <c r="I197" i="1" s="1"/>
  <c r="Y209" i="1"/>
  <c r="L209" i="1"/>
  <c r="AL217" i="1"/>
  <c r="X217" i="1"/>
  <c r="AE191" i="1"/>
  <c r="AF194" i="1"/>
  <c r="AL209" i="1"/>
  <c r="X209" i="1"/>
  <c r="K209" i="1"/>
  <c r="AK217" i="1"/>
  <c r="AK220" i="1" s="1"/>
  <c r="Y191" i="1"/>
  <c r="J191" i="1"/>
  <c r="AE194" i="1"/>
  <c r="AK209" i="1"/>
  <c r="AK212" i="1" s="1"/>
  <c r="AL212" i="1" s="1"/>
  <c r="AE217" i="1"/>
  <c r="AE220" i="1" s="1"/>
  <c r="AF220" i="1" s="1"/>
  <c r="Z217" i="1"/>
  <c r="M217" i="1"/>
  <c r="M213" i="1"/>
  <c r="AD194" i="1"/>
  <c r="AD197" i="1" s="1"/>
  <c r="M194" i="1"/>
  <c r="Z191" i="1"/>
  <c r="I187" i="1"/>
  <c r="I190" i="1" s="1"/>
  <c r="AG164" i="1"/>
  <c r="I164" i="1"/>
  <c r="I167" i="1" s="1"/>
  <c r="AH66" i="1"/>
  <c r="W62" i="1"/>
  <c r="Z59" i="1"/>
  <c r="AA55" i="1"/>
  <c r="AK172" i="1"/>
  <c r="X172" i="1"/>
  <c r="K172" i="1"/>
  <c r="AK176" i="1"/>
  <c r="AK179" i="1" s="1"/>
  <c r="X176" i="1"/>
  <c r="K176" i="1"/>
  <c r="AK180" i="1"/>
  <c r="AK183" i="1" s="1"/>
  <c r="Y180" i="1"/>
  <c r="AL184" i="1"/>
  <c r="Y184" i="1"/>
  <c r="AF172" i="1"/>
  <c r="J172" i="1"/>
  <c r="AF176" i="1"/>
  <c r="J176" i="1"/>
  <c r="AG180" i="1"/>
  <c r="X180" i="1"/>
  <c r="K180" i="1"/>
  <c r="AK184" i="1"/>
  <c r="X184" i="1"/>
  <c r="K184" i="1"/>
  <c r="AK187" i="1"/>
  <c r="AK190" i="1" s="1"/>
  <c r="X187" i="1"/>
  <c r="K187" i="1"/>
  <c r="AL198" i="1"/>
  <c r="Y198" i="1"/>
  <c r="AL201" i="1"/>
  <c r="Y201" i="1"/>
  <c r="AE205" i="1"/>
  <c r="AF213" i="1"/>
  <c r="J213" i="1"/>
  <c r="AE172" i="1"/>
  <c r="AE176" i="1"/>
  <c r="AF180" i="1"/>
  <c r="J180" i="1"/>
  <c r="AF184" i="1"/>
  <c r="Y172" i="1"/>
  <c r="AF187" i="1"/>
  <c r="AF198" i="1"/>
  <c r="AK201" i="1"/>
  <c r="AK204" i="1" s="1"/>
  <c r="AL204" i="1" s="1"/>
  <c r="I201" i="1"/>
  <c r="I204" i="1" s="1"/>
  <c r="Y205" i="1"/>
  <c r="K205" i="1"/>
  <c r="AL213" i="1"/>
  <c r="X213" i="1"/>
  <c r="AL180" i="1"/>
  <c r="AE184" i="1"/>
  <c r="J184" i="1"/>
  <c r="AE187" i="1"/>
  <c r="AE198" i="1"/>
  <c r="K198" i="1"/>
  <c r="AF201" i="1"/>
  <c r="AL205" i="1"/>
  <c r="X205" i="1"/>
  <c r="J205" i="1"/>
  <c r="AK213" i="1"/>
  <c r="AK216" i="1" s="1"/>
  <c r="AL176" i="1"/>
  <c r="AE180" i="1"/>
  <c r="Y187" i="1"/>
  <c r="J187" i="1"/>
  <c r="X198" i="1"/>
  <c r="J198" i="1"/>
  <c r="AE201" i="1"/>
  <c r="K201" i="1"/>
  <c r="AK205" i="1"/>
  <c r="AK208" i="1" s="1"/>
  <c r="AL208" i="1" s="1"/>
  <c r="AE213" i="1"/>
  <c r="AL172" i="1"/>
  <c r="Y176" i="1"/>
  <c r="AL187" i="1"/>
  <c r="AK198" i="1"/>
  <c r="X201" i="1"/>
  <c r="J201" i="1"/>
  <c r="AF205" i="1"/>
  <c r="Y213" i="1"/>
  <c r="K213" i="1"/>
  <c r="W217" i="1"/>
  <c r="W220" i="1" s="1"/>
  <c r="X220" i="1" s="1"/>
  <c r="Y220" i="1" s="1"/>
  <c r="Z220" i="1" s="1"/>
  <c r="L217" i="1"/>
  <c r="AD209" i="1"/>
  <c r="AD212" i="1" s="1"/>
  <c r="AE212" i="1" s="1"/>
  <c r="AF212" i="1" s="1"/>
  <c r="AD201" i="1"/>
  <c r="AD204" i="1" s="1"/>
  <c r="AE204" i="1" s="1"/>
  <c r="AF204" i="1" s="1"/>
  <c r="AA194" i="1"/>
  <c r="AG191" i="1"/>
  <c r="W184" i="1"/>
  <c r="AA164" i="1"/>
  <c r="AA80" i="1"/>
  <c r="W80" i="1"/>
  <c r="M80" i="1"/>
  <c r="I80" i="1"/>
  <c r="I83" i="1" s="1"/>
  <c r="AG84" i="1"/>
  <c r="X84" i="1"/>
  <c r="M84" i="1"/>
  <c r="I84" i="1"/>
  <c r="I87" i="1" s="1"/>
  <c r="AH88" i="1"/>
  <c r="Y88" i="1"/>
  <c r="J88" i="1"/>
  <c r="AK92" i="1"/>
  <c r="X92" i="1"/>
  <c r="M92" i="1"/>
  <c r="I92" i="1"/>
  <c r="I94" i="1" s="1"/>
  <c r="AH95" i="1"/>
  <c r="AD95" i="1"/>
  <c r="K95" i="1"/>
  <c r="AL99" i="1"/>
  <c r="AE99" i="1"/>
  <c r="L99" i="1"/>
  <c r="AE103" i="1"/>
  <c r="I103" i="1"/>
  <c r="I106" i="1" s="1"/>
  <c r="Z80" i="1"/>
  <c r="Y80" i="1"/>
  <c r="L80" i="1"/>
  <c r="AF84" i="1"/>
  <c r="L84" i="1"/>
  <c r="AD88" i="1"/>
  <c r="X88" i="1"/>
  <c r="M88" i="1"/>
  <c r="I88" i="1"/>
  <c r="I91" i="1" s="1"/>
  <c r="J91" i="1" s="1"/>
  <c r="K91" i="1" s="1"/>
  <c r="L91" i="1" s="1"/>
  <c r="AF92" i="1"/>
  <c r="L92" i="1"/>
  <c r="AG95" i="1"/>
  <c r="Y95" i="1"/>
  <c r="J95" i="1"/>
  <c r="AK99" i="1"/>
  <c r="Y99" i="1"/>
  <c r="K99" i="1"/>
  <c r="AL103" i="1"/>
  <c r="Y103" i="1"/>
  <c r="AL80" i="1"/>
  <c r="AF80" i="1"/>
  <c r="X80" i="1"/>
  <c r="K80" i="1"/>
  <c r="AL84" i="1"/>
  <c r="AE84" i="1"/>
  <c r="K84" i="1"/>
  <c r="AL88" i="1"/>
  <c r="AF88" i="1"/>
  <c r="L88" i="1"/>
  <c r="AE92" i="1"/>
  <c r="K92" i="1"/>
  <c r="AL95" i="1"/>
  <c r="AF95" i="1"/>
  <c r="X95" i="1"/>
  <c r="M95" i="1"/>
  <c r="I95" i="1"/>
  <c r="I98" i="1" s="1"/>
  <c r="AA99" i="1"/>
  <c r="X99" i="1"/>
  <c r="J99" i="1"/>
  <c r="AK103" i="1"/>
  <c r="X103" i="1"/>
  <c r="K103" i="1"/>
  <c r="AK80" i="1"/>
  <c r="AE80" i="1"/>
  <c r="J80" i="1"/>
  <c r="AK84" i="1"/>
  <c r="Y84" i="1"/>
  <c r="J84" i="1"/>
  <c r="AK88" i="1"/>
  <c r="AE88" i="1"/>
  <c r="K88" i="1"/>
  <c r="AL92" i="1"/>
  <c r="Y92" i="1"/>
  <c r="J92" i="1"/>
  <c r="J94" i="1" s="1"/>
  <c r="K94" i="1" s="1"/>
  <c r="L94" i="1" s="1"/>
  <c r="M94" i="1" s="1"/>
  <c r="N94" i="1" s="1"/>
  <c r="W94" i="1" s="1"/>
  <c r="AK95" i="1"/>
  <c r="AE95" i="1"/>
  <c r="L95" i="1"/>
  <c r="AF99" i="1"/>
  <c r="M99" i="1"/>
  <c r="I99" i="1"/>
  <c r="I102" i="1" s="1"/>
  <c r="J102" i="1" s="1"/>
  <c r="AF103" i="1"/>
  <c r="J103" i="1"/>
  <c r="AH99" i="1"/>
  <c r="AH92" i="1"/>
  <c r="AD84" i="1"/>
  <c r="AG325" i="1"/>
  <c r="AJ322" i="1"/>
  <c r="M322" i="1"/>
  <c r="AH317" i="1"/>
  <c r="AD312" i="1"/>
  <c r="AH217" i="1"/>
  <c r="I217" i="1"/>
  <c r="I220" i="1" s="1"/>
  <c r="J220" i="1" s="1"/>
  <c r="K220" i="1" s="1"/>
  <c r="L220" i="1" s="1"/>
  <c r="M220" i="1" s="1"/>
  <c r="N220" i="1" s="1"/>
  <c r="Z209" i="1"/>
  <c r="M209" i="1"/>
  <c r="M201" i="1"/>
  <c r="Z194" i="1"/>
  <c r="AD191" i="1"/>
  <c r="M191" i="1"/>
  <c r="Z160" i="1"/>
  <c r="AE164" i="1"/>
  <c r="AK156" i="1"/>
  <c r="AL160" i="1"/>
  <c r="J160" i="1"/>
  <c r="J163" i="1" s="1"/>
  <c r="K163" i="1" s="1"/>
  <c r="L163" i="1" s="1"/>
  <c r="M163" i="1" s="1"/>
  <c r="N163" i="1" s="1"/>
  <c r="Y164" i="1"/>
  <c r="K164" i="1"/>
  <c r="AE156" i="1"/>
  <c r="AF160" i="1"/>
  <c r="AL164" i="1"/>
  <c r="X164" i="1"/>
  <c r="J164" i="1"/>
  <c r="Y156" i="1"/>
  <c r="AK164" i="1"/>
  <c r="M156" i="1"/>
  <c r="M159" i="1" s="1"/>
  <c r="N159" i="1" s="1"/>
  <c r="AF164" i="1"/>
  <c r="W164" i="1"/>
  <c r="W103" i="1"/>
  <c r="AA66" i="1"/>
  <c r="L62" i="1"/>
  <c r="M59" i="1"/>
  <c r="N37" i="1"/>
  <c r="AH241" i="1"/>
  <c r="L245" i="1"/>
  <c r="W245" i="1"/>
  <c r="M248" i="1"/>
  <c r="Z248" i="1"/>
  <c r="AD248" i="1"/>
  <c r="N252" i="1"/>
  <c r="AA252" i="1"/>
  <c r="AG252" i="1"/>
  <c r="I255" i="1"/>
  <c r="AB255" i="1"/>
  <c r="AH255" i="1"/>
  <c r="L258" i="1"/>
  <c r="W258" i="1"/>
  <c r="AC258" i="1"/>
  <c r="AI258" i="1"/>
  <c r="M261" i="1"/>
  <c r="Z261" i="1"/>
  <c r="AD261" i="1"/>
  <c r="AJ261" i="1"/>
  <c r="N265" i="1"/>
  <c r="AA265" i="1"/>
  <c r="AG265" i="1"/>
  <c r="I269" i="1"/>
  <c r="AB269" i="1"/>
  <c r="AH269" i="1"/>
  <c r="L273" i="1"/>
  <c r="W273" i="1"/>
  <c r="AC273" i="1"/>
  <c r="AI273" i="1"/>
  <c r="M277" i="1"/>
  <c r="Z277" i="1"/>
  <c r="AD277" i="1"/>
  <c r="AJ277" i="1"/>
  <c r="L241" i="1"/>
  <c r="AA241" i="1"/>
  <c r="M241" i="1"/>
  <c r="Z245" i="1"/>
  <c r="AG245" i="1"/>
  <c r="L248" i="1"/>
  <c r="W252" i="1"/>
  <c r="AD252" i="1"/>
  <c r="L255" i="1"/>
  <c r="AA255" i="1"/>
  <c r="AI255" i="1"/>
  <c r="N258" i="1"/>
  <c r="AD258" i="1"/>
  <c r="I261" i="1"/>
  <c r="AA261" i="1"/>
  <c r="AH261" i="1"/>
  <c r="M265" i="1"/>
  <c r="AC265" i="1"/>
  <c r="AJ265" i="1"/>
  <c r="Z269" i="1"/>
  <c r="AG269" i="1"/>
  <c r="M273" i="1"/>
  <c r="AB273" i="1"/>
  <c r="AJ273" i="1"/>
  <c r="W277" i="1"/>
  <c r="AG277" i="1"/>
  <c r="W241" i="1"/>
  <c r="AD241" i="1"/>
  <c r="I245" i="1"/>
  <c r="AA245" i="1"/>
  <c r="AH245" i="1"/>
  <c r="I252" i="1"/>
  <c r="Z252" i="1"/>
  <c r="AH252" i="1"/>
  <c r="M255" i="1"/>
  <c r="AC255" i="1"/>
  <c r="AJ255" i="1"/>
  <c r="Z258" i="1"/>
  <c r="AG258" i="1"/>
  <c r="L261" i="1"/>
  <c r="AB261" i="1"/>
  <c r="AI261" i="1"/>
  <c r="W265" i="1"/>
  <c r="AD265" i="1"/>
  <c r="L269" i="1"/>
  <c r="AA269" i="1"/>
  <c r="AI269" i="1"/>
  <c r="N273" i="1"/>
  <c r="AD273" i="1"/>
  <c r="I277" i="1"/>
  <c r="AA277" i="1"/>
  <c r="AH277" i="1"/>
  <c r="Z241" i="1"/>
  <c r="AG241" i="1"/>
  <c r="M245" i="1"/>
  <c r="W248" i="1"/>
  <c r="AG248" i="1"/>
  <c r="L252" i="1"/>
  <c r="AB252" i="1"/>
  <c r="AI252" i="1"/>
  <c r="N255" i="1"/>
  <c r="W255" i="1"/>
  <c r="AD255" i="1"/>
  <c r="I258" i="1"/>
  <c r="AA258" i="1"/>
  <c r="AH258" i="1"/>
  <c r="N261" i="1"/>
  <c r="AC261" i="1"/>
  <c r="I265" i="1"/>
  <c r="Z265" i="1"/>
  <c r="AH265" i="1"/>
  <c r="M269" i="1"/>
  <c r="AC269" i="1"/>
  <c r="AJ269" i="1"/>
  <c r="Z273" i="1"/>
  <c r="AG273" i="1"/>
  <c r="L277" i="1"/>
  <c r="AB277" i="1"/>
  <c r="AI277" i="1"/>
  <c r="AH273" i="1"/>
  <c r="AD269" i="1"/>
  <c r="AB265" i="1"/>
  <c r="W261" i="1"/>
  <c r="M252" i="1"/>
  <c r="I248" i="1"/>
  <c r="I303" i="1"/>
  <c r="AB303" i="1"/>
  <c r="AH303" i="1"/>
  <c r="L306" i="1"/>
  <c r="W306" i="1"/>
  <c r="AC306" i="1"/>
  <c r="AI306" i="1"/>
  <c r="M309" i="1"/>
  <c r="Z309" i="1"/>
  <c r="AD309" i="1"/>
  <c r="AJ309" i="1"/>
  <c r="N312" i="1"/>
  <c r="AA312" i="1"/>
  <c r="AG312" i="1"/>
  <c r="I315" i="1"/>
  <c r="AB315" i="1"/>
  <c r="AH315" i="1"/>
  <c r="L317" i="1"/>
  <c r="N303" i="1"/>
  <c r="W303" i="1"/>
  <c r="AD303" i="1"/>
  <c r="I306" i="1"/>
  <c r="AA306" i="1"/>
  <c r="AH306" i="1"/>
  <c r="N309" i="1"/>
  <c r="AC309" i="1"/>
  <c r="I312" i="1"/>
  <c r="Z312" i="1"/>
  <c r="AH312" i="1"/>
  <c r="M315" i="1"/>
  <c r="AC315" i="1"/>
  <c r="AJ315" i="1"/>
  <c r="W317" i="1"/>
  <c r="AC317" i="1"/>
  <c r="AI317" i="1"/>
  <c r="M319" i="1"/>
  <c r="Z319" i="1"/>
  <c r="AD319" i="1"/>
  <c r="AJ319" i="1"/>
  <c r="N322" i="1"/>
  <c r="AA322" i="1"/>
  <c r="AG322" i="1"/>
  <c r="I325" i="1"/>
  <c r="AB325" i="1"/>
  <c r="AH325" i="1"/>
  <c r="L328" i="1"/>
  <c r="W328" i="1"/>
  <c r="AC328" i="1"/>
  <c r="AI328" i="1"/>
  <c r="Z303" i="1"/>
  <c r="AG303" i="1"/>
  <c r="M306" i="1"/>
  <c r="AB306" i="1"/>
  <c r="AJ306" i="1"/>
  <c r="W309" i="1"/>
  <c r="AG309" i="1"/>
  <c r="L312" i="1"/>
  <c r="AB312" i="1"/>
  <c r="AI312" i="1"/>
  <c r="N315" i="1"/>
  <c r="W315" i="1"/>
  <c r="AD315" i="1"/>
  <c r="I317" i="1"/>
  <c r="Z317" i="1"/>
  <c r="AD317" i="1"/>
  <c r="AJ317" i="1"/>
  <c r="N319" i="1"/>
  <c r="AA319" i="1"/>
  <c r="AG319" i="1"/>
  <c r="I322" i="1"/>
  <c r="AB322" i="1"/>
  <c r="AH322" i="1"/>
  <c r="L325" i="1"/>
  <c r="W325" i="1"/>
  <c r="AC325" i="1"/>
  <c r="AI325" i="1"/>
  <c r="M328" i="1"/>
  <c r="Z328" i="1"/>
  <c r="AD328" i="1"/>
  <c r="AJ328" i="1"/>
  <c r="L303" i="1"/>
  <c r="AA303" i="1"/>
  <c r="AI303" i="1"/>
  <c r="N306" i="1"/>
  <c r="AD306" i="1"/>
  <c r="I309" i="1"/>
  <c r="AA309" i="1"/>
  <c r="AH309" i="1"/>
  <c r="M312" i="1"/>
  <c r="AC312" i="1"/>
  <c r="AJ312" i="1"/>
  <c r="Z315" i="1"/>
  <c r="AG315" i="1"/>
  <c r="M317" i="1"/>
  <c r="AA317" i="1"/>
  <c r="AG317" i="1"/>
  <c r="I319" i="1"/>
  <c r="AB319" i="1"/>
  <c r="AA328" i="1"/>
  <c r="N328" i="1"/>
  <c r="AD325" i="1"/>
  <c r="AI322" i="1"/>
  <c r="W322" i="1"/>
  <c r="L322" i="1"/>
  <c r="W319" i="1"/>
  <c r="AB317" i="1"/>
  <c r="AA315" i="1"/>
  <c r="W312" i="1"/>
  <c r="M303" i="1"/>
  <c r="AC277" i="1"/>
  <c r="AA273" i="1"/>
  <c r="W269" i="1"/>
  <c r="M258" i="1"/>
  <c r="AJ252" i="1"/>
  <c r="AH248" i="1"/>
  <c r="AD245" i="1"/>
  <c r="AH328" i="1"/>
  <c r="I328" i="1"/>
  <c r="AA325" i="1"/>
  <c r="N325" i="1"/>
  <c r="AD322" i="1"/>
  <c r="AI319" i="1"/>
  <c r="L309" i="1"/>
  <c r="AJ303" i="1"/>
  <c r="N269" i="1"/>
  <c r="L265" i="1"/>
  <c r="AJ258" i="1"/>
  <c r="AG255" i="1"/>
  <c r="AC252" i="1"/>
  <c r="AA248" i="1"/>
  <c r="AA172" i="1"/>
  <c r="AG172" i="1"/>
  <c r="I176" i="1"/>
  <c r="I179" i="1" s="1"/>
  <c r="J179" i="1" s="1"/>
  <c r="K179" i="1" s="1"/>
  <c r="AH176" i="1"/>
  <c r="L180" i="1"/>
  <c r="W180" i="1"/>
  <c r="W183" i="1" s="1"/>
  <c r="X183" i="1" s="1"/>
  <c r="Y183" i="1" s="1"/>
  <c r="M184" i="1"/>
  <c r="Z184" i="1"/>
  <c r="AD184" i="1"/>
  <c r="L187" i="1"/>
  <c r="W187" i="1"/>
  <c r="W190" i="1" s="1"/>
  <c r="X190" i="1" s="1"/>
  <c r="Y190" i="1" s="1"/>
  <c r="I198" i="1"/>
  <c r="I200" i="1" s="1"/>
  <c r="J200" i="1" s="1"/>
  <c r="K200" i="1" s="1"/>
  <c r="AH198" i="1"/>
  <c r="AA201" i="1"/>
  <c r="AG201" i="1"/>
  <c r="M205" i="1"/>
  <c r="Z205" i="1"/>
  <c r="AD205" i="1"/>
  <c r="AD208" i="1" s="1"/>
  <c r="AE208" i="1" s="1"/>
  <c r="AF208" i="1" s="1"/>
  <c r="AA213" i="1"/>
  <c r="AG213" i="1"/>
  <c r="I172" i="1"/>
  <c r="I175" i="1" s="1"/>
  <c r="J175" i="1" s="1"/>
  <c r="K175" i="1" s="1"/>
  <c r="AH172" i="1"/>
  <c r="L176" i="1"/>
  <c r="W176" i="1"/>
  <c r="W179" i="1" s="1"/>
  <c r="X179" i="1" s="1"/>
  <c r="Y179" i="1" s="1"/>
  <c r="M180" i="1"/>
  <c r="Z180" i="1"/>
  <c r="AD180" i="1"/>
  <c r="AD183" i="1" s="1"/>
  <c r="AE183" i="1" s="1"/>
  <c r="AF183" i="1" s="1"/>
  <c r="AG183" i="1" s="1"/>
  <c r="AA184" i="1"/>
  <c r="AG184" i="1"/>
  <c r="M187" i="1"/>
  <c r="Z187" i="1"/>
  <c r="AD187" i="1"/>
  <c r="AD190" i="1" s="1"/>
  <c r="AE190" i="1" s="1"/>
  <c r="AF190" i="1" s="1"/>
  <c r="L198" i="1"/>
  <c r="W198" i="1"/>
  <c r="AH201" i="1"/>
  <c r="AA205" i="1"/>
  <c r="AG205" i="1"/>
  <c r="I213" i="1"/>
  <c r="I216" i="1" s="1"/>
  <c r="J216" i="1" s="1"/>
  <c r="K216" i="1" s="1"/>
  <c r="AH213" i="1"/>
  <c r="L172" i="1"/>
  <c r="W172" i="1"/>
  <c r="M176" i="1"/>
  <c r="Z176" i="1"/>
  <c r="AD176" i="1"/>
  <c r="AD179" i="1" s="1"/>
  <c r="AE179" i="1" s="1"/>
  <c r="AF179" i="1" s="1"/>
  <c r="AA180" i="1"/>
  <c r="I184" i="1"/>
  <c r="I186" i="1" s="1"/>
  <c r="J186" i="1" s="1"/>
  <c r="K186" i="1" s="1"/>
  <c r="AH184" i="1"/>
  <c r="AA187" i="1"/>
  <c r="AG187" i="1"/>
  <c r="M198" i="1"/>
  <c r="Z198" i="1"/>
  <c r="AD198" i="1"/>
  <c r="L201" i="1"/>
  <c r="W201" i="1"/>
  <c r="W204" i="1" s="1"/>
  <c r="X204" i="1" s="1"/>
  <c r="Y204" i="1" s="1"/>
  <c r="I205" i="1"/>
  <c r="I208" i="1" s="1"/>
  <c r="J208" i="1" s="1"/>
  <c r="K208" i="1" s="1"/>
  <c r="L208" i="1" s="1"/>
  <c r="M208" i="1" s="1"/>
  <c r="N208" i="1" s="1"/>
  <c r="AH205" i="1"/>
  <c r="L213" i="1"/>
  <c r="W213" i="1"/>
  <c r="W216" i="1" s="1"/>
  <c r="X216" i="1" s="1"/>
  <c r="Y216" i="1" s="1"/>
  <c r="Z213" i="1"/>
  <c r="L205" i="1"/>
  <c r="Z201" i="1"/>
  <c r="AG198" i="1"/>
  <c r="L184" i="1"/>
  <c r="AH180" i="1"/>
  <c r="I180" i="1"/>
  <c r="I183" i="1" s="1"/>
  <c r="J183" i="1" s="1"/>
  <c r="K183" i="1" s="1"/>
  <c r="L183" i="1" s="1"/>
  <c r="M183" i="1" s="1"/>
  <c r="N183" i="1" s="1"/>
  <c r="AG176" i="1"/>
  <c r="M172" i="1"/>
  <c r="Z141" i="1"/>
  <c r="AA198" i="1"/>
  <c r="AA176" i="1"/>
  <c r="AD172" i="1"/>
  <c r="L137" i="1"/>
  <c r="L140" i="1" s="1"/>
  <c r="W137" i="1"/>
  <c r="AA141" i="1"/>
  <c r="AG141" i="1"/>
  <c r="I145" i="1"/>
  <c r="I148" i="1" s="1"/>
  <c r="J148" i="1" s="1"/>
  <c r="K148" i="1" s="1"/>
  <c r="AH145" i="1"/>
  <c r="M137" i="1"/>
  <c r="Z137" i="1"/>
  <c r="AD137" i="1"/>
  <c r="AH141" i="1"/>
  <c r="L145" i="1"/>
  <c r="W145" i="1"/>
  <c r="AA137" i="1"/>
  <c r="AG137" i="1"/>
  <c r="L141" i="1"/>
  <c r="L144" i="1" s="1"/>
  <c r="W141" i="1"/>
  <c r="M145" i="1"/>
  <c r="Z145" i="1"/>
  <c r="AD145" i="1"/>
  <c r="AD141" i="1"/>
  <c r="AA145" i="1"/>
  <c r="AH137" i="1"/>
  <c r="M141" i="1"/>
  <c r="AG145" i="1"/>
  <c r="AG217" i="1"/>
  <c r="AA217" i="1"/>
  <c r="AH209" i="1"/>
  <c r="I209" i="1"/>
  <c r="I212" i="1" s="1"/>
  <c r="J212" i="1" s="1"/>
  <c r="K212" i="1" s="1"/>
  <c r="L212" i="1" s="1"/>
  <c r="M212" i="1" s="1"/>
  <c r="N212" i="1" s="1"/>
  <c r="W194" i="1"/>
  <c r="W197" i="1" s="1"/>
  <c r="X197" i="1" s="1"/>
  <c r="Y197" i="1" s="1"/>
  <c r="Z197" i="1" s="1"/>
  <c r="AA197" i="1" s="1"/>
  <c r="L194" i="1"/>
  <c r="W191" i="1"/>
  <c r="L191" i="1"/>
  <c r="L119" i="1"/>
  <c r="L122" i="1" s="1"/>
  <c r="M122" i="1" s="1"/>
  <c r="J118" i="1"/>
  <c r="K118" i="1" s="1"/>
  <c r="L118" i="1" s="1"/>
  <c r="M118" i="1" s="1"/>
  <c r="W115" i="1"/>
  <c r="AG209" i="1"/>
  <c r="AA209" i="1"/>
  <c r="AH194" i="1"/>
  <c r="AH191" i="1"/>
  <c r="M164" i="1"/>
  <c r="Z164" i="1"/>
  <c r="AD164" i="1"/>
  <c r="L164" i="1"/>
  <c r="AH111" i="1"/>
  <c r="I111" i="1"/>
  <c r="I114" i="1" s="1"/>
  <c r="J114" i="1" s="1"/>
  <c r="AH103" i="1"/>
  <c r="AG99" i="1"/>
  <c r="Z84" i="1"/>
  <c r="AG103" i="1"/>
  <c r="AA103" i="1"/>
  <c r="M103" i="1"/>
  <c r="AD99" i="1"/>
  <c r="Z99" i="1"/>
  <c r="I69" i="1"/>
  <c r="J69" i="1" s="1"/>
  <c r="K69" i="1" s="1"/>
  <c r="AH80" i="1"/>
  <c r="AA84" i="1"/>
  <c r="Z88" i="1"/>
  <c r="W92" i="1"/>
  <c r="AI80" i="1"/>
  <c r="AH84" i="1"/>
  <c r="AA88" i="1"/>
  <c r="AG88" i="1"/>
  <c r="Z92" i="1"/>
  <c r="AD92" i="1"/>
  <c r="W95" i="1"/>
  <c r="AD80" i="1"/>
  <c r="W84" i="1"/>
  <c r="AI84" i="1"/>
  <c r="AA92" i="1"/>
  <c r="AG92" i="1"/>
  <c r="Z95" i="1"/>
  <c r="AD103" i="1"/>
  <c r="Z103" i="1"/>
  <c r="L103" i="1"/>
  <c r="W99" i="1"/>
  <c r="AA95" i="1"/>
  <c r="AH62" i="1"/>
  <c r="I65" i="1"/>
  <c r="J65" i="1" s="1"/>
  <c r="K65" i="1" s="1"/>
  <c r="L65" i="1" s="1"/>
  <c r="W59" i="1"/>
  <c r="L59" i="1"/>
  <c r="AD55" i="1"/>
  <c r="Z55" i="1"/>
  <c r="M55" i="1"/>
  <c r="AD66" i="1"/>
  <c r="Z66" i="1"/>
  <c r="M66" i="1"/>
  <c r="AG62" i="1"/>
  <c r="AA62" i="1"/>
  <c r="AH59" i="1"/>
  <c r="I59" i="1"/>
  <c r="W55" i="1"/>
  <c r="I52" i="1"/>
  <c r="AH52" i="1"/>
  <c r="L52" i="1"/>
  <c r="W52" i="1"/>
  <c r="M52" i="1"/>
  <c r="Z52" i="1"/>
  <c r="AD52" i="1"/>
  <c r="AA52" i="1"/>
  <c r="AG52" i="1"/>
  <c r="W66" i="1"/>
  <c r="L66" i="1"/>
  <c r="AD62" i="1"/>
  <c r="Z62" i="1"/>
  <c r="M62" i="1"/>
  <c r="AG59" i="1"/>
  <c r="AA59" i="1"/>
  <c r="AH55" i="1"/>
  <c r="I55" i="1"/>
  <c r="I58" i="1" s="1"/>
  <c r="J58" i="1" s="1"/>
  <c r="I30" i="1"/>
  <c r="I33" i="1" s="1"/>
  <c r="J33" i="1" s="1"/>
  <c r="K33" i="1" s="1"/>
  <c r="L33" i="1" s="1"/>
  <c r="W26" i="1"/>
  <c r="L26" i="1"/>
  <c r="M22" i="1"/>
  <c r="N30" i="1"/>
  <c r="I26" i="1"/>
  <c r="I29" i="1" s="1"/>
  <c r="J29" i="1" s="1"/>
  <c r="K29" i="1" s="1"/>
  <c r="L29" i="1" s="1"/>
  <c r="W22" i="1"/>
  <c r="L22" i="1"/>
  <c r="M19" i="1"/>
  <c r="M11" i="1"/>
  <c r="M14" i="1" s="1"/>
  <c r="N14" i="1" s="1"/>
  <c r="M30" i="1"/>
  <c r="I22" i="1"/>
  <c r="I25" i="1" s="1"/>
  <c r="J25" i="1" s="1"/>
  <c r="K25" i="1" s="1"/>
  <c r="L25" i="1" s="1"/>
  <c r="M25" i="1" s="1"/>
  <c r="W19" i="1"/>
  <c r="L19" i="1"/>
  <c r="M15" i="1"/>
  <c r="W11" i="1"/>
  <c r="W30" i="1"/>
  <c r="L30" i="1"/>
  <c r="M26" i="1"/>
  <c r="I19" i="1"/>
  <c r="I21" i="1" s="1"/>
  <c r="J21" i="1" s="1"/>
  <c r="K21" i="1" s="1"/>
  <c r="L21" i="1" s="1"/>
  <c r="M21" i="1" s="1"/>
  <c r="N21" i="1" s="1"/>
  <c r="W15" i="1"/>
  <c r="K102" i="1" l="1"/>
  <c r="L102" i="1" s="1"/>
  <c r="M102" i="1" s="1"/>
  <c r="N102" i="1" s="1"/>
  <c r="W102" i="1" s="1"/>
  <c r="X102" i="1" s="1"/>
  <c r="J98" i="1"/>
  <c r="K98" i="1" s="1"/>
  <c r="L98" i="1" s="1"/>
  <c r="M98" i="1" s="1"/>
  <c r="M65" i="1"/>
  <c r="AL183" i="1"/>
  <c r="AG179" i="1"/>
  <c r="AH179" i="1" s="1"/>
  <c r="L216" i="1"/>
  <c r="M216" i="1" s="1"/>
  <c r="N216" i="1" s="1"/>
  <c r="AG208" i="1"/>
  <c r="AH208" i="1" s="1"/>
  <c r="W159" i="1"/>
  <c r="X159" i="1" s="1"/>
  <c r="Y159" i="1" s="1"/>
  <c r="Z159" i="1" s="1"/>
  <c r="AA159" i="1" s="1"/>
  <c r="AB159" i="1" s="1"/>
  <c r="AD159" i="1" s="1"/>
  <c r="AE159" i="1" s="1"/>
  <c r="AF159" i="1" s="1"/>
  <c r="AG159" i="1" s="1"/>
  <c r="AH159" i="1" s="1"/>
  <c r="AI159" i="1" s="1"/>
  <c r="AK159" i="1" s="1"/>
  <c r="AL159" i="1" s="1"/>
  <c r="L69" i="1"/>
  <c r="M69" i="1" s="1"/>
  <c r="N69" i="1" s="1"/>
  <c r="W69" i="1" s="1"/>
  <c r="L148" i="1"/>
  <c r="M148" i="1" s="1"/>
  <c r="N148" i="1" s="1"/>
  <c r="AG220" i="1"/>
  <c r="AH220" i="1" s="1"/>
  <c r="K114" i="1"/>
  <c r="L114" i="1" s="1"/>
  <c r="M114" i="1" s="1"/>
  <c r="N114" i="1" s="1"/>
  <c r="M140" i="1"/>
  <c r="N140" i="1" s="1"/>
  <c r="W140" i="1" s="1"/>
  <c r="X140" i="1" s="1"/>
  <c r="Y140" i="1" s="1"/>
  <c r="Z140" i="1" s="1"/>
  <c r="AA140" i="1" s="1"/>
  <c r="AB140" i="1" s="1"/>
  <c r="AD140" i="1" s="1"/>
  <c r="AE140" i="1" s="1"/>
  <c r="AF140" i="1" s="1"/>
  <c r="AG140" i="1" s="1"/>
  <c r="AH140" i="1" s="1"/>
  <c r="AI140" i="1" s="1"/>
  <c r="AK140" i="1" s="1"/>
  <c r="AL140" i="1" s="1"/>
  <c r="Z216" i="1"/>
  <c r="AA216" i="1" s="1"/>
  <c r="AG190" i="1"/>
  <c r="AH190" i="1" s="1"/>
  <c r="L200" i="1"/>
  <c r="M200" i="1" s="1"/>
  <c r="N200" i="1" s="1"/>
  <c r="W200" i="1" s="1"/>
  <c r="X200" i="1" s="1"/>
  <c r="Y200" i="1" s="1"/>
  <c r="Z200" i="1" s="1"/>
  <c r="AA200" i="1" s="1"/>
  <c r="AB200" i="1" s="1"/>
  <c r="AD200" i="1" s="1"/>
  <c r="AE200" i="1" s="1"/>
  <c r="AF200" i="1" s="1"/>
  <c r="AG200" i="1" s="1"/>
  <c r="AH200" i="1" s="1"/>
  <c r="AI200" i="1" s="1"/>
  <c r="AK200" i="1" s="1"/>
  <c r="AL200" i="1" s="1"/>
  <c r="Z183" i="1"/>
  <c r="AA183" i="1" s="1"/>
  <c r="L179" i="1"/>
  <c r="M179" i="1" s="1"/>
  <c r="N179" i="1" s="1"/>
  <c r="M91" i="1"/>
  <c r="N91" i="1" s="1"/>
  <c r="W91" i="1" s="1"/>
  <c r="X91" i="1" s="1"/>
  <c r="J204" i="1"/>
  <c r="K204" i="1" s="1"/>
  <c r="L204" i="1" s="1"/>
  <c r="M204" i="1" s="1"/>
  <c r="N204" i="1" s="1"/>
  <c r="AL190" i="1"/>
  <c r="AL179" i="1"/>
  <c r="X212" i="1"/>
  <c r="Y212" i="1" s="1"/>
  <c r="Z212" i="1" s="1"/>
  <c r="AA212" i="1" s="1"/>
  <c r="Z204" i="1"/>
  <c r="AA204" i="1" s="1"/>
  <c r="Z190" i="1"/>
  <c r="AA190" i="1" s="1"/>
  <c r="AG204" i="1"/>
  <c r="AH204" i="1" s="1"/>
  <c r="AA220" i="1"/>
  <c r="J167" i="1"/>
  <c r="K167" i="1" s="1"/>
  <c r="L167" i="1" s="1"/>
  <c r="M167" i="1" s="1"/>
  <c r="N167" i="1" s="1"/>
  <c r="W167" i="1" s="1"/>
  <c r="X167" i="1" s="1"/>
  <c r="Y167" i="1" s="1"/>
  <c r="Z167" i="1" s="1"/>
  <c r="AA167" i="1" s="1"/>
  <c r="AB167" i="1" s="1"/>
  <c r="AD167" i="1" s="1"/>
  <c r="AE167" i="1" s="1"/>
  <c r="AF167" i="1" s="1"/>
  <c r="AG167" i="1" s="1"/>
  <c r="AH167" i="1" s="1"/>
  <c r="AI167" i="1" s="1"/>
  <c r="AK167" i="1" s="1"/>
  <c r="AL167" i="1" s="1"/>
  <c r="AE216" i="1"/>
  <c r="AF216" i="1" s="1"/>
  <c r="AG216" i="1" s="1"/>
  <c r="AH216" i="1" s="1"/>
  <c r="K58" i="1"/>
  <c r="L58" i="1" s="1"/>
  <c r="M58" i="1" s="1"/>
  <c r="N58" i="1" s="1"/>
  <c r="W58" i="1" s="1"/>
  <c r="AK48" i="1"/>
  <c r="X48" i="1"/>
  <c r="K48" i="1"/>
  <c r="AF48" i="1"/>
  <c r="J48" i="1"/>
  <c r="AE48" i="1"/>
  <c r="AL48" i="1"/>
  <c r="Y48" i="1"/>
  <c r="X94" i="1"/>
  <c r="AH183" i="1"/>
  <c r="Z179" i="1"/>
  <c r="AA179" i="1" s="1"/>
  <c r="L175" i="1"/>
  <c r="M175" i="1" s="1"/>
  <c r="N175" i="1" s="1"/>
  <c r="W175" i="1" s="1"/>
  <c r="X175" i="1" s="1"/>
  <c r="Y175" i="1" s="1"/>
  <c r="Z175" i="1" s="1"/>
  <c r="AA175" i="1" s="1"/>
  <c r="AD175" i="1" s="1"/>
  <c r="AE175" i="1" s="1"/>
  <c r="AF175" i="1" s="1"/>
  <c r="AG175" i="1" s="1"/>
  <c r="AH175" i="1" s="1"/>
  <c r="AK175" i="1" s="1"/>
  <c r="AL175" i="1" s="1"/>
  <c r="W163" i="1"/>
  <c r="X163" i="1" s="1"/>
  <c r="Y163" i="1" s="1"/>
  <c r="Z163" i="1" s="1"/>
  <c r="AA163" i="1" s="1"/>
  <c r="AB163" i="1" s="1"/>
  <c r="AD163" i="1" s="1"/>
  <c r="AE163" i="1" s="1"/>
  <c r="AF163" i="1" s="1"/>
  <c r="AG163" i="1" s="1"/>
  <c r="AH163" i="1" s="1"/>
  <c r="AI163" i="1" s="1"/>
  <c r="AK163" i="1" s="1"/>
  <c r="AL163" i="1" s="1"/>
  <c r="J106" i="1"/>
  <c r="J87" i="1"/>
  <c r="M87" i="1" s="1"/>
  <c r="N87" i="1" s="1"/>
  <c r="X87" i="1" s="1"/>
  <c r="AA87" i="1" s="1"/>
  <c r="AB87" i="1" s="1"/>
  <c r="J83" i="1"/>
  <c r="M83" i="1" s="1"/>
  <c r="N83" i="1" s="1"/>
  <c r="X83" i="1" s="1"/>
  <c r="AA83" i="1" s="1"/>
  <c r="AB83" i="1" s="1"/>
  <c r="AE83" i="1" s="1"/>
  <c r="AH83" i="1" s="1"/>
  <c r="AI83" i="1" s="1"/>
  <c r="AL216" i="1"/>
  <c r="AE197" i="1"/>
  <c r="AF197" i="1" s="1"/>
  <c r="AG197" i="1" s="1"/>
  <c r="AH197" i="1" s="1"/>
  <c r="AL220" i="1"/>
  <c r="J197" i="1"/>
  <c r="K197" i="1" s="1"/>
  <c r="L197" i="1" s="1"/>
  <c r="M197" i="1" s="1"/>
  <c r="N197" i="1" s="1"/>
  <c r="AL197" i="1"/>
  <c r="J193" i="1"/>
  <c r="K193" i="1" s="1"/>
  <c r="L193" i="1" s="1"/>
  <c r="M193" i="1" s="1"/>
  <c r="N193" i="1" s="1"/>
  <c r="W193" i="1" s="1"/>
  <c r="X193" i="1" s="1"/>
  <c r="Y193" i="1" s="1"/>
  <c r="Z193" i="1" s="1"/>
  <c r="AA193" i="1" s="1"/>
  <c r="AB193" i="1" s="1"/>
  <c r="AD193" i="1" s="1"/>
  <c r="AE193" i="1" s="1"/>
  <c r="AF193" i="1" s="1"/>
  <c r="AG193" i="1" s="1"/>
  <c r="AH193" i="1" s="1"/>
  <c r="AI193" i="1" s="1"/>
  <c r="AK193" i="1" s="1"/>
  <c r="AL193" i="1" s="1"/>
  <c r="M29" i="1"/>
  <c r="N29" i="1" s="1"/>
  <c r="AK44" i="1"/>
  <c r="X44" i="1"/>
  <c r="K44" i="1"/>
  <c r="AF44" i="1"/>
  <c r="J44" i="1"/>
  <c r="AE44" i="1"/>
  <c r="AL44" i="1"/>
  <c r="Y44" i="1"/>
  <c r="M144" i="1"/>
  <c r="N144" i="1" s="1"/>
  <c r="W144" i="1" s="1"/>
  <c r="X144" i="1" s="1"/>
  <c r="Y144" i="1" s="1"/>
  <c r="Z144" i="1" s="1"/>
  <c r="AA144" i="1" s="1"/>
  <c r="AB144" i="1" s="1"/>
  <c r="AD144" i="1" s="1"/>
  <c r="AE144" i="1" s="1"/>
  <c r="AF144" i="1" s="1"/>
  <c r="AG144" i="1" s="1"/>
  <c r="AH144" i="1" s="1"/>
  <c r="AI144" i="1" s="1"/>
  <c r="AK144" i="1" s="1"/>
  <c r="AL144" i="1" s="1"/>
  <c r="W148" i="1"/>
  <c r="X148" i="1" s="1"/>
  <c r="Y148" i="1" s="1"/>
  <c r="Z148" i="1" s="1"/>
  <c r="AA148" i="1" s="1"/>
  <c r="AB148" i="1" s="1"/>
  <c r="AD148" i="1" s="1"/>
  <c r="AE148" i="1" s="1"/>
  <c r="AF148" i="1" s="1"/>
  <c r="AG148" i="1" s="1"/>
  <c r="AH148" i="1" s="1"/>
  <c r="AI148" i="1" s="1"/>
  <c r="AK148" i="1" s="1"/>
  <c r="AL148" i="1" s="1"/>
  <c r="L186" i="1"/>
  <c r="M186" i="1" s="1"/>
  <c r="N186" i="1" s="1"/>
  <c r="W186" i="1" s="1"/>
  <c r="X186" i="1" s="1"/>
  <c r="Y186" i="1" s="1"/>
  <c r="Z186" i="1" s="1"/>
  <c r="AA186" i="1" s="1"/>
  <c r="AB186" i="1" s="1"/>
  <c r="AD186" i="1" s="1"/>
  <c r="AE186" i="1" s="1"/>
  <c r="AF186" i="1" s="1"/>
  <c r="AG186" i="1" s="1"/>
  <c r="AH186" i="1" s="1"/>
  <c r="AI186" i="1" s="1"/>
  <c r="AK186" i="1" s="1"/>
  <c r="AL186" i="1" s="1"/>
  <c r="N98" i="1"/>
  <c r="AG212" i="1"/>
  <c r="AH212" i="1" s="1"/>
  <c r="J190" i="1"/>
  <c r="K190" i="1" s="1"/>
  <c r="L190" i="1" s="1"/>
  <c r="M190" i="1" s="1"/>
  <c r="N190" i="1" s="1"/>
  <c r="X208" i="1"/>
  <c r="Y208" i="1" s="1"/>
  <c r="Z208" i="1" s="1"/>
  <c r="AA208" i="1" s="1"/>
  <c r="N122" i="1"/>
  <c r="M18" i="1"/>
  <c r="N18" i="1" s="1"/>
  <c r="N65" i="1"/>
  <c r="W65" i="1" s="1"/>
  <c r="L48" i="1"/>
  <c r="W48" i="1"/>
  <c r="M48" i="1"/>
  <c r="Z48" i="1"/>
  <c r="AD48" i="1"/>
  <c r="AA48" i="1"/>
  <c r="AG48" i="1"/>
  <c r="I48" i="1"/>
  <c r="I51" i="1" s="1"/>
  <c r="J51" i="1" s="1"/>
  <c r="AH48" i="1"/>
  <c r="I61" i="1"/>
  <c r="J61" i="1" s="1"/>
  <c r="N25" i="1"/>
  <c r="M33" i="1"/>
  <c r="N33" i="1" s="1"/>
  <c r="N118" i="1"/>
  <c r="M44" i="1"/>
  <c r="Z44" i="1"/>
  <c r="AD44" i="1"/>
  <c r="AA44" i="1"/>
  <c r="AG44" i="1"/>
  <c r="I44" i="1"/>
  <c r="I47" i="1" s="1"/>
  <c r="AH44" i="1"/>
  <c r="L44" i="1"/>
  <c r="W44" i="1"/>
  <c r="I54" i="1"/>
  <c r="J54" i="1" s="1"/>
  <c r="K106" i="1" l="1"/>
  <c r="L106" i="1" s="1"/>
  <c r="M106" i="1" s="1"/>
  <c r="N106" i="1" s="1"/>
  <c r="Y102" i="1"/>
  <c r="Z102" i="1" s="1"/>
  <c r="AA102" i="1" s="1"/>
  <c r="AB102" i="1" s="1"/>
  <c r="W98" i="1"/>
  <c r="X98" i="1" s="1"/>
  <c r="Y94" i="1"/>
  <c r="Z94" i="1" s="1"/>
  <c r="AA94" i="1" s="1"/>
  <c r="AB94" i="1" s="1"/>
  <c r="Y91" i="1"/>
  <c r="Z91" i="1" s="1"/>
  <c r="AA91" i="1" s="1"/>
  <c r="AB91" i="1" s="1"/>
  <c r="AE87" i="1"/>
  <c r="AD87" i="1"/>
  <c r="W33" i="1"/>
  <c r="X33" i="1" s="1"/>
  <c r="AB33" i="1" s="1"/>
  <c r="AE33" i="1" s="1"/>
  <c r="AH33" i="1" s="1"/>
  <c r="J47" i="1"/>
  <c r="K47" i="1" s="1"/>
  <c r="L47" i="1" s="1"/>
  <c r="M47" i="1" s="1"/>
  <c r="N47" i="1" s="1"/>
  <c r="K61" i="1"/>
  <c r="L61" i="1" s="1"/>
  <c r="M61" i="1" s="1"/>
  <c r="N61" i="1" s="1"/>
  <c r="W61" i="1" s="1"/>
  <c r="K51" i="1"/>
  <c r="L51" i="1" s="1"/>
  <c r="M51" i="1" s="1"/>
  <c r="N51" i="1" s="1"/>
  <c r="K54" i="1"/>
  <c r="L54" i="1" s="1"/>
  <c r="M54" i="1" s="1"/>
  <c r="N54" i="1" s="1"/>
  <c r="W54" i="1" s="1"/>
  <c r="X14" i="1"/>
  <c r="W106" i="1" l="1"/>
  <c r="X106" i="1" s="1"/>
  <c r="AD102" i="1"/>
  <c r="AE102" i="1" s="1"/>
  <c r="Y98" i="1"/>
  <c r="Z98" i="1" s="1"/>
  <c r="AA98" i="1" s="1"/>
  <c r="AB98" i="1" s="1"/>
  <c r="AD94" i="1"/>
  <c r="AE94" i="1" s="1"/>
  <c r="AD91" i="1"/>
  <c r="AE91" i="1" s="1"/>
  <c r="AH87" i="1"/>
  <c r="AI87" i="1" s="1"/>
  <c r="AK87" i="1" s="1"/>
  <c r="AL87" i="1" s="1"/>
  <c r="AF87" i="1"/>
  <c r="AG87" i="1" s="1"/>
  <c r="X65" i="1"/>
  <c r="X114" i="1"/>
  <c r="Y114" i="1" s="1"/>
  <c r="Z114" i="1" s="1"/>
  <c r="AA114" i="1" s="1"/>
  <c r="AB114" i="1" s="1"/>
  <c r="X58" i="1"/>
  <c r="X37" i="1"/>
  <c r="Y37" i="1" s="1"/>
  <c r="Z37" i="1" s="1"/>
  <c r="AA37" i="1" s="1"/>
  <c r="AB37" i="1" s="1"/>
  <c r="X21" i="1"/>
  <c r="X18" i="1"/>
  <c r="Y14" i="1"/>
  <c r="Z14" i="1" s="1"/>
  <c r="AA14" i="1" s="1"/>
  <c r="Y106" i="1" l="1"/>
  <c r="Z106" i="1" s="1"/>
  <c r="AA106" i="1" s="1"/>
  <c r="AB106" i="1" s="1"/>
  <c r="AF102" i="1"/>
  <c r="AG102" i="1" s="1"/>
  <c r="AH102" i="1" s="1"/>
  <c r="AI102" i="1" s="1"/>
  <c r="AK102" i="1" s="1"/>
  <c r="AL102" i="1" s="1"/>
  <c r="AD98" i="1"/>
  <c r="AE98" i="1" s="1"/>
  <c r="AF98" i="1" s="1"/>
  <c r="AG98" i="1" s="1"/>
  <c r="AH98" i="1" s="1"/>
  <c r="AI98" i="1" s="1"/>
  <c r="AK98" i="1" s="1"/>
  <c r="AL98" i="1" s="1"/>
  <c r="AF94" i="1"/>
  <c r="AG94" i="1" s="1"/>
  <c r="AH94" i="1" s="1"/>
  <c r="AI94" i="1" s="1"/>
  <c r="AK94" i="1" s="1"/>
  <c r="AL94" i="1" s="1"/>
  <c r="AF91" i="1"/>
  <c r="AG91" i="1" s="1"/>
  <c r="AH91" i="1" s="1"/>
  <c r="AI91" i="1" s="1"/>
  <c r="AK91" i="1" s="1"/>
  <c r="AL91" i="1" s="1"/>
  <c r="AD37" i="1"/>
  <c r="AE37" i="1" s="1"/>
  <c r="X69" i="1"/>
  <c r="X61" i="1"/>
  <c r="AD114" i="1"/>
  <c r="AE114" i="1" s="1"/>
  <c r="X51" i="1"/>
  <c r="Y65" i="1"/>
  <c r="Z65" i="1" s="1"/>
  <c r="AA65" i="1" s="1"/>
  <c r="AB65" i="1" s="1"/>
  <c r="X54" i="1"/>
  <c r="Y58" i="1"/>
  <c r="Z58" i="1" s="1"/>
  <c r="AA58" i="1" s="1"/>
  <c r="AB58" i="1" s="1"/>
  <c r="X118" i="1"/>
  <c r="X122" i="1"/>
  <c r="X29" i="1"/>
  <c r="Y18" i="1"/>
  <c r="Z18" i="1" s="1"/>
  <c r="AA18" i="1" s="1"/>
  <c r="AB18" i="1" s="1"/>
  <c r="Y21" i="1"/>
  <c r="Z21" i="1" s="1"/>
  <c r="AA21" i="1" s="1"/>
  <c r="AB21" i="1" s="1"/>
  <c r="X25" i="1"/>
  <c r="AB14" i="1"/>
  <c r="AD14" i="1" s="1"/>
  <c r="AE14" i="1" s="1"/>
  <c r="AF14" i="1" s="1"/>
  <c r="AG14" i="1" s="1"/>
  <c r="AH14" i="1" s="1"/>
  <c r="AI14" i="1" s="1"/>
  <c r="AK14" i="1" s="1"/>
  <c r="AL14" i="1" s="1"/>
  <c r="AD106" i="1" l="1"/>
  <c r="AE106" i="1" s="1"/>
  <c r="Y122" i="1"/>
  <c r="Z122" i="1" s="1"/>
  <c r="AA122" i="1" s="1"/>
  <c r="AB122" i="1" s="1"/>
  <c r="AD58" i="1"/>
  <c r="AE58" i="1" s="1"/>
  <c r="X47" i="1"/>
  <c r="Y51" i="1"/>
  <c r="Z51" i="1" s="1"/>
  <c r="AA51" i="1" s="1"/>
  <c r="AB51" i="1" s="1"/>
  <c r="Y61" i="1"/>
  <c r="Z61" i="1" s="1"/>
  <c r="AA61" i="1" s="1"/>
  <c r="AB61" i="1" s="1"/>
  <c r="AF37" i="1"/>
  <c r="AG37" i="1" s="1"/>
  <c r="AH37" i="1" s="1"/>
  <c r="AI37" i="1" s="1"/>
  <c r="AK37" i="1" s="1"/>
  <c r="AL37" i="1" s="1"/>
  <c r="Y118" i="1"/>
  <c r="Z118" i="1" s="1"/>
  <c r="AA118" i="1" s="1"/>
  <c r="AB118" i="1" s="1"/>
  <c r="Y54" i="1"/>
  <c r="Z54" i="1" s="1"/>
  <c r="AA54" i="1" s="1"/>
  <c r="AB54" i="1" s="1"/>
  <c r="AD65" i="1"/>
  <c r="AE65" i="1" s="1"/>
  <c r="AF114" i="1"/>
  <c r="AG114" i="1" s="1"/>
  <c r="AH114" i="1" s="1"/>
  <c r="AI114" i="1" s="1"/>
  <c r="AK114" i="1" s="1"/>
  <c r="AL114" i="1" s="1"/>
  <c r="Y69" i="1"/>
  <c r="Z69" i="1" s="1"/>
  <c r="AA69" i="1" s="1"/>
  <c r="AB69" i="1" s="1"/>
  <c r="Y25" i="1"/>
  <c r="Z25" i="1" s="1"/>
  <c r="AA25" i="1" s="1"/>
  <c r="AB25" i="1" s="1"/>
  <c r="AD21" i="1"/>
  <c r="AE21" i="1" s="1"/>
  <c r="AD18" i="1"/>
  <c r="AE18" i="1" s="1"/>
  <c r="Y29" i="1"/>
  <c r="Z29" i="1" s="1"/>
  <c r="AA29" i="1" s="1"/>
  <c r="AB29" i="1" s="1"/>
  <c r="AF106" i="1" l="1"/>
  <c r="AG106" i="1" s="1"/>
  <c r="AH106" i="1" s="1"/>
  <c r="AI106" i="1" s="1"/>
  <c r="AK106" i="1" s="1"/>
  <c r="AL106" i="1" s="1"/>
  <c r="AD69" i="1"/>
  <c r="AE69" i="1" s="1"/>
  <c r="AF65" i="1"/>
  <c r="AG65" i="1" s="1"/>
  <c r="AH65" i="1" s="1"/>
  <c r="AI65" i="1" s="1"/>
  <c r="AK65" i="1" s="1"/>
  <c r="AL65" i="1" s="1"/>
  <c r="AD118" i="1"/>
  <c r="AE118" i="1" s="1"/>
  <c r="AD61" i="1"/>
  <c r="AE61" i="1" s="1"/>
  <c r="Y47" i="1"/>
  <c r="Z47" i="1" s="1"/>
  <c r="AA47" i="1" s="1"/>
  <c r="AB47" i="1" s="1"/>
  <c r="AD122" i="1"/>
  <c r="AE122" i="1" s="1"/>
  <c r="AD54" i="1"/>
  <c r="AE54" i="1" s="1"/>
  <c r="AD51" i="1"/>
  <c r="AE51" i="1" s="1"/>
  <c r="AF58" i="1"/>
  <c r="AG58" i="1" s="1"/>
  <c r="AH58" i="1" s="1"/>
  <c r="AI58" i="1" s="1"/>
  <c r="AK58" i="1" s="1"/>
  <c r="AL58" i="1" s="1"/>
  <c r="AF18" i="1"/>
  <c r="AG18" i="1" s="1"/>
  <c r="AH18" i="1" s="1"/>
  <c r="AI18" i="1" s="1"/>
  <c r="AK18" i="1" s="1"/>
  <c r="AL18" i="1" s="1"/>
  <c r="AD29" i="1"/>
  <c r="AE29" i="1" s="1"/>
  <c r="AF21" i="1"/>
  <c r="AG21" i="1" s="1"/>
  <c r="AH21" i="1" s="1"/>
  <c r="AI21" i="1" s="1"/>
  <c r="AK21" i="1" s="1"/>
  <c r="AL21" i="1" s="1"/>
  <c r="AD25" i="1"/>
  <c r="AE25" i="1" s="1"/>
  <c r="AF51" i="1" l="1"/>
  <c r="AG51" i="1" s="1"/>
  <c r="AH51" i="1" s="1"/>
  <c r="AI51" i="1" s="1"/>
  <c r="AK51" i="1" s="1"/>
  <c r="AL51" i="1" s="1"/>
  <c r="AF61" i="1"/>
  <c r="AG61" i="1" s="1"/>
  <c r="AH61" i="1" s="1"/>
  <c r="AI61" i="1" s="1"/>
  <c r="AK61" i="1" s="1"/>
  <c r="AL61" i="1" s="1"/>
  <c r="AF54" i="1"/>
  <c r="AG54" i="1" s="1"/>
  <c r="AH54" i="1" s="1"/>
  <c r="AI54" i="1" s="1"/>
  <c r="AK54" i="1" s="1"/>
  <c r="AL54" i="1" s="1"/>
  <c r="AF118" i="1"/>
  <c r="AG118" i="1" s="1"/>
  <c r="AH118" i="1" s="1"/>
  <c r="AI118" i="1" s="1"/>
  <c r="AK118" i="1" s="1"/>
  <c r="AL118" i="1" s="1"/>
  <c r="AF122" i="1"/>
  <c r="AG122" i="1" s="1"/>
  <c r="AH122" i="1" s="1"/>
  <c r="AI122" i="1" s="1"/>
  <c r="AK122" i="1" s="1"/>
  <c r="AL122" i="1" s="1"/>
  <c r="AD47" i="1"/>
  <c r="AE47" i="1" s="1"/>
  <c r="AF69" i="1"/>
  <c r="AG69" i="1" s="1"/>
  <c r="AH69" i="1" s="1"/>
  <c r="AI69" i="1" s="1"/>
  <c r="AK69" i="1" s="1"/>
  <c r="AL69" i="1" s="1"/>
  <c r="AF25" i="1"/>
  <c r="AG25" i="1" s="1"/>
  <c r="AH25" i="1" s="1"/>
  <c r="AI25" i="1" s="1"/>
  <c r="AK25" i="1" s="1"/>
  <c r="AL25" i="1" s="1"/>
  <c r="AF29" i="1"/>
  <c r="AG29" i="1" s="1"/>
  <c r="AH29" i="1" s="1"/>
  <c r="AI29" i="1" s="1"/>
  <c r="AK29" i="1" s="1"/>
  <c r="AL29" i="1" s="1"/>
  <c r="AF47" i="1" l="1"/>
  <c r="AG47" i="1" s="1"/>
  <c r="AH47" i="1" s="1"/>
  <c r="AI47" i="1" s="1"/>
  <c r="AK47" i="1" s="1"/>
  <c r="AL47" i="1" s="1"/>
</calcChain>
</file>

<file path=xl/sharedStrings.xml><?xml version="1.0" encoding="utf-8"?>
<sst xmlns="http://schemas.openxmlformats.org/spreadsheetml/2006/main" count="871" uniqueCount="264">
  <si>
    <t>实际产能 HASIL AKTUAL</t>
  </si>
  <si>
    <t>押出70机 MESIN EKSTRUSI 70</t>
  </si>
  <si>
    <t>外押（PCS）EKSTRUSI LUAR</t>
  </si>
  <si>
    <t>編織机 JML MESIN YANG DIPERLUKAN</t>
  </si>
  <si>
    <t>編織(米)BRAIDING</t>
  </si>
  <si>
    <t>总绞机 JML MESIN YANG DIPERLUKAN</t>
  </si>
  <si>
    <t>总绞(米)TWISTING</t>
  </si>
  <si>
    <t>芯押机 JML MESIN YANG DIPERLUKAN</t>
  </si>
  <si>
    <t>芯线红(米) EKSTRUSI CORE MERAH</t>
  </si>
  <si>
    <t>MERAH</t>
  </si>
  <si>
    <t>芯线机 JML MESIN YANG DIPERLUKAN</t>
  </si>
  <si>
    <t>芯线綠(米)EKSTRUSI CORE HIJAU</t>
  </si>
  <si>
    <t xml:space="preserve">HIJAU </t>
  </si>
  <si>
    <t>芯线(米)EKSTRUSI CORE PUTIH</t>
  </si>
  <si>
    <t>PUTIH</t>
  </si>
  <si>
    <t>芯线(米)EKSTRUSI CORE HITAM</t>
  </si>
  <si>
    <t>HITAM</t>
  </si>
  <si>
    <t>绞铜机 JML MESIN YANG DIPERLUKAN</t>
  </si>
  <si>
    <t>绞铜(米)STRANDING(MERAH)</t>
  </si>
  <si>
    <t>34 / 0,100T</t>
  </si>
  <si>
    <t>绞铜白(米)STRANDING(PUTIH HIJAU)</t>
  </si>
  <si>
    <t>7 / 0,100T</t>
  </si>
  <si>
    <t>绞铜白(米)STRANDING(HITAM)</t>
  </si>
  <si>
    <t>7 / 0,080T</t>
  </si>
  <si>
    <t>绞铜白(米)STRANDING</t>
  </si>
  <si>
    <t>7 / 0,127T</t>
  </si>
  <si>
    <t>需求设备JML MESIN YANG DIPERLUKAN</t>
  </si>
  <si>
    <t>镀锡 TINING</t>
  </si>
  <si>
    <t>0,127T</t>
  </si>
  <si>
    <t>0,100T</t>
  </si>
  <si>
    <t>0,080T</t>
  </si>
  <si>
    <t>伸线(KG)COPPER DRAWING</t>
  </si>
  <si>
    <t>W03-25040053-Y</t>
  </si>
  <si>
    <t>SONY</t>
  </si>
  <si>
    <t>纍計差異Selisih Produksi</t>
  </si>
  <si>
    <t xml:space="preserve"> </t>
  </si>
  <si>
    <t>包帶机 JML MESIN YANG DIPERLUKAN</t>
  </si>
  <si>
    <t>包帶(米)BELT MACHINE</t>
  </si>
  <si>
    <t>對絞机 JML MESIN YANG DIPERLUKAN</t>
  </si>
  <si>
    <t>對絞(米)SINGLE TWIST</t>
  </si>
  <si>
    <t>芯线白(米)EKSTRUSI CORE PUTIH</t>
  </si>
  <si>
    <t>芯线(米)EKSTRUSI CORE ORANGE</t>
  </si>
  <si>
    <t>ORANGE</t>
  </si>
  <si>
    <t>芯线黄(米)EKSTRUSI CORE KUNING</t>
  </si>
  <si>
    <t xml:space="preserve">KUNING </t>
  </si>
  <si>
    <t>芯线(米)EKSTRUSI FOAM CORE COKLAT</t>
  </si>
  <si>
    <t>COKLAT FOAM</t>
  </si>
  <si>
    <t>芯线白(米)EKSTRUSI FOAM CORE PUTIH</t>
  </si>
  <si>
    <t>PUTIH FOAM</t>
  </si>
  <si>
    <t>绞铜白(米)STRANDING(PUTIH COKLAT MERAH KUNING ORANGE)</t>
  </si>
  <si>
    <t>7/0,08T</t>
  </si>
  <si>
    <t>0,254T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</si>
  <si>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月20日发泡料到</t>
    </r>
  </si>
  <si>
    <t>W03-27601194-Y</t>
  </si>
  <si>
    <t>押出50机 MESIN EKSTRUSI 50</t>
  </si>
  <si>
    <t>USB 28+28+D</t>
  </si>
  <si>
    <t>USB 28+24+D</t>
  </si>
  <si>
    <t>編織(米)BRAIDING 28 + 28</t>
  </si>
  <si>
    <t>編織(米)BRAIDING 28 + 24</t>
  </si>
  <si>
    <t>总绞 包纸(米)TWISTING 28 + 28</t>
  </si>
  <si>
    <t>总绞 包纸(米)TWISTING 28 + 24</t>
  </si>
  <si>
    <t>芯线(米)EKSTRUSI CORE HIJAU</t>
  </si>
  <si>
    <t>芯线黑(米)EKSTRUSI CORE HITAM 28 + 28</t>
  </si>
  <si>
    <t>芯线红(米) EKSTRUSI CORE MERAH 28 + 28</t>
  </si>
  <si>
    <t>芯线黑(米)EKSTRUSI CORE HITAM 28 + 24</t>
  </si>
  <si>
    <t>芯线红(米) EKSTRUSI CORE MERAH 28 + 24</t>
  </si>
  <si>
    <t>需求设备 JML MESIN YANG DIPERLUKAN</t>
  </si>
  <si>
    <t>绞铜白红黑(米)STRANDING (PUTIH HIJAU MERAH HITAM)</t>
  </si>
  <si>
    <t>7 / 0,127A</t>
  </si>
  <si>
    <t>绞铜(米)STRANDING</t>
  </si>
  <si>
    <t>7 / 0,120A</t>
  </si>
  <si>
    <t>绞铜红黑(米)STRANDING (MERAH HITAM)</t>
  </si>
  <si>
    <t>7 / 0,20A</t>
  </si>
  <si>
    <t>28 + 24 /                   28 + 28</t>
  </si>
  <si>
    <t>纏繞机 JML MESIN YANG DIPERLUKAN</t>
  </si>
  <si>
    <t>纏繞(米)WINDING</t>
  </si>
  <si>
    <t>绞铜白(米)STRANDING (PUTIH)</t>
  </si>
  <si>
    <t>65 / 0,160 A</t>
  </si>
  <si>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>20000</t>
    </r>
  </si>
  <si>
    <t>W03-71010075-Y</t>
  </si>
  <si>
    <t>BA32 / BL98</t>
  </si>
  <si>
    <t>26 / 0,08 UEW+200D</t>
  </si>
  <si>
    <t>漆包(KG)ENAMELING</t>
  </si>
  <si>
    <t>0,080UEW</t>
  </si>
  <si>
    <r>
      <rPr>
        <sz val="11"/>
        <color theme="1"/>
        <rFont val="宋体"/>
        <charset val="134"/>
      </rPr>
      <t>3月：每天</t>
    </r>
    <r>
      <rPr>
        <sz val="11"/>
        <color theme="1"/>
        <rFont val="Times New Roman"/>
        <family val="1"/>
      </rPr>
      <t>13000</t>
    </r>
  </si>
  <si>
    <t>W03-71010064-Y</t>
  </si>
  <si>
    <t>MB 50</t>
  </si>
  <si>
    <t>Selisih Produksi</t>
  </si>
  <si>
    <t>AY01</t>
  </si>
  <si>
    <t>AX88</t>
  </si>
  <si>
    <t>2月17：10000PCS</t>
  </si>
  <si>
    <t>W03-71010060-Y</t>
  </si>
  <si>
    <t>11 / 0,16 A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</si>
  <si>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family val="1"/>
      </rPr>
      <t>20000PCS</t>
    </r>
  </si>
  <si>
    <t>W03-71010061-Y</t>
  </si>
  <si>
    <t>AX88 / AY01</t>
  </si>
  <si>
    <t>总绞 包纸(米)TWISTING</t>
  </si>
  <si>
    <t>芯线灰(米)EKSTRUSI CORE ABU-ABU</t>
  </si>
  <si>
    <t>ABU-ABU</t>
  </si>
  <si>
    <t>绞铜白灰(米)STRANDING (PUTIH ABU-ABU)</t>
  </si>
  <si>
    <t>11 / 0,080A+200D</t>
  </si>
  <si>
    <t>绞铜红(米)STRANDING (MERAH)</t>
  </si>
  <si>
    <t>95 / 0,080A</t>
  </si>
  <si>
    <t>退火 ANEALING</t>
  </si>
  <si>
    <t>0,080A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</si>
  <si>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 xml:space="preserve">20000PCS
</t>
    </r>
  </si>
  <si>
    <t>W03-00030005-Y</t>
  </si>
  <si>
    <t>MK 09</t>
  </si>
  <si>
    <t>KUNING</t>
  </si>
  <si>
    <t>芯线黑(米)EKSTRUSI CORE HITAM</t>
  </si>
  <si>
    <t>绞铜白黄(米)STRANDING (PUTIH KUNING)</t>
  </si>
  <si>
    <t>70 / 0,080A</t>
  </si>
  <si>
    <t>MM 38 / MP 98</t>
  </si>
  <si>
    <t>每天 SETIAP HARI</t>
  </si>
  <si>
    <t>W03-00040033-Y</t>
  </si>
  <si>
    <t>MK 83</t>
  </si>
  <si>
    <t>11 / 0,080A+150D</t>
  </si>
  <si>
    <t>35 / 0,080A</t>
  </si>
  <si>
    <t>W03-25050003-Y</t>
  </si>
  <si>
    <t xml:space="preserve">工序 PROSES </t>
  </si>
  <si>
    <t>SPESIFIKASI</t>
  </si>
  <si>
    <t>生管交期</t>
  </si>
  <si>
    <t>殚单数量</t>
  </si>
  <si>
    <t>PANJANG / PCS</t>
  </si>
  <si>
    <t>ORDER</t>
  </si>
  <si>
    <t>PART NUMBER</t>
  </si>
  <si>
    <t>TYPE</t>
  </si>
  <si>
    <t>电线部4月份生产排程计划</t>
  </si>
  <si>
    <t>PT.LINKFORTUNE</t>
  </si>
  <si>
    <t>Laporan Harian Stranding, Winding, Braiding, dan Twisting Kabel</t>
  </si>
  <si>
    <t>Stranding,Winding,Braiding and Twisting daily report</t>
  </si>
  <si>
    <t>絞線、纏繞日報表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</si>
  <si>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绞线</t>
    </r>
    <r>
      <rPr>
        <sz val="11"/>
        <rFont val="Times New Roman"/>
        <family val="1"/>
      </rPr>
      <t xml:space="preserve">                                                               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</si>
  <si>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</si>
  <si>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</si>
  <si>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Nomor mesin  </t>
    </r>
    <r>
      <rPr>
        <i/>
        <sz val="10"/>
        <color indexed="12"/>
        <rFont val="Times New Roman"/>
        <family val="1"/>
      </rPr>
      <t xml:space="preserve">Machine Number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</si>
  <si>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</si>
  <si>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Spesifikasi  </t>
    </r>
    <r>
      <rPr>
        <i/>
        <sz val="10"/>
        <color indexed="12"/>
        <rFont val="Times New Roman"/>
        <family val="1"/>
      </rPr>
      <t xml:space="preserve">Specification   </t>
    </r>
    <r>
      <rPr>
        <sz val="10"/>
        <rFont val="Times New Roman"/>
        <family val="1"/>
      </rPr>
      <t xml:space="preserve">        規格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</si>
  <si>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Times New Roman"/>
        <family val="1"/>
      </rPr>
      <t xml:space="preserve">絞距 </t>
    </r>
  </si>
  <si>
    <r>
      <rPr>
        <sz val="10"/>
        <rFont val="Times New Roman"/>
        <family val="1"/>
      </rPr>
      <t xml:space="preserve">No JO                        </t>
    </r>
    <r>
      <rPr>
        <i/>
        <sz val="10"/>
        <color indexed="12"/>
        <rFont val="Times New Roman"/>
        <family val="1"/>
      </rPr>
      <t xml:space="preserve">JO Number           </t>
    </r>
    <r>
      <rPr>
        <sz val="10"/>
        <rFont val="Times New Roman"/>
        <family val="1"/>
      </rPr>
      <t xml:space="preserve"> 制令號              </t>
    </r>
  </si>
  <si>
    <t>Jumlah standar pada mesin标准开机台数</t>
  </si>
  <si>
    <r>
      <rPr>
        <sz val="10"/>
        <rFont val="Times New Roman"/>
        <family val="1"/>
      </rPr>
      <t xml:space="preserve">Standar target
(M)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</si>
  <si>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</si>
  <si>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線材品號  </t>
    </r>
  </si>
  <si>
    <r>
      <rPr>
        <sz val="10"/>
        <rFont val="Times New Roman"/>
        <family val="1"/>
      </rPr>
      <t xml:space="preserve">jumlah produksi (M)      </t>
    </r>
    <r>
      <rPr>
        <i/>
        <sz val="10"/>
        <color indexed="12"/>
        <rFont val="Times New Roman"/>
        <family val="1"/>
      </rPr>
      <t xml:space="preserve">Amount of Production </t>
    </r>
    <r>
      <rPr>
        <sz val="10"/>
        <rFont val="Times New Roman"/>
        <family val="1"/>
      </rPr>
      <t xml:space="preserve">生產數 </t>
    </r>
  </si>
  <si>
    <r>
      <rPr>
        <sz val="10"/>
        <rFont val="Times New Roman"/>
        <family val="1"/>
      </rPr>
      <t xml:space="preserve">berat
(KG) 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重量 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</si>
  <si>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</si>
  <si>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</si>
  <si>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t>实际台数达成率</t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</si>
  <si>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</si>
  <si>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</t>
    </r>
    <r>
      <rPr>
        <sz val="10"/>
        <rFont val="Times New Roman"/>
        <family val="1"/>
      </rPr>
      <t xml:space="preserve">作業員 </t>
    </r>
  </si>
  <si>
    <r>
      <rPr>
        <sz val="11"/>
        <rFont val="Times New Roman"/>
        <family val="1"/>
      </rPr>
      <t xml:space="preserve">jam produksi </t>
    </r>
    <r>
      <rPr>
        <i/>
        <sz val="11"/>
        <color indexed="12"/>
        <rFont val="Times New Roman"/>
        <family val="1"/>
      </rPr>
      <t xml:space="preserve">Production hours </t>
    </r>
    <r>
      <rPr>
        <sz val="11"/>
        <rFont val="Times New Roman"/>
        <family val="1"/>
      </rPr>
      <t xml:space="preserve">生產工時        </t>
    </r>
  </si>
  <si>
    <t>Jumlah operator
人数</t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</si>
  <si>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</si>
  <si>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t>Abnormal
Jam Kerja
异常工时</t>
  </si>
  <si>
    <t>Total Jam kerja
合计工时</t>
  </si>
  <si>
    <t>Jam kerja standar
标准工时
m/H</t>
  </si>
  <si>
    <t>1m/H</t>
  </si>
  <si>
    <t>标准套用工时</t>
  </si>
  <si>
    <t>标准总工时</t>
  </si>
  <si>
    <t>实际工时
人/时</t>
  </si>
  <si>
    <r>
      <rPr>
        <sz val="10"/>
        <rFont val="Times New Roman"/>
        <family val="1"/>
      </rPr>
      <t xml:space="preserve">Catatan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備注                    </t>
    </r>
  </si>
  <si>
    <t>SD-300-02</t>
  </si>
  <si>
    <t>绞线</t>
  </si>
  <si>
    <t>Rizky, Bano, Nata</t>
  </si>
  <si>
    <t>SD-300-07</t>
  </si>
  <si>
    <t>SD-300-08</t>
  </si>
  <si>
    <t>Idam, Bano, Nata</t>
  </si>
  <si>
    <t>SD-300-12</t>
  </si>
  <si>
    <t>SONY HDMI</t>
  </si>
  <si>
    <t>SD-300-13</t>
  </si>
  <si>
    <t>Syifa, Bano, Nata</t>
  </si>
  <si>
    <t>SD-400-01</t>
  </si>
  <si>
    <t>SD-400-02</t>
  </si>
  <si>
    <t>Syifa, Jesi, Nata</t>
  </si>
  <si>
    <t>SD-400-04</t>
  </si>
  <si>
    <t>Rizky, Catur, Albab</t>
  </si>
  <si>
    <t>SD-500-01</t>
  </si>
  <si>
    <t>Syifa, Jesi, Albab</t>
  </si>
  <si>
    <t>SD-500-03</t>
  </si>
  <si>
    <t>Idam, Arif, Albab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</si>
  <si>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</si>
  <si>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</si>
  <si>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</si>
  <si>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t>袁  博</t>
  </si>
  <si>
    <t>李天富</t>
  </si>
  <si>
    <t>Ricky</t>
  </si>
  <si>
    <t>No. Format: CP-QEM-002  Rev: A0</t>
  </si>
  <si>
    <r>
      <rPr>
        <sz val="10"/>
        <rFont val="宋体"/>
        <charset val="134"/>
      </rPr>
      <t xml:space="preserve">Standar target
(KG)  </t>
    </r>
    <r>
      <rPr>
        <sz val="10"/>
        <color rgb="FF0000FF"/>
        <rFont val="宋体"/>
        <charset val="134"/>
      </rPr>
      <t>Standard of target</t>
    </r>
    <r>
      <rPr>
        <sz val="10"/>
        <rFont val="宋体"/>
        <charset val="134"/>
      </rPr>
      <t xml:space="preserve">  標準產量 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</si>
  <si>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 </t>
    </r>
    <r>
      <rPr>
        <sz val="10"/>
        <rFont val="Times New Roman"/>
        <family val="1"/>
      </rPr>
      <t xml:space="preserve">達成率 </t>
    </r>
  </si>
  <si>
    <t>WD-405-02</t>
  </si>
  <si>
    <t>纏繞</t>
  </si>
  <si>
    <t>Ditwi, Dwi, Bintang</t>
  </si>
  <si>
    <t>WD-405-06</t>
  </si>
  <si>
    <t>WD-405-11</t>
  </si>
  <si>
    <t>缠绕</t>
  </si>
  <si>
    <t>WD-405-12</t>
  </si>
  <si>
    <t>Najmi, Zul, Bintang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</si>
  <si>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總絞</t>
    </r>
    <r>
      <rPr>
        <sz val="11"/>
        <rFont val="Times New Roman"/>
        <family val="1"/>
      </rPr>
      <t xml:space="preserve">                               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</si>
  <si>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宋体"/>
        <charset val="134"/>
      </rPr>
      <t>絞距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</si>
  <si>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線材品號</t>
    </r>
    <r>
      <rPr>
        <sz val="10"/>
        <rFont val="Times New Roman"/>
        <family val="1"/>
      </rPr>
      <t xml:space="preserve">  </t>
    </r>
  </si>
  <si>
    <t>SW-6301</t>
  </si>
  <si>
    <t>總絞</t>
  </si>
  <si>
    <t>Else, Nanda, Malik</t>
  </si>
  <si>
    <t>SW-6302</t>
  </si>
  <si>
    <t>Tutik, Anni, Bagas</t>
  </si>
  <si>
    <t>PW-400-04</t>
  </si>
  <si>
    <t>對絞</t>
  </si>
  <si>
    <t>Asa, Ayu</t>
  </si>
  <si>
    <t>BS-305-01</t>
  </si>
  <si>
    <t>包帶</t>
  </si>
  <si>
    <t>Najmi, Zul</t>
  </si>
  <si>
    <t>BS-305-06</t>
  </si>
  <si>
    <t>BS-305-11</t>
  </si>
  <si>
    <t>Else, Tutik</t>
  </si>
  <si>
    <t>SW-6303</t>
  </si>
  <si>
    <t>Ditwi, Dwi</t>
  </si>
  <si>
    <t>BS-305-04</t>
  </si>
  <si>
    <t>Laporan harian ekstrusi</t>
  </si>
  <si>
    <t>Extrusion production daily report</t>
  </si>
  <si>
    <t>押出生產日報表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</si>
  <si>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班別：押出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</si>
  <si>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</si>
  <si>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No JO                    </t>
    </r>
    <r>
      <rPr>
        <i/>
        <sz val="10"/>
        <color rgb="FF0000FF"/>
        <rFont val="Times New Roman"/>
        <family val="1"/>
      </rPr>
      <t>JO</t>
    </r>
    <r>
      <rPr>
        <i/>
        <sz val="10"/>
        <color indexed="12"/>
        <rFont val="Times New Roman"/>
        <family val="1"/>
      </rPr>
      <t xml:space="preserve"> Number  </t>
    </r>
    <r>
      <rPr>
        <sz val="10"/>
        <rFont val="Times New Roman"/>
        <family val="1"/>
      </rPr>
      <t xml:space="preserve">            制令號                  </t>
    </r>
  </si>
  <si>
    <r>
      <rPr>
        <sz val="10"/>
        <rFont val="Times New Roman"/>
        <family val="1"/>
      </rPr>
      <t xml:space="preserve">Model                                      </t>
    </r>
    <r>
      <rPr>
        <i/>
        <sz val="10"/>
        <color indexed="12"/>
        <rFont val="Times New Roman"/>
        <family val="1"/>
      </rPr>
      <t>Model</t>
    </r>
    <r>
      <rPr>
        <sz val="10"/>
        <rFont val="Times New Roman"/>
        <family val="1"/>
      </rPr>
      <t xml:space="preserve">                                 
 </t>
    </r>
    <r>
      <rPr>
        <sz val="10"/>
        <rFont val="宋体"/>
        <charset val="134"/>
      </rPr>
      <t>機種</t>
    </r>
    <r>
      <rPr>
        <sz val="10"/>
        <rFont val="Times New Roman"/>
        <family val="1"/>
      </rPr>
      <t xml:space="preserve">                                    </t>
    </r>
  </si>
  <si>
    <r>
      <rPr>
        <sz val="10"/>
        <rFont val="Times New Roman"/>
        <family val="1"/>
      </rPr>
      <t>Kapasitas standar
（PCS/M）</t>
    </r>
    <r>
      <rPr>
        <i/>
        <sz val="10"/>
        <color indexed="12"/>
        <rFont val="Times New Roman"/>
        <family val="1"/>
      </rPr>
      <t xml:space="preserve">Standard capacity </t>
    </r>
    <r>
      <rPr>
        <sz val="10"/>
        <rFont val="Times New Roman"/>
        <family val="1"/>
      </rPr>
      <t xml:space="preserve">標準產能 </t>
    </r>
  </si>
  <si>
    <r>
      <rPr>
        <sz val="10"/>
        <rFont val="Times New Roman"/>
        <family val="1"/>
      </rPr>
      <t xml:space="preserve">Part no kabel             </t>
    </r>
    <r>
      <rPr>
        <i/>
        <sz val="10"/>
        <color indexed="12"/>
        <rFont val="Times New Roman"/>
        <family val="1"/>
      </rPr>
      <t xml:space="preserve">Wire product number  </t>
    </r>
    <r>
      <rPr>
        <sz val="10"/>
        <rFont val="Times New Roman"/>
        <family val="1"/>
      </rPr>
      <t xml:space="preserve">線材品號                 </t>
    </r>
  </si>
  <si>
    <r>
      <rPr>
        <sz val="10"/>
        <rFont val="Times New Roman"/>
        <family val="1"/>
      </rPr>
      <t xml:space="preserve">Jumlah produksi (m)  </t>
    </r>
    <r>
      <rPr>
        <i/>
        <sz val="10"/>
        <color indexed="12"/>
        <rFont val="Times New Roman"/>
        <family val="1"/>
      </rPr>
      <t>Amount of Production</t>
    </r>
    <r>
      <rPr>
        <sz val="10"/>
        <rFont val="宋体"/>
        <charset val="134"/>
      </rPr>
      <t>生產數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</si>
  <si>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 Jumlah produk jadi
（PCS） </t>
    </r>
    <r>
      <rPr>
        <i/>
        <sz val="10"/>
        <color indexed="12"/>
        <rFont val="Times New Roman"/>
        <family val="1"/>
      </rPr>
      <t xml:space="preserve">Amount of Finished Product </t>
    </r>
    <r>
      <rPr>
        <sz val="10"/>
        <rFont val="Times New Roman"/>
        <family val="1"/>
      </rPr>
      <t>成品數</t>
    </r>
  </si>
  <si>
    <r>
      <rPr>
        <sz val="10"/>
        <rFont val="Times New Roman"/>
        <family val="1"/>
      </rPr>
      <t xml:space="preserve"> Berat (KG)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   重量      </t>
    </r>
  </si>
  <si>
    <r>
      <rPr>
        <sz val="10"/>
        <rFont val="Times New Roman"/>
        <family val="1"/>
      </rPr>
      <t xml:space="preserve">limbah lilit (KG)      </t>
    </r>
    <r>
      <rPr>
        <i/>
        <sz val="10"/>
        <color rgb="FF0000FF"/>
        <rFont val="Times New Roman"/>
        <family val="1"/>
      </rPr>
      <t xml:space="preserve">Coil Waste </t>
    </r>
    <r>
      <rPr>
        <sz val="10"/>
        <rFont val="Times New Roman"/>
        <family val="1"/>
      </rPr>
      <t>廢綫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</si>
  <si>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limbah karet (KG)        </t>
    </r>
    <r>
      <rPr>
        <i/>
        <sz val="10"/>
        <color indexed="12"/>
        <rFont val="Times New Roman"/>
        <family val="1"/>
      </rPr>
      <t>Rubber Waste</t>
    </r>
    <r>
      <rPr>
        <sz val="10"/>
        <rFont val="Times New Roman"/>
        <family val="1"/>
      </rPr>
      <t xml:space="preserve">        廢膠    </t>
    </r>
  </si>
  <si>
    <r>
      <rPr>
        <sz val="10"/>
        <rFont val="Times New Roman"/>
        <family val="1"/>
      </rPr>
      <t xml:space="preserve">Persentase afkir (%)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</si>
  <si>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
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</si>
  <si>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  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</si>
  <si>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 Keterangan                </t>
    </r>
    <r>
      <rPr>
        <i/>
        <sz val="10"/>
        <color indexed="12"/>
        <rFont val="Times New Roman"/>
        <family val="1"/>
      </rPr>
      <t xml:space="preserve">Annotation  </t>
    </r>
    <r>
      <rPr>
        <sz val="10"/>
        <rFont val="Times New Roman"/>
        <family val="1"/>
      </rPr>
      <t xml:space="preserve">                               備注</t>
    </r>
  </si>
  <si>
    <t>EX-3501</t>
  </si>
  <si>
    <t>Soleh, Daffa, Fahri</t>
  </si>
  <si>
    <t>Kuning</t>
  </si>
  <si>
    <t>Soleh</t>
  </si>
  <si>
    <t>Merah</t>
  </si>
  <si>
    <t>EX-3502</t>
  </si>
  <si>
    <t>Sandy, Slamet, Adika</t>
  </si>
  <si>
    <t>Satria</t>
  </si>
  <si>
    <t>Hitam</t>
  </si>
  <si>
    <t>Adika</t>
  </si>
  <si>
    <t>Putih</t>
  </si>
  <si>
    <t>EX-3503</t>
  </si>
  <si>
    <t>Feri</t>
  </si>
  <si>
    <t>EX-7001</t>
  </si>
  <si>
    <t>Henri, Sari, Achmad, Dewi</t>
  </si>
  <si>
    <t>Latif, Umi</t>
  </si>
  <si>
    <t>EX-7501</t>
  </si>
  <si>
    <t>Ipul, Yolanda, Ayuni, Rifky</t>
  </si>
  <si>
    <t>Orange</t>
  </si>
  <si>
    <t>Fahri</t>
  </si>
  <si>
    <t>Daffa</t>
  </si>
  <si>
    <t>Slamet, Sandy</t>
  </si>
  <si>
    <t>EX-5001</t>
  </si>
  <si>
    <t>Ipul, Yolanda</t>
  </si>
  <si>
    <t>Ipul, Ayuni</t>
  </si>
  <si>
    <t>Rifky, Pupung</t>
  </si>
  <si>
    <t>Achmad, Roni, Sari, Umi, Deni</t>
  </si>
  <si>
    <t>No. Format: CP-QEM-001 Rev: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</si>
</sst>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#,##0\ &quot;PCS&quot;"/>
    <numFmt numFmtId="165" formatCode="0.000\ #&quot;M&quot;"/>
    <numFmt numFmtId="166" formatCode="0.00\ #&quot;M&quot;"/>
    <numFmt numFmtId="167" formatCode="0.00_ "/>
    <numFmt numFmtId="168" formatCode="0_ "/>
    <numFmt numFmtId="169" formatCode="m/d;@"/>
    <numFmt numFmtId="170" formatCode="_(* #,##0_);_(* \(#,##0\);_(* &quot;-&quot;_);_(@_)"/>
    <numFmt numFmtId="171" formatCode="_ * #,##0.00_ ;_ * \-#,##0.00_ ;_ * &quot;-&quot;??_ ;_ @_ "/>
    <numFmt numFmtId="172" formatCode="_(* #,##0.00_);_(* \(#,##0.00\);_(* &quot;-&quot;??_);_(@_)"/>
    <numFmt numFmtId="173" formatCode="_-&quot;$&quot;* #,##0.00_-;\-&quot;$&quot;* #,##0.00_-;_-&quot;$&quot;* &quot;-&quot;??_-;_-@_-"/>
    <numFmt numFmtId="174" formatCode="_-&quot;$&quot;* #,##0_-;\-&quot;$&quot;* #,##0_-;_-&quot;$&quot;* &quot;-&quot;_-;_-@_-"/>
    <numFmt numFmtId="175" formatCode="[$-409]d\-mmm\-yy;@"/>
    <numFmt numFmtId="176" formatCode="[$-13809]dd/mm/yyyy;@"/>
    <numFmt numFmtId="177" formatCode="[$-421]dd\ mmmm\ yyyy;@"/>
    <numFmt numFmtId="178" formatCode="0.0000"/>
    <numFmt numFmtId="179" formatCode="&quot;$&quot;#,##0.00;[Red]\-&quot;$&quot;#,##0.00"/>
    <numFmt numFmtId="180" formatCode="0.0_ "/>
    <numFmt numFmtId="181" formatCode="0.00000_ "/>
    <numFmt numFmtId="182" formatCode="0.00_);[Red]\(0.00\)"/>
    <numFmt numFmtId="183" formatCode="0_);[Red]\(0\)"/>
    <numFmt numFmtId="184" formatCode="0.0_);[Red]\(0.0\)"/>
    <numFmt numFmtId="185" formatCode="0.0000_);[Red]\(0.0000\)"/>
    <numFmt numFmtId="186" formatCode="#\ &quot;M&quot;"/>
    <numFmt numFmtId="187" formatCode="0.0"/>
    <numFmt numFmtId="188" formatCode="#\ &quot;PCS&quot;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宋体"/>
      <charset val="134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charset val="134"/>
    </font>
    <font>
      <b/>
      <sz val="14"/>
      <color theme="1"/>
      <name val="宋体"/>
      <charset val="134"/>
    </font>
    <font>
      <sz val="12"/>
      <name val="新細明體"/>
      <charset val="134"/>
    </font>
    <font>
      <sz val="11"/>
      <color indexed="8"/>
      <name val="Calibri"/>
      <family val="2"/>
    </font>
    <font>
      <sz val="12"/>
      <name val="新細明體"/>
      <charset val="136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2"/>
      <name val="宋体"/>
      <charset val="134"/>
    </font>
    <font>
      <sz val="11"/>
      <color theme="1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name val="標楷體"/>
      <charset val="134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1"/>
      <name val="Times New Roman"/>
      <family val="1"/>
    </font>
    <font>
      <i/>
      <sz val="11"/>
      <color indexed="12"/>
      <name val="Times New Roman"/>
      <family val="1"/>
    </font>
    <font>
      <sz val="11"/>
      <name val="宋体"/>
      <charset val="134"/>
    </font>
    <font>
      <sz val="10"/>
      <name val="Times New Roman"/>
      <family val="1"/>
    </font>
    <font>
      <sz val="10"/>
      <color rgb="FF0000FF"/>
      <name val="Times New Roman"/>
      <family val="1"/>
    </font>
    <font>
      <sz val="10"/>
      <name val="宋体"/>
      <charset val="134"/>
    </font>
    <font>
      <sz val="10"/>
      <color rgb="FF0000FF"/>
      <name val="新細明體"/>
      <charset val="136"/>
    </font>
    <font>
      <sz val="10"/>
      <name val="新細明體"/>
      <charset val="134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color theme="1"/>
      <name val="宋体"/>
      <charset val="134"/>
    </font>
    <font>
      <sz val="10"/>
      <color rgb="FF0000FF"/>
      <name val="宋体"/>
      <charset val="134"/>
    </font>
    <font>
      <sz val="11"/>
      <name val="標楷體"/>
      <charset val="134"/>
    </font>
    <font>
      <i/>
      <sz val="10"/>
      <color rgb="FF0000FF"/>
      <name val="Times New Roman"/>
      <family val="1"/>
    </font>
    <font>
      <sz val="10"/>
      <name val="新細明體"/>
      <charset val="136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7009186071352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79">
    <xf numFmtId="0" fontId="0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0" fontId="15" fillId="0" borderId="0" applyFont="0" applyFill="0" applyBorder="0" applyAlignment="0" applyProtection="0"/>
    <xf numFmtId="4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7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6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5" fontId="15" fillId="0" borderId="0">
      <alignment vertical="center"/>
    </xf>
    <xf numFmtId="175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5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2" fillId="0" borderId="0"/>
    <xf numFmtId="177" fontId="2" fillId="0" borderId="0"/>
    <xf numFmtId="175" fontId="2" fillId="0" borderId="0"/>
    <xf numFmtId="17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4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17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5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>
      <alignment vertical="center"/>
    </xf>
    <xf numFmtId="176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5" fontId="15" fillId="0" borderId="0">
      <alignment vertical="center"/>
    </xf>
    <xf numFmtId="175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5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5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  <xf numFmtId="174" fontId="15" fillId="0" borderId="0" applyFont="0" applyFill="0" applyBorder="0" applyAlignment="0" applyProtection="0">
      <alignment vertical="center"/>
    </xf>
  </cellStyleXfs>
  <cellXfs count="429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4" fillId="0" borderId="0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3" fontId="3" fillId="0" borderId="32" xfId="0" applyNumberFormat="1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9" xfId="0" applyFont="1" applyFill="1" applyBorder="1" applyAlignment="1">
      <alignment vertical="center"/>
    </xf>
    <xf numFmtId="2" fontId="5" fillId="0" borderId="10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/>
    </xf>
    <xf numFmtId="0" fontId="3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/>
    </xf>
    <xf numFmtId="167" fontId="5" fillId="0" borderId="6" xfId="0" applyNumberFormat="1" applyFont="1" applyFill="1" applyBorder="1" applyAlignment="1">
      <alignment horizontal="center"/>
    </xf>
    <xf numFmtId="168" fontId="5" fillId="0" borderId="6" xfId="0" applyNumberFormat="1" applyFont="1" applyFill="1" applyBorder="1" applyAlignment="1">
      <alignment horizontal="center"/>
    </xf>
    <xf numFmtId="167" fontId="5" fillId="0" borderId="7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7" fontId="5" fillId="0" borderId="10" xfId="0" applyNumberFormat="1" applyFont="1" applyFill="1" applyBorder="1" applyAlignment="1">
      <alignment horizontal="center"/>
    </xf>
    <xf numFmtId="168" fontId="5" fillId="0" borderId="10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3" fontId="8" fillId="0" borderId="0" xfId="0" applyNumberFormat="1" applyFont="1" applyFill="1" applyBorder="1" applyAlignment="1">
      <alignment horizontal="center" vertical="center" wrapText="1"/>
    </xf>
    <xf numFmtId="169" fontId="4" fillId="2" borderId="36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 vertical="center"/>
    </xf>
    <xf numFmtId="3" fontId="8" fillId="2" borderId="13" xfId="0" applyNumberFormat="1" applyFont="1" applyFill="1" applyBorder="1" applyAlignment="1">
      <alignment horizontal="center" vertical="center" wrapText="1"/>
    </xf>
    <xf numFmtId="3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3" fontId="3" fillId="0" borderId="32" xfId="0" applyNumberFormat="1" applyFont="1" applyFill="1" applyBorder="1" applyAlignment="1">
      <alignment horizontal="center"/>
    </xf>
    <xf numFmtId="3" fontId="3" fillId="0" borderId="11" xfId="0" applyNumberFormat="1" applyFont="1" applyFill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167" fontId="5" fillId="0" borderId="18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2" fontId="5" fillId="0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3" fontId="3" fillId="0" borderId="24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3" fontId="3" fillId="0" borderId="27" xfId="0" applyNumberFormat="1" applyFont="1" applyFill="1" applyBorder="1" applyAlignment="1">
      <alignment horizontal="center"/>
    </xf>
    <xf numFmtId="3" fontId="3" fillId="0" borderId="16" xfId="0" applyNumberFormat="1" applyFont="1" applyFill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168" fontId="5" fillId="3" borderId="10" xfId="0" applyNumberFormat="1" applyFont="1" applyFill="1" applyBorder="1" applyAlignment="1">
      <alignment horizontal="center"/>
    </xf>
    <xf numFmtId="167" fontId="5" fillId="3" borderId="10" xfId="0" applyNumberFormat="1" applyFont="1" applyFill="1" applyBorder="1" applyAlignment="1">
      <alignment horizontal="center"/>
    </xf>
    <xf numFmtId="167" fontId="5" fillId="3" borderId="7" xfId="0" applyNumberFormat="1" applyFont="1" applyFill="1" applyBorder="1" applyAlignment="1">
      <alignment horizontal="center"/>
    </xf>
    <xf numFmtId="168" fontId="5" fillId="3" borderId="6" xfId="0" applyNumberFormat="1" applyFont="1" applyFill="1" applyBorder="1" applyAlignment="1">
      <alignment horizontal="center"/>
    </xf>
    <xf numFmtId="167" fontId="5" fillId="3" borderId="6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2" fontId="5" fillId="3" borderId="12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left" vertical="center"/>
    </xf>
    <xf numFmtId="168" fontId="5" fillId="5" borderId="10" xfId="0" applyNumberFormat="1" applyFont="1" applyFill="1" applyBorder="1" applyAlignment="1">
      <alignment horizontal="center"/>
    </xf>
    <xf numFmtId="167" fontId="5" fillId="5" borderId="10" xfId="0" applyNumberFormat="1" applyFont="1" applyFill="1" applyBorder="1" applyAlignment="1">
      <alignment horizontal="center"/>
    </xf>
    <xf numFmtId="167" fontId="5" fillId="5" borderId="7" xfId="0" applyNumberFormat="1" applyFont="1" applyFill="1" applyBorder="1" applyAlignment="1">
      <alignment horizontal="center"/>
    </xf>
    <xf numFmtId="168" fontId="5" fillId="5" borderId="6" xfId="0" applyNumberFormat="1" applyFont="1" applyFill="1" applyBorder="1" applyAlignment="1">
      <alignment horizontal="center"/>
    </xf>
    <xf numFmtId="167" fontId="5" fillId="5" borderId="6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2" fontId="5" fillId="5" borderId="10" xfId="0" applyNumberFormat="1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/>
    </xf>
    <xf numFmtId="1" fontId="5" fillId="5" borderId="7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169" fontId="4" fillId="2" borderId="35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6" fillId="4" borderId="13" xfId="0" applyNumberFormat="1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6" fontId="3" fillId="4" borderId="13" xfId="0" applyNumberFormat="1" applyFont="1" applyFill="1" applyBorder="1" applyAlignment="1">
      <alignment horizontal="center" vertical="center" wrapText="1"/>
    </xf>
    <xf numFmtId="166" fontId="3" fillId="4" borderId="8" xfId="0" applyNumberFormat="1" applyFont="1" applyFill="1" applyBorder="1" applyAlignment="1">
      <alignment horizontal="center" vertical="center" wrapText="1"/>
    </xf>
    <xf numFmtId="166" fontId="3" fillId="4" borderId="3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6" fontId="3" fillId="0" borderId="10" xfId="0" applyNumberFormat="1" applyFont="1" applyFill="1" applyBorder="1" applyAlignment="1">
      <alignment horizontal="center" vertical="center" wrapText="1"/>
    </xf>
    <xf numFmtId="166" fontId="3" fillId="0" borderId="6" xfId="0" applyNumberFormat="1" applyFont="1" applyFill="1" applyBorder="1" applyAlignment="1">
      <alignment horizontal="center" vertical="center" wrapText="1"/>
    </xf>
    <xf numFmtId="166" fontId="3" fillId="0" borderId="7" xfId="0" applyNumberFormat="1" applyFont="1" applyFill="1" applyBorder="1" applyAlignment="1">
      <alignment horizontal="center" vertical="center" wrapText="1"/>
    </xf>
    <xf numFmtId="166" fontId="3" fillId="0" borderId="8" xfId="0" applyNumberFormat="1" applyFont="1" applyFill="1" applyBorder="1" applyAlignment="1">
      <alignment horizontal="center" vertical="center" wrapText="1"/>
    </xf>
    <xf numFmtId="166" fontId="3" fillId="0" borderId="3" xfId="0" applyNumberFormat="1" applyFont="1" applyFill="1" applyBorder="1" applyAlignment="1">
      <alignment horizontal="center" vertical="center" wrapText="1"/>
    </xf>
    <xf numFmtId="166" fontId="3" fillId="0" borderId="13" xfId="0" applyNumberFormat="1" applyFont="1" applyFill="1" applyBorder="1" applyAlignment="1">
      <alignment horizontal="center" vertical="center" wrapText="1"/>
    </xf>
    <xf numFmtId="165" fontId="3" fillId="0" borderId="13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2" fillId="0" borderId="0" xfId="1196" applyFont="1" applyAlignment="1">
      <alignment vertical="center"/>
    </xf>
    <xf numFmtId="0" fontId="23" fillId="0" borderId="0" xfId="1196" applyFont="1" applyAlignment="1">
      <alignment horizontal="center" vertical="center"/>
    </xf>
    <xf numFmtId="0" fontId="24" fillId="0" borderId="0" xfId="1196" applyFont="1" applyAlignment="1">
      <alignment horizontal="center" vertical="center"/>
    </xf>
    <xf numFmtId="0" fontId="25" fillId="0" borderId="37" xfId="1196" applyFont="1" applyBorder="1" applyAlignment="1">
      <alignment horizontal="left" vertical="center"/>
    </xf>
    <xf numFmtId="0" fontId="22" fillId="0" borderId="37" xfId="1196" applyFont="1" applyBorder="1" applyAlignment="1">
      <alignment vertical="center"/>
    </xf>
    <xf numFmtId="0" fontId="28" fillId="0" borderId="37" xfId="1196" applyFont="1" applyBorder="1" applyAlignment="1">
      <alignment horizontal="center" vertical="center" wrapText="1"/>
    </xf>
    <xf numFmtId="0" fontId="28" fillId="0" borderId="37" xfId="1196" applyFont="1" applyBorder="1" applyAlignment="1">
      <alignment horizontal="center" vertical="center" wrapText="1"/>
    </xf>
    <xf numFmtId="0" fontId="28" fillId="0" borderId="37" xfId="1196" applyFont="1" applyBorder="1" applyAlignment="1">
      <alignment horizontal="left" vertical="center" wrapText="1"/>
    </xf>
    <xf numFmtId="0" fontId="28" fillId="0" borderId="0" xfId="1196" applyFont="1" applyAlignment="1">
      <alignment horizontal="left" vertical="center" wrapText="1"/>
    </xf>
    <xf numFmtId="0" fontId="28" fillId="0" borderId="0" xfId="1196" applyFont="1" applyAlignment="1">
      <alignment vertical="center" wrapText="1"/>
    </xf>
    <xf numFmtId="0" fontId="28" fillId="0" borderId="6" xfId="1196" applyFont="1" applyBorder="1" applyAlignment="1">
      <alignment horizontal="center" vertical="center" wrapText="1"/>
    </xf>
    <xf numFmtId="0" fontId="30" fillId="0" borderId="6" xfId="1196" applyFont="1" applyBorder="1" applyAlignment="1">
      <alignment horizontal="center" vertical="center" wrapText="1"/>
    </xf>
    <xf numFmtId="0" fontId="28" fillId="4" borderId="6" xfId="1196" applyFont="1" applyFill="1" applyBorder="1" applyAlignment="1">
      <alignment horizontal="center" vertical="center" wrapText="1"/>
    </xf>
    <xf numFmtId="0" fontId="28" fillId="6" borderId="6" xfId="1196" applyFont="1" applyFill="1" applyBorder="1" applyAlignment="1">
      <alignment horizontal="center" vertical="center" wrapText="1"/>
    </xf>
    <xf numFmtId="0" fontId="30" fillId="4" borderId="6" xfId="1196" applyFont="1" applyFill="1" applyBorder="1" applyAlignment="1">
      <alignment horizontal="center" vertical="center" wrapText="1"/>
    </xf>
    <xf numFmtId="0" fontId="25" fillId="0" borderId="6" xfId="1196" applyFont="1" applyBorder="1" applyAlignment="1">
      <alignment horizontal="center" vertical="center" wrapText="1"/>
    </xf>
    <xf numFmtId="167" fontId="30" fillId="7" borderId="6" xfId="1196" applyNumberFormat="1" applyFont="1" applyFill="1" applyBorder="1" applyAlignment="1">
      <alignment horizontal="center" vertical="center" wrapText="1"/>
    </xf>
    <xf numFmtId="169" fontId="3" fillId="0" borderId="7" xfId="1196" applyNumberFormat="1" applyFont="1" applyBorder="1" applyAlignment="1">
      <alignment horizontal="center" vertical="center"/>
    </xf>
    <xf numFmtId="0" fontId="25" fillId="0" borderId="6" xfId="220" applyFont="1" applyBorder="1" applyAlignment="1">
      <alignment horizontal="center" vertical="center" wrapText="1"/>
    </xf>
    <xf numFmtId="0" fontId="27" fillId="0" borderId="6" xfId="220" applyFont="1" applyBorder="1" applyAlignment="1">
      <alignment horizontal="center" vertical="center" wrapText="1"/>
    </xf>
    <xf numFmtId="167" fontId="25" fillId="4" borderId="6" xfId="1196" applyNumberFormat="1" applyFont="1" applyFill="1" applyBorder="1" applyAlignment="1">
      <alignment horizontal="center" vertical="center" wrapText="1"/>
    </xf>
    <xf numFmtId="180" fontId="25" fillId="0" borderId="6" xfId="1196" applyNumberFormat="1" applyFont="1" applyBorder="1" applyAlignment="1">
      <alignment horizontal="center" vertical="center" wrapText="1"/>
    </xf>
    <xf numFmtId="0" fontId="3" fillId="8" borderId="6" xfId="667" applyFont="1" applyFill="1" applyBorder="1" applyAlignment="1">
      <alignment horizontal="center" vertical="center"/>
    </xf>
    <xf numFmtId="0" fontId="25" fillId="0" borderId="6" xfId="1196" applyFont="1" applyBorder="1" applyAlignment="1">
      <alignment horizontal="center" vertical="center"/>
    </xf>
    <xf numFmtId="2" fontId="25" fillId="0" borderId="6" xfId="220" applyNumberFormat="1" applyFont="1" applyBorder="1" applyAlignment="1">
      <alignment horizontal="center" vertical="center" wrapText="1"/>
    </xf>
    <xf numFmtId="10" fontId="28" fillId="6" borderId="6" xfId="1196" applyNumberFormat="1" applyFont="1" applyFill="1" applyBorder="1" applyAlignment="1">
      <alignment horizontal="center" vertical="center" wrapText="1"/>
    </xf>
    <xf numFmtId="10" fontId="25" fillId="4" borderId="7" xfId="1196" applyNumberFormat="1" applyFont="1" applyFill="1" applyBorder="1" applyAlignment="1">
      <alignment horizontal="center" vertical="center" wrapText="1"/>
    </xf>
    <xf numFmtId="10" fontId="28" fillId="4" borderId="6" xfId="1196" applyNumberFormat="1" applyFont="1" applyFill="1" applyBorder="1" applyAlignment="1">
      <alignment horizontal="center" vertical="center" wrapText="1"/>
    </xf>
    <xf numFmtId="0" fontId="25" fillId="0" borderId="7" xfId="1196" applyFont="1" applyBorder="1" applyAlignment="1">
      <alignment horizontal="center" vertical="center"/>
    </xf>
    <xf numFmtId="0" fontId="25" fillId="0" borderId="7" xfId="1196" applyFont="1" applyBorder="1" applyAlignment="1">
      <alignment horizontal="center" vertical="center" wrapText="1"/>
    </xf>
    <xf numFmtId="0" fontId="25" fillId="0" borderId="10" xfId="1196" applyFont="1" applyBorder="1" applyAlignment="1">
      <alignment horizontal="center" vertical="center" wrapText="1"/>
    </xf>
    <xf numFmtId="1" fontId="25" fillId="0" borderId="6" xfId="1196" applyNumberFormat="1" applyFont="1" applyBorder="1" applyAlignment="1">
      <alignment horizontal="center" vertical="center"/>
    </xf>
    <xf numFmtId="181" fontId="25" fillId="4" borderId="6" xfId="1196" applyNumberFormat="1" applyFont="1" applyFill="1" applyBorder="1" applyAlignment="1">
      <alignment horizontal="center" vertical="center" wrapText="1"/>
    </xf>
    <xf numFmtId="167" fontId="25" fillId="4" borderId="10" xfId="1196" applyNumberFormat="1" applyFont="1" applyFill="1" applyBorder="1" applyAlignment="1">
      <alignment horizontal="center" vertical="center"/>
    </xf>
    <xf numFmtId="167" fontId="25" fillId="7" borderId="6" xfId="1196" applyNumberFormat="1" applyFont="1" applyFill="1" applyBorder="1" applyAlignment="1">
      <alignment horizontal="center" vertical="center" wrapText="1"/>
    </xf>
    <xf numFmtId="0" fontId="25" fillId="0" borderId="7" xfId="1196" applyFont="1" applyBorder="1" applyAlignment="1">
      <alignment horizontal="center" vertical="center" wrapText="1"/>
    </xf>
    <xf numFmtId="167" fontId="25" fillId="4" borderId="7" xfId="1196" applyNumberFormat="1" applyFont="1" applyFill="1" applyBorder="1" applyAlignment="1">
      <alignment horizontal="center" vertical="center"/>
    </xf>
    <xf numFmtId="0" fontId="25" fillId="0" borderId="8" xfId="1196" applyFont="1" applyBorder="1" applyAlignment="1">
      <alignment horizontal="center" vertical="center" wrapText="1"/>
    </xf>
    <xf numFmtId="167" fontId="25" fillId="4" borderId="8" xfId="1196" applyNumberFormat="1" applyFont="1" applyFill="1" applyBorder="1" applyAlignment="1">
      <alignment horizontal="center" vertical="center"/>
    </xf>
    <xf numFmtId="0" fontId="23" fillId="0" borderId="6" xfId="1196" applyFont="1" applyBorder="1" applyAlignment="1">
      <alignment horizontal="center" vertical="center" wrapText="1"/>
    </xf>
    <xf numFmtId="0" fontId="25" fillId="8" borderId="6" xfId="667" applyFont="1" applyFill="1" applyBorder="1" applyAlignment="1">
      <alignment horizontal="center" vertical="center"/>
    </xf>
    <xf numFmtId="0" fontId="25" fillId="0" borderId="10" xfId="1196" applyFont="1" applyBorder="1" applyAlignment="1">
      <alignment horizontal="center" vertical="center" wrapText="1"/>
    </xf>
    <xf numFmtId="167" fontId="25" fillId="4" borderId="10" xfId="1196" applyNumberFormat="1" applyFont="1" applyFill="1" applyBorder="1" applyAlignment="1">
      <alignment horizontal="center" vertical="center"/>
    </xf>
    <xf numFmtId="169" fontId="3" fillId="0" borderId="6" xfId="1196" applyNumberFormat="1" applyFont="1" applyBorder="1" applyAlignment="1">
      <alignment horizontal="center" vertical="center"/>
    </xf>
    <xf numFmtId="0" fontId="22" fillId="0" borderId="6" xfId="1196" applyFont="1" applyBorder="1" applyAlignment="1">
      <alignment vertical="center"/>
    </xf>
    <xf numFmtId="0" fontId="1" fillId="0" borderId="0" xfId="1196" applyAlignment="1">
      <alignment vertical="center"/>
    </xf>
    <xf numFmtId="0" fontId="1" fillId="0" borderId="0" xfId="1196" applyAlignment="1">
      <alignment horizontal="center" vertical="center"/>
    </xf>
    <xf numFmtId="0" fontId="1" fillId="0" borderId="0" xfId="1196" applyAlignment="1">
      <alignment vertical="center" wrapText="1"/>
    </xf>
    <xf numFmtId="0" fontId="28" fillId="0" borderId="38" xfId="1196" applyFont="1" applyBorder="1" applyAlignment="1">
      <alignment vertical="center" wrapText="1"/>
    </xf>
    <xf numFmtId="0" fontId="28" fillId="0" borderId="38" xfId="1196" applyFont="1" applyBorder="1" applyAlignment="1">
      <alignment horizontal="center" vertical="center" wrapText="1"/>
    </xf>
    <xf numFmtId="0" fontId="25" fillId="0" borderId="38" xfId="1196" applyFont="1" applyBorder="1" applyAlignment="1">
      <alignment horizontal="center" vertical="center" wrapText="1"/>
    </xf>
    <xf numFmtId="0" fontId="28" fillId="0" borderId="18" xfId="1196" applyFont="1" applyBorder="1" applyAlignment="1">
      <alignment horizontal="center" vertical="center" wrapText="1"/>
    </xf>
    <xf numFmtId="0" fontId="28" fillId="0" borderId="39" xfId="1196" applyFont="1" applyBorder="1" applyAlignment="1">
      <alignment horizontal="center" vertical="center" wrapText="1"/>
    </xf>
    <xf numFmtId="0" fontId="32" fillId="0" borderId="0" xfId="1196" applyFont="1" applyAlignment="1">
      <alignment horizontal="center" vertical="center" wrapText="1"/>
    </xf>
    <xf numFmtId="0" fontId="28" fillId="0" borderId="0" xfId="1196" applyFont="1" applyAlignment="1">
      <alignment horizontal="center" vertical="center" wrapText="1"/>
    </xf>
    <xf numFmtId="0" fontId="25" fillId="0" borderId="0" xfId="1196" applyFont="1" applyAlignment="1">
      <alignment horizontal="center" vertical="center" wrapText="1"/>
    </xf>
    <xf numFmtId="0" fontId="35" fillId="0" borderId="0" xfId="1196" applyFont="1" applyAlignment="1">
      <alignment vertical="center"/>
    </xf>
    <xf numFmtId="0" fontId="35" fillId="0" borderId="18" xfId="1196" applyFont="1" applyBorder="1" applyAlignment="1">
      <alignment horizontal="center" vertical="center"/>
    </xf>
    <xf numFmtId="0" fontId="35" fillId="0" borderId="39" xfId="1196" applyFont="1" applyBorder="1" applyAlignment="1">
      <alignment horizontal="center" vertical="center"/>
    </xf>
    <xf numFmtId="0" fontId="30" fillId="0" borderId="18" xfId="1196" applyFont="1" applyBorder="1" applyAlignment="1">
      <alignment horizontal="center" vertical="center" wrapText="1"/>
    </xf>
    <xf numFmtId="0" fontId="30" fillId="0" borderId="39" xfId="1196" applyFont="1" applyBorder="1" applyAlignment="1">
      <alignment horizontal="center" vertical="center" wrapText="1"/>
    </xf>
    <xf numFmtId="0" fontId="22" fillId="0" borderId="0" xfId="1196" applyFont="1"/>
    <xf numFmtId="0" fontId="23" fillId="0" borderId="0" xfId="1196" applyFont="1" applyAlignment="1">
      <alignment vertical="center" wrapText="1"/>
    </xf>
    <xf numFmtId="2" fontId="25" fillId="0" borderId="0" xfId="1196" applyNumberFormat="1" applyFont="1" applyAlignment="1">
      <alignment horizontal="center" vertical="center" wrapText="1"/>
    </xf>
    <xf numFmtId="2" fontId="22" fillId="0" borderId="0" xfId="1196" applyNumberFormat="1" applyFont="1" applyAlignment="1">
      <alignment vertical="center"/>
    </xf>
    <xf numFmtId="0" fontId="23" fillId="0" borderId="18" xfId="1196" applyFont="1" applyBorder="1" applyAlignment="1">
      <alignment horizontal="center" vertical="center" wrapText="1"/>
    </xf>
    <xf numFmtId="0" fontId="23" fillId="0" borderId="40" xfId="1196" applyFont="1" applyBorder="1" applyAlignment="1">
      <alignment horizontal="center" vertical="center" wrapText="1"/>
    </xf>
    <xf numFmtId="0" fontId="23" fillId="0" borderId="39" xfId="1196" applyFont="1" applyBorder="1" applyAlignment="1">
      <alignment horizontal="center" vertical="center" wrapText="1"/>
    </xf>
    <xf numFmtId="0" fontId="25" fillId="0" borderId="0" xfId="1196" applyFont="1" applyAlignment="1">
      <alignment horizontal="center" vertical="center"/>
    </xf>
    <xf numFmtId="0" fontId="23" fillId="0" borderId="0" xfId="1196" applyFont="1" applyAlignment="1">
      <alignment vertical="center"/>
    </xf>
    <xf numFmtId="167" fontId="22" fillId="0" borderId="0" xfId="1196" applyNumberFormat="1" applyFont="1" applyAlignment="1">
      <alignment vertical="center"/>
    </xf>
    <xf numFmtId="0" fontId="25" fillId="0" borderId="0" xfId="1196" applyFont="1" applyAlignment="1">
      <alignment horizontal="left" vertical="center" wrapText="1"/>
    </xf>
    <xf numFmtId="0" fontId="27" fillId="0" borderId="6" xfId="1196" applyFont="1" applyBorder="1" applyAlignment="1">
      <alignment horizontal="center" vertical="center" wrapText="1"/>
    </xf>
    <xf numFmtId="182" fontId="30" fillId="7" borderId="6" xfId="1196" applyNumberFormat="1" applyFont="1" applyFill="1" applyBorder="1" applyAlignment="1">
      <alignment horizontal="center" vertical="center" wrapText="1"/>
    </xf>
    <xf numFmtId="0" fontId="25" fillId="0" borderId="6" xfId="220" applyFont="1" applyBorder="1" applyAlignment="1">
      <alignment horizontal="center" vertical="center"/>
    </xf>
    <xf numFmtId="180" fontId="25" fillId="4" borderId="6" xfId="220" applyNumberFormat="1" applyFont="1" applyFill="1" applyBorder="1" applyAlignment="1">
      <alignment horizontal="center" vertical="center" wrapText="1"/>
    </xf>
    <xf numFmtId="168" fontId="25" fillId="0" borderId="6" xfId="1196" applyNumberFormat="1" applyFont="1" applyBorder="1" applyAlignment="1">
      <alignment horizontal="center" vertical="center" wrapText="1"/>
    </xf>
    <xf numFmtId="10" fontId="25" fillId="6" borderId="6" xfId="1196" applyNumberFormat="1" applyFont="1" applyFill="1" applyBorder="1" applyAlignment="1">
      <alignment horizontal="center" vertical="center" wrapText="1"/>
    </xf>
    <xf numFmtId="10" fontId="25" fillId="4" borderId="6" xfId="1196" applyNumberFormat="1" applyFont="1" applyFill="1" applyBorder="1" applyAlignment="1">
      <alignment horizontal="center" vertical="center" wrapText="1"/>
    </xf>
    <xf numFmtId="183" fontId="25" fillId="0" borderId="10" xfId="1196" applyNumberFormat="1" applyFont="1" applyBorder="1" applyAlignment="1">
      <alignment horizontal="center" vertical="center"/>
    </xf>
    <xf numFmtId="184" fontId="25" fillId="0" borderId="10" xfId="1196" applyNumberFormat="1" applyFont="1" applyBorder="1" applyAlignment="1">
      <alignment horizontal="center" vertical="center"/>
    </xf>
    <xf numFmtId="1" fontId="25" fillId="0" borderId="6" xfId="1196" applyNumberFormat="1" applyFont="1" applyBorder="1" applyAlignment="1">
      <alignment horizontal="center" vertical="center" wrapText="1"/>
    </xf>
    <xf numFmtId="185" fontId="25" fillId="4" borderId="6" xfId="1196" applyNumberFormat="1" applyFont="1" applyFill="1" applyBorder="1" applyAlignment="1">
      <alignment horizontal="center" vertical="center" wrapText="1"/>
    </xf>
    <xf numFmtId="0" fontId="25" fillId="0" borderId="10" xfId="1196" applyFont="1" applyBorder="1" applyAlignment="1">
      <alignment horizontal="center" vertical="center"/>
    </xf>
    <xf numFmtId="182" fontId="25" fillId="7" borderId="6" xfId="1196" applyNumberFormat="1" applyFont="1" applyFill="1" applyBorder="1" applyAlignment="1">
      <alignment horizontal="center" vertical="center" wrapText="1"/>
    </xf>
    <xf numFmtId="0" fontId="3" fillId="0" borderId="6" xfId="1196" applyFont="1" applyBorder="1" applyAlignment="1">
      <alignment horizontal="center" vertical="center"/>
    </xf>
    <xf numFmtId="0" fontId="25" fillId="8" borderId="6" xfId="672" applyFont="1" applyFill="1" applyBorder="1" applyAlignment="1">
      <alignment horizontal="center" vertical="center"/>
    </xf>
    <xf numFmtId="0" fontId="25" fillId="0" borderId="7" xfId="220" applyFont="1" applyBorder="1" applyAlignment="1">
      <alignment horizontal="center" vertical="center"/>
    </xf>
    <xf numFmtId="183" fontId="25" fillId="0" borderId="7" xfId="1196" applyNumberFormat="1" applyFont="1" applyBorder="1" applyAlignment="1">
      <alignment horizontal="center" vertical="center"/>
    </xf>
    <xf numFmtId="184" fontId="25" fillId="0" borderId="7" xfId="1196" applyNumberFormat="1" applyFont="1" applyBorder="1" applyAlignment="1">
      <alignment horizontal="center" vertical="center"/>
    </xf>
    <xf numFmtId="167" fontId="25" fillId="0" borderId="7" xfId="1196" applyNumberFormat="1" applyFont="1" applyBorder="1" applyAlignment="1">
      <alignment horizontal="center" vertical="center"/>
    </xf>
    <xf numFmtId="0" fontId="3" fillId="0" borderId="6" xfId="1196" applyFont="1" applyBorder="1" applyAlignment="1">
      <alignment horizontal="center"/>
    </xf>
    <xf numFmtId="0" fontId="25" fillId="0" borderId="8" xfId="220" applyFont="1" applyBorder="1" applyAlignment="1">
      <alignment horizontal="center" vertical="center"/>
    </xf>
    <xf numFmtId="183" fontId="25" fillId="0" borderId="8" xfId="1196" applyNumberFormat="1" applyFont="1" applyBorder="1" applyAlignment="1">
      <alignment horizontal="center" vertical="center"/>
    </xf>
    <xf numFmtId="184" fontId="25" fillId="0" borderId="8" xfId="1196" applyNumberFormat="1" applyFont="1" applyBorder="1" applyAlignment="1">
      <alignment horizontal="center" vertical="center"/>
    </xf>
    <xf numFmtId="0" fontId="25" fillId="0" borderId="8" xfId="1196" applyFont="1" applyBorder="1" applyAlignment="1">
      <alignment horizontal="center" vertical="center"/>
    </xf>
    <xf numFmtId="0" fontId="25" fillId="0" borderId="10" xfId="220" applyFont="1" applyBorder="1" applyAlignment="1">
      <alignment horizontal="center" vertical="center"/>
    </xf>
    <xf numFmtId="183" fontId="25" fillId="0" borderId="10" xfId="1196" applyNumberFormat="1" applyFont="1" applyBorder="1" applyAlignment="1">
      <alignment horizontal="center" vertical="center"/>
    </xf>
    <xf numFmtId="184" fontId="25" fillId="0" borderId="10" xfId="1196" applyNumberFormat="1" applyFont="1" applyBorder="1" applyAlignment="1">
      <alignment horizontal="center" vertical="center"/>
    </xf>
    <xf numFmtId="0" fontId="25" fillId="0" borderId="10" xfId="1196" applyFont="1" applyBorder="1" applyAlignment="1">
      <alignment horizontal="center" vertical="center"/>
    </xf>
    <xf numFmtId="0" fontId="25" fillId="0" borderId="10" xfId="220" applyFont="1" applyBorder="1" applyAlignment="1">
      <alignment horizontal="center" vertical="center"/>
    </xf>
    <xf numFmtId="0" fontId="25" fillId="0" borderId="7" xfId="220" applyFont="1" applyBorder="1" applyAlignment="1">
      <alignment horizontal="center" vertical="center" wrapText="1"/>
    </xf>
    <xf numFmtId="0" fontId="25" fillId="0" borderId="8" xfId="220" applyFont="1" applyBorder="1" applyAlignment="1">
      <alignment horizontal="center" vertical="center" wrapText="1"/>
    </xf>
    <xf numFmtId="0" fontId="25" fillId="0" borderId="10" xfId="220" applyFont="1" applyBorder="1" applyAlignment="1">
      <alignment horizontal="center" vertical="center" wrapText="1"/>
    </xf>
    <xf numFmtId="167" fontId="25" fillId="0" borderId="10" xfId="1196" applyNumberFormat="1" applyFont="1" applyBorder="1" applyAlignment="1">
      <alignment horizontal="center" vertical="center"/>
    </xf>
    <xf numFmtId="183" fontId="25" fillId="0" borderId="10" xfId="1196" applyNumberFormat="1" applyFont="1" applyBorder="1" applyAlignment="1">
      <alignment horizontal="center" vertical="center" wrapText="1"/>
    </xf>
    <xf numFmtId="184" fontId="25" fillId="0" borderId="10" xfId="1196" applyNumberFormat="1" applyFont="1" applyBorder="1" applyAlignment="1">
      <alignment horizontal="center" vertical="center" wrapText="1"/>
    </xf>
    <xf numFmtId="167" fontId="25" fillId="0" borderId="10" xfId="1196" applyNumberFormat="1" applyFont="1" applyBorder="1" applyAlignment="1">
      <alignment horizontal="center" vertical="center" wrapText="1"/>
    </xf>
    <xf numFmtId="0" fontId="25" fillId="0" borderId="38" xfId="1196" applyFont="1" applyBorder="1" applyAlignment="1">
      <alignment vertical="center" wrapText="1"/>
    </xf>
    <xf numFmtId="0" fontId="28" fillId="0" borderId="6" xfId="1196" applyFont="1" applyBorder="1" applyAlignment="1">
      <alignment horizontal="center" vertical="center" wrapText="1"/>
    </xf>
    <xf numFmtId="0" fontId="25" fillId="0" borderId="0" xfId="1196" applyFont="1" applyAlignment="1">
      <alignment vertical="center" wrapText="1"/>
    </xf>
    <xf numFmtId="0" fontId="35" fillId="0" borderId="6" xfId="1196" applyFont="1" applyBorder="1" applyAlignment="1">
      <alignment horizontal="center" vertical="center"/>
    </xf>
    <xf numFmtId="0" fontId="30" fillId="0" borderId="6" xfId="1196" applyFont="1" applyBorder="1" applyAlignment="1">
      <alignment horizontal="center" vertical="center" wrapText="1"/>
    </xf>
    <xf numFmtId="0" fontId="23" fillId="0" borderId="6" xfId="1196" applyFont="1" applyBorder="1" applyAlignment="1">
      <alignment horizontal="center" vertical="center" wrapText="1"/>
    </xf>
    <xf numFmtId="0" fontId="37" fillId="0" borderId="0" xfId="1196" applyFont="1" applyAlignment="1">
      <alignment vertical="center"/>
    </xf>
    <xf numFmtId="182" fontId="22" fillId="0" borderId="0" xfId="1196" applyNumberFormat="1" applyFont="1" applyAlignment="1">
      <alignment vertical="center"/>
    </xf>
    <xf numFmtId="0" fontId="18" fillId="0" borderId="0" xfId="1196" applyFont="1" applyAlignment="1">
      <alignment horizontal="center" vertical="center"/>
    </xf>
    <xf numFmtId="0" fontId="28" fillId="0" borderId="37" xfId="1196" applyFont="1" applyBorder="1" applyAlignment="1">
      <alignment horizontal="left" vertical="center" wrapText="1"/>
    </xf>
    <xf numFmtId="0" fontId="30" fillId="7" borderId="6" xfId="1196" applyFont="1" applyFill="1" applyBorder="1" applyAlignment="1">
      <alignment horizontal="center" vertical="center" wrapText="1"/>
    </xf>
    <xf numFmtId="168" fontId="25" fillId="0" borderId="10" xfId="1196" applyNumberFormat="1" applyFont="1" applyBorder="1" applyAlignment="1">
      <alignment horizontal="center" vertical="center" wrapText="1"/>
    </xf>
    <xf numFmtId="180" fontId="25" fillId="0" borderId="10" xfId="1196" applyNumberFormat="1" applyFont="1" applyBorder="1" applyAlignment="1">
      <alignment horizontal="center" vertical="center" wrapText="1"/>
    </xf>
    <xf numFmtId="168" fontId="25" fillId="0" borderId="7" xfId="1196" applyNumberFormat="1" applyFont="1" applyBorder="1" applyAlignment="1">
      <alignment horizontal="center" vertical="center"/>
    </xf>
    <xf numFmtId="185" fontId="25" fillId="4" borderId="7" xfId="1196" applyNumberFormat="1" applyFont="1" applyFill="1" applyBorder="1" applyAlignment="1">
      <alignment horizontal="center" vertical="center" wrapText="1"/>
    </xf>
    <xf numFmtId="167" fontId="25" fillId="4" borderId="7" xfId="1196" applyNumberFormat="1" applyFont="1" applyFill="1" applyBorder="1" applyAlignment="1">
      <alignment horizontal="center" vertical="center" wrapText="1"/>
    </xf>
    <xf numFmtId="182" fontId="25" fillId="7" borderId="7" xfId="1196" applyNumberFormat="1" applyFont="1" applyFill="1" applyBorder="1" applyAlignment="1">
      <alignment horizontal="center" vertical="center" wrapText="1"/>
    </xf>
    <xf numFmtId="0" fontId="23" fillId="0" borderId="7" xfId="1196" applyFont="1" applyBorder="1" applyAlignment="1">
      <alignment vertical="center"/>
    </xf>
    <xf numFmtId="0" fontId="3" fillId="0" borderId="6" xfId="1196" applyFont="1" applyFill="1" applyBorder="1" applyAlignment="1">
      <alignment horizontal="center"/>
    </xf>
    <xf numFmtId="168" fontId="25" fillId="0" borderId="6" xfId="1196" applyNumberFormat="1" applyFont="1" applyBorder="1" applyAlignment="1">
      <alignment horizontal="center" vertical="center" wrapText="1"/>
    </xf>
    <xf numFmtId="180" fontId="25" fillId="0" borderId="6" xfId="1196" applyNumberFormat="1" applyFont="1" applyBorder="1" applyAlignment="1">
      <alignment horizontal="center" vertical="center" wrapText="1"/>
    </xf>
    <xf numFmtId="167" fontId="25" fillId="0" borderId="7" xfId="1196" applyNumberFormat="1" applyFont="1" applyBorder="1" applyAlignment="1">
      <alignment horizontal="center" vertical="center" wrapText="1"/>
    </xf>
    <xf numFmtId="167" fontId="25" fillId="0" borderId="8" xfId="1196" applyNumberFormat="1" applyFont="1" applyBorder="1" applyAlignment="1">
      <alignment horizontal="center" vertical="center" wrapText="1"/>
    </xf>
    <xf numFmtId="167" fontId="25" fillId="0" borderId="6" xfId="1196" applyNumberFormat="1" applyFont="1" applyBorder="1" applyAlignment="1">
      <alignment horizontal="center" vertical="center" wrapText="1"/>
    </xf>
    <xf numFmtId="168" fontId="25" fillId="0" borderId="7" xfId="1196" applyNumberFormat="1" applyFont="1" applyBorder="1" applyAlignment="1">
      <alignment horizontal="center" vertical="center" wrapText="1"/>
    </xf>
    <xf numFmtId="180" fontId="25" fillId="0" borderId="7" xfId="1196" applyNumberFormat="1" applyFont="1" applyBorder="1" applyAlignment="1">
      <alignment horizontal="center" vertical="center" wrapText="1"/>
    </xf>
    <xf numFmtId="168" fontId="25" fillId="0" borderId="8" xfId="1196" applyNumberFormat="1" applyFont="1" applyBorder="1" applyAlignment="1">
      <alignment horizontal="center" vertical="center" wrapText="1"/>
    </xf>
    <xf numFmtId="180" fontId="25" fillId="0" borderId="8" xfId="1196" applyNumberFormat="1" applyFont="1" applyBorder="1" applyAlignment="1">
      <alignment horizontal="center" vertical="center" wrapText="1"/>
    </xf>
    <xf numFmtId="168" fontId="25" fillId="0" borderId="10" xfId="1196" applyNumberFormat="1" applyFont="1" applyBorder="1" applyAlignment="1">
      <alignment horizontal="center" vertical="center" wrapText="1"/>
    </xf>
    <xf numFmtId="180" fontId="25" fillId="0" borderId="10" xfId="1196" applyNumberFormat="1" applyFont="1" applyBorder="1" applyAlignment="1">
      <alignment horizontal="center" vertical="center" wrapText="1"/>
    </xf>
    <xf numFmtId="167" fontId="25" fillId="0" borderId="10" xfId="1196" applyNumberFormat="1" applyFont="1" applyBorder="1" applyAlignment="1">
      <alignment horizontal="center" vertical="center" wrapText="1"/>
    </xf>
    <xf numFmtId="168" fontId="25" fillId="0" borderId="10" xfId="1196" applyNumberFormat="1" applyFont="1" applyBorder="1" applyAlignment="1">
      <alignment vertical="center" wrapText="1"/>
    </xf>
    <xf numFmtId="167" fontId="25" fillId="0" borderId="10" xfId="1196" applyNumberFormat="1" applyFont="1" applyBorder="1" applyAlignment="1">
      <alignment vertical="center" wrapText="1"/>
    </xf>
    <xf numFmtId="0" fontId="22" fillId="0" borderId="7" xfId="1196" applyFont="1" applyBorder="1" applyAlignment="1">
      <alignment vertical="center"/>
    </xf>
    <xf numFmtId="0" fontId="28" fillId="0" borderId="0" xfId="1196" applyFont="1" applyAlignment="1">
      <alignment horizontal="center" vertical="center" wrapText="1"/>
    </xf>
    <xf numFmtId="0" fontId="28" fillId="0" borderId="37" xfId="1196" applyFont="1" applyBorder="1" applyAlignment="1">
      <alignment horizontal="left" vertical="center"/>
    </xf>
    <xf numFmtId="0" fontId="28" fillId="0" borderId="37" xfId="1196" applyFont="1" applyBorder="1" applyAlignment="1">
      <alignment vertical="center" wrapText="1"/>
    </xf>
    <xf numFmtId="1" fontId="25" fillId="4" borderId="6" xfId="1196" applyNumberFormat="1" applyFont="1" applyFill="1" applyBorder="1" applyAlignment="1">
      <alignment horizontal="center" vertical="center" wrapText="1"/>
    </xf>
    <xf numFmtId="186" fontId="25" fillId="0" borderId="6" xfId="1196" applyNumberFormat="1" applyFont="1" applyBorder="1" applyAlignment="1">
      <alignment horizontal="center" vertical="center" wrapText="1"/>
    </xf>
    <xf numFmtId="2" fontId="25" fillId="0" borderId="6" xfId="1196" applyNumberFormat="1" applyFont="1" applyBorder="1" applyAlignment="1">
      <alignment horizontal="center" vertical="center" wrapText="1"/>
    </xf>
    <xf numFmtId="9" fontId="25" fillId="4" borderId="6" xfId="1196" applyNumberFormat="1" applyFont="1" applyFill="1" applyBorder="1" applyAlignment="1">
      <alignment horizontal="center" vertical="center" wrapText="1"/>
    </xf>
    <xf numFmtId="185" fontId="25" fillId="4" borderId="6" xfId="1196" applyNumberFormat="1" applyFont="1" applyFill="1" applyBorder="1" applyAlignment="1">
      <alignment horizontal="center" vertical="center"/>
    </xf>
    <xf numFmtId="0" fontId="3" fillId="0" borderId="6" xfId="1196" applyFont="1" applyFill="1" applyBorder="1" applyAlignment="1">
      <alignment horizontal="center" vertical="center"/>
    </xf>
    <xf numFmtId="187" fontId="25" fillId="0" borderId="6" xfId="1196" applyNumberFormat="1" applyFont="1" applyBorder="1" applyAlignment="1">
      <alignment horizontal="center" vertical="center" wrapText="1"/>
    </xf>
    <xf numFmtId="186" fontId="3" fillId="0" borderId="6" xfId="1196" applyNumberFormat="1" applyFont="1" applyBorder="1" applyAlignment="1">
      <alignment horizontal="center" vertical="center" wrapText="1"/>
    </xf>
    <xf numFmtId="188" fontId="25" fillId="0" borderId="6" xfId="1196" applyNumberFormat="1" applyFont="1" applyBorder="1" applyAlignment="1">
      <alignment horizontal="center" vertical="center" wrapText="1"/>
    </xf>
    <xf numFmtId="0" fontId="3" fillId="8" borderId="6" xfId="1197" applyFont="1" applyFill="1" applyBorder="1" applyAlignment="1">
      <alignment horizontal="center" vertical="center"/>
    </xf>
    <xf numFmtId="0" fontId="25" fillId="8" borderId="6" xfId="1198" applyFont="1" applyFill="1" applyBorder="1" applyAlignment="1">
      <alignment horizontal="center" vertical="center"/>
    </xf>
    <xf numFmtId="10" fontId="25" fillId="9" borderId="6" xfId="1196" applyNumberFormat="1" applyFont="1" applyFill="1" applyBorder="1" applyAlignment="1">
      <alignment horizontal="center" vertical="center" wrapText="1"/>
    </xf>
    <xf numFmtId="0" fontId="25" fillId="0" borderId="0" xfId="220" applyFont="1" applyBorder="1" applyAlignment="1">
      <alignment horizontal="center" vertical="center" wrapText="1"/>
    </xf>
    <xf numFmtId="0" fontId="32" fillId="0" borderId="0" xfId="1196" applyFont="1" applyAlignment="1">
      <alignment horizontal="center" vertical="center" wrapText="1"/>
    </xf>
    <xf numFmtId="0" fontId="39" fillId="0" borderId="0" xfId="1196" applyFont="1" applyAlignment="1">
      <alignment vertical="center"/>
    </xf>
    <xf numFmtId="0" fontId="28" fillId="0" borderId="0" xfId="1196" applyFont="1" applyAlignment="1">
      <alignment horizontal="left" vertical="center" wrapText="1"/>
    </xf>
    <xf numFmtId="0" fontId="28" fillId="0" borderId="0" xfId="1196" applyFont="1" applyAlignment="1">
      <alignment horizontal="center" vertical="center"/>
    </xf>
    <xf numFmtId="0" fontId="39" fillId="0" borderId="0" xfId="1196" applyFont="1" applyAlignment="1">
      <alignment vertical="center" wrapText="1"/>
    </xf>
    <xf numFmtId="0" fontId="28" fillId="0" borderId="0" xfId="1196" applyFont="1" applyAlignment="1">
      <alignment vertical="center"/>
    </xf>
    <xf numFmtId="169" fontId="4" fillId="5" borderId="36" xfId="0" applyNumberFormat="1" applyFont="1" applyFill="1" applyBorder="1" applyAlignment="1">
      <alignment horizontal="center" vertical="center"/>
    </xf>
    <xf numFmtId="169" fontId="4" fillId="3" borderId="36" xfId="0" applyNumberFormat="1" applyFont="1" applyFill="1" applyBorder="1" applyAlignment="1">
      <alignment horizontal="center" vertical="center"/>
    </xf>
  </cellXfs>
  <cellStyles count="1979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7 2 2 2" xfId="1199"/>
    <cellStyle name="Comma [0] 2 7 2 3" xfId="1200"/>
    <cellStyle name="Comma [0] 2 7 3" xfId="1201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2 2 2 2" xfId="1202"/>
    <cellStyle name="Comma [0] 3 2 2 2 3" xfId="1203"/>
    <cellStyle name="Comma [0] 3 2 2 3" xfId="1204"/>
    <cellStyle name="Comma [0] 3 2 3" xfId="28"/>
    <cellStyle name="Comma [0] 3 2 3 2" xfId="29"/>
    <cellStyle name="Comma [0] 3 2 3 2 2" xfId="1205"/>
    <cellStyle name="Comma [0] 3 2 3 3" xfId="1206"/>
    <cellStyle name="Comma [0] 3 2 4" xfId="1207"/>
    <cellStyle name="Comma [0] 3 3" xfId="30"/>
    <cellStyle name="Comma [0] 3 3 2" xfId="31"/>
    <cellStyle name="Comma [0] 3 3 2 2" xfId="32"/>
    <cellStyle name="Comma [0] 3 3 2 2 2" xfId="33"/>
    <cellStyle name="Comma [0] 3 3 2 2 2 2" xfId="1208"/>
    <cellStyle name="Comma [0] 3 3 2 2 3" xfId="1209"/>
    <cellStyle name="Comma [0] 3 3 2 3" xfId="1210"/>
    <cellStyle name="Comma [0] 3 3 3" xfId="34"/>
    <cellStyle name="Comma [0] 3 3 3 2" xfId="35"/>
    <cellStyle name="Comma [0] 3 3 3 2 2" xfId="1211"/>
    <cellStyle name="Comma [0] 3 3 3 3" xfId="1212"/>
    <cellStyle name="Comma [0] 3 3 4" xfId="1213"/>
    <cellStyle name="Comma [0] 3 4" xfId="36"/>
    <cellStyle name="Comma [0] 3 4 2" xfId="37"/>
    <cellStyle name="Comma [0] 3 4 2 2" xfId="38"/>
    <cellStyle name="Comma [0] 3 4 2 2 2" xfId="1214"/>
    <cellStyle name="Comma [0] 3 4 2 3" xfId="1215"/>
    <cellStyle name="Comma [0] 3 4 3" xfId="1216"/>
    <cellStyle name="Comma [0] 3 5" xfId="39"/>
    <cellStyle name="Comma [0] 3 5 2" xfId="40"/>
    <cellStyle name="Comma [0] 3 5 2 2" xfId="41"/>
    <cellStyle name="Comma [0] 3 5 2 2 2" xfId="1217"/>
    <cellStyle name="Comma [0] 3 5 2 3" xfId="1218"/>
    <cellStyle name="Comma [0] 3 5 3" xfId="1219"/>
    <cellStyle name="Comma [0] 3 6" xfId="42"/>
    <cellStyle name="Comma [0] 3 6 2" xfId="43"/>
    <cellStyle name="Comma [0] 3 6 2 2" xfId="44"/>
    <cellStyle name="Comma [0] 3 6 2 2 2" xfId="1220"/>
    <cellStyle name="Comma [0] 3 6 2 3" xfId="1221"/>
    <cellStyle name="Comma [0] 3 6 3" xfId="1222"/>
    <cellStyle name="Comma [0] 3 7" xfId="45"/>
    <cellStyle name="Comma [0] 3 7 2" xfId="46"/>
    <cellStyle name="Comma [0] 4" xfId="47"/>
    <cellStyle name="Comma [0] 4 2" xfId="1223"/>
    <cellStyle name="Comma [0] 5" xfId="48"/>
    <cellStyle name="Comma [0] 5 2" xfId="1224"/>
    <cellStyle name="Comma [0] 6" xfId="49"/>
    <cellStyle name="Comma [0] 6 2" xfId="50"/>
    <cellStyle name="Comma [0] 6 2 2" xfId="1225"/>
    <cellStyle name="Comma [0] 6 3" xfId="1226"/>
    <cellStyle name="Comma [0] 7" xfId="51"/>
    <cellStyle name="Comma [0] 7 2" xfId="1227"/>
    <cellStyle name="Comma [0] 8" xfId="52"/>
    <cellStyle name="Comma [0] 8 2" xfId="1228"/>
    <cellStyle name="Comma 10" xfId="53"/>
    <cellStyle name="Comma 10 2" xfId="54"/>
    <cellStyle name="Comma 10 2 2" xfId="55"/>
    <cellStyle name="Comma 10 2 2 2" xfId="1229"/>
    <cellStyle name="Comma 10 2 3" xfId="1230"/>
    <cellStyle name="Comma 10 3" xfId="1231"/>
    <cellStyle name="Comma 11" xfId="56"/>
    <cellStyle name="Comma 11 2" xfId="57"/>
    <cellStyle name="Comma 11 2 2" xfId="58"/>
    <cellStyle name="Comma 11 2 2 2" xfId="1232"/>
    <cellStyle name="Comma 11 2 3" xfId="1233"/>
    <cellStyle name="Comma 11 3" xfId="1234"/>
    <cellStyle name="Comma 12" xfId="59"/>
    <cellStyle name="Comma 12 2" xfId="60"/>
    <cellStyle name="Comma 12 2 2" xfId="61"/>
    <cellStyle name="Comma 12 2 2 2" xfId="1235"/>
    <cellStyle name="Comma 12 2 3" xfId="1236"/>
    <cellStyle name="Comma 12 3" xfId="1237"/>
    <cellStyle name="Comma 13" xfId="62"/>
    <cellStyle name="Comma 13 2" xfId="63"/>
    <cellStyle name="Comma 13 2 2" xfId="64"/>
    <cellStyle name="Comma 13 2 2 2" xfId="1238"/>
    <cellStyle name="Comma 13 2 3" xfId="1239"/>
    <cellStyle name="Comma 13 3" xfId="1240"/>
    <cellStyle name="Comma 14" xfId="65"/>
    <cellStyle name="Comma 14 2" xfId="1241"/>
    <cellStyle name="Comma 15" xfId="66"/>
    <cellStyle name="Comma 15 2" xfId="1242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2 2 2" xfId="1243"/>
    <cellStyle name="Comma 2 2 2 2 2 2 3" xfId="1244"/>
    <cellStyle name="Comma 2 2 2 2 2 3" xfId="78"/>
    <cellStyle name="Comma 2 2 2 2 2 3 2" xfId="1245"/>
    <cellStyle name="Comma 2 2 2 2 2 4" xfId="1246"/>
    <cellStyle name="Comma 2 2 2 2 3" xfId="1247"/>
    <cellStyle name="Comma 2 2 2 3" xfId="79"/>
    <cellStyle name="Comma 2 2 2 3 2" xfId="80"/>
    <cellStyle name="Comma 2 2 2 3 2 2" xfId="81"/>
    <cellStyle name="Comma 2 2 2 3 2 2 2" xfId="82"/>
    <cellStyle name="Comma 2 2 2 3 2 2 2 2" xfId="1248"/>
    <cellStyle name="Comma 2 2 2 3 2 2 3" xfId="1249"/>
    <cellStyle name="Comma 2 2 2 3 2 3" xfId="83"/>
    <cellStyle name="Comma 2 2 2 3 2 3 2" xfId="1250"/>
    <cellStyle name="Comma 2 2 2 3 2 4" xfId="1251"/>
    <cellStyle name="Comma 2 2 2 3 3" xfId="1252"/>
    <cellStyle name="Comma 2 2 2 4" xfId="84"/>
    <cellStyle name="Comma 2 2 2 4 2" xfId="85"/>
    <cellStyle name="Comma 2 2 2 4 2 2" xfId="86"/>
    <cellStyle name="Comma 2 2 2 4 2 2 2" xfId="87"/>
    <cellStyle name="Comma 2 2 2 4 2 2 2 2" xfId="1253"/>
    <cellStyle name="Comma 2 2 2 4 2 2 3" xfId="1254"/>
    <cellStyle name="Comma 2 2 2 4 2 3" xfId="88"/>
    <cellStyle name="Comma 2 2 2 4 2 3 2" xfId="1255"/>
    <cellStyle name="Comma 2 2 2 4 2 4" xfId="1256"/>
    <cellStyle name="Comma 2 2 2 4 3" xfId="1257"/>
    <cellStyle name="Comma 2 2 2 5" xfId="89"/>
    <cellStyle name="Comma 2 2 2 5 2" xfId="90"/>
    <cellStyle name="Comma 2 2 2 5 2 2" xfId="91"/>
    <cellStyle name="Comma 2 2 2 5 2 2 2" xfId="1258"/>
    <cellStyle name="Comma 2 2 2 5 2 3" xfId="1259"/>
    <cellStyle name="Comma 2 2 2 5 3" xfId="92"/>
    <cellStyle name="Comma 2 2 2 5 3 2" xfId="1260"/>
    <cellStyle name="Comma 2 2 2 5 4" xfId="1261"/>
    <cellStyle name="Comma 2 2 2 6" xfId="126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2 2 2" xfId="1263"/>
    <cellStyle name="Comma 2 2 3 2 2 2 3" xfId="1264"/>
    <cellStyle name="Comma 2 2 3 2 2 3" xfId="98"/>
    <cellStyle name="Comma 2 2 3 2 2 3 2" xfId="1265"/>
    <cellStyle name="Comma 2 2 3 2 2 4" xfId="1266"/>
    <cellStyle name="Comma 2 2 3 2 3" xfId="1267"/>
    <cellStyle name="Comma 2 2 3 3" xfId="99"/>
    <cellStyle name="Comma 2 2 3 3 2" xfId="100"/>
    <cellStyle name="Comma 2 2 3 3 2 2" xfId="101"/>
    <cellStyle name="Comma 2 2 3 3 2 2 2" xfId="1268"/>
    <cellStyle name="Comma 2 2 3 3 2 3" xfId="1269"/>
    <cellStyle name="Comma 2 2 3 3 3" xfId="1270"/>
    <cellStyle name="Comma 2 2 3 4" xfId="102"/>
    <cellStyle name="Comma 2 2 3 4 2" xfId="103"/>
    <cellStyle name="Comma 2 2 3 4 2 2" xfId="104"/>
    <cellStyle name="Comma 2 2 3 4 2 2 2" xfId="1271"/>
    <cellStyle name="Comma 2 2 3 4 2 3" xfId="1272"/>
    <cellStyle name="Comma 2 2 3 4 3" xfId="105"/>
    <cellStyle name="Comma 2 2 3 4 3 2" xfId="1273"/>
    <cellStyle name="Comma 2 2 3 4 4" xfId="1274"/>
    <cellStyle name="Comma 2 2 3 5" xfId="1275"/>
    <cellStyle name="Comma 2 2 4" xfId="106"/>
    <cellStyle name="Comma 2 2 4 2" xfId="107"/>
    <cellStyle name="Comma 2 2 4 2 2" xfId="108"/>
    <cellStyle name="Comma 2 2 4 2 2 2" xfId="1276"/>
    <cellStyle name="Comma 2 2 4 2 3" xfId="1277"/>
    <cellStyle name="Comma 2 2 4 3" xfId="109"/>
    <cellStyle name="Comma 2 2 4 3 2" xfId="1278"/>
    <cellStyle name="Comma 2 2 4 4" xfId="1279"/>
    <cellStyle name="Comma 2 2 5" xfId="1280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3 2 2 2" xfId="1281"/>
    <cellStyle name="Comma 2 5 3 2 3" xfId="1282"/>
    <cellStyle name="Comma 2 5 3 3" xfId="1283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29 2" xfId="1284"/>
    <cellStyle name="Comma 3" xfId="146"/>
    <cellStyle name="Comma 3 2" xfId="147"/>
    <cellStyle name="Comma 3 2 2" xfId="148"/>
    <cellStyle name="Comma 3 2 2 2" xfId="149"/>
    <cellStyle name="Comma 3 2 2 2 2" xfId="1285"/>
    <cellStyle name="Comma 3 2 2 3" xfId="1286"/>
    <cellStyle name="Comma 3 2 3" xfId="1287"/>
    <cellStyle name="Comma 3 3" xfId="150"/>
    <cellStyle name="Comma 3 3 2" xfId="151"/>
    <cellStyle name="Comma 3 3 2 2" xfId="1288"/>
    <cellStyle name="Comma 3 3 3" xfId="1289"/>
    <cellStyle name="Comma 3 4" xfId="152"/>
    <cellStyle name="Comma 3 4 2" xfId="1290"/>
    <cellStyle name="Comma 3 5" xfId="1291"/>
    <cellStyle name="Comma 30" xfId="153"/>
    <cellStyle name="Comma 30 2" xfId="1292"/>
    <cellStyle name="Comma 31" xfId="154"/>
    <cellStyle name="Comma 31 2" xfId="1293"/>
    <cellStyle name="Comma 32" xfId="155"/>
    <cellStyle name="Comma 32 2" xfId="1294"/>
    <cellStyle name="Comma 33" xfId="156"/>
    <cellStyle name="Comma 33 2" xfId="1295"/>
    <cellStyle name="Comma 4" xfId="157"/>
    <cellStyle name="Comma 4 2" xfId="158"/>
    <cellStyle name="Comma 4 2 2" xfId="159"/>
    <cellStyle name="Comma 4 2 2 2" xfId="160"/>
    <cellStyle name="Comma 4 2 2 2 2" xfId="1296"/>
    <cellStyle name="Comma 4 2 2 3" xfId="1297"/>
    <cellStyle name="Comma 4 2 3" xfId="1298"/>
    <cellStyle name="Comma 4 3" xfId="161"/>
    <cellStyle name="Comma 4 3 2" xfId="162"/>
    <cellStyle name="Comma 4 3 2 2" xfId="1299"/>
    <cellStyle name="Comma 4 3 3" xfId="1300"/>
    <cellStyle name="Comma 4 4" xfId="163"/>
    <cellStyle name="Comma 4 4 2" xfId="1301"/>
    <cellStyle name="Comma 4 5" xfId="1302"/>
    <cellStyle name="Comma 5" xfId="164"/>
    <cellStyle name="Comma 5 2" xfId="165"/>
    <cellStyle name="Comma 5 2 2" xfId="166"/>
    <cellStyle name="Comma 5 2 2 2" xfId="167"/>
    <cellStyle name="Comma 5 2 2 2 2" xfId="1303"/>
    <cellStyle name="Comma 5 2 2 3" xfId="1304"/>
    <cellStyle name="Comma 5 2 3" xfId="1305"/>
    <cellStyle name="Comma 5 3" xfId="168"/>
    <cellStyle name="Comma 5 3 2" xfId="169"/>
    <cellStyle name="Comma 5 3 2 2" xfId="1306"/>
    <cellStyle name="Comma 5 3 3" xfId="1307"/>
    <cellStyle name="Comma 5 4" xfId="170"/>
    <cellStyle name="Comma 5 4 2" xfId="1308"/>
    <cellStyle name="Comma 5 5" xfId="1309"/>
    <cellStyle name="Comma 6" xfId="171"/>
    <cellStyle name="Comma 6 2" xfId="172"/>
    <cellStyle name="Comma 6 2 2" xfId="173"/>
    <cellStyle name="Comma 6 2 2 2" xfId="174"/>
    <cellStyle name="Comma 6 2 2 2 2" xfId="1310"/>
    <cellStyle name="Comma 6 2 2 3" xfId="1311"/>
    <cellStyle name="Comma 6 2 3" xfId="1312"/>
    <cellStyle name="Comma 6 3" xfId="175"/>
    <cellStyle name="Comma 6 3 2" xfId="176"/>
    <cellStyle name="Comma 6 3 2 2" xfId="177"/>
    <cellStyle name="Comma 6 3 2 2 2" xfId="1313"/>
    <cellStyle name="Comma 6 3 2 3" xfId="1314"/>
    <cellStyle name="Comma 6 3 3" xfId="1315"/>
    <cellStyle name="Comma 6 4" xfId="178"/>
    <cellStyle name="Comma 6 4 2" xfId="179"/>
    <cellStyle name="Comma 6 4 2 2" xfId="1316"/>
    <cellStyle name="Comma 6 4 3" xfId="1317"/>
    <cellStyle name="Comma 6 5" xfId="180"/>
    <cellStyle name="Comma 6 5 2" xfId="1318"/>
    <cellStyle name="Comma 6 6" xfId="1319"/>
    <cellStyle name="Comma 7" xfId="181"/>
    <cellStyle name="Comma 7 2" xfId="182"/>
    <cellStyle name="Comma 7 2 2" xfId="183"/>
    <cellStyle name="Comma 7 2 2 2" xfId="1320"/>
    <cellStyle name="Comma 7 2 3" xfId="1321"/>
    <cellStyle name="Comma 7 3" xfId="1322"/>
    <cellStyle name="Comma 8" xfId="184"/>
    <cellStyle name="Comma 8 2" xfId="185"/>
    <cellStyle name="Comma 8 2 2" xfId="186"/>
    <cellStyle name="Comma 8 2 2 2" xfId="1323"/>
    <cellStyle name="Comma 8 2 3" xfId="1324"/>
    <cellStyle name="Comma 8 3" xfId="1325"/>
    <cellStyle name="Comma 9" xfId="187"/>
    <cellStyle name="Comma 9 2" xfId="188"/>
    <cellStyle name="Comma 9 2 2" xfId="189"/>
    <cellStyle name="Comma 9 2 2 2" xfId="1326"/>
    <cellStyle name="Comma 9 2 3" xfId="1327"/>
    <cellStyle name="Comma 9 3" xfId="1328"/>
    <cellStyle name="Currency [0] 2" xfId="190"/>
    <cellStyle name="Currency [0] 2 2" xfId="191"/>
    <cellStyle name="Currency [0] 2 2 2" xfId="192"/>
    <cellStyle name="Currency [0] 2 2 2 2" xfId="1329"/>
    <cellStyle name="Currency [0] 2 2 3" xfId="1330"/>
    <cellStyle name="Currency [0] 2 3" xfId="1331"/>
    <cellStyle name="Currency [0] 3" xfId="193"/>
    <cellStyle name="Currency [0] 3 2" xfId="194"/>
    <cellStyle name="Currency [0] 3 2 2" xfId="195"/>
    <cellStyle name="Currency [0] 3 2 2 2" xfId="1332"/>
    <cellStyle name="Currency [0] 3 2 3" xfId="1333"/>
    <cellStyle name="Currency [0] 3 3" xfId="1334"/>
    <cellStyle name="Currency [0] 4" xfId="196"/>
    <cellStyle name="Currency [0] 4 2" xfId="197"/>
    <cellStyle name="Currency [0] 4 2 2" xfId="198"/>
    <cellStyle name="Currency [0] 4 2 2 2" xfId="1335"/>
    <cellStyle name="Currency [0] 4 2 3" xfId="1336"/>
    <cellStyle name="Currency [0] 4 3" xfId="199"/>
    <cellStyle name="Currency [0] 4 3 2" xfId="1337"/>
    <cellStyle name="Currency [0] 4 4" xfId="1338"/>
    <cellStyle name="Currency [0] 5" xfId="200"/>
    <cellStyle name="Currency [0] 5 2" xfId="1339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2 2 2" xfId="1340"/>
    <cellStyle name="Normal 10 2 2 3" xfId="1341"/>
    <cellStyle name="Normal 10 2 3" xfId="205"/>
    <cellStyle name="Normal 10 2 3 2" xfId="1342"/>
    <cellStyle name="Normal 10 2 4" xfId="1343"/>
    <cellStyle name="Normal 10 3" xfId="1344"/>
    <cellStyle name="Normal 11" xfId="206"/>
    <cellStyle name="Normal 11 2" xfId="207"/>
    <cellStyle name="Normal 11 2 2" xfId="208"/>
    <cellStyle name="Normal 11 2 2 2" xfId="1345"/>
    <cellStyle name="Normal 11 2 3" xfId="1346"/>
    <cellStyle name="Normal 11 3" xfId="1347"/>
    <cellStyle name="Normal 12" xfId="209"/>
    <cellStyle name="Normal 12 2" xfId="210"/>
    <cellStyle name="Normal 12 2 2" xfId="211"/>
    <cellStyle name="Normal 12 2 2 2" xfId="1348"/>
    <cellStyle name="Normal 12 2 3" xfId="1349"/>
    <cellStyle name="Normal 12 3" xfId="212"/>
    <cellStyle name="Normal 12 3 2" xfId="1350"/>
    <cellStyle name="Normal 12 4" xfId="1351"/>
    <cellStyle name="Normal 13" xfId="213"/>
    <cellStyle name="Normal 13 2" xfId="214"/>
    <cellStyle name="Normal 13 2 2" xfId="1352"/>
    <cellStyle name="Normal 13 3" xfId="1353"/>
    <cellStyle name="Normal 14" xfId="215"/>
    <cellStyle name="Normal 14 2" xfId="1354"/>
    <cellStyle name="Normal 15" xfId="216"/>
    <cellStyle name="Normal 15 2" xfId="1355"/>
    <cellStyle name="Normal 16" xfId="217"/>
    <cellStyle name="Normal 16 2" xfId="218"/>
    <cellStyle name="Normal 16 2 2" xfId="219"/>
    <cellStyle name="Normal 17" xfId="1196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3 2" xfId="1356"/>
    <cellStyle name="Normal 2 18" xfId="234"/>
    <cellStyle name="Normal 2 18 2" xfId="235"/>
    <cellStyle name="Normal 2 18 2 2" xfId="236"/>
    <cellStyle name="Normal 2 18 2 2 2" xfId="1357"/>
    <cellStyle name="Normal 2 18 2 3" xfId="1358"/>
    <cellStyle name="Normal 2 18 3" xfId="1359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2 2 2 2" xfId="1360"/>
    <cellStyle name="Normal 2 2 4 2 2 3" xfId="1361"/>
    <cellStyle name="Normal 2 2 4 2 3" xfId="1362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2 2 2 2" xfId="1363"/>
    <cellStyle name="Normal 2 3 2 2 3" xfId="1364"/>
    <cellStyle name="Normal 2 3 2 3" xfId="1365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 9 2 2 2" xfId="1366"/>
    <cellStyle name="Normal 2 9 2 3" xfId="1367"/>
    <cellStyle name="Normal 2 9 3" xfId="1368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10 2" xfId="1369"/>
    <cellStyle name="Normal 3 11" xfId="1370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2 2 2" xfId="1371"/>
    <cellStyle name="Normal 3 2 2 2 2 3" xfId="1372"/>
    <cellStyle name="Normal 3 2 2 2 3" xfId="337"/>
    <cellStyle name="Normal 3 2 2 2 3 2" xfId="1373"/>
    <cellStyle name="Normal 3 2 2 2 4" xfId="1374"/>
    <cellStyle name="Normal 3 2 2 3" xfId="1375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5 2 2" xfId="1376"/>
    <cellStyle name="Normal 3 2 5 3" xfId="1377"/>
    <cellStyle name="Normal 3 2 6" xfId="357"/>
    <cellStyle name="Normal 3 2 6 2" xfId="1378"/>
    <cellStyle name="Normal 3 2 7" xfId="1379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2 2 2" xfId="1380"/>
    <cellStyle name="Normal 3 3 2 2 2 3" xfId="1381"/>
    <cellStyle name="Normal 3 3 2 2 3" xfId="363"/>
    <cellStyle name="Normal 3 3 2 2 3 2" xfId="1382"/>
    <cellStyle name="Normal 3 3 2 2 4" xfId="1383"/>
    <cellStyle name="Normal 3 3 2 3" xfId="364"/>
    <cellStyle name="Normal 3 3 2 3 2" xfId="365"/>
    <cellStyle name="Normal 3 3 2 3 2 2" xfId="1384"/>
    <cellStyle name="Normal 3 3 2 3 3" xfId="1385"/>
    <cellStyle name="Normal 3 3 2 4" xfId="366"/>
    <cellStyle name="Normal 3 3 2 4 2" xfId="1386"/>
    <cellStyle name="Normal 3 3 2 5" xfId="1387"/>
    <cellStyle name="Normal 3 3 3" xfId="367"/>
    <cellStyle name="Normal 3 3 3 2" xfId="368"/>
    <cellStyle name="Normal 3 3 3 2 2" xfId="369"/>
    <cellStyle name="Normal 3 3 3 2 2 2" xfId="370"/>
    <cellStyle name="Normal 3 3 3 2 2 2 2" xfId="1388"/>
    <cellStyle name="Normal 3 3 3 2 2 3" xfId="1389"/>
    <cellStyle name="Normal 3 3 3 2 3" xfId="371"/>
    <cellStyle name="Normal 3 3 3 2 3 2" xfId="1390"/>
    <cellStyle name="Normal 3 3 3 2 4" xfId="1391"/>
    <cellStyle name="Normal 3 3 3 3" xfId="1392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3 6 2" xfId="1393"/>
    <cellStyle name="Normal 3 3 7" xfId="1394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2 2 2" xfId="1395"/>
    <cellStyle name="Normal 3 4 2 2 2 3" xfId="1396"/>
    <cellStyle name="Normal 3 4 2 2 3" xfId="395"/>
    <cellStyle name="Normal 3 4 2 2 3 2" xfId="1397"/>
    <cellStyle name="Normal 3 4 2 2 4" xfId="1398"/>
    <cellStyle name="Normal 3 4 2 3" xfId="1399"/>
    <cellStyle name="Normal 3 4 3" xfId="396"/>
    <cellStyle name="Normal 3 4 3 2" xfId="397"/>
    <cellStyle name="Normal 3 4 3 2 2" xfId="398"/>
    <cellStyle name="Normal 3 4 3 2 2 2" xfId="1400"/>
    <cellStyle name="Normal 3 4 3 2 3" xfId="1401"/>
    <cellStyle name="Normal 3 4 3 3" xfId="399"/>
    <cellStyle name="Normal 3 4 3 3 2" xfId="1402"/>
    <cellStyle name="Normal 3 4 3 4" xfId="1403"/>
    <cellStyle name="Normal 3 4 4" xfId="400"/>
    <cellStyle name="Normal 3 4 4 2" xfId="1404"/>
    <cellStyle name="Normal 3 4 5" xfId="1405"/>
    <cellStyle name="Normal 3 5" xfId="401"/>
    <cellStyle name="Normal 3 5 2" xfId="402"/>
    <cellStyle name="Normal 3 5 2 2" xfId="403"/>
    <cellStyle name="Normal 3 5 2 2 2" xfId="404"/>
    <cellStyle name="Normal 3 5 2 2 2 2" xfId="1406"/>
    <cellStyle name="Normal 3 5 2 2 3" xfId="1407"/>
    <cellStyle name="Normal 3 5 2 3" xfId="405"/>
    <cellStyle name="Normal 3 5 2 3 2" xfId="1408"/>
    <cellStyle name="Normal 3 5 2 4" xfId="1409"/>
    <cellStyle name="Normal 3 5 3" xfId="1410"/>
    <cellStyle name="Normal 3 6" xfId="406"/>
    <cellStyle name="Normal 3 6 2" xfId="407"/>
    <cellStyle name="Normal 3 6 2 2" xfId="408"/>
    <cellStyle name="Normal 3 6 2 2 2" xfId="409"/>
    <cellStyle name="Normal 3 6 2 2 2 2" xfId="1411"/>
    <cellStyle name="Normal 3 6 2 2 3" xfId="1412"/>
    <cellStyle name="Normal 3 6 2 3" xfId="410"/>
    <cellStyle name="Normal 3 6 2 3 2" xfId="1413"/>
    <cellStyle name="Normal 3 6 2 4" xfId="1414"/>
    <cellStyle name="Normal 3 6 3" xfId="1415"/>
    <cellStyle name="Normal 3 7" xfId="411"/>
    <cellStyle name="Normal 3 7 2" xfId="412"/>
    <cellStyle name="Normal 3 7 2 2" xfId="413"/>
    <cellStyle name="Normal 3 7 2 2 2" xfId="414"/>
    <cellStyle name="Normal 3 7 2 2 2 2" xfId="1416"/>
    <cellStyle name="Normal 3 7 2 2 3" xfId="1417"/>
    <cellStyle name="Normal 3 7 2 3" xfId="415"/>
    <cellStyle name="Normal 3 7 2 3 2" xfId="1418"/>
    <cellStyle name="Normal 3 7 2 4" xfId="1419"/>
    <cellStyle name="Normal 3 7 3" xfId="1420"/>
    <cellStyle name="Normal 3 8" xfId="416"/>
    <cellStyle name="Normal 3 8 2" xfId="417"/>
    <cellStyle name="Normal 3 8 2 2" xfId="418"/>
    <cellStyle name="Normal 3 8 2 2 2" xfId="1421"/>
    <cellStyle name="Normal 3 8 2 3" xfId="1422"/>
    <cellStyle name="Normal 3 8 3" xfId="419"/>
    <cellStyle name="Normal 3 8 3 2" xfId="1423"/>
    <cellStyle name="Normal 3 8 4" xfId="1424"/>
    <cellStyle name="Normal 3 9" xfId="420"/>
    <cellStyle name="Normal 3 9 2" xfId="421"/>
    <cellStyle name="Normal 3 9 2 2" xfId="1425"/>
    <cellStyle name="Normal 3 9 3" xfId="1426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39 2 2 2" xfId="1427"/>
    <cellStyle name="Normal 39 2 3" xfId="1428"/>
    <cellStyle name="Normal 39 3" xfId="1429"/>
    <cellStyle name="Normal 4" xfId="434"/>
    <cellStyle name="Normal 4 10" xfId="435"/>
    <cellStyle name="Normal 4 10 2" xfId="436"/>
    <cellStyle name="Normal 4 10 2 2" xfId="1430"/>
    <cellStyle name="Normal 4 10 3" xfId="1431"/>
    <cellStyle name="Normal 4 11" xfId="437"/>
    <cellStyle name="Normal 4 11 2" xfId="1432"/>
    <cellStyle name="Normal 4 12" xfId="1433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2 2 2" xfId="1434"/>
    <cellStyle name="Normal 4 2 2 2 2 3" xfId="1435"/>
    <cellStyle name="Normal 4 2 2 2 3" xfId="443"/>
    <cellStyle name="Normal 4 2 2 2 3 2" xfId="1436"/>
    <cellStyle name="Normal 4 2 2 2 4" xfId="1437"/>
    <cellStyle name="Normal 4 2 2 3" xfId="444"/>
    <cellStyle name="Normal 4 2 2 3 2" xfId="445"/>
    <cellStyle name="Normal 4 2 2 3 2 2" xfId="1438"/>
    <cellStyle name="Normal 4 2 2 3 3" xfId="1439"/>
    <cellStyle name="Normal 4 2 2 4" xfId="446"/>
    <cellStyle name="Normal 4 2 2 4 2" xfId="1440"/>
    <cellStyle name="Normal 4 2 2 5" xfId="1441"/>
    <cellStyle name="Normal 4 2 3" xfId="447"/>
    <cellStyle name="Normal 4 2 3 2" xfId="448"/>
    <cellStyle name="Normal 4 2 3 2 2" xfId="449"/>
    <cellStyle name="Normal 4 2 3 2 2 2" xfId="1442"/>
    <cellStyle name="Normal 4 2 3 2 3" xfId="1443"/>
    <cellStyle name="Normal 4 2 3 3" xfId="450"/>
    <cellStyle name="Normal 4 2 3 3 2" xfId="1444"/>
    <cellStyle name="Normal 4 2 3 4" xfId="1445"/>
    <cellStyle name="Normal 4 2 4" xfId="1446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2 2 2" xfId="1447"/>
    <cellStyle name="Normal 4 4 2 2 2 3" xfId="1448"/>
    <cellStyle name="Normal 4 4 2 2 3" xfId="459"/>
    <cellStyle name="Normal 4 4 2 2 3 2" xfId="1449"/>
    <cellStyle name="Normal 4 4 2 2 4" xfId="1450"/>
    <cellStyle name="Normal 4 4 2 3" xfId="460"/>
    <cellStyle name="Normal 4 4 2 3 2" xfId="461"/>
    <cellStyle name="Normal 4 4 2 3 2 2" xfId="1451"/>
    <cellStyle name="Normal 4 4 2 3 3" xfId="1452"/>
    <cellStyle name="Normal 4 4 2 4" xfId="462"/>
    <cellStyle name="Normal 4 4 2 4 2" xfId="1453"/>
    <cellStyle name="Normal 4 4 2 5" xfId="1454"/>
    <cellStyle name="Normal 4 4 3" xfId="463"/>
    <cellStyle name="Normal 4 4 3 2" xfId="464"/>
    <cellStyle name="Normal 4 4 3 2 2" xfId="465"/>
    <cellStyle name="Normal 4 4 3 2 2 2" xfId="1455"/>
    <cellStyle name="Normal 4 4 3 2 3" xfId="1456"/>
    <cellStyle name="Normal 4 4 3 3" xfId="466"/>
    <cellStyle name="Normal 4 4 3 3 2" xfId="1457"/>
    <cellStyle name="Normal 4 4 3 4" xfId="1458"/>
    <cellStyle name="Normal 4 4 4" xfId="1459"/>
    <cellStyle name="Normal 4 5" xfId="467"/>
    <cellStyle name="Normal 4 5 2" xfId="468"/>
    <cellStyle name="Normal 4 5 2 2" xfId="469"/>
    <cellStyle name="Normal 4 5 2 2 2" xfId="470"/>
    <cellStyle name="Normal 4 5 2 2 2 2" xfId="1460"/>
    <cellStyle name="Normal 4 5 2 2 3" xfId="1461"/>
    <cellStyle name="Normal 4 5 2 3" xfId="471"/>
    <cellStyle name="Normal 4 5 2 3 2" xfId="1462"/>
    <cellStyle name="Normal 4 5 2 4" xfId="1463"/>
    <cellStyle name="Normal 4 5 3" xfId="1464"/>
    <cellStyle name="Normal 4 6" xfId="472"/>
    <cellStyle name="Normal 4 6 2" xfId="473"/>
    <cellStyle name="Normal 4 6 2 2" xfId="474"/>
    <cellStyle name="Normal 4 6 2 2 2" xfId="475"/>
    <cellStyle name="Normal 4 6 2 2 2 2" xfId="1465"/>
    <cellStyle name="Normal 4 6 2 2 3" xfId="1466"/>
    <cellStyle name="Normal 4 6 2 3" xfId="476"/>
    <cellStyle name="Normal 4 6 2 3 2" xfId="1467"/>
    <cellStyle name="Normal 4 6 2 4" xfId="1468"/>
    <cellStyle name="Normal 4 6 3" xfId="1469"/>
    <cellStyle name="Normal 4 7" xfId="477"/>
    <cellStyle name="Normal 4 7 2" xfId="478"/>
    <cellStyle name="Normal 4 7 2 2" xfId="479"/>
    <cellStyle name="Normal 4 7 2 2 2" xfId="480"/>
    <cellStyle name="Normal 4 7 2 2 2 2" xfId="1470"/>
    <cellStyle name="Normal 4 7 2 2 3" xfId="1471"/>
    <cellStyle name="Normal 4 7 2 3" xfId="481"/>
    <cellStyle name="Normal 4 7 2 3 2" xfId="1472"/>
    <cellStyle name="Normal 4 7 2 4" xfId="1473"/>
    <cellStyle name="Normal 4 7 3" xfId="1474"/>
    <cellStyle name="Normal 4 8" xfId="482"/>
    <cellStyle name="Normal 4 8 2" xfId="483"/>
    <cellStyle name="Normal 4 8 2 2" xfId="484"/>
    <cellStyle name="Normal 4 8 2 2 2" xfId="485"/>
    <cellStyle name="Normal 4 8 2 2 2 2" xfId="1475"/>
    <cellStyle name="Normal 4 8 2 2 3" xfId="1476"/>
    <cellStyle name="Normal 4 8 2 3" xfId="486"/>
    <cellStyle name="Normal 4 8 2 3 2" xfId="1477"/>
    <cellStyle name="Normal 4 8 2 4" xfId="1478"/>
    <cellStyle name="Normal 4 8 3" xfId="1479"/>
    <cellStyle name="Normal 4 9" xfId="487"/>
    <cellStyle name="Normal 4 9 2" xfId="488"/>
    <cellStyle name="Normal 4 9 2 2" xfId="489"/>
    <cellStyle name="Normal 4 9 2 2 2" xfId="1480"/>
    <cellStyle name="Normal 4 9 2 3" xfId="1481"/>
    <cellStyle name="Normal 4 9 3" xfId="490"/>
    <cellStyle name="Normal 4 9 3 2" xfId="1482"/>
    <cellStyle name="Normal 4 9 4" xfId="1483"/>
    <cellStyle name="Normal 40" xfId="491"/>
    <cellStyle name="Normal 40 2" xfId="492"/>
    <cellStyle name="Normal 40 2 2" xfId="493"/>
    <cellStyle name="Normal 40 2 2 2" xfId="1484"/>
    <cellStyle name="Normal 40 2 3" xfId="1485"/>
    <cellStyle name="Normal 40 3" xfId="1486"/>
    <cellStyle name="Normal 41" xfId="494"/>
    <cellStyle name="Normal 41 2" xfId="495"/>
    <cellStyle name="Normal 41 2 2" xfId="496"/>
    <cellStyle name="Normal 41 2 2 2" xfId="1487"/>
    <cellStyle name="Normal 41 2 3" xfId="1488"/>
    <cellStyle name="Normal 41 3" xfId="1489"/>
    <cellStyle name="Normal 42" xfId="497"/>
    <cellStyle name="Normal 42 2" xfId="498"/>
    <cellStyle name="Normal 42 2 2" xfId="499"/>
    <cellStyle name="Normal 42 2 2 2" xfId="1490"/>
    <cellStyle name="Normal 42 2 3" xfId="1491"/>
    <cellStyle name="Normal 42 3" xfId="1492"/>
    <cellStyle name="Normal 45" xfId="500"/>
    <cellStyle name="Normal 45 2" xfId="501"/>
    <cellStyle name="Normal 45 2 2" xfId="502"/>
    <cellStyle name="Normal 45 2 2 2" xfId="1493"/>
    <cellStyle name="Normal 45 2 3" xfId="1494"/>
    <cellStyle name="Normal 45 3" xfId="1495"/>
    <cellStyle name="Normal 48" xfId="503"/>
    <cellStyle name="Normal 48 2" xfId="504"/>
    <cellStyle name="Normal 48 2 2" xfId="505"/>
    <cellStyle name="Normal 48 2 2 2" xfId="1496"/>
    <cellStyle name="Normal 48 2 3" xfId="1497"/>
    <cellStyle name="Normal 48 3" xfId="1498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3 2 2 2" xfId="1499"/>
    <cellStyle name="Normal 5 3 2 3" xfId="1500"/>
    <cellStyle name="Normal 5 3 3" xfId="1501"/>
    <cellStyle name="Normal 5 4" xfId="530"/>
    <cellStyle name="Normal 5 4 2" xfId="531"/>
    <cellStyle name="Normal 5 4 2 2" xfId="532"/>
    <cellStyle name="Normal 5 4 2 2 2" xfId="1502"/>
    <cellStyle name="Normal 5 4 2 3" xfId="1503"/>
    <cellStyle name="Normal 5 4 3" xfId="533"/>
    <cellStyle name="Normal 5 4 3 2" xfId="534"/>
    <cellStyle name="Normal 5 4 3 2 2" xfId="1504"/>
    <cellStyle name="Normal 5 4 3 3" xfId="1505"/>
    <cellStyle name="Normal 5 4 4" xfId="535"/>
    <cellStyle name="Normal 5 4 4 2" xfId="1506"/>
    <cellStyle name="Normal 5 4 5" xfId="536"/>
    <cellStyle name="Normal 5 4 5 2" xfId="1507"/>
    <cellStyle name="Normal 5 4 6" xfId="1508"/>
    <cellStyle name="Normal 5 5" xfId="537"/>
    <cellStyle name="Normal 5 5 2" xfId="538"/>
    <cellStyle name="Normal 5 5 2 2" xfId="1509"/>
    <cellStyle name="Normal 5 5 3" xfId="1510"/>
    <cellStyle name="Normal 5 6" xfId="539"/>
    <cellStyle name="Normal 5 6 2" xfId="1511"/>
    <cellStyle name="Normal 5 7" xfId="1512"/>
    <cellStyle name="Normal 51" xfId="540"/>
    <cellStyle name="Normal 51 2" xfId="541"/>
    <cellStyle name="Normal 51 2 2" xfId="542"/>
    <cellStyle name="Normal 51 2 2 2" xfId="1513"/>
    <cellStyle name="Normal 51 2 3" xfId="1514"/>
    <cellStyle name="Normal 51 3" xfId="1515"/>
    <cellStyle name="Normal 52" xfId="543"/>
    <cellStyle name="Normal 52 2" xfId="544"/>
    <cellStyle name="Normal 52 2 2" xfId="545"/>
    <cellStyle name="Normal 52 2 2 2" xfId="1516"/>
    <cellStyle name="Normal 52 2 3" xfId="1517"/>
    <cellStyle name="Normal 52 3" xfId="1518"/>
    <cellStyle name="Normal 56" xfId="546"/>
    <cellStyle name="Normal 56 2" xfId="547"/>
    <cellStyle name="Normal 56 2 2" xfId="548"/>
    <cellStyle name="Normal 56 2 2 2" xfId="1519"/>
    <cellStyle name="Normal 56 2 3" xfId="1520"/>
    <cellStyle name="Normal 56 3" xfId="1521"/>
    <cellStyle name="Normal 57" xfId="549"/>
    <cellStyle name="Normal 57 2" xfId="550"/>
    <cellStyle name="Normal 57 2 2" xfId="551"/>
    <cellStyle name="Normal 57 2 2 2" xfId="1522"/>
    <cellStyle name="Normal 57 2 3" xfId="1523"/>
    <cellStyle name="Normal 57 3" xfId="1524"/>
    <cellStyle name="Normal 58" xfId="552"/>
    <cellStyle name="Normal 58 2" xfId="553"/>
    <cellStyle name="Normal 58 2 2" xfId="554"/>
    <cellStyle name="Normal 58 2 2 2" xfId="1525"/>
    <cellStyle name="Normal 58 2 3" xfId="1526"/>
    <cellStyle name="Normal 58 3" xfId="1527"/>
    <cellStyle name="Normal 6" xfId="555"/>
    <cellStyle name="Normal 6 2" xfId="556"/>
    <cellStyle name="Normal 6 2 2" xfId="557"/>
    <cellStyle name="Normal 6 2 2 2" xfId="558"/>
    <cellStyle name="Normal 6 2 2 2 2" xfId="559"/>
    <cellStyle name="Normal 6 2 2 2 2 2" xfId="1528"/>
    <cellStyle name="Normal 6 2 2 2 3" xfId="1529"/>
    <cellStyle name="Normal 6 2 2 3" xfId="560"/>
    <cellStyle name="Normal 6 2 2 3 2" xfId="1530"/>
    <cellStyle name="Normal 6 2 2 4" xfId="1531"/>
    <cellStyle name="Normal 6 2 3" xfId="1532"/>
    <cellStyle name="Normal 6 3" xfId="561"/>
    <cellStyle name="Normal 6 3 2" xfId="562"/>
    <cellStyle name="Normal 6 3 2 2" xfId="563"/>
    <cellStyle name="Normal 6 3 2 2 2" xfId="564"/>
    <cellStyle name="Normal 6 3 2 2 2 2" xfId="1533"/>
    <cellStyle name="Normal 6 3 2 2 3" xfId="1534"/>
    <cellStyle name="Normal 6 3 2 3" xfId="565"/>
    <cellStyle name="Normal 6 3 2 3 2" xfId="1535"/>
    <cellStyle name="Normal 6 3 2 4" xfId="1536"/>
    <cellStyle name="Normal 6 3 3" xfId="1537"/>
    <cellStyle name="Normal 6 4" xfId="566"/>
    <cellStyle name="Normal 6 4 2" xfId="567"/>
    <cellStyle name="Normal 6 4 2 2" xfId="568"/>
    <cellStyle name="Normal 6 4 2 2 2" xfId="569"/>
    <cellStyle name="Normal 6 4 2 2 2 2" xfId="1538"/>
    <cellStyle name="Normal 6 4 2 2 3" xfId="1539"/>
    <cellStyle name="Normal 6 4 2 3" xfId="570"/>
    <cellStyle name="Normal 6 4 2 3 2" xfId="1540"/>
    <cellStyle name="Normal 6 4 2 4" xfId="1541"/>
    <cellStyle name="Normal 6 4 3" xfId="1542"/>
    <cellStyle name="Normal 6 5" xfId="571"/>
    <cellStyle name="Normal 6 5 2" xfId="572"/>
    <cellStyle name="Normal 6 5 2 2" xfId="573"/>
    <cellStyle name="Normal 6 5 2 2 2" xfId="574"/>
    <cellStyle name="Normal 6 5 2 2 2 2" xfId="1543"/>
    <cellStyle name="Normal 6 5 2 2 3" xfId="1544"/>
    <cellStyle name="Normal 6 5 2 3" xfId="575"/>
    <cellStyle name="Normal 6 5 2 3 2" xfId="1545"/>
    <cellStyle name="Normal 6 5 2 4" xfId="1546"/>
    <cellStyle name="Normal 6 5 3" xfId="1547"/>
    <cellStyle name="Normal 6 6" xfId="576"/>
    <cellStyle name="Normal 6 6 2" xfId="577"/>
    <cellStyle name="Normal 6 6 2 2" xfId="578"/>
    <cellStyle name="Normal 6 6 2 2 2" xfId="1548"/>
    <cellStyle name="Normal 6 6 2 3" xfId="1549"/>
    <cellStyle name="Normal 6 6 3" xfId="579"/>
    <cellStyle name="Normal 6 6 3 2" xfId="1550"/>
    <cellStyle name="Normal 6 6 4" xfId="1551"/>
    <cellStyle name="Normal 6 7" xfId="580"/>
    <cellStyle name="Normal 6 7 2" xfId="581"/>
    <cellStyle name="Normal 6 7 2 2" xfId="1552"/>
    <cellStyle name="Normal 6 7 3" xfId="1553"/>
    <cellStyle name="Normal 6 8" xfId="582"/>
    <cellStyle name="Normal 6 8 2" xfId="1554"/>
    <cellStyle name="Normal 6 9" xfId="1555"/>
    <cellStyle name="Normal 7" xfId="583"/>
    <cellStyle name="Normal 7 2" xfId="584"/>
    <cellStyle name="Normal 7 2 2" xfId="585"/>
    <cellStyle name="Normal 7 2 2 2" xfId="586"/>
    <cellStyle name="Normal 7 2 2 2 2" xfId="1556"/>
    <cellStyle name="Normal 7 2 2 3" xfId="1557"/>
    <cellStyle name="Normal 7 2 3" xfId="587"/>
    <cellStyle name="Normal 7 2 3 2" xfId="1558"/>
    <cellStyle name="Normal 7 2 4" xfId="1559"/>
    <cellStyle name="Normal 7 3" xfId="588"/>
    <cellStyle name="Normal 7 3 2" xfId="1560"/>
    <cellStyle name="Normal 7 4" xfId="1561"/>
    <cellStyle name="Normal 8" xfId="589"/>
    <cellStyle name="Normal 8 2" xfId="590"/>
    <cellStyle name="Normal 8 2 2" xfId="591"/>
    <cellStyle name="Normal 8 2 2 2" xfId="592"/>
    <cellStyle name="Normal 8 2 2 2 2" xfId="1562"/>
    <cellStyle name="Normal 8 2 2 3" xfId="1563"/>
    <cellStyle name="Normal 8 2 3" xfId="593"/>
    <cellStyle name="Normal 8 2 3 2" xfId="1564"/>
    <cellStyle name="Normal 8 2 4" xfId="1565"/>
    <cellStyle name="Normal 8 3" xfId="594"/>
    <cellStyle name="Normal 8 3 2" xfId="1566"/>
    <cellStyle name="Normal 8 4" xfId="1567"/>
    <cellStyle name="Normal 9" xfId="595"/>
    <cellStyle name="Normal 9 2" xfId="596"/>
    <cellStyle name="Normal 9 2 2" xfId="597"/>
    <cellStyle name="Normal 9 2 2 2" xfId="598"/>
    <cellStyle name="Normal 9 2 2 2 2" xfId="1568"/>
    <cellStyle name="Normal 9 2 2 3" xfId="1569"/>
    <cellStyle name="Normal 9 2 3" xfId="599"/>
    <cellStyle name="Normal 9 2 3 2" xfId="1570"/>
    <cellStyle name="Normal 9 2 4" xfId="1571"/>
    <cellStyle name="Normal 9 3" xfId="1572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2 2 2 2" xfId="1573"/>
    <cellStyle name="Percent 3 2 2 3" xfId="1574"/>
    <cellStyle name="Percent 3 2 3" xfId="1575"/>
    <cellStyle name="Percent 3 3" xfId="628"/>
    <cellStyle name="Percent 3 3 2" xfId="629"/>
    <cellStyle name="Percent 3 3 2 2" xfId="630"/>
    <cellStyle name="Percent 3 3 2 2 2" xfId="1576"/>
    <cellStyle name="Percent 3 3 2 3" xfId="1577"/>
    <cellStyle name="Percent 3 3 3" xfId="631"/>
    <cellStyle name="Percent 3 3 3 2" xfId="1578"/>
    <cellStyle name="Percent 3 3 4" xfId="1579"/>
    <cellStyle name="Percent 3 4" xfId="632"/>
    <cellStyle name="Percent 3 4 2" xfId="1580"/>
    <cellStyle name="Percent 3 5" xfId="1581"/>
    <cellStyle name="Percent 4" xfId="633"/>
    <cellStyle name="Percent 4 2" xfId="634"/>
    <cellStyle name="Percent 4 2 2" xfId="635"/>
    <cellStyle name="Percent 4 2 2 2" xfId="1582"/>
    <cellStyle name="Percent 4 2 3" xfId="1583"/>
    <cellStyle name="Percent 4 3" xfId="636"/>
    <cellStyle name="Percent 4 3 2" xfId="1584"/>
    <cellStyle name="Percent 4 4" xfId="1585"/>
    <cellStyle name="Percent 5" xfId="637"/>
    <cellStyle name="Percent 5 2" xfId="1586"/>
    <cellStyle name="Percent 6" xfId="638"/>
    <cellStyle name="Percent 6 2" xfId="639"/>
    <cellStyle name="Percent 6 2 2" xfId="1587"/>
    <cellStyle name="Percent 6 3" xfId="1588"/>
    <cellStyle name="Percent 7" xfId="640"/>
    <cellStyle name="Percent 7 2" xfId="1589"/>
    <cellStyle name="Percent 8" xfId="641"/>
    <cellStyle name="Percent 8 2" xfId="1590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2 2" xfId="1197"/>
    <cellStyle name="一般 3 10 3" xfId="1591"/>
    <cellStyle name="一般 3 10 3 3" xfId="670"/>
    <cellStyle name="一般 3 10 3 3 2" xfId="1592"/>
    <cellStyle name="一般 3 11" xfId="1593"/>
    <cellStyle name="一般 3 14" xfId="671"/>
    <cellStyle name="一般 3 14 2" xfId="672"/>
    <cellStyle name="一般 3 14 2 2" xfId="673"/>
    <cellStyle name="一般 3 14 2 2 2" xfId="674"/>
    <cellStyle name="一般 3 14 2 2 2 2" xfId="1198"/>
    <cellStyle name="一般 3 14 2 2 2 3" xfId="675"/>
    <cellStyle name="一般 3 14 2 2 2 3 2" xfId="1594"/>
    <cellStyle name="一般 3 14 2 2 3" xfId="1595"/>
    <cellStyle name="一般 3 14 2 3" xfId="676"/>
    <cellStyle name="一般 3 14 2 3 2" xfId="677"/>
    <cellStyle name="一般 3 14 2 3 2 2" xfId="1596"/>
    <cellStyle name="一般 3 14 2 3 3" xfId="1597"/>
    <cellStyle name="一般 3 14 2 4" xfId="1598"/>
    <cellStyle name="一般 3 14 3" xfId="1599"/>
    <cellStyle name="一般 3 2" xfId="678"/>
    <cellStyle name="一般 3 2 2" xfId="679"/>
    <cellStyle name="一般 3 2 2 2" xfId="680"/>
    <cellStyle name="一般 3 2 2 2 2" xfId="1600"/>
    <cellStyle name="一般 3 2 2 3" xfId="1601"/>
    <cellStyle name="一般 3 2 3" xfId="1602"/>
    <cellStyle name="一般 3 3" xfId="681"/>
    <cellStyle name="一般 3 3 2" xfId="682"/>
    <cellStyle name="一般 3 3 2 2" xfId="683"/>
    <cellStyle name="一般 3 3 2 2 2" xfId="1603"/>
    <cellStyle name="一般 3 3 2 3" xfId="1604"/>
    <cellStyle name="一般 3 3 3" xfId="1605"/>
    <cellStyle name="一般 3 4" xfId="684"/>
    <cellStyle name="一般 3 4 2" xfId="685"/>
    <cellStyle name="一般 3 4 2 2" xfId="686"/>
    <cellStyle name="一般 3 4 2 2 2" xfId="1606"/>
    <cellStyle name="一般 3 4 2 3" xfId="1607"/>
    <cellStyle name="一般 3 4 3" xfId="1608"/>
    <cellStyle name="一般 3 5" xfId="687"/>
    <cellStyle name="一般 3 5 2" xfId="688"/>
    <cellStyle name="一般 3 5 2 10" xfId="689"/>
    <cellStyle name="一般 3 5 2 10 2" xfId="1609"/>
    <cellStyle name="一般 3 5 2 2" xfId="690"/>
    <cellStyle name="一般 3 5 2 2 2" xfId="691"/>
    <cellStyle name="一般 3 5 2 2 2 2" xfId="1610"/>
    <cellStyle name="一般 3 5 2 2 3" xfId="1611"/>
    <cellStyle name="一般 3 5 2 3" xfId="1612"/>
    <cellStyle name="一般 3 5 3" xfId="692"/>
    <cellStyle name="一般 3 5 3 2" xfId="693"/>
    <cellStyle name="一般 3 5 3 2 2" xfId="1613"/>
    <cellStyle name="一般 3 5 3 3" xfId="1614"/>
    <cellStyle name="一般 3 5 4" xfId="1615"/>
    <cellStyle name="一般 3 6" xfId="694"/>
    <cellStyle name="一般 3 6 2" xfId="695"/>
    <cellStyle name="一般 3 6 2 2" xfId="696"/>
    <cellStyle name="一般 3 6 2 2 2" xfId="1616"/>
    <cellStyle name="一般 3 6 2 3" xfId="1617"/>
    <cellStyle name="一般 3 6 3" xfId="1618"/>
    <cellStyle name="一般 3 7" xfId="697"/>
    <cellStyle name="一般 3 7 2" xfId="698"/>
    <cellStyle name="一般 3 7 2 2" xfId="699"/>
    <cellStyle name="一般 3 7 2 2 2" xfId="1619"/>
    <cellStyle name="一般 3 7 2 3" xfId="1620"/>
    <cellStyle name="一般 3 7 3" xfId="1621"/>
    <cellStyle name="一般 3 8" xfId="700"/>
    <cellStyle name="一般 3 8 2" xfId="701"/>
    <cellStyle name="一般 3 8 2 2" xfId="702"/>
    <cellStyle name="一般 3 8 2 2 2" xfId="1622"/>
    <cellStyle name="一般 3 8 2 3" xfId="1623"/>
    <cellStyle name="一般 3 8 3" xfId="1624"/>
    <cellStyle name="一般 3 9" xfId="703"/>
    <cellStyle name="一般 3 9 2" xfId="704"/>
    <cellStyle name="一般 3 9 2 2" xfId="705"/>
    <cellStyle name="一般 3 9 2 2 2" xfId="1625"/>
    <cellStyle name="一般 3 9 2 3" xfId="1626"/>
    <cellStyle name="一般 3 9 3" xfId="1627"/>
    <cellStyle name="一般 4" xfId="706"/>
    <cellStyle name="一般 4 10" xfId="707"/>
    <cellStyle name="一般 4 10 2" xfId="1628"/>
    <cellStyle name="一般 4 11" xfId="1629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2 2 2" xfId="1630"/>
    <cellStyle name="一般 4 2 2 2 2 3" xfId="1631"/>
    <cellStyle name="一般 4 2 2 2 3" xfId="713"/>
    <cellStyle name="一般 4 2 2 2 3 2" xfId="1632"/>
    <cellStyle name="一般 4 2 2 2 4" xfId="1633"/>
    <cellStyle name="一般 4 2 2 3" xfId="714"/>
    <cellStyle name="一般 4 2 2 3 2" xfId="715"/>
    <cellStyle name="一般 4 2 2 3 2 2" xfId="1634"/>
    <cellStyle name="一般 4 2 2 3 3" xfId="1635"/>
    <cellStyle name="一般 4 2 2 4" xfId="716"/>
    <cellStyle name="一般 4 2 2 4 2" xfId="1636"/>
    <cellStyle name="一般 4 2 2 5" xfId="1637"/>
    <cellStyle name="一般 4 2 3" xfId="717"/>
    <cellStyle name="一般 4 2 3 2" xfId="718"/>
    <cellStyle name="一般 4 2 3 2 2" xfId="719"/>
    <cellStyle name="一般 4 2 3 2 2 2" xfId="1638"/>
    <cellStyle name="一般 4 2 3 2 3" xfId="1639"/>
    <cellStyle name="一般 4 2 3 3" xfId="720"/>
    <cellStyle name="一般 4 2 3 3 2" xfId="1640"/>
    <cellStyle name="一般 4 2 3 4" xfId="1641"/>
    <cellStyle name="一般 4 2 4" xfId="1642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2 2 2 2 2" xfId="1643"/>
    <cellStyle name="一般 4 3 2 2 2 2 2 3" xfId="1644"/>
    <cellStyle name="一般 4 3 2 2 2 2 3" xfId="1645"/>
    <cellStyle name="一般 4 3 2 2 2 3" xfId="1646"/>
    <cellStyle name="一般 4 3 2 2 3" xfId="728"/>
    <cellStyle name="一般 4 3 2 2 3 2" xfId="729"/>
    <cellStyle name="一般 4 3 2 2 3 2 2" xfId="1647"/>
    <cellStyle name="一般 4 3 2 2 3 3" xfId="1648"/>
    <cellStyle name="一般 4 3 2 2 4" xfId="730"/>
    <cellStyle name="一般 4 3 2 2 4 2" xfId="1649"/>
    <cellStyle name="一般 4 3 2 2 5" xfId="1650"/>
    <cellStyle name="一般 4 3 2 3" xfId="731"/>
    <cellStyle name="一般 4 3 2 3 2" xfId="1651"/>
    <cellStyle name="一般 4 3 2 4" xfId="1652"/>
    <cellStyle name="一般 4 3 3" xfId="1653"/>
    <cellStyle name="一般 4 4" xfId="732"/>
    <cellStyle name="一般 4 4 2" xfId="733"/>
    <cellStyle name="一般 4 4 2 2" xfId="734"/>
    <cellStyle name="一般 4 4 2 2 2" xfId="735"/>
    <cellStyle name="一般 4 4 2 2 2 2" xfId="1654"/>
    <cellStyle name="一般 4 4 2 2 3" xfId="1655"/>
    <cellStyle name="一般 4 4 2 3" xfId="736"/>
    <cellStyle name="一般 4 4 2 3 2" xfId="1656"/>
    <cellStyle name="一般 4 4 2 4" xfId="1657"/>
    <cellStyle name="一般 4 4 3" xfId="1658"/>
    <cellStyle name="一般 4 5" xfId="737"/>
    <cellStyle name="一般 4 5 2" xfId="738"/>
    <cellStyle name="一般 4 5 2 2" xfId="739"/>
    <cellStyle name="一般 4 5 2 2 2" xfId="740"/>
    <cellStyle name="一般 4 5 2 2 2 2" xfId="1659"/>
    <cellStyle name="一般 4 5 2 2 3" xfId="1660"/>
    <cellStyle name="一般 4 5 2 3" xfId="741"/>
    <cellStyle name="一般 4 5 2 3 2" xfId="1661"/>
    <cellStyle name="一般 4 5 2 4" xfId="1662"/>
    <cellStyle name="一般 4 5 3" xfId="1663"/>
    <cellStyle name="一般 4 6" xfId="742"/>
    <cellStyle name="一般 4 6 2" xfId="743"/>
    <cellStyle name="一般 4 6 2 2" xfId="744"/>
    <cellStyle name="一般 4 6 2 2 2" xfId="745"/>
    <cellStyle name="一般 4 6 2 2 2 2" xfId="1664"/>
    <cellStyle name="一般 4 6 2 2 3" xfId="1665"/>
    <cellStyle name="一般 4 6 2 3" xfId="746"/>
    <cellStyle name="一般 4 6 2 3 2" xfId="1666"/>
    <cellStyle name="一般 4 6 2 4" xfId="1667"/>
    <cellStyle name="一般 4 6 3" xfId="1668"/>
    <cellStyle name="一般 4 7" xfId="747"/>
    <cellStyle name="一般 4 7 2" xfId="748"/>
    <cellStyle name="一般 4 7 2 2" xfId="749"/>
    <cellStyle name="一般 4 7 2 2 2" xfId="750"/>
    <cellStyle name="一般 4 7 2 2 2 2" xfId="1669"/>
    <cellStyle name="一般 4 7 2 2 3" xfId="1670"/>
    <cellStyle name="一般 4 7 2 3" xfId="751"/>
    <cellStyle name="一般 4 7 2 3 2" xfId="1671"/>
    <cellStyle name="一般 4 7 2 4" xfId="1672"/>
    <cellStyle name="一般 4 7 3" xfId="1673"/>
    <cellStyle name="一般 4 8" xfId="752"/>
    <cellStyle name="一般 4 8 2" xfId="753"/>
    <cellStyle name="一般 4 8 2 2" xfId="754"/>
    <cellStyle name="一般 4 8 2 2 2" xfId="1674"/>
    <cellStyle name="一般 4 8 2 3" xfId="1675"/>
    <cellStyle name="一般 4 8 3" xfId="755"/>
    <cellStyle name="一般 4 8 3 2" xfId="1676"/>
    <cellStyle name="一般 4 8 4" xfId="1677"/>
    <cellStyle name="一般 4 9" xfId="756"/>
    <cellStyle name="一般 4 9 2" xfId="757"/>
    <cellStyle name="一般 4 9 2 2" xfId="1678"/>
    <cellStyle name="一般 4 9 3" xfId="1679"/>
    <cellStyle name="一般 5" xfId="758"/>
    <cellStyle name="一般 5 2" xfId="759"/>
    <cellStyle name="一般 5 2 2" xfId="760"/>
    <cellStyle name="一般 5 2 2 2" xfId="761"/>
    <cellStyle name="一般 5 2 2 2 2" xfId="762"/>
    <cellStyle name="一般 5 2 2 2 2 2" xfId="1680"/>
    <cellStyle name="一般 5 2 2 2 3" xfId="1681"/>
    <cellStyle name="一般 5 2 2 3" xfId="763"/>
    <cellStyle name="一般 5 2 2 3 2" xfId="1682"/>
    <cellStyle name="一般 5 2 2 4" xfId="1683"/>
    <cellStyle name="一般 5 2 3" xfId="1684"/>
    <cellStyle name="一般 5 3" xfId="764"/>
    <cellStyle name="一般 5 3 2" xfId="765"/>
    <cellStyle name="一般 5 3 2 2" xfId="766"/>
    <cellStyle name="一般 5 3 2 2 2" xfId="767"/>
    <cellStyle name="一般 5 3 2 2 2 2" xfId="1685"/>
    <cellStyle name="一般 5 3 2 2 3" xfId="1686"/>
    <cellStyle name="一般 5 3 2 3" xfId="768"/>
    <cellStyle name="一般 5 3 2 3 2" xfId="1687"/>
    <cellStyle name="一般 5 3 2 4" xfId="1688"/>
    <cellStyle name="一般 5 3 3" xfId="1689"/>
    <cellStyle name="一般 5 4" xfId="769"/>
    <cellStyle name="一般 5 4 2" xfId="770"/>
    <cellStyle name="一般 5 4 2 2" xfId="771"/>
    <cellStyle name="一般 5 4 2 2 2" xfId="772"/>
    <cellStyle name="一般 5 4 2 2 2 2" xfId="1690"/>
    <cellStyle name="一般 5 4 2 2 3" xfId="1691"/>
    <cellStyle name="一般 5 4 2 3" xfId="773"/>
    <cellStyle name="一般 5 4 2 3 2" xfId="1692"/>
    <cellStyle name="一般 5 4 2 4" xfId="1693"/>
    <cellStyle name="一般 5 4 3" xfId="1694"/>
    <cellStyle name="一般 5 5" xfId="774"/>
    <cellStyle name="一般 5 5 2" xfId="775"/>
    <cellStyle name="一般 5 5 2 2" xfId="776"/>
    <cellStyle name="一般 5 5 2 2 2" xfId="1695"/>
    <cellStyle name="一般 5 5 2 3" xfId="1696"/>
    <cellStyle name="一般 5 5 3" xfId="777"/>
    <cellStyle name="一般 5 5 3 2" xfId="1697"/>
    <cellStyle name="一般 5 5 4" xfId="1698"/>
    <cellStyle name="一般 5 6" xfId="778"/>
    <cellStyle name="一般 5 6 2" xfId="779"/>
    <cellStyle name="一般 5 6 2 2" xfId="1699"/>
    <cellStyle name="一般 5 6 3" xfId="1700"/>
    <cellStyle name="一般 5 7" xfId="780"/>
    <cellStyle name="一般 5 7 2" xfId="1701"/>
    <cellStyle name="一般 5 8" xfId="1702"/>
    <cellStyle name="一般 6" xfId="781"/>
    <cellStyle name="一般 6 2" xfId="782"/>
    <cellStyle name="一般 6 2 2" xfId="783"/>
    <cellStyle name="一般 6 2 2 2" xfId="784"/>
    <cellStyle name="一般 6 2 2 2 2" xfId="1703"/>
    <cellStyle name="一般 6 2 2 3" xfId="1704"/>
    <cellStyle name="一般 6 2 3" xfId="785"/>
    <cellStyle name="一般 6 2 3 2" xfId="1705"/>
    <cellStyle name="一般 6 2 4" xfId="1706"/>
    <cellStyle name="一般 6 3" xfId="1707"/>
    <cellStyle name="一般 7" xfId="786"/>
    <cellStyle name="一般 7 2" xfId="787"/>
    <cellStyle name="一般 7 2 2" xfId="788"/>
    <cellStyle name="一般 7 2 2 2" xfId="789"/>
    <cellStyle name="一般 7 2 2 2 2" xfId="1708"/>
    <cellStyle name="一般 7 2 2 3" xfId="1709"/>
    <cellStyle name="一般 7 2 3" xfId="790"/>
    <cellStyle name="一般 7 2 3 2" xfId="1710"/>
    <cellStyle name="一般 7 2 4" xfId="1711"/>
    <cellStyle name="一般 7 3" xfId="1712"/>
    <cellStyle name="一般 8" xfId="791"/>
    <cellStyle name="一般 8 2" xfId="792"/>
    <cellStyle name="一般 8 2 2" xfId="793"/>
    <cellStyle name="一般 8 2 2 2" xfId="794"/>
    <cellStyle name="一般 8 2 2 2 2" xfId="795"/>
    <cellStyle name="一般 8 2 2 2 2 2" xfId="1713"/>
    <cellStyle name="一般 8 2 2 2 3" xfId="1714"/>
    <cellStyle name="一般 8 2 2 3" xfId="796"/>
    <cellStyle name="一般 8 2 2 3 2" xfId="1715"/>
    <cellStyle name="一般 8 2 2 4" xfId="1716"/>
    <cellStyle name="一般 8 2 3" xfId="1717"/>
    <cellStyle name="一般 8 3" xfId="797"/>
    <cellStyle name="一般 8 3 2" xfId="798"/>
    <cellStyle name="一般 8 3 2 2" xfId="799"/>
    <cellStyle name="一般 8 3 2 2 2" xfId="800"/>
    <cellStyle name="一般 8 3 2 2 2 2" xfId="1718"/>
    <cellStyle name="一般 8 3 2 2 3" xfId="1719"/>
    <cellStyle name="一般 8 3 2 3" xfId="801"/>
    <cellStyle name="一般 8 3 2 3 2" xfId="1720"/>
    <cellStyle name="一般 8 3 2 4" xfId="1721"/>
    <cellStyle name="一般 8 3 3" xfId="1722"/>
    <cellStyle name="一般 8 4" xfId="802"/>
    <cellStyle name="一般 8 4 2" xfId="803"/>
    <cellStyle name="一般 8 4 2 2" xfId="804"/>
    <cellStyle name="一般 8 4 2 2 2" xfId="1723"/>
    <cellStyle name="一般 8 4 2 3" xfId="1724"/>
    <cellStyle name="一般 8 4 3" xfId="805"/>
    <cellStyle name="一般 8 4 3 2" xfId="1725"/>
    <cellStyle name="一般 8 4 4" xfId="1726"/>
    <cellStyle name="一般 8 5" xfId="1727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2 2 2" xfId="1728"/>
    <cellStyle name="千位分隔 2 2 2 2 2 3" xfId="1729"/>
    <cellStyle name="千位分隔 2 2 2 2 3" xfId="813"/>
    <cellStyle name="千位分隔 2 2 2 2 3 2" xfId="1730"/>
    <cellStyle name="千位分隔 2 2 2 2 4" xfId="1731"/>
    <cellStyle name="千位分隔 2 2 2 3" xfId="1732"/>
    <cellStyle name="千位分隔 2 2 3" xfId="814"/>
    <cellStyle name="千位分隔 2 2 3 2" xfId="815"/>
    <cellStyle name="千位分隔 2 2 3 2 2" xfId="816"/>
    <cellStyle name="千位分隔 2 2 3 2 2 2" xfId="817"/>
    <cellStyle name="千位分隔 2 2 3 2 2 2 2" xfId="1733"/>
    <cellStyle name="千位分隔 2 2 3 2 2 3" xfId="1734"/>
    <cellStyle name="千位分隔 2 2 3 2 3" xfId="818"/>
    <cellStyle name="千位分隔 2 2 3 2 3 2" xfId="1735"/>
    <cellStyle name="千位分隔 2 2 3 2 4" xfId="1736"/>
    <cellStyle name="千位分隔 2 2 3 3" xfId="1737"/>
    <cellStyle name="千位分隔 2 2 4" xfId="819"/>
    <cellStyle name="千位分隔 2 2 4 2" xfId="820"/>
    <cellStyle name="千位分隔 2 2 4 2 2" xfId="821"/>
    <cellStyle name="千位分隔 2 2 4 2 2 2" xfId="822"/>
    <cellStyle name="千位分隔 2 2 4 2 2 2 2" xfId="1738"/>
    <cellStyle name="千位分隔 2 2 4 2 2 3" xfId="1739"/>
    <cellStyle name="千位分隔 2 2 4 2 3" xfId="823"/>
    <cellStyle name="千位分隔 2 2 4 2 3 2" xfId="1740"/>
    <cellStyle name="千位分隔 2 2 4 2 4" xfId="1741"/>
    <cellStyle name="千位分隔 2 2 4 3" xfId="1742"/>
    <cellStyle name="千位分隔 2 2 5" xfId="824"/>
    <cellStyle name="千位分隔 2 2 5 2" xfId="825"/>
    <cellStyle name="千位分隔 2 2 5 2 2" xfId="826"/>
    <cellStyle name="千位分隔 2 2 5 2 2 2" xfId="1743"/>
    <cellStyle name="千位分隔 2 2 5 2 3" xfId="1744"/>
    <cellStyle name="千位分隔 2 2 5 3" xfId="827"/>
    <cellStyle name="千位分隔 2 2 5 3 2" xfId="1745"/>
    <cellStyle name="千位分隔 2 2 5 4" xfId="1746"/>
    <cellStyle name="千位分隔 2 2 6" xfId="174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2 2 2" xfId="1748"/>
    <cellStyle name="千位分隔 2 3 2 2 2 3" xfId="1749"/>
    <cellStyle name="千位分隔 2 3 2 2 3" xfId="833"/>
    <cellStyle name="千位分隔 2 3 2 2 3 2" xfId="1750"/>
    <cellStyle name="千位分隔 2 3 2 2 4" xfId="1751"/>
    <cellStyle name="千位分隔 2 3 2 3" xfId="1752"/>
    <cellStyle name="千位分隔 2 3 3" xfId="834"/>
    <cellStyle name="千位分隔 2 3 3 2" xfId="835"/>
    <cellStyle name="千位分隔 2 3 3 2 2" xfId="836"/>
    <cellStyle name="千位分隔 2 3 3 2 2 2" xfId="1753"/>
    <cellStyle name="千位分隔 2 3 3 2 3" xfId="1754"/>
    <cellStyle name="千位分隔 2 3 3 3" xfId="1755"/>
    <cellStyle name="千位分隔 2 3 4" xfId="837"/>
    <cellStyle name="千位分隔 2 3 4 2" xfId="838"/>
    <cellStyle name="千位分隔 2 3 4 2 2" xfId="839"/>
    <cellStyle name="千位分隔 2 3 4 2 2 2" xfId="1756"/>
    <cellStyle name="千位分隔 2 3 4 2 3" xfId="1757"/>
    <cellStyle name="千位分隔 2 3 4 3" xfId="840"/>
    <cellStyle name="千位分隔 2 3 4 3 2" xfId="1758"/>
    <cellStyle name="千位分隔 2 3 4 4" xfId="1759"/>
    <cellStyle name="千位分隔 2 3 5" xfId="1760"/>
    <cellStyle name="千位分隔 2 4" xfId="841"/>
    <cellStyle name="千位分隔 2 4 2" xfId="842"/>
    <cellStyle name="千位分隔 2 4 2 2" xfId="843"/>
    <cellStyle name="千位分隔 2 4 2 2 2" xfId="844"/>
    <cellStyle name="千位分隔 2 4 2 2 2 2" xfId="1761"/>
    <cellStyle name="千位分隔 2 4 2 2 3" xfId="1762"/>
    <cellStyle name="千位分隔 2 4 2 3" xfId="845"/>
    <cellStyle name="千位分隔 2 4 2 3 2" xfId="1763"/>
    <cellStyle name="千位分隔 2 4 2 4" xfId="1764"/>
    <cellStyle name="千位分隔 2 4 3" xfId="1765"/>
    <cellStyle name="千位分隔 2 5" xfId="846"/>
    <cellStyle name="千位分隔 2 5 2" xfId="847"/>
    <cellStyle name="千位分隔 2 5 2 2" xfId="848"/>
    <cellStyle name="千位分隔 2 5 2 2 2" xfId="1766"/>
    <cellStyle name="千位分隔 2 5 2 3" xfId="1767"/>
    <cellStyle name="千位分隔 2 5 3" xfId="849"/>
    <cellStyle name="千位分隔 2 5 3 2" xfId="1768"/>
    <cellStyle name="千位分隔 2 5 4" xfId="1769"/>
    <cellStyle name="千位分隔 2 6" xfId="850"/>
    <cellStyle name="千位分隔 2 6 2" xfId="851"/>
    <cellStyle name="千位分隔 2 6 2 2" xfId="1770"/>
    <cellStyle name="千位分隔 2 6 3" xfId="1771"/>
    <cellStyle name="千位分隔 2 7" xfId="852"/>
    <cellStyle name="千位分隔 2 7 2" xfId="1772"/>
    <cellStyle name="千位分隔 2 8" xfId="1773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2 2 2 2" xfId="1774"/>
    <cellStyle name="千分位 3 2 2 2 3" xfId="1775"/>
    <cellStyle name="千分位 3 2 2 3" xfId="1776"/>
    <cellStyle name="千分位 3 2 3" xfId="873"/>
    <cellStyle name="千分位 3 2 3 2" xfId="874"/>
    <cellStyle name="千分位 3 2 3 2 2" xfId="1777"/>
    <cellStyle name="千分位 3 2 3 3" xfId="1778"/>
    <cellStyle name="千分位 3 2 4" xfId="1779"/>
    <cellStyle name="千分位 3 3" xfId="875"/>
    <cellStyle name="千分位 3 3 2" xfId="876"/>
    <cellStyle name="千分位 3 3 2 2" xfId="877"/>
    <cellStyle name="千分位 3 3 2 2 2" xfId="878"/>
    <cellStyle name="千分位 3 3 2 2 2 2" xfId="1780"/>
    <cellStyle name="千分位 3 3 2 2 3" xfId="1781"/>
    <cellStyle name="千分位 3 3 2 3" xfId="1782"/>
    <cellStyle name="千分位 3 3 3" xfId="879"/>
    <cellStyle name="千分位 3 3 3 2" xfId="880"/>
    <cellStyle name="千分位 3 3 3 2 2" xfId="881"/>
    <cellStyle name="千分位 3 3 3 2 2 2" xfId="1783"/>
    <cellStyle name="千分位 3 3 3 2 3" xfId="1784"/>
    <cellStyle name="千分位 3 3 3 3" xfId="1785"/>
    <cellStyle name="千分位 3 3 4" xfId="882"/>
    <cellStyle name="千分位 3 3 4 2" xfId="883"/>
    <cellStyle name="千分位 3 3 4 2 2" xfId="1786"/>
    <cellStyle name="千分位 3 3 4 3" xfId="1787"/>
    <cellStyle name="千分位 3 3 5" xfId="1788"/>
    <cellStyle name="千分位 3 4" xfId="884"/>
    <cellStyle name="千分位 3 4 2" xfId="885"/>
    <cellStyle name="千分位 3 4 2 2" xfId="886"/>
    <cellStyle name="千分位 3 4 2 2 2" xfId="1789"/>
    <cellStyle name="千分位 3 4 2 3" xfId="1790"/>
    <cellStyle name="千分位 3 4 3" xfId="1791"/>
    <cellStyle name="千分位 3 5" xfId="887"/>
    <cellStyle name="千分位 3 5 2" xfId="888"/>
    <cellStyle name="千分位 3 5 2 2" xfId="1792"/>
    <cellStyle name="千分位 3 5 3" xfId="1793"/>
    <cellStyle name="千分位 3 6" xfId="1794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2 2 2" xfId="1795"/>
    <cellStyle name="千分位 4 2 2 2 3" xfId="1796"/>
    <cellStyle name="千分位 4 2 2 3" xfId="894"/>
    <cellStyle name="千分位 4 2 2 3 2" xfId="1797"/>
    <cellStyle name="千分位 4 2 2 4" xfId="1798"/>
    <cellStyle name="千分位 4 2 3" xfId="1799"/>
    <cellStyle name="千分位 4 3" xfId="895"/>
    <cellStyle name="千分位 4 3 2" xfId="896"/>
    <cellStyle name="千分位 4 3 2 2" xfId="897"/>
    <cellStyle name="千分位 4 3 2 2 2" xfId="1800"/>
    <cellStyle name="千分位 4 3 2 3" xfId="1801"/>
    <cellStyle name="千分位 4 3 3" xfId="898"/>
    <cellStyle name="千分位 4 3 3 2" xfId="1802"/>
    <cellStyle name="千分位 4 3 4" xfId="1803"/>
    <cellStyle name="千分位 4 4" xfId="1804"/>
    <cellStyle name="千分位 5" xfId="899"/>
    <cellStyle name="千分位 5 2" xfId="900"/>
    <cellStyle name="千分位 5 2 2" xfId="901"/>
    <cellStyle name="千分位 5 2 2 2" xfId="902"/>
    <cellStyle name="千分位 5 2 2 2 2" xfId="1805"/>
    <cellStyle name="千分位 5 2 2 3" xfId="1806"/>
    <cellStyle name="千分位 5 2 3" xfId="1807"/>
    <cellStyle name="千分位 5 3" xfId="903"/>
    <cellStyle name="千分位 5 3 2" xfId="904"/>
    <cellStyle name="千分位 5 3 2 2" xfId="905"/>
    <cellStyle name="千分位 5 3 2 2 2" xfId="1808"/>
    <cellStyle name="千分位 5 3 2 3" xfId="1809"/>
    <cellStyle name="千分位 5 3 3" xfId="1810"/>
    <cellStyle name="千分位 5 4" xfId="906"/>
    <cellStyle name="千分位 5 4 2" xfId="907"/>
    <cellStyle name="千分位 5 4 2 2" xfId="908"/>
    <cellStyle name="千分位 5 4 2 2 2" xfId="909"/>
    <cellStyle name="千分位 5 4 2 2 2 2" xfId="1811"/>
    <cellStyle name="千分位 5 4 2 2 3" xfId="1812"/>
    <cellStyle name="千分位 5 4 2 3" xfId="910"/>
    <cellStyle name="千分位 5 4 2 3 2" xfId="1813"/>
    <cellStyle name="千分位 5 4 2 4" xfId="1814"/>
    <cellStyle name="千分位 5 4 3" xfId="1815"/>
    <cellStyle name="千分位 5 5" xfId="911"/>
    <cellStyle name="千分位 5 5 2" xfId="912"/>
    <cellStyle name="千分位 5 5 2 2" xfId="1816"/>
    <cellStyle name="千分位 5 5 3" xfId="1817"/>
    <cellStyle name="千分位 5 6" xfId="1818"/>
    <cellStyle name="千分位 6" xfId="913"/>
    <cellStyle name="千分位 6 2" xfId="914"/>
    <cellStyle name="千分位 6 2 2" xfId="915"/>
    <cellStyle name="千分位 6 2 2 2" xfId="916"/>
    <cellStyle name="千分位 6 2 2 2 2" xfId="1819"/>
    <cellStyle name="千分位 6 2 2 3" xfId="1820"/>
    <cellStyle name="千分位 6 2 3" xfId="1821"/>
    <cellStyle name="千分位 6 3" xfId="917"/>
    <cellStyle name="千分位 6 3 2" xfId="918"/>
    <cellStyle name="千分位 6 3 2 2" xfId="919"/>
    <cellStyle name="千分位 6 3 2 2 2" xfId="1822"/>
    <cellStyle name="千分位 6 3 2 3" xfId="1823"/>
    <cellStyle name="千分位 6 3 3" xfId="1824"/>
    <cellStyle name="千分位 6 4" xfId="920"/>
    <cellStyle name="千分位 6 4 2" xfId="921"/>
    <cellStyle name="千分位 6 4 2 2" xfId="1825"/>
    <cellStyle name="千分位 6 4 3" xfId="1826"/>
    <cellStyle name="千分位 6 5" xfId="1827"/>
    <cellStyle name="千分位 7" xfId="922"/>
    <cellStyle name="千分位 7 2" xfId="923"/>
    <cellStyle name="千分位 7 2 2" xfId="924"/>
    <cellStyle name="千分位 7 2 2 2" xfId="1828"/>
    <cellStyle name="千分位 7 2 3" xfId="1829"/>
    <cellStyle name="千分位 7 3" xfId="1830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千分位[0] 3 2 2 2" xfId="1831"/>
    <cellStyle name="千分位[0] 3 2 3" xfId="1832"/>
    <cellStyle name="千分位[0] 3 3" xfId="1833"/>
    <cellStyle name="常规 10" xfId="958"/>
    <cellStyle name="常规 10 2" xfId="959"/>
    <cellStyle name="常规 10 2 2" xfId="960"/>
    <cellStyle name="常规 10 2 2 2" xfId="961"/>
    <cellStyle name="常规 10 2 2 2 2" xfId="1834"/>
    <cellStyle name="常规 10 2 2 3" xfId="1835"/>
    <cellStyle name="常规 10 2 3" xfId="962"/>
    <cellStyle name="常规 10 2 3 2" xfId="1836"/>
    <cellStyle name="常规 10 2 4" xfId="1837"/>
    <cellStyle name="常规 10 3" xfId="963"/>
    <cellStyle name="常规 10 3 2" xfId="964"/>
    <cellStyle name="常规 10 3 2 2" xfId="1838"/>
    <cellStyle name="常规 10 3 3" xfId="1839"/>
    <cellStyle name="常规 10 4" xfId="965"/>
    <cellStyle name="常规 10 4 2" xfId="1840"/>
    <cellStyle name="常规 10 5" xfId="1841"/>
    <cellStyle name="常规 11" xfId="966"/>
    <cellStyle name="常规 11 2" xfId="967"/>
    <cellStyle name="常规 11 2 2" xfId="968"/>
    <cellStyle name="常规 11 2 2 2" xfId="969"/>
    <cellStyle name="常规 11 2 2 2 2" xfId="1842"/>
    <cellStyle name="常规 11 2 2 3" xfId="1843"/>
    <cellStyle name="常规 11 2 3" xfId="970"/>
    <cellStyle name="常规 11 2 3 2" xfId="1844"/>
    <cellStyle name="常规 11 2 4" xfId="1845"/>
    <cellStyle name="常规 11 3" xfId="971"/>
    <cellStyle name="常规 11 3 2" xfId="972"/>
    <cellStyle name="常规 11 3 2 2" xfId="1846"/>
    <cellStyle name="常规 11 3 3" xfId="1847"/>
    <cellStyle name="常规 11 4" xfId="973"/>
    <cellStyle name="常规 11 4 2" xfId="1848"/>
    <cellStyle name="常规 11 5" xfId="1849"/>
    <cellStyle name="常规 12" xfId="974"/>
    <cellStyle name="常规 12 2" xfId="975"/>
    <cellStyle name="常规 12 2 2" xfId="976"/>
    <cellStyle name="常规 12 2 2 2" xfId="977"/>
    <cellStyle name="常规 12 2 2 2 2" xfId="1850"/>
    <cellStyle name="常规 12 2 2 3" xfId="1851"/>
    <cellStyle name="常规 12 2 3" xfId="978"/>
    <cellStyle name="常规 12 2 3 2" xfId="1852"/>
    <cellStyle name="常规 12 2 4" xfId="1853"/>
    <cellStyle name="常规 12 3" xfId="979"/>
    <cellStyle name="常规 12 3 2" xfId="980"/>
    <cellStyle name="常规 12 3 2 2" xfId="1854"/>
    <cellStyle name="常规 12 3 3" xfId="1855"/>
    <cellStyle name="常规 12 4" xfId="981"/>
    <cellStyle name="常规 12 4 2" xfId="1856"/>
    <cellStyle name="常规 12 5" xfId="1857"/>
    <cellStyle name="常规 13" xfId="982"/>
    <cellStyle name="常规 13 2" xfId="983"/>
    <cellStyle name="常规 13 2 2" xfId="984"/>
    <cellStyle name="常规 13 2 2 2" xfId="985"/>
    <cellStyle name="常规 13 2 2 2 2" xfId="1858"/>
    <cellStyle name="常规 13 2 2 3" xfId="1859"/>
    <cellStyle name="常规 13 2 3" xfId="986"/>
    <cellStyle name="常规 13 2 3 2" xfId="1860"/>
    <cellStyle name="常规 13 2 4" xfId="1861"/>
    <cellStyle name="常规 13 3" xfId="987"/>
    <cellStyle name="常规 13 3 2" xfId="988"/>
    <cellStyle name="常规 13 3 2 2" xfId="1862"/>
    <cellStyle name="常规 13 3 3" xfId="1863"/>
    <cellStyle name="常规 13 4" xfId="989"/>
    <cellStyle name="常规 13 4 2" xfId="1864"/>
    <cellStyle name="常规 13 5" xfId="1865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2 2 2" xfId="1866"/>
    <cellStyle name="常规 2 2 2 2 3" xfId="1867"/>
    <cellStyle name="常规 2 2 2 3" xfId="1051"/>
    <cellStyle name="常规 2 2 2 3 2" xfId="1868"/>
    <cellStyle name="常规 2 2 2 4" xfId="1869"/>
    <cellStyle name="常规 2 2 3" xfId="1870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2 2 2" xfId="1871"/>
    <cellStyle name="常规 2 4 2 2 3" xfId="1872"/>
    <cellStyle name="常规 2 4 2 3" xfId="1076"/>
    <cellStyle name="常规 2 4 2 3 2" xfId="1873"/>
    <cellStyle name="常规 2 4 2 4" xfId="1874"/>
    <cellStyle name="常规 2 4 3" xfId="1875"/>
    <cellStyle name="常规 2 5" xfId="1077"/>
    <cellStyle name="常规 2 5 2" xfId="1078"/>
    <cellStyle name="常规 2 5 2 2" xfId="1079"/>
    <cellStyle name="常规 2 5 2 2 2" xfId="1876"/>
    <cellStyle name="常规 2 5 2 3" xfId="1877"/>
    <cellStyle name="常规 2 5 3" xfId="1080"/>
    <cellStyle name="常规 2 5 3 2" xfId="1878"/>
    <cellStyle name="常规 2 5 4" xfId="1879"/>
    <cellStyle name="常规 2 6" xfId="1081"/>
    <cellStyle name="常规 2 6 2" xfId="1082"/>
    <cellStyle name="常规 2 6 2 2" xfId="1880"/>
    <cellStyle name="常规 2 6 3" xfId="1881"/>
    <cellStyle name="常规 2 7" xfId="1083"/>
    <cellStyle name="常规 2 7 2" xfId="1882"/>
    <cellStyle name="常规 2 8" xfId="1084"/>
    <cellStyle name="常规 2 8 2" xfId="1883"/>
    <cellStyle name="常规 2 9" xfId="18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2 2 2" xfId="1885"/>
    <cellStyle name="常规 3 2 2 2 3" xfId="1886"/>
    <cellStyle name="常规 3 2 2 3" xfId="1090"/>
    <cellStyle name="常规 3 2 2 3 2" xfId="1887"/>
    <cellStyle name="常规 3 2 2 4" xfId="1888"/>
    <cellStyle name="常规 3 2 3" xfId="1091"/>
    <cellStyle name="常规 3 2 3 2" xfId="1092"/>
    <cellStyle name="常规 3 2 3 2 2" xfId="1889"/>
    <cellStyle name="常规 3 2 3 3" xfId="1890"/>
    <cellStyle name="常规 3 2 4" xfId="1093"/>
    <cellStyle name="常规 3 2 4 2" xfId="1891"/>
    <cellStyle name="常规 3 2 5" xfId="1892"/>
    <cellStyle name="常规 3 3" xfId="1094"/>
    <cellStyle name="常规 3 3 2" xfId="1095"/>
    <cellStyle name="常规 3 3 2 2" xfId="1096"/>
    <cellStyle name="常规 3 3 2 2 2" xfId="1097"/>
    <cellStyle name="常规 3 3 2 2 2 2" xfId="1893"/>
    <cellStyle name="常规 3 3 2 2 3" xfId="1894"/>
    <cellStyle name="常规 3 3 2 3" xfId="1098"/>
    <cellStyle name="常规 3 3 2 3 2" xfId="1895"/>
    <cellStyle name="常规 3 3 2 4" xfId="1896"/>
    <cellStyle name="常规 3 3 3" xfId="1099"/>
    <cellStyle name="常规 3 3 3 2" xfId="1100"/>
    <cellStyle name="常规 3 3 3 2 2" xfId="1897"/>
    <cellStyle name="常规 3 3 3 3" xfId="1898"/>
    <cellStyle name="常规 3 3 4" xfId="1101"/>
    <cellStyle name="常规 3 3 4 2" xfId="1899"/>
    <cellStyle name="常规 3 3 5" xfId="1900"/>
    <cellStyle name="常规 3 4" xfId="1102"/>
    <cellStyle name="常规 3 4 2" xfId="1103"/>
    <cellStyle name="常规 3 4 2 2" xfId="1104"/>
    <cellStyle name="常规 3 4 2 2 2" xfId="1105"/>
    <cellStyle name="常规 3 4 2 2 2 2" xfId="1901"/>
    <cellStyle name="常规 3 4 2 2 3" xfId="1902"/>
    <cellStyle name="常规 3 4 2 3" xfId="1106"/>
    <cellStyle name="常规 3 4 2 3 2" xfId="1903"/>
    <cellStyle name="常规 3 4 2 4" xfId="1904"/>
    <cellStyle name="常规 3 4 3" xfId="1107"/>
    <cellStyle name="常规 3 4 3 2" xfId="1108"/>
    <cellStyle name="常规 3 4 3 2 2" xfId="1905"/>
    <cellStyle name="常规 3 4 3 3" xfId="1906"/>
    <cellStyle name="常规 3 4 4" xfId="1109"/>
    <cellStyle name="常规 3 4 4 2" xfId="1907"/>
    <cellStyle name="常规 3 4 5" xfId="1908"/>
    <cellStyle name="常规 3 5" xfId="1110"/>
    <cellStyle name="常规 3 5 2" xfId="1111"/>
    <cellStyle name="常规 3 5 2 2" xfId="1112"/>
    <cellStyle name="常规 3 5 2 2 2" xfId="1113"/>
    <cellStyle name="常规 3 5 2 2 2 2" xfId="1909"/>
    <cellStyle name="常规 3 5 2 2 3" xfId="1910"/>
    <cellStyle name="常规 3 5 2 3" xfId="1114"/>
    <cellStyle name="常规 3 5 2 3 2" xfId="1911"/>
    <cellStyle name="常规 3 5 2 4" xfId="1912"/>
    <cellStyle name="常规 3 5 3" xfId="1115"/>
    <cellStyle name="常规 3 5 3 2" xfId="1116"/>
    <cellStyle name="常规 3 5 3 2 2" xfId="1913"/>
    <cellStyle name="常规 3 5 3 3" xfId="1914"/>
    <cellStyle name="常规 3 5 4" xfId="1117"/>
    <cellStyle name="常规 3 5 4 2" xfId="1915"/>
    <cellStyle name="常规 3 5 5" xfId="1916"/>
    <cellStyle name="常规 3 6" xfId="1118"/>
    <cellStyle name="常规 3 6 2" xfId="1119"/>
    <cellStyle name="常规 3 6 2 2" xfId="1120"/>
    <cellStyle name="常规 3 6 2 2 2" xfId="1121"/>
    <cellStyle name="常规 3 6 2 2 2 2" xfId="1917"/>
    <cellStyle name="常规 3 6 2 2 3" xfId="1918"/>
    <cellStyle name="常规 3 6 2 3" xfId="1122"/>
    <cellStyle name="常规 3 6 2 3 2" xfId="1919"/>
    <cellStyle name="常规 3 6 2 4" xfId="1920"/>
    <cellStyle name="常规 3 6 3" xfId="1123"/>
    <cellStyle name="常规 3 6 3 2" xfId="1124"/>
    <cellStyle name="常规 3 6 3 2 2" xfId="1921"/>
    <cellStyle name="常规 3 6 3 3" xfId="1922"/>
    <cellStyle name="常规 3 6 4" xfId="1125"/>
    <cellStyle name="常规 3 6 4 2" xfId="1923"/>
    <cellStyle name="常规 3 6 5" xfId="1924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2 2 2" xfId="1925"/>
    <cellStyle name="常规 4 2 2 3" xfId="1926"/>
    <cellStyle name="常规 4 2 3" xfId="1143"/>
    <cellStyle name="常规 4 2 3 2" xfId="1927"/>
    <cellStyle name="常规 4 2 4" xfId="1928"/>
    <cellStyle name="常规 4 3" xfId="1144"/>
    <cellStyle name="常规 4 3 2" xfId="1145"/>
    <cellStyle name="常规 4 3 2 2" xfId="1929"/>
    <cellStyle name="常规 4 3 3" xfId="1930"/>
    <cellStyle name="常规 4 4" xfId="1146"/>
    <cellStyle name="常规 4 4 2" xfId="1931"/>
    <cellStyle name="常规 4 5" xfId="1932"/>
    <cellStyle name="常规 5" xfId="1147"/>
    <cellStyle name="常规 5 2" xfId="1148"/>
    <cellStyle name="常规 5 2 2" xfId="1149"/>
    <cellStyle name="常规 5 2 2 2" xfId="1150"/>
    <cellStyle name="常规 5 2 2 2 2" xfId="1933"/>
    <cellStyle name="常规 5 2 2 3" xfId="1934"/>
    <cellStyle name="常规 5 2 3" xfId="1151"/>
    <cellStyle name="常规 5 2 3 2" xfId="1935"/>
    <cellStyle name="常规 5 2 4" xfId="1936"/>
    <cellStyle name="常规 5 3" xfId="1152"/>
    <cellStyle name="常规 5 3 2" xfId="1153"/>
    <cellStyle name="常规 5 3 2 2" xfId="1937"/>
    <cellStyle name="常规 5 3 3" xfId="1938"/>
    <cellStyle name="常规 5 4" xfId="1154"/>
    <cellStyle name="常规 5 4 2" xfId="1939"/>
    <cellStyle name="常规 5 5" xfId="1940"/>
    <cellStyle name="常规 6" xfId="1155"/>
    <cellStyle name="常规 6 2" xfId="1156"/>
    <cellStyle name="常规 6 2 2" xfId="1157"/>
    <cellStyle name="常规 6 2 2 2" xfId="1158"/>
    <cellStyle name="常规 6 2 2 2 2" xfId="1941"/>
    <cellStyle name="常规 6 2 2 3" xfId="1942"/>
    <cellStyle name="常规 6 2 3" xfId="1159"/>
    <cellStyle name="常规 6 2 3 2" xfId="1943"/>
    <cellStyle name="常规 6 2 4" xfId="1944"/>
    <cellStyle name="常规 6 3" xfId="1160"/>
    <cellStyle name="常规 6 3 2" xfId="1161"/>
    <cellStyle name="常规 6 3 2 2" xfId="1945"/>
    <cellStyle name="常规 6 3 3" xfId="1946"/>
    <cellStyle name="常规 6 4" xfId="1162"/>
    <cellStyle name="常规 6 4 2" xfId="1947"/>
    <cellStyle name="常规 6 5" xfId="1948"/>
    <cellStyle name="常规 7" xfId="1163"/>
    <cellStyle name="常规 7 2" xfId="1164"/>
    <cellStyle name="常规 7 2 2" xfId="1165"/>
    <cellStyle name="常规 7 2 2 2" xfId="1166"/>
    <cellStyle name="常规 7 2 2 2 2" xfId="1949"/>
    <cellStyle name="常规 7 2 2 3" xfId="1950"/>
    <cellStyle name="常规 7 2 3" xfId="1167"/>
    <cellStyle name="常规 7 2 3 2" xfId="1951"/>
    <cellStyle name="常规 7 2 4" xfId="1952"/>
    <cellStyle name="常规 7 3" xfId="1168"/>
    <cellStyle name="常规 7 3 2" xfId="1169"/>
    <cellStyle name="常规 7 3 2 2" xfId="1953"/>
    <cellStyle name="常规 7 3 3" xfId="1954"/>
    <cellStyle name="常规 7 4" xfId="1170"/>
    <cellStyle name="常规 7 4 2" xfId="1955"/>
    <cellStyle name="常规 7 5" xfId="1956"/>
    <cellStyle name="常规 8" xfId="1171"/>
    <cellStyle name="常规 8 2" xfId="1172"/>
    <cellStyle name="常规 8 2 2" xfId="1173"/>
    <cellStyle name="常规 8 2 2 2" xfId="1174"/>
    <cellStyle name="常规 8 2 2 2 2" xfId="1957"/>
    <cellStyle name="常规 8 2 2 3" xfId="1958"/>
    <cellStyle name="常规 8 2 3" xfId="1175"/>
    <cellStyle name="常规 8 2 3 2" xfId="1959"/>
    <cellStyle name="常规 8 2 4" xfId="1960"/>
    <cellStyle name="常规 8 3" xfId="1176"/>
    <cellStyle name="常规 8 3 2" xfId="1177"/>
    <cellStyle name="常规 8 3 2 2" xfId="1961"/>
    <cellStyle name="常规 8 3 3" xfId="1962"/>
    <cellStyle name="常规 8 4" xfId="1178"/>
    <cellStyle name="常规 8 4 2" xfId="1963"/>
    <cellStyle name="常规 8 5" xfId="1964"/>
    <cellStyle name="常规 9" xfId="1179"/>
    <cellStyle name="常规 9 2" xfId="1180"/>
    <cellStyle name="常规 9 2 2" xfId="1181"/>
    <cellStyle name="常规 9 2 2 2" xfId="1182"/>
    <cellStyle name="常规 9 2 2 2 2" xfId="1965"/>
    <cellStyle name="常规 9 2 2 3" xfId="1966"/>
    <cellStyle name="常规 9 2 3" xfId="1183"/>
    <cellStyle name="常规 9 2 3 2" xfId="1967"/>
    <cellStyle name="常规 9 2 4" xfId="1968"/>
    <cellStyle name="常规 9 3" xfId="1184"/>
    <cellStyle name="常规 9 3 2" xfId="1185"/>
    <cellStyle name="常规 9 3 2 2" xfId="1969"/>
    <cellStyle name="常规 9 3 3" xfId="1970"/>
    <cellStyle name="常规 9 4" xfId="1186"/>
    <cellStyle name="常规 9 4 2" xfId="1971"/>
    <cellStyle name="常规 9 5" xfId="1972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百分比 3 2 2 2" xfId="1973"/>
    <cellStyle name="百分比 3 2 3" xfId="1974"/>
    <cellStyle name="百分比 3 3" xfId="1975"/>
    <cellStyle name="貨幣 [0] 2" xfId="1193"/>
    <cellStyle name="貨幣 [0] 2 2" xfId="1194"/>
    <cellStyle name="貨幣 [0] 2 2 2" xfId="1195"/>
    <cellStyle name="貨幣 [0] 2 2 2 2" xfId="1976"/>
    <cellStyle name="貨幣 [0] 2 2 3" xfId="1977"/>
    <cellStyle name="貨幣 [0] 2 3" xfId="1978"/>
  </cellStyles>
  <dxfs count="27"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>
        <row r="5">
          <cell r="G5">
            <v>765</v>
          </cell>
        </row>
        <row r="10">
          <cell r="G10">
            <v>1657.5</v>
          </cell>
        </row>
        <row r="14">
          <cell r="G14">
            <v>2295</v>
          </cell>
        </row>
        <row r="19">
          <cell r="G19">
            <v>2827.44</v>
          </cell>
        </row>
        <row r="30">
          <cell r="G30">
            <v>4039.2</v>
          </cell>
        </row>
      </sheetData>
      <sheetData sheetId="10">
        <row r="10">
          <cell r="G10">
            <v>447.12</v>
          </cell>
        </row>
        <row r="13">
          <cell r="G13">
            <v>780.84</v>
          </cell>
        </row>
      </sheetData>
      <sheetData sheetId="11">
        <row r="9">
          <cell r="G9">
            <v>900</v>
          </cell>
        </row>
        <row r="27">
          <cell r="G27">
            <v>405.6</v>
          </cell>
        </row>
        <row r="30">
          <cell r="G30">
            <v>803.25</v>
          </cell>
        </row>
        <row r="31">
          <cell r="G31">
            <v>1147.5</v>
          </cell>
        </row>
      </sheetData>
      <sheetData sheetId="12">
        <row r="5">
          <cell r="I5">
            <v>10851.063829787199</v>
          </cell>
        </row>
        <row r="6">
          <cell r="I6">
            <v>9967.4267100977195</v>
          </cell>
        </row>
        <row r="7">
          <cell r="I7">
            <v>8668.5552407931991</v>
          </cell>
        </row>
        <row r="8">
          <cell r="I8">
            <v>7806.1224489795904</v>
          </cell>
        </row>
        <row r="9">
          <cell r="I9">
            <v>6496.8152866241999</v>
          </cell>
        </row>
        <row r="11">
          <cell r="I11">
            <v>4334.2776203965996</v>
          </cell>
        </row>
        <row r="20">
          <cell r="I20">
            <v>2167.1388101982998</v>
          </cell>
        </row>
        <row r="27">
          <cell r="I27">
            <v>2602.0408163265301</v>
          </cell>
        </row>
        <row r="28">
          <cell r="I28">
            <v>2167.1388101982998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6"/>
  <sheetViews>
    <sheetView showGridLines="0" tabSelected="1" topLeftCell="H1" workbookViewId="0">
      <pane ySplit="2" topLeftCell="A104" activePane="bottomLeft" state="frozen"/>
      <selection pane="bottomLeft" activeCell="W114" sqref="W114"/>
    </sheetView>
  </sheetViews>
  <sheetFormatPr defaultColWidth="9.140625" defaultRowHeight="15"/>
  <cols>
    <col min="1" max="1" width="15.140625" style="1" customWidth="1"/>
    <col min="2" max="2" width="18.140625" style="1" customWidth="1"/>
    <col min="3" max="4" width="12" style="2" customWidth="1"/>
    <col min="5" max="5" width="12" style="2" hidden="1" customWidth="1"/>
    <col min="6" max="6" width="11.5703125" style="2" customWidth="1"/>
    <col min="7" max="7" width="23.140625" style="1" customWidth="1"/>
    <col min="8" max="8" width="62.85546875" style="1" customWidth="1"/>
    <col min="9" max="9" width="7.7109375" style="1" customWidth="1"/>
    <col min="10" max="11" width="7.7109375" style="5" customWidth="1"/>
    <col min="12" max="12" width="7.7109375" style="3" customWidth="1"/>
    <col min="13" max="13" width="7.7109375" style="1" customWidth="1"/>
    <col min="14" max="14" width="7.7109375" style="157" customWidth="1"/>
    <col min="15" max="22" width="7.7109375" style="186" customWidth="1"/>
    <col min="23" max="23" width="7.7109375" style="1" customWidth="1"/>
    <col min="24" max="25" width="7.7109375" style="5" customWidth="1"/>
    <col min="26" max="26" width="7.7109375" style="3" customWidth="1"/>
    <col min="27" max="27" width="7.7109375" style="1" customWidth="1"/>
    <col min="28" max="28" width="7.7109375" style="157" customWidth="1"/>
    <col min="29" max="29" width="7.7109375" style="186" customWidth="1"/>
    <col min="30" max="30" width="7.7109375" style="1" customWidth="1"/>
    <col min="31" max="32" width="7.7109375" style="5" customWidth="1"/>
    <col min="33" max="33" width="7.7109375" style="3" customWidth="1"/>
    <col min="34" max="34" width="7.7109375" style="1" customWidth="1"/>
    <col min="35" max="35" width="7.7109375" style="157" customWidth="1"/>
    <col min="36" max="36" width="7.7109375" style="186" customWidth="1"/>
    <col min="37" max="37" width="7.7109375" style="5" customWidth="1"/>
    <col min="38" max="38" width="7.5703125" style="5" customWidth="1"/>
    <col min="39" max="39" width="7.7109375" style="4" customWidth="1"/>
    <col min="40" max="40" width="11.7109375" style="2" customWidth="1"/>
    <col min="41" max="41" width="13.42578125" style="2" customWidth="1"/>
    <col min="42" max="49" width="11.7109375" style="2" customWidth="1"/>
    <col min="50" max="16384" width="9.140625" style="1"/>
  </cols>
  <sheetData>
    <row r="1" spans="1:51" s="5" customFormat="1" ht="41.45" customHeight="1" thickBot="1">
      <c r="A1" s="159" t="s">
        <v>127</v>
      </c>
      <c r="C1" s="4"/>
      <c r="D1" s="4"/>
      <c r="E1" s="4"/>
      <c r="F1" s="4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1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1" s="99" customFormat="1" ht="41.45" customHeight="1" thickBot="1">
      <c r="A2" s="108" t="s">
        <v>126</v>
      </c>
      <c r="B2" s="104" t="s">
        <v>125</v>
      </c>
      <c r="C2" s="107" t="s">
        <v>124</v>
      </c>
      <c r="D2" s="106" t="s">
        <v>123</v>
      </c>
      <c r="E2" s="105" t="s">
        <v>122</v>
      </c>
      <c r="F2" s="105" t="s">
        <v>121</v>
      </c>
      <c r="G2" s="104" t="s">
        <v>120</v>
      </c>
      <c r="H2" s="103" t="s">
        <v>119</v>
      </c>
      <c r="I2" s="102">
        <v>45383</v>
      </c>
      <c r="J2" s="102">
        <v>45384</v>
      </c>
      <c r="K2" s="102">
        <v>45385</v>
      </c>
      <c r="L2" s="102">
        <v>45386</v>
      </c>
      <c r="M2" s="102">
        <v>45387</v>
      </c>
      <c r="N2" s="428">
        <v>45388</v>
      </c>
      <c r="O2" s="427">
        <v>45389</v>
      </c>
      <c r="P2" s="427">
        <v>45390</v>
      </c>
      <c r="Q2" s="427">
        <v>45391</v>
      </c>
      <c r="R2" s="427">
        <v>45392</v>
      </c>
      <c r="S2" s="427">
        <v>45393</v>
      </c>
      <c r="T2" s="427">
        <v>45394</v>
      </c>
      <c r="U2" s="427">
        <v>45395</v>
      </c>
      <c r="V2" s="427">
        <v>45396</v>
      </c>
      <c r="W2" s="102">
        <v>45397</v>
      </c>
      <c r="X2" s="102">
        <v>45398</v>
      </c>
      <c r="Y2" s="102">
        <v>45399</v>
      </c>
      <c r="Z2" s="102">
        <v>45400</v>
      </c>
      <c r="AA2" s="102">
        <v>45401</v>
      </c>
      <c r="AB2" s="428">
        <v>45402</v>
      </c>
      <c r="AC2" s="427">
        <v>45403</v>
      </c>
      <c r="AD2" s="102">
        <v>45404</v>
      </c>
      <c r="AE2" s="102">
        <v>45405</v>
      </c>
      <c r="AF2" s="102">
        <v>45406</v>
      </c>
      <c r="AG2" s="102">
        <v>45407</v>
      </c>
      <c r="AH2" s="102">
        <v>45408</v>
      </c>
      <c r="AI2" s="428">
        <v>45409</v>
      </c>
      <c r="AJ2" s="427">
        <v>45410</v>
      </c>
      <c r="AK2" s="102">
        <v>45411</v>
      </c>
      <c r="AL2" s="102">
        <v>45412</v>
      </c>
      <c r="AM2" s="188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0"/>
      <c r="AY2" s="100"/>
    </row>
    <row r="3" spans="1:51" ht="15.75" hidden="1" customHeight="1">
      <c r="A3" s="98"/>
      <c r="B3" s="232" t="s">
        <v>118</v>
      </c>
      <c r="C3" s="231">
        <v>35000</v>
      </c>
      <c r="D3" s="216">
        <v>1.59</v>
      </c>
      <c r="E3" s="208"/>
      <c r="F3" s="198" t="s">
        <v>113</v>
      </c>
      <c r="G3" s="97">
        <v>0.08</v>
      </c>
      <c r="H3" s="32" t="s">
        <v>31</v>
      </c>
      <c r="I3" s="96">
        <f>((10.29*2%)+10.29)*($C$3/1000)</f>
        <v>367.35299999999995</v>
      </c>
      <c r="J3" s="96">
        <f t="shared" ref="J3:K3" si="0">((10.29*2%)+10.29)*($C$3/1000)</f>
        <v>367.35299999999995</v>
      </c>
      <c r="K3" s="96">
        <f t="shared" si="0"/>
        <v>367.35299999999995</v>
      </c>
      <c r="L3" s="96">
        <f>((10.29*2%)+10.29)*($C$3/1000)</f>
        <v>367.35299999999995</v>
      </c>
      <c r="M3" s="96">
        <f>((10.29*2%)+10.29)*($C$3/1000)</f>
        <v>367.35299999999995</v>
      </c>
      <c r="N3" s="138"/>
      <c r="O3" s="160"/>
      <c r="P3" s="160">
        <f>((10.29*2%)+10.29)*($C$3/1000)</f>
        <v>367.35299999999995</v>
      </c>
      <c r="Q3" s="160">
        <f t="shared" ref="Q3:S3" si="1">((10.29*2%)+10.29)*($C$3/1000)</f>
        <v>367.35299999999995</v>
      </c>
      <c r="R3" s="160">
        <f t="shared" si="1"/>
        <v>367.35299999999995</v>
      </c>
      <c r="S3" s="160">
        <f t="shared" si="1"/>
        <v>367.35299999999995</v>
      </c>
      <c r="T3" s="163">
        <f>((10.29*2%)+10.29)*($C$3/1000)</f>
        <v>367.35299999999995</v>
      </c>
      <c r="U3" s="163">
        <f>((10.29*2%)+10.29)*($C$3/1000)</f>
        <v>367.35299999999995</v>
      </c>
      <c r="V3" s="163">
        <f>((10.29*2%)+10.29)*($C$3/1000)</f>
        <v>367.35299999999995</v>
      </c>
      <c r="W3" s="92">
        <f>((10.29*2%)+10.29)*($C$3/1000)</f>
        <v>367.35299999999995</v>
      </c>
      <c r="X3" s="92">
        <f t="shared" ref="X3:Y3" si="2">((10.29*2%)+10.29)*($C$3/1000)</f>
        <v>367.35299999999995</v>
      </c>
      <c r="Y3" s="92">
        <f t="shared" si="2"/>
        <v>367.35299999999995</v>
      </c>
      <c r="Z3" s="92">
        <f>((10.29*2%)+10.29)*(AA$34/1000)</f>
        <v>367.35299999999995</v>
      </c>
      <c r="AA3" s="92">
        <f>((10.29*2%)+10.29)*(AA$34/1000)</f>
        <v>367.35299999999995</v>
      </c>
      <c r="AB3" s="141">
        <f>((10.29*2%)+10.29)*(AB$34/1000)</f>
        <v>0</v>
      </c>
      <c r="AC3" s="163">
        <f>((10.29*2%)+10.29)*(AC$34/1000)</f>
        <v>0</v>
      </c>
      <c r="AD3" s="92">
        <f>((10.29*2%)+10.29)*(AD$34/1000)</f>
        <v>367.35299999999995</v>
      </c>
      <c r="AE3" s="92">
        <f t="shared" ref="AE3:AF3" si="3">((10.29*2%)+10.29)*(AE$34/1000)</f>
        <v>367.35299999999995</v>
      </c>
      <c r="AF3" s="92">
        <f t="shared" si="3"/>
        <v>367.35299999999995</v>
      </c>
      <c r="AG3" s="92">
        <f>((10.29*2%)+10.29)*(AG$34/1000)</f>
        <v>367.35299999999995</v>
      </c>
      <c r="AH3" s="92">
        <f>((10.29*2%)+10.29)*(AH$34/1000)</f>
        <v>367.35299999999995</v>
      </c>
      <c r="AI3" s="141">
        <f>((10.29*2%)+10.29)*(AI$34/1000)</f>
        <v>0</v>
      </c>
      <c r="AJ3" s="163">
        <f>((10.29*2%)+10.29)*(AJ$34/1000)</f>
        <v>0</v>
      </c>
      <c r="AK3" s="92">
        <f t="shared" ref="AK3:AM3" si="4">((10.29*2%)+10.29)*(AK$34/1000)</f>
        <v>367.35299999999995</v>
      </c>
      <c r="AL3" s="92">
        <f t="shared" si="4"/>
        <v>367.35299999999995</v>
      </c>
      <c r="AM3" s="92"/>
      <c r="AN3" s="194"/>
      <c r="AO3" s="7"/>
      <c r="AP3" s="6"/>
      <c r="AQ3" s="6"/>
      <c r="AR3" s="6"/>
      <c r="AS3" s="6"/>
      <c r="AT3" s="7"/>
      <c r="AU3" s="7"/>
      <c r="AV3" s="7"/>
      <c r="AW3" s="7"/>
    </row>
    <row r="4" spans="1:51" ht="15" hidden="1" customHeight="1">
      <c r="A4" s="90"/>
      <c r="B4" s="233"/>
      <c r="C4" s="200"/>
      <c r="D4" s="217"/>
      <c r="E4" s="209"/>
      <c r="F4" s="199"/>
      <c r="G4" s="73"/>
      <c r="H4" s="23" t="s">
        <v>26</v>
      </c>
      <c r="I4" s="95">
        <v>1.5</v>
      </c>
      <c r="J4" s="95">
        <v>1.5</v>
      </c>
      <c r="K4" s="95">
        <v>1.5</v>
      </c>
      <c r="L4" s="95">
        <v>1.5</v>
      </c>
      <c r="M4" s="95">
        <v>1.5</v>
      </c>
      <c r="N4" s="139"/>
      <c r="O4" s="161"/>
      <c r="P4" s="161">
        <v>1.5</v>
      </c>
      <c r="Q4" s="161">
        <v>1.5</v>
      </c>
      <c r="R4" s="161">
        <v>1.5</v>
      </c>
      <c r="S4" s="161">
        <v>1.5</v>
      </c>
      <c r="T4" s="161">
        <v>1.5</v>
      </c>
      <c r="U4" s="161">
        <v>1.5</v>
      </c>
      <c r="V4" s="161">
        <v>1.5</v>
      </c>
      <c r="W4" s="95">
        <v>1.5</v>
      </c>
      <c r="X4" s="95">
        <v>1.5</v>
      </c>
      <c r="Y4" s="95">
        <v>1.5</v>
      </c>
      <c r="Z4" s="95">
        <v>1.5</v>
      </c>
      <c r="AA4" s="95">
        <v>1.5</v>
      </c>
      <c r="AB4" s="139">
        <v>1.5</v>
      </c>
      <c r="AC4" s="161">
        <v>1.5</v>
      </c>
      <c r="AD4" s="95">
        <v>1.5</v>
      </c>
      <c r="AE4" s="95">
        <v>1.5</v>
      </c>
      <c r="AF4" s="95">
        <v>1.5</v>
      </c>
      <c r="AG4" s="95">
        <v>1.5</v>
      </c>
      <c r="AH4" s="95">
        <v>1.5</v>
      </c>
      <c r="AI4" s="139">
        <v>1.5</v>
      </c>
      <c r="AJ4" s="161">
        <v>1.5</v>
      </c>
      <c r="AK4" s="95">
        <v>1.5</v>
      </c>
      <c r="AL4" s="95">
        <v>1.5</v>
      </c>
      <c r="AM4" s="95"/>
      <c r="AN4" s="194"/>
      <c r="AO4" s="7"/>
      <c r="AP4" s="6"/>
      <c r="AQ4" s="6"/>
      <c r="AR4" s="6"/>
      <c r="AS4" s="6"/>
      <c r="AT4" s="7"/>
      <c r="AU4" s="7"/>
      <c r="AV4" s="7"/>
      <c r="AW4" s="7"/>
    </row>
    <row r="5" spans="1:51" ht="15" hidden="1" customHeight="1">
      <c r="A5" s="88"/>
      <c r="B5" s="234"/>
      <c r="C5" s="200"/>
      <c r="D5" s="217"/>
      <c r="E5" s="209"/>
      <c r="F5" s="199"/>
      <c r="G5" s="27"/>
      <c r="H5" s="26" t="s">
        <v>0</v>
      </c>
      <c r="I5" s="93"/>
      <c r="J5" s="93"/>
      <c r="K5" s="93"/>
      <c r="L5" s="93"/>
      <c r="M5" s="93"/>
      <c r="N5" s="140"/>
      <c r="O5" s="162"/>
      <c r="P5" s="162"/>
      <c r="Q5" s="162"/>
      <c r="R5" s="162"/>
      <c r="S5" s="162"/>
      <c r="T5" s="162"/>
      <c r="U5" s="162"/>
      <c r="V5" s="162"/>
      <c r="W5" s="93"/>
      <c r="X5" s="93"/>
      <c r="Y5" s="93"/>
      <c r="Z5" s="93"/>
      <c r="AA5" s="93"/>
      <c r="AB5" s="140"/>
      <c r="AC5" s="162"/>
      <c r="AD5" s="93"/>
      <c r="AE5" s="93"/>
      <c r="AF5" s="93"/>
      <c r="AG5" s="93"/>
      <c r="AH5" s="93"/>
      <c r="AI5" s="140"/>
      <c r="AJ5" s="162"/>
      <c r="AK5" s="114"/>
      <c r="AL5" s="27"/>
      <c r="AM5" s="113"/>
      <c r="AN5" s="194"/>
      <c r="AO5" s="7"/>
      <c r="AP5" s="6"/>
      <c r="AQ5" s="6"/>
      <c r="AR5" s="6"/>
      <c r="AS5" s="6"/>
      <c r="AT5" s="7"/>
      <c r="AU5" s="7"/>
      <c r="AV5" s="7"/>
      <c r="AW5" s="7"/>
    </row>
    <row r="6" spans="1:51" ht="15" hidden="1" customHeight="1">
      <c r="A6" s="88"/>
      <c r="B6" s="234"/>
      <c r="C6" s="200"/>
      <c r="D6" s="217"/>
      <c r="E6" s="209"/>
      <c r="F6" s="199"/>
      <c r="G6" s="28"/>
      <c r="H6" s="94" t="s">
        <v>34</v>
      </c>
      <c r="I6" s="93"/>
      <c r="J6" s="93"/>
      <c r="K6" s="93"/>
      <c r="L6" s="93"/>
      <c r="M6" s="93"/>
      <c r="N6" s="140"/>
      <c r="O6" s="162"/>
      <c r="P6" s="162"/>
      <c r="Q6" s="162"/>
      <c r="R6" s="162"/>
      <c r="S6" s="162"/>
      <c r="T6" s="162"/>
      <c r="U6" s="162"/>
      <c r="V6" s="162"/>
      <c r="W6" s="93"/>
      <c r="X6" s="93"/>
      <c r="Y6" s="93"/>
      <c r="Z6" s="93"/>
      <c r="AA6" s="93"/>
      <c r="AB6" s="140"/>
      <c r="AC6" s="162"/>
      <c r="AD6" s="93"/>
      <c r="AE6" s="91"/>
      <c r="AF6" s="91"/>
      <c r="AG6" s="93"/>
      <c r="AH6" s="93"/>
      <c r="AI6" s="140"/>
      <c r="AJ6" s="162"/>
      <c r="AK6" s="114"/>
      <c r="AL6" s="27"/>
      <c r="AM6" s="113"/>
      <c r="AN6" s="194"/>
      <c r="AO6" s="7"/>
      <c r="AP6" s="6"/>
      <c r="AQ6" s="6"/>
      <c r="AR6" s="6"/>
      <c r="AS6" s="6"/>
      <c r="AT6" s="7"/>
      <c r="AU6" s="7"/>
      <c r="AV6" s="7"/>
      <c r="AW6" s="7"/>
    </row>
    <row r="7" spans="1:51" ht="15" hidden="1" customHeight="1">
      <c r="A7" s="88"/>
      <c r="B7" s="234"/>
      <c r="C7" s="200"/>
      <c r="D7" s="217"/>
      <c r="E7" s="209"/>
      <c r="F7" s="199"/>
      <c r="G7" s="73" t="s">
        <v>104</v>
      </c>
      <c r="H7" s="29" t="s">
        <v>103</v>
      </c>
      <c r="I7" s="92">
        <f>((10.29*2%)+10.29)*($C$3/1000)</f>
        <v>367.35299999999995</v>
      </c>
      <c r="J7" s="92">
        <f t="shared" ref="J7:K7" si="5">((10.29*2%)+10.29)*($C$3/1000)</f>
        <v>367.35299999999995</v>
      </c>
      <c r="K7" s="92">
        <f t="shared" si="5"/>
        <v>367.35299999999995</v>
      </c>
      <c r="L7" s="92">
        <f>((10.29*2%)+10.29)*($C$3/1000)</f>
        <v>367.35299999999995</v>
      </c>
      <c r="M7" s="92">
        <f>((10.29*2%)+10.29)*($C$3/1000)</f>
        <v>367.35299999999995</v>
      </c>
      <c r="N7" s="141"/>
      <c r="O7" s="163"/>
      <c r="P7" s="163">
        <f>((10.29*2%)+10.29)*($C$3/1000)</f>
        <v>367.35299999999995</v>
      </c>
      <c r="Q7" s="163">
        <f t="shared" ref="Q7:S7" si="6">((10.29*2%)+10.29)*($C$3/1000)</f>
        <v>367.35299999999995</v>
      </c>
      <c r="R7" s="163">
        <f t="shared" si="6"/>
        <v>367.35299999999995</v>
      </c>
      <c r="S7" s="163">
        <f t="shared" si="6"/>
        <v>367.35299999999995</v>
      </c>
      <c r="T7" s="163">
        <f>((10.29*2%)+10.29)*($C$3/1000)</f>
        <v>367.35299999999995</v>
      </c>
      <c r="U7" s="163">
        <f>((10.29*2%)+10.29)*($C$3/1000)</f>
        <v>367.35299999999995</v>
      </c>
      <c r="V7" s="163">
        <f>((10.29*2%)+10.29)*($C$3/1000)</f>
        <v>367.35299999999995</v>
      </c>
      <c r="W7" s="92">
        <f>((10.29*2%)+10.29)*($C$3/1000)</f>
        <v>367.35299999999995</v>
      </c>
      <c r="X7" s="92">
        <f t="shared" ref="X7:Y7" si="7">((10.29*2%)+10.29)*($C$3/1000)</f>
        <v>367.35299999999995</v>
      </c>
      <c r="Y7" s="92">
        <f t="shared" si="7"/>
        <v>367.35299999999995</v>
      </c>
      <c r="Z7" s="92">
        <f>((10.29*2%)+10.29)*(AA$34/1000)</f>
        <v>367.35299999999995</v>
      </c>
      <c r="AA7" s="92">
        <f t="shared" ref="AA7:AM7" si="8">((10.29*2%)+10.29)*(AA$34/1000)</f>
        <v>367.35299999999995</v>
      </c>
      <c r="AB7" s="141">
        <f t="shared" si="8"/>
        <v>0</v>
      </c>
      <c r="AC7" s="163">
        <f t="shared" si="8"/>
        <v>0</v>
      </c>
      <c r="AD7" s="92">
        <f t="shared" si="8"/>
        <v>367.35299999999995</v>
      </c>
      <c r="AE7" s="92">
        <f t="shared" si="8"/>
        <v>367.35299999999995</v>
      </c>
      <c r="AF7" s="92">
        <f t="shared" si="8"/>
        <v>367.35299999999995</v>
      </c>
      <c r="AG7" s="92">
        <f t="shared" si="8"/>
        <v>367.35299999999995</v>
      </c>
      <c r="AH7" s="92">
        <f t="shared" si="8"/>
        <v>367.35299999999995</v>
      </c>
      <c r="AI7" s="141">
        <f t="shared" si="8"/>
        <v>0</v>
      </c>
      <c r="AJ7" s="163">
        <f t="shared" si="8"/>
        <v>0</v>
      </c>
      <c r="AK7" s="92">
        <f t="shared" si="8"/>
        <v>367.35299999999995</v>
      </c>
      <c r="AL7" s="92">
        <f t="shared" si="8"/>
        <v>367.35299999999995</v>
      </c>
      <c r="AM7" s="92"/>
      <c r="AN7" s="194"/>
      <c r="AO7" s="7"/>
      <c r="AP7" s="6"/>
      <c r="AQ7" s="6"/>
      <c r="AR7" s="6"/>
      <c r="AS7" s="6"/>
      <c r="AT7" s="7"/>
      <c r="AU7" s="7"/>
      <c r="AV7" s="7"/>
      <c r="AW7" s="7"/>
    </row>
    <row r="8" spans="1:51" ht="15" hidden="1" customHeight="1">
      <c r="A8" s="88"/>
      <c r="B8" s="234"/>
      <c r="C8" s="200"/>
      <c r="D8" s="217"/>
      <c r="E8" s="209"/>
      <c r="F8" s="199"/>
      <c r="G8" s="73"/>
      <c r="H8" s="23" t="s">
        <v>26</v>
      </c>
      <c r="I8" s="91">
        <v>0.5</v>
      </c>
      <c r="J8" s="91">
        <v>0.5</v>
      </c>
      <c r="K8" s="91">
        <v>0.5</v>
      </c>
      <c r="L8" s="91">
        <v>0.5</v>
      </c>
      <c r="M8" s="91">
        <v>0.5</v>
      </c>
      <c r="N8" s="142"/>
      <c r="O8" s="164"/>
      <c r="P8" s="164">
        <v>0.5</v>
      </c>
      <c r="Q8" s="164">
        <v>0.5</v>
      </c>
      <c r="R8" s="164">
        <v>0.5</v>
      </c>
      <c r="S8" s="164">
        <v>0.5</v>
      </c>
      <c r="T8" s="164">
        <v>0.5</v>
      </c>
      <c r="U8" s="164">
        <v>0.5</v>
      </c>
      <c r="V8" s="164">
        <v>0.5</v>
      </c>
      <c r="W8" s="91">
        <v>0.5</v>
      </c>
      <c r="X8" s="91">
        <v>0.5</v>
      </c>
      <c r="Y8" s="91">
        <v>0.5</v>
      </c>
      <c r="Z8" s="91">
        <v>0.5</v>
      </c>
      <c r="AA8" s="91">
        <v>0.5</v>
      </c>
      <c r="AB8" s="142">
        <v>0.5</v>
      </c>
      <c r="AC8" s="164">
        <v>0.5</v>
      </c>
      <c r="AD8" s="91">
        <v>0.5</v>
      </c>
      <c r="AE8" s="91">
        <v>0.5</v>
      </c>
      <c r="AF8" s="91">
        <v>0.5</v>
      </c>
      <c r="AG8" s="91">
        <v>0.5</v>
      </c>
      <c r="AH8" s="91">
        <v>0.5</v>
      </c>
      <c r="AI8" s="142">
        <v>0.5</v>
      </c>
      <c r="AJ8" s="164">
        <v>0.5</v>
      </c>
      <c r="AK8" s="91">
        <v>0.5</v>
      </c>
      <c r="AL8" s="91">
        <v>0.5</v>
      </c>
      <c r="AM8" s="91"/>
      <c r="AN8" s="194"/>
      <c r="AO8" s="7"/>
      <c r="AP8" s="6"/>
      <c r="AQ8" s="6"/>
      <c r="AR8" s="6"/>
      <c r="AS8" s="6"/>
      <c r="AT8" s="7"/>
      <c r="AU8" s="7"/>
      <c r="AV8" s="7"/>
      <c r="AW8" s="7"/>
    </row>
    <row r="9" spans="1:51" ht="15" hidden="1" customHeight="1">
      <c r="A9" s="88"/>
      <c r="B9" s="234"/>
      <c r="C9" s="200"/>
      <c r="D9" s="217"/>
      <c r="E9" s="209"/>
      <c r="F9" s="199"/>
      <c r="G9" s="28"/>
      <c r="H9" s="26" t="s">
        <v>0</v>
      </c>
      <c r="I9" s="91"/>
      <c r="J9" s="91"/>
      <c r="K9" s="91"/>
      <c r="L9" s="91"/>
      <c r="M9" s="91"/>
      <c r="N9" s="142"/>
      <c r="O9" s="164"/>
      <c r="P9" s="164"/>
      <c r="Q9" s="164"/>
      <c r="R9" s="164"/>
      <c r="S9" s="164"/>
      <c r="T9" s="164"/>
      <c r="U9" s="164"/>
      <c r="V9" s="164"/>
      <c r="W9" s="91"/>
      <c r="X9" s="91"/>
      <c r="Y9" s="91"/>
      <c r="Z9" s="91"/>
      <c r="AA9" s="91"/>
      <c r="AB9" s="142"/>
      <c r="AC9" s="164"/>
      <c r="AD9" s="91"/>
      <c r="AE9" s="91"/>
      <c r="AF9" s="91"/>
      <c r="AG9" s="91"/>
      <c r="AH9" s="91"/>
      <c r="AI9" s="142"/>
      <c r="AJ9" s="164"/>
      <c r="AK9" s="114"/>
      <c r="AL9" s="27"/>
      <c r="AM9" s="113"/>
      <c r="AN9" s="194"/>
      <c r="AO9" s="7"/>
      <c r="AP9" s="6"/>
      <c r="AQ9" s="6"/>
      <c r="AR9" s="6"/>
      <c r="AS9" s="6"/>
      <c r="AT9" s="7"/>
      <c r="AU9" s="7"/>
      <c r="AV9" s="7"/>
      <c r="AW9" s="7"/>
    </row>
    <row r="10" spans="1:51" ht="15" hidden="1" customHeight="1">
      <c r="A10" s="88"/>
      <c r="B10" s="234"/>
      <c r="C10" s="200"/>
      <c r="D10" s="217"/>
      <c r="E10" s="209"/>
      <c r="F10" s="199"/>
      <c r="G10" s="28"/>
      <c r="H10" s="26" t="s">
        <v>34</v>
      </c>
      <c r="I10" s="91"/>
      <c r="J10" s="91"/>
      <c r="K10" s="91"/>
      <c r="L10" s="91"/>
      <c r="M10" s="91"/>
      <c r="N10" s="142"/>
      <c r="O10" s="164"/>
      <c r="P10" s="164"/>
      <c r="Q10" s="164"/>
      <c r="R10" s="164"/>
      <c r="S10" s="164"/>
      <c r="T10" s="164"/>
      <c r="U10" s="164"/>
      <c r="V10" s="164"/>
      <c r="W10" s="91"/>
      <c r="X10" s="91"/>
      <c r="Y10" s="91"/>
      <c r="Z10" s="91"/>
      <c r="AA10" s="91"/>
      <c r="AB10" s="142"/>
      <c r="AC10" s="164"/>
      <c r="AD10" s="91"/>
      <c r="AE10" s="91"/>
      <c r="AF10" s="91"/>
      <c r="AG10" s="91"/>
      <c r="AH10" s="91"/>
      <c r="AI10" s="142"/>
      <c r="AJ10" s="164"/>
      <c r="AK10" s="114"/>
      <c r="AL10" s="27"/>
      <c r="AM10" s="113"/>
      <c r="AN10" s="194"/>
      <c r="AO10" s="7"/>
      <c r="AP10" s="6"/>
      <c r="AQ10" s="6"/>
      <c r="AR10" s="6"/>
      <c r="AS10" s="6"/>
      <c r="AT10" s="7"/>
      <c r="AU10" s="7"/>
      <c r="AV10" s="7"/>
      <c r="AW10" s="7"/>
    </row>
    <row r="11" spans="1:51">
      <c r="A11" s="88"/>
      <c r="B11" s="234"/>
      <c r="C11" s="200"/>
      <c r="D11" s="217"/>
      <c r="E11" s="209"/>
      <c r="F11" s="200"/>
      <c r="G11" s="73" t="s">
        <v>117</v>
      </c>
      <c r="H11" s="23" t="s">
        <v>71</v>
      </c>
      <c r="I11" s="71">
        <v>224000</v>
      </c>
      <c r="J11" s="71">
        <v>224000</v>
      </c>
      <c r="K11" s="71">
        <v>224000</v>
      </c>
      <c r="L11" s="71">
        <v>224000</v>
      </c>
      <c r="M11" s="71">
        <f>($M$34*$D$3)*4</f>
        <v>222600</v>
      </c>
      <c r="N11" s="21"/>
      <c r="O11" s="165"/>
      <c r="P11" s="165"/>
      <c r="Q11" s="165"/>
      <c r="R11" s="165"/>
      <c r="S11" s="165"/>
      <c r="T11" s="165"/>
      <c r="U11" s="165"/>
      <c r="V11" s="165"/>
      <c r="W11" s="71">
        <f>($M$34*$D$3)*4</f>
        <v>222600</v>
      </c>
      <c r="X11" s="71">
        <f t="shared" ref="X11:Y11" si="9">($M$34*$D$3)*4</f>
        <v>222600</v>
      </c>
      <c r="Y11" s="71">
        <f t="shared" si="9"/>
        <v>222600</v>
      </c>
      <c r="Z11" s="71">
        <f>($AA$34*$D$3)*4</f>
        <v>222600</v>
      </c>
      <c r="AA11" s="71">
        <f>($AA$34*$D$3)*4</f>
        <v>222600</v>
      </c>
      <c r="AB11" s="21"/>
      <c r="AC11" s="165"/>
      <c r="AD11" s="71">
        <f>($AA$34*$D$3)*4</f>
        <v>222600</v>
      </c>
      <c r="AE11" s="71">
        <f t="shared" ref="AE11:AF11" si="10">($M$34*$D$3)*4</f>
        <v>222600</v>
      </c>
      <c r="AF11" s="71">
        <f t="shared" si="10"/>
        <v>222600</v>
      </c>
      <c r="AG11" s="71">
        <f>($AA$34*$D$3)*4</f>
        <v>222600</v>
      </c>
      <c r="AH11" s="71">
        <f>($AA$34*$D$3)*4</f>
        <v>222600</v>
      </c>
      <c r="AI11" s="21"/>
      <c r="AJ11" s="165"/>
      <c r="AK11" s="71">
        <f t="shared" ref="AK11:AM11" si="11">($M$34*$D$3)*4</f>
        <v>222600</v>
      </c>
      <c r="AL11" s="71">
        <f t="shared" si="11"/>
        <v>222600</v>
      </c>
      <c r="AM11" s="71"/>
      <c r="AN11" s="194"/>
      <c r="AO11" s="7"/>
      <c r="AP11" s="6"/>
      <c r="AQ11" s="6"/>
      <c r="AR11" s="6"/>
      <c r="AS11" s="6"/>
      <c r="AT11" s="7"/>
      <c r="AU11" s="7"/>
      <c r="AV11" s="7"/>
      <c r="AW11" s="7"/>
    </row>
    <row r="12" spans="1:51">
      <c r="A12" s="88"/>
      <c r="B12" s="234"/>
      <c r="C12" s="200"/>
      <c r="D12" s="217"/>
      <c r="E12" s="209"/>
      <c r="F12" s="200"/>
      <c r="G12" s="72"/>
      <c r="H12" s="23" t="s">
        <v>66</v>
      </c>
      <c r="I12" s="71">
        <v>6</v>
      </c>
      <c r="J12" s="71">
        <v>6</v>
      </c>
      <c r="K12" s="71">
        <v>6</v>
      </c>
      <c r="L12" s="71">
        <v>6</v>
      </c>
      <c r="M12" s="71">
        <v>4</v>
      </c>
      <c r="N12" s="21"/>
      <c r="O12" s="165"/>
      <c r="P12" s="165"/>
      <c r="Q12" s="165"/>
      <c r="R12" s="165"/>
      <c r="S12" s="165"/>
      <c r="T12" s="165"/>
      <c r="U12" s="165"/>
      <c r="V12" s="165"/>
      <c r="W12" s="71">
        <v>4</v>
      </c>
      <c r="X12" s="71">
        <v>4</v>
      </c>
      <c r="Y12" s="71">
        <v>4</v>
      </c>
      <c r="Z12" s="71">
        <v>4</v>
      </c>
      <c r="AA12" s="71">
        <v>4</v>
      </c>
      <c r="AB12" s="21"/>
      <c r="AC12" s="165"/>
      <c r="AD12" s="71">
        <v>4</v>
      </c>
      <c r="AE12" s="71">
        <v>4</v>
      </c>
      <c r="AF12" s="71">
        <v>4</v>
      </c>
      <c r="AG12" s="71">
        <v>4</v>
      </c>
      <c r="AH12" s="71">
        <v>4</v>
      </c>
      <c r="AI12" s="21"/>
      <c r="AJ12" s="165"/>
      <c r="AK12" s="71">
        <v>4</v>
      </c>
      <c r="AL12" s="71">
        <v>4</v>
      </c>
      <c r="AM12" s="71"/>
      <c r="AN12" s="6"/>
      <c r="AO12" s="6"/>
      <c r="AP12" s="6"/>
      <c r="AQ12" s="6"/>
      <c r="AR12" s="6"/>
      <c r="AS12" s="6"/>
      <c r="AT12" s="7"/>
      <c r="AU12" s="7"/>
      <c r="AV12" s="7"/>
      <c r="AW12" s="7"/>
    </row>
    <row r="13" spans="1:51">
      <c r="A13" s="88"/>
      <c r="B13" s="234"/>
      <c r="C13" s="200"/>
      <c r="D13" s="217"/>
      <c r="E13" s="209"/>
      <c r="F13" s="200"/>
      <c r="G13" s="27"/>
      <c r="H13" s="26" t="s">
        <v>0</v>
      </c>
      <c r="I13" s="22">
        <f>SUMIFS('絞線Twisting wire'!$K$7:$K$1000,'絞線Twisting wire'!$A$7:$A$1000,'04'!I$2,'絞線Twisting wire'!$D$7:$D$1000,'04'!$G$11,'絞線Twisting wire'!$F$7:$F$1000,'04'!$A$24)</f>
        <v>54548</v>
      </c>
      <c r="J13" s="22">
        <f>SUMIFS('絞線Twisting wire'!$K$7:$K$1000,'絞線Twisting wire'!$A$7:$A$1000,'04'!J$2,'絞線Twisting wire'!$D$7:$D$1000,'04'!$G$11,'絞線Twisting wire'!$F$7:$F$1000,'04'!$A$24)</f>
        <v>21005</v>
      </c>
      <c r="K13" s="22">
        <f>SUMIFS('絞線Twisting wire'!$K$7:$K$1000,'絞線Twisting wire'!$A$7:$A$1000,'04'!K$2,'絞線Twisting wire'!$D$7:$D$1000,'04'!$G$11,'絞線Twisting wire'!$F$7:$F$1000,'04'!$A$24)</f>
        <v>0</v>
      </c>
      <c r="L13" s="22">
        <f>SUMIFS('絞線Twisting wire'!$K$7:$K$1000,'絞線Twisting wire'!$A$7:$A$1000,'04'!L$2,'絞線Twisting wire'!$D$7:$D$1000,'04'!$G$11,'絞線Twisting wire'!$F$7:$F$1000,'04'!$A$24)</f>
        <v>0</v>
      </c>
      <c r="M13" s="22">
        <f>SUMIFS('絞線Twisting wire'!$K$7:$K$1000,'絞線Twisting wire'!$A$7:$A$1000,'04'!M$2,'絞線Twisting wire'!$D$7:$D$1000,'04'!$G$11,'絞線Twisting wire'!$F$7:$F$1000,'04'!$A$24)</f>
        <v>0</v>
      </c>
      <c r="N13" s="21">
        <f>SUMIFS('絞線Twisting wire'!$K$7:$K$1000,'絞線Twisting wire'!$A$7:$A$1000,'04'!N$2,'絞線Twisting wire'!$D$7:$D$1000,'04'!$G$11,'絞線Twisting wire'!$F$7:$F$1000,'04'!$A$24)</f>
        <v>0</v>
      </c>
      <c r="O13" s="165"/>
      <c r="P13" s="165"/>
      <c r="Q13" s="165"/>
      <c r="R13" s="165"/>
      <c r="S13" s="165"/>
      <c r="T13" s="165"/>
      <c r="U13" s="165"/>
      <c r="V13" s="165"/>
      <c r="W13" s="22">
        <f>SUMIFS('絞線Twisting wire'!$K$7:$K$1000,'絞線Twisting wire'!$A$7:$A$1000,'04'!W$2,'絞線Twisting wire'!$D$7:$D$1000,'04'!$G$11,'絞線Twisting wire'!$F$7:$F$1000,'04'!$A$24)</f>
        <v>0</v>
      </c>
      <c r="X13" s="22">
        <f>SUMIFS('絞線Twisting wire'!$K$7:$K$1000,'絞線Twisting wire'!$A$7:$A$1000,'04'!X$2,'絞線Twisting wire'!$D$7:$D$1000,'04'!$G$11,'絞線Twisting wire'!$F$7:$F$1000,'04'!$A$24)</f>
        <v>0</v>
      </c>
      <c r="Y13" s="22">
        <f>SUMIFS('絞線Twisting wire'!$K$7:$K$1000,'絞線Twisting wire'!$A$7:$A$1000,'04'!Y$2,'絞線Twisting wire'!$D$7:$D$1000,'04'!$G$11,'絞線Twisting wire'!$F$7:$F$1000,'04'!$A$24)</f>
        <v>0</v>
      </c>
      <c r="Z13" s="22">
        <f>SUMIFS('絞線Twisting wire'!$K$7:$K$1000,'絞線Twisting wire'!$A$7:$A$1000,'04'!Z$2,'絞線Twisting wire'!$D$7:$D$1000,'04'!$G$11,'絞線Twisting wire'!$F$7:$F$1000,'04'!$A$24)</f>
        <v>0</v>
      </c>
      <c r="AA13" s="22">
        <f>SUMIFS('絞線Twisting wire'!$K$7:$K$1000,'絞線Twisting wire'!$A$7:$A$1000,'04'!AA$2,'絞線Twisting wire'!$D$7:$D$1000,'04'!$G$11,'絞線Twisting wire'!$F$7:$F$1000,'04'!$A$24)</f>
        <v>0</v>
      </c>
      <c r="AB13" s="21">
        <f>SUMIFS('絞線Twisting wire'!$K$7:$K$1000,'絞線Twisting wire'!$A$7:$A$1000,'04'!AB$2,'絞線Twisting wire'!$D$7:$D$1000,'04'!$G$11,'絞線Twisting wire'!$F$7:$F$1000,'04'!$A$24)</f>
        <v>0</v>
      </c>
      <c r="AC13" s="165"/>
      <c r="AD13" s="22">
        <f>SUMIFS('絞線Twisting wire'!$K$7:$K$1000,'絞線Twisting wire'!$A$7:$A$1000,'04'!AD$2,'絞線Twisting wire'!$D$7:$D$1000,'04'!$G$11,'絞線Twisting wire'!$F$7:$F$1000,'04'!$A$24)</f>
        <v>0</v>
      </c>
      <c r="AE13" s="22">
        <f>SUMIFS('絞線Twisting wire'!$K$7:$K$1000,'絞線Twisting wire'!$A$7:$A$1000,'04'!AE$2,'絞線Twisting wire'!$D$7:$D$1000,'04'!$G$11,'絞線Twisting wire'!$F$7:$F$1000,'04'!$A$24)</f>
        <v>0</v>
      </c>
      <c r="AF13" s="22">
        <f>SUMIFS('絞線Twisting wire'!$K$7:$K$1000,'絞線Twisting wire'!$A$7:$A$1000,'04'!AF$2,'絞線Twisting wire'!$D$7:$D$1000,'04'!$G$11,'絞線Twisting wire'!$F$7:$F$1000,'04'!$A$24)</f>
        <v>0</v>
      </c>
      <c r="AG13" s="22">
        <f>SUMIFS('絞線Twisting wire'!$K$7:$K$1000,'絞線Twisting wire'!$A$7:$A$1000,'04'!AG$2,'絞線Twisting wire'!$D$7:$D$1000,'04'!$G$11,'絞線Twisting wire'!$F$7:$F$1000,'04'!$A$24)</f>
        <v>0</v>
      </c>
      <c r="AH13" s="22">
        <f>SUMIFS('絞線Twisting wire'!$K$7:$K$1000,'絞線Twisting wire'!$A$7:$A$1000,'04'!AH$2,'絞線Twisting wire'!$D$7:$D$1000,'04'!$G$11,'絞線Twisting wire'!$F$7:$F$1000,'04'!$A$24)</f>
        <v>0</v>
      </c>
      <c r="AI13" s="21">
        <f>SUMIFS('絞線Twisting wire'!$K$7:$K$1000,'絞線Twisting wire'!$A$7:$A$1000,'04'!AI$2,'絞線Twisting wire'!$D$7:$D$1000,'04'!$G$11,'絞線Twisting wire'!$F$7:$F$1000,'04'!$A$24)</f>
        <v>0</v>
      </c>
      <c r="AJ13" s="165"/>
      <c r="AK13" s="22">
        <f>SUMIFS('絞線Twisting wire'!$K$7:$K$1000,'絞線Twisting wire'!$A$7:$A$1000,'04'!AK$2,'絞線Twisting wire'!$D$7:$D$1000,'04'!$G$11,'絞線Twisting wire'!$F$7:$F$1000,'04'!$A$24)</f>
        <v>0</v>
      </c>
      <c r="AL13" s="22">
        <f>SUMIFS('絞線Twisting wire'!$K$7:$K$1000,'絞線Twisting wire'!$A$7:$A$1000,'04'!AL$2,'絞線Twisting wire'!$D$7:$D$1000,'04'!$G$11,'絞線Twisting wire'!$F$7:$F$1000,'04'!$A$24)</f>
        <v>0</v>
      </c>
      <c r="AM13" s="113"/>
      <c r="AN13" s="6"/>
      <c r="AO13" s="6"/>
      <c r="AP13" s="6"/>
      <c r="AQ13" s="6"/>
      <c r="AR13" s="6"/>
      <c r="AS13" s="6"/>
      <c r="AT13" s="7"/>
      <c r="AU13" s="7"/>
      <c r="AV13" s="7"/>
      <c r="AW13" s="7"/>
    </row>
    <row r="14" spans="1:51">
      <c r="A14" s="88"/>
      <c r="B14" s="234"/>
      <c r="C14" s="200"/>
      <c r="D14" s="217"/>
      <c r="E14" s="209"/>
      <c r="F14" s="200"/>
      <c r="G14" s="27"/>
      <c r="H14" s="26" t="s">
        <v>34</v>
      </c>
      <c r="I14" s="40">
        <f>I13-I11</f>
        <v>-169452</v>
      </c>
      <c r="J14" s="40">
        <f>I14+(J13-J11)</f>
        <v>-372447</v>
      </c>
      <c r="K14" s="40">
        <f>J14+(K13-K11)</f>
        <v>-596447</v>
      </c>
      <c r="L14" s="40">
        <f t="shared" ref="L14:N14" si="12">K14+(L13-L11)</f>
        <v>-820447</v>
      </c>
      <c r="M14" s="40">
        <f t="shared" si="12"/>
        <v>-1043047</v>
      </c>
      <c r="N14" s="143">
        <f t="shared" si="12"/>
        <v>-1043047</v>
      </c>
      <c r="O14" s="166"/>
      <c r="P14" s="166"/>
      <c r="Q14" s="166"/>
      <c r="R14" s="166"/>
      <c r="S14" s="166"/>
      <c r="T14" s="166"/>
      <c r="U14" s="166"/>
      <c r="V14" s="166"/>
      <c r="W14" s="40">
        <f>N14+(W13-W11)</f>
        <v>-1265647</v>
      </c>
      <c r="X14" s="40">
        <f>W14+(X13-X11)</f>
        <v>-1488247</v>
      </c>
      <c r="Y14" s="40">
        <f t="shared" ref="Y14:AB14" si="13">X14+(Y13-Y11)</f>
        <v>-1710847</v>
      </c>
      <c r="Z14" s="40">
        <f t="shared" si="13"/>
        <v>-1933447</v>
      </c>
      <c r="AA14" s="40">
        <f t="shared" si="13"/>
        <v>-2156047</v>
      </c>
      <c r="AB14" s="143">
        <f t="shared" si="13"/>
        <v>-2156047</v>
      </c>
      <c r="AC14" s="166"/>
      <c r="AD14" s="40">
        <f>AB14+(AD13-AD11)</f>
        <v>-2378647</v>
      </c>
      <c r="AE14" s="40">
        <f>AD14+(AE13-AE11)</f>
        <v>-2601247</v>
      </c>
      <c r="AF14" s="40">
        <f t="shared" ref="AF14:AI14" si="14">AE14+(AF13-AF11)</f>
        <v>-2823847</v>
      </c>
      <c r="AG14" s="40">
        <f t="shared" si="14"/>
        <v>-3046447</v>
      </c>
      <c r="AH14" s="40">
        <f t="shared" si="14"/>
        <v>-3269047</v>
      </c>
      <c r="AI14" s="143">
        <f t="shared" si="14"/>
        <v>-3269047</v>
      </c>
      <c r="AJ14" s="166"/>
      <c r="AK14" s="40">
        <f>AI14+(AK13-AK11)</f>
        <v>-3491647</v>
      </c>
      <c r="AL14" s="40">
        <f>AK14+(AL13-AL11)</f>
        <v>-3714247</v>
      </c>
      <c r="AM14" s="40"/>
      <c r="AN14" s="6"/>
      <c r="AO14" s="6"/>
      <c r="AP14" s="6"/>
      <c r="AQ14" s="6"/>
      <c r="AR14" s="6"/>
      <c r="AS14" s="6"/>
      <c r="AT14" s="7"/>
      <c r="AU14" s="7"/>
      <c r="AV14" s="7"/>
      <c r="AW14" s="7"/>
    </row>
    <row r="15" spans="1:51">
      <c r="A15" s="88"/>
      <c r="B15" s="234"/>
      <c r="C15" s="200"/>
      <c r="D15" s="217"/>
      <c r="E15" s="209"/>
      <c r="F15" s="200"/>
      <c r="G15" s="72" t="s">
        <v>116</v>
      </c>
      <c r="H15" s="23" t="s">
        <v>76</v>
      </c>
      <c r="I15" s="71">
        <v>56000</v>
      </c>
      <c r="J15" s="71">
        <v>56000</v>
      </c>
      <c r="K15" s="71">
        <v>56000</v>
      </c>
      <c r="L15" s="71">
        <v>56000</v>
      </c>
      <c r="M15" s="71">
        <f>$M$34*$D$3</f>
        <v>55650</v>
      </c>
      <c r="N15" s="21"/>
      <c r="O15" s="165"/>
      <c r="P15" s="165"/>
      <c r="Q15" s="165"/>
      <c r="R15" s="165"/>
      <c r="S15" s="165"/>
      <c r="T15" s="165"/>
      <c r="U15" s="165"/>
      <c r="V15" s="165"/>
      <c r="W15" s="71">
        <f>$M$34*$D$3</f>
        <v>55650</v>
      </c>
      <c r="X15" s="71">
        <v>56000</v>
      </c>
      <c r="Y15" s="71">
        <v>56000</v>
      </c>
      <c r="Z15" s="71">
        <f>$AA$34*$D$3</f>
        <v>55650</v>
      </c>
      <c r="AA15" s="71">
        <f>$AA$34*$D$3</f>
        <v>55650</v>
      </c>
      <c r="AB15" s="21"/>
      <c r="AC15" s="165"/>
      <c r="AD15" s="71">
        <f>$AA$34*$D$3</f>
        <v>55650</v>
      </c>
      <c r="AE15" s="71">
        <v>56000</v>
      </c>
      <c r="AF15" s="71">
        <v>56000</v>
      </c>
      <c r="AG15" s="71">
        <f>$AA$34*$D$3</f>
        <v>55650</v>
      </c>
      <c r="AH15" s="71">
        <f>$AA$34*$D$3</f>
        <v>55650</v>
      </c>
      <c r="AI15" s="21"/>
      <c r="AJ15" s="165"/>
      <c r="AK15" s="71">
        <v>56000</v>
      </c>
      <c r="AL15" s="71">
        <v>56000</v>
      </c>
      <c r="AM15" s="71"/>
      <c r="AN15" s="6"/>
      <c r="AO15" s="6"/>
      <c r="AP15" s="6"/>
      <c r="AQ15" s="6"/>
      <c r="AR15" s="6"/>
      <c r="AS15" s="6"/>
      <c r="AT15" s="7"/>
      <c r="AU15" s="7"/>
      <c r="AV15" s="7"/>
      <c r="AW15" s="7"/>
    </row>
    <row r="16" spans="1:51">
      <c r="A16" s="88"/>
      <c r="B16" s="234"/>
      <c r="C16" s="200"/>
      <c r="D16" s="217"/>
      <c r="E16" s="209"/>
      <c r="F16" s="200"/>
      <c r="G16" s="72"/>
      <c r="H16" s="23" t="s">
        <v>66</v>
      </c>
      <c r="I16" s="71">
        <v>4</v>
      </c>
      <c r="J16" s="71">
        <v>4</v>
      </c>
      <c r="K16" s="71">
        <v>4</v>
      </c>
      <c r="L16" s="71">
        <v>4</v>
      </c>
      <c r="M16" s="71">
        <v>2</v>
      </c>
      <c r="N16" s="21"/>
      <c r="O16" s="165"/>
      <c r="P16" s="165"/>
      <c r="Q16" s="165"/>
      <c r="R16" s="165"/>
      <c r="S16" s="165"/>
      <c r="T16" s="165"/>
      <c r="U16" s="165"/>
      <c r="V16" s="165"/>
      <c r="W16" s="71">
        <v>2</v>
      </c>
      <c r="X16" s="71">
        <v>4</v>
      </c>
      <c r="Y16" s="71">
        <v>4</v>
      </c>
      <c r="Z16" s="71">
        <v>2</v>
      </c>
      <c r="AA16" s="71">
        <v>2</v>
      </c>
      <c r="AB16" s="21"/>
      <c r="AC16" s="165"/>
      <c r="AD16" s="71">
        <v>2</v>
      </c>
      <c r="AE16" s="71">
        <v>4</v>
      </c>
      <c r="AF16" s="71">
        <v>4</v>
      </c>
      <c r="AG16" s="71">
        <v>2</v>
      </c>
      <c r="AH16" s="71">
        <v>2</v>
      </c>
      <c r="AI16" s="21"/>
      <c r="AJ16" s="165"/>
      <c r="AK16" s="71">
        <v>4</v>
      </c>
      <c r="AL16" s="71">
        <v>4</v>
      </c>
      <c r="AM16" s="71"/>
      <c r="AN16" s="6"/>
      <c r="AO16" s="6"/>
      <c r="AP16" s="6"/>
      <c r="AQ16" s="6"/>
      <c r="AR16" s="6"/>
      <c r="AS16" s="6"/>
      <c r="AT16" s="7"/>
      <c r="AU16" s="7"/>
      <c r="AV16" s="7"/>
      <c r="AW16" s="7"/>
    </row>
    <row r="17" spans="1:49">
      <c r="A17" s="88"/>
      <c r="B17" s="234"/>
      <c r="C17" s="200"/>
      <c r="D17" s="217"/>
      <c r="E17" s="209"/>
      <c r="F17" s="200"/>
      <c r="G17" s="27"/>
      <c r="H17" s="26" t="s">
        <v>0</v>
      </c>
      <c r="I17" s="22">
        <f>SUMIFS('絞線Twisting wire'!$K$7:$K$1000,'絞線Twisting wire'!$A$7:$A$1000,'04'!I$2,'絞線Twisting wire'!$D$7:$D$1000,'04'!$G$15,'絞線Twisting wire'!$F$7:$F$1000,'04'!$A$24)</f>
        <v>28067</v>
      </c>
      <c r="J17" s="22">
        <f>SUMIFS('絞線Twisting wire'!$K$7:$K$1000,'絞線Twisting wire'!$A$7:$A$1000,'04'!J$2,'絞線Twisting wire'!$D$7:$D$1000,'04'!$G$15,'絞線Twisting wire'!$F$7:$F$1000,'04'!$A$24)</f>
        <v>28064</v>
      </c>
      <c r="K17" s="22">
        <f>SUMIFS('絞線Twisting wire'!$K$7:$K$1000,'絞線Twisting wire'!$A$7:$A$1000,'04'!K$2,'絞線Twisting wire'!$D$7:$D$1000,'04'!$G$15,'絞線Twisting wire'!$F$7:$F$1000,'04'!$A$24)</f>
        <v>0</v>
      </c>
      <c r="L17" s="22">
        <f>SUMIFS('絞線Twisting wire'!$K$7:$K$1000,'絞線Twisting wire'!$A$7:$A$1000,'04'!L$2,'絞線Twisting wire'!$D$7:$D$1000,'04'!$G$15,'絞線Twisting wire'!$F$7:$F$1000,'04'!$A$24)</f>
        <v>0</v>
      </c>
      <c r="M17" s="22">
        <f>SUMIFS('絞線Twisting wire'!$K$7:$K$1000,'絞線Twisting wire'!$A$7:$A$1000,'04'!M$2,'絞線Twisting wire'!$D$7:$D$1000,'04'!$G$15,'絞線Twisting wire'!$F$7:$F$1000,'04'!$A$24)</f>
        <v>0</v>
      </c>
      <c r="N17" s="22">
        <f>SUMIFS('絞線Twisting wire'!$K$7:$K$1000,'絞線Twisting wire'!$A$7:$A$1000,'04'!N$2,'絞線Twisting wire'!$D$7:$D$1000,'04'!$G$15,'絞線Twisting wire'!$F$7:$F$1000,'04'!$A$24)</f>
        <v>0</v>
      </c>
      <c r="O17" s="165"/>
      <c r="P17" s="165"/>
      <c r="Q17" s="165"/>
      <c r="R17" s="174"/>
      <c r="S17" s="174"/>
      <c r="T17" s="165"/>
      <c r="U17" s="165"/>
      <c r="V17" s="165"/>
      <c r="W17" s="22">
        <f>SUMIFS('絞線Twisting wire'!$K$7:$K$1000,'絞線Twisting wire'!$A$7:$A$1000,'04'!W$2,'絞線Twisting wire'!$D$7:$D$1000,'04'!$G$15,'絞線Twisting wire'!$F$7:$F$1000,'04'!$A$24)</f>
        <v>0</v>
      </c>
      <c r="X17" s="22">
        <f>SUMIFS('絞線Twisting wire'!$K$7:$K$1000,'絞線Twisting wire'!$A$7:$A$1000,'04'!X$2,'絞線Twisting wire'!$D$7:$D$1000,'04'!$G$15,'絞線Twisting wire'!$F$7:$F$1000,'04'!$A$24)</f>
        <v>0</v>
      </c>
      <c r="Y17" s="22">
        <f>SUMIFS('絞線Twisting wire'!$K$7:$K$1000,'絞線Twisting wire'!$A$7:$A$1000,'04'!Y$2,'絞線Twisting wire'!$D$7:$D$1000,'04'!$G$15,'絞線Twisting wire'!$F$7:$F$1000,'04'!$A$24)</f>
        <v>0</v>
      </c>
      <c r="Z17" s="22">
        <f>SUMIFS('絞線Twisting wire'!$K$7:$K$1000,'絞線Twisting wire'!$A$7:$A$1000,'04'!Z$2,'絞線Twisting wire'!$D$7:$D$1000,'04'!$G$15,'絞線Twisting wire'!$F$7:$F$1000,'04'!$A$24)</f>
        <v>0</v>
      </c>
      <c r="AA17" s="22">
        <f>SUMIFS('絞線Twisting wire'!$K$7:$K$1000,'絞線Twisting wire'!$A$7:$A$1000,'04'!AA$2,'絞線Twisting wire'!$D$7:$D$1000,'04'!$G$15,'絞線Twisting wire'!$F$7:$F$1000,'04'!$A$24)</f>
        <v>0</v>
      </c>
      <c r="AB17" s="22">
        <f>SUMIFS('絞線Twisting wire'!$K$7:$K$1000,'絞線Twisting wire'!$A$7:$A$1000,'04'!AB$2,'絞線Twisting wire'!$D$7:$D$1000,'04'!$G$15,'絞線Twisting wire'!$F$7:$F$1000,'04'!$A$24)</f>
        <v>0</v>
      </c>
      <c r="AC17" s="165"/>
      <c r="AD17" s="22">
        <f>SUMIFS('絞線Twisting wire'!$K$7:$K$1000,'絞線Twisting wire'!$A$7:$A$1000,'04'!AD$2,'絞線Twisting wire'!$D$7:$D$1000,'04'!$G$15,'絞線Twisting wire'!$F$7:$F$1000,'04'!$A$24)</f>
        <v>0</v>
      </c>
      <c r="AE17" s="22">
        <f>SUMIFS('絞線Twisting wire'!$K$7:$K$1000,'絞線Twisting wire'!$A$7:$A$1000,'04'!AE$2,'絞線Twisting wire'!$D$7:$D$1000,'04'!$G$15,'絞線Twisting wire'!$F$7:$F$1000,'04'!$A$24)</f>
        <v>0</v>
      </c>
      <c r="AF17" s="22">
        <f>SUMIFS('絞線Twisting wire'!$K$7:$K$1000,'絞線Twisting wire'!$A$7:$A$1000,'04'!AF$2,'絞線Twisting wire'!$D$7:$D$1000,'04'!$G$15,'絞線Twisting wire'!$F$7:$F$1000,'04'!$A$24)</f>
        <v>0</v>
      </c>
      <c r="AG17" s="22">
        <f>SUMIFS('絞線Twisting wire'!$K$7:$K$1000,'絞線Twisting wire'!$A$7:$A$1000,'04'!AG$2,'絞線Twisting wire'!$D$7:$D$1000,'04'!$G$15,'絞線Twisting wire'!$F$7:$F$1000,'04'!$A$24)</f>
        <v>0</v>
      </c>
      <c r="AH17" s="22">
        <f>SUMIFS('絞線Twisting wire'!$K$7:$K$1000,'絞線Twisting wire'!$A$7:$A$1000,'04'!AH$2,'絞線Twisting wire'!$D$7:$D$1000,'04'!$G$15,'絞線Twisting wire'!$F$7:$F$1000,'04'!$A$24)</f>
        <v>0</v>
      </c>
      <c r="AI17" s="22">
        <f>SUMIFS('絞線Twisting wire'!$K$7:$K$1000,'絞線Twisting wire'!$A$7:$A$1000,'04'!AI$2,'絞線Twisting wire'!$D$7:$D$1000,'04'!$G$15,'絞線Twisting wire'!$F$7:$F$1000,'04'!$A$24)</f>
        <v>0</v>
      </c>
      <c r="AJ17" s="165"/>
      <c r="AK17" s="22">
        <f>SUMIFS('絞線Twisting wire'!$K$7:$K$1000,'絞線Twisting wire'!$A$7:$A$1000,'04'!AK$2,'絞線Twisting wire'!$D$7:$D$1000,'04'!$G$15,'絞線Twisting wire'!$F$7:$F$1000,'04'!$A$24)</f>
        <v>0</v>
      </c>
      <c r="AL17" s="22">
        <f>SUMIFS('絞線Twisting wire'!$K$7:$K$1000,'絞線Twisting wire'!$A$7:$A$1000,'04'!AL$2,'絞線Twisting wire'!$D$7:$D$1000,'04'!$G$15,'絞線Twisting wire'!$F$7:$F$1000,'04'!$A$24)</f>
        <v>0</v>
      </c>
      <c r="AM17" s="113"/>
      <c r="AN17" s="6"/>
      <c r="AO17" s="6"/>
      <c r="AP17" s="6"/>
      <c r="AQ17" s="6"/>
      <c r="AR17" s="6"/>
      <c r="AS17" s="6"/>
      <c r="AT17" s="7"/>
      <c r="AU17" s="7"/>
      <c r="AV17" s="7"/>
      <c r="AW17" s="7"/>
    </row>
    <row r="18" spans="1:49">
      <c r="A18" s="90"/>
      <c r="B18" s="234"/>
      <c r="C18" s="200"/>
      <c r="D18" s="217"/>
      <c r="E18" s="209"/>
      <c r="F18" s="200"/>
      <c r="G18" s="27"/>
      <c r="H18" s="26" t="s">
        <v>34</v>
      </c>
      <c r="I18" s="40">
        <f>I17-I15</f>
        <v>-27933</v>
      </c>
      <c r="J18" s="40">
        <f>I18+(J17-J15)</f>
        <v>-55869</v>
      </c>
      <c r="K18" s="40">
        <f t="shared" ref="K18:M18" si="15">J18+(K17-K15)</f>
        <v>-111869</v>
      </c>
      <c r="L18" s="40">
        <f t="shared" si="15"/>
        <v>-167869</v>
      </c>
      <c r="M18" s="40">
        <f t="shared" si="15"/>
        <v>-223519</v>
      </c>
      <c r="N18" s="143">
        <f>M18+(N17-N15)</f>
        <v>-223519</v>
      </c>
      <c r="O18" s="166"/>
      <c r="P18" s="166"/>
      <c r="Q18" s="166"/>
      <c r="R18" s="166"/>
      <c r="S18" s="166"/>
      <c r="T18" s="166"/>
      <c r="U18" s="166"/>
      <c r="V18" s="166"/>
      <c r="W18" s="40">
        <f>N18+(W17-W15)</f>
        <v>-279169</v>
      </c>
      <c r="X18" s="40">
        <f>W18+(X17-X15)</f>
        <v>-335169</v>
      </c>
      <c r="Y18" s="40">
        <f t="shared" ref="Y18:AA18" si="16">X18+(Y17-Y15)</f>
        <v>-391169</v>
      </c>
      <c r="Z18" s="40">
        <f t="shared" si="16"/>
        <v>-446819</v>
      </c>
      <c r="AA18" s="40">
        <f t="shared" si="16"/>
        <v>-502469</v>
      </c>
      <c r="AB18" s="143">
        <f>AA18+(AB17-AB15)</f>
        <v>-502469</v>
      </c>
      <c r="AC18" s="166"/>
      <c r="AD18" s="40">
        <f>AB18+(AD17-AD15)</f>
        <v>-558119</v>
      </c>
      <c r="AE18" s="40">
        <f>AD18+(AE17-AE15)</f>
        <v>-614119</v>
      </c>
      <c r="AF18" s="40">
        <f t="shared" ref="AF18:AH18" si="17">AE18+(AF17-AF15)</f>
        <v>-670119</v>
      </c>
      <c r="AG18" s="40">
        <f t="shared" si="17"/>
        <v>-725769</v>
      </c>
      <c r="AH18" s="40">
        <f t="shared" si="17"/>
        <v>-781419</v>
      </c>
      <c r="AI18" s="143">
        <f>AH18+(AI17-AI15)</f>
        <v>-781419</v>
      </c>
      <c r="AJ18" s="166"/>
      <c r="AK18" s="40">
        <f>AI18+(AK17-AK15)</f>
        <v>-837419</v>
      </c>
      <c r="AL18" s="40">
        <f>AK18+(AL17-AL15)</f>
        <v>-893419</v>
      </c>
      <c r="AM18" s="40"/>
      <c r="AN18" s="6"/>
      <c r="AO18" s="6"/>
      <c r="AP18" s="6"/>
      <c r="AQ18" s="6"/>
      <c r="AR18" s="6"/>
      <c r="AS18" s="6"/>
      <c r="AT18" s="7"/>
      <c r="AU18" s="7"/>
      <c r="AV18" s="7"/>
      <c r="AW18" s="7"/>
    </row>
    <row r="19" spans="1:49">
      <c r="A19" s="88"/>
      <c r="B19" s="234"/>
      <c r="C19" s="200"/>
      <c r="D19" s="217"/>
      <c r="E19" s="209"/>
      <c r="F19" s="200"/>
      <c r="G19" s="72" t="s">
        <v>9</v>
      </c>
      <c r="H19" s="23" t="s">
        <v>8</v>
      </c>
      <c r="I19" s="71">
        <f>($M$34*$D$3)*2</f>
        <v>111300</v>
      </c>
      <c r="J19" s="71">
        <f t="shared" ref="J19:K19" si="18">($M$34*$D$3)*2</f>
        <v>111300</v>
      </c>
      <c r="K19" s="71">
        <f t="shared" si="18"/>
        <v>111300</v>
      </c>
      <c r="L19" s="71">
        <f>($M$34*$D$3)*2</f>
        <v>111300</v>
      </c>
      <c r="M19" s="71">
        <f>($M$34*$D$3)*2</f>
        <v>111300</v>
      </c>
      <c r="N19" s="21"/>
      <c r="O19" s="165"/>
      <c r="P19" s="165"/>
      <c r="Q19" s="165"/>
      <c r="R19" s="165"/>
      <c r="S19" s="165"/>
      <c r="T19" s="165"/>
      <c r="U19" s="165"/>
      <c r="V19" s="165"/>
      <c r="W19" s="71">
        <f>($M$34*$D$3)*2</f>
        <v>111300</v>
      </c>
      <c r="X19" s="71">
        <f t="shared" ref="X19:Y19" si="19">($M$34*$D$3)*2</f>
        <v>111300</v>
      </c>
      <c r="Y19" s="71">
        <f t="shared" si="19"/>
        <v>111300</v>
      </c>
      <c r="Z19" s="71">
        <f>($AA$34*$D$3)*2</f>
        <v>111300</v>
      </c>
      <c r="AA19" s="71">
        <f>($AA$34*$D$3)*2</f>
        <v>111300</v>
      </c>
      <c r="AB19" s="21"/>
      <c r="AC19" s="165"/>
      <c r="AD19" s="71">
        <f>($AA$34*$D$3)*2</f>
        <v>111300</v>
      </c>
      <c r="AE19" s="71">
        <f t="shared" ref="AE19:AF19" si="20">($M$34*$D$3)*2</f>
        <v>111300</v>
      </c>
      <c r="AF19" s="71">
        <f t="shared" si="20"/>
        <v>111300</v>
      </c>
      <c r="AG19" s="71">
        <f>($AA$34*$D$3)*2</f>
        <v>111300</v>
      </c>
      <c r="AH19" s="71">
        <f>($AA$34*$D$3)*2</f>
        <v>111300</v>
      </c>
      <c r="AI19" s="21"/>
      <c r="AJ19" s="165"/>
      <c r="AK19" s="71">
        <f t="shared" ref="AK19:AM19" si="21">($M$34*$D$3)*2</f>
        <v>111300</v>
      </c>
      <c r="AL19" s="71">
        <f t="shared" si="21"/>
        <v>111300</v>
      </c>
      <c r="AM19" s="71"/>
      <c r="AN19" s="84"/>
      <c r="AO19" s="83"/>
      <c r="AP19" s="83"/>
      <c r="AQ19" s="7"/>
      <c r="AR19" s="8"/>
      <c r="AS19" s="8"/>
      <c r="AT19" s="7"/>
      <c r="AU19" s="7"/>
      <c r="AV19" s="7"/>
      <c r="AW19" s="7"/>
    </row>
    <row r="20" spans="1:49">
      <c r="A20" s="88"/>
      <c r="B20" s="234"/>
      <c r="C20" s="200"/>
      <c r="D20" s="217"/>
      <c r="E20" s="209"/>
      <c r="F20" s="200"/>
      <c r="G20" s="27"/>
      <c r="H20" s="26" t="s">
        <v>0</v>
      </c>
      <c r="I20" s="22">
        <f>SUMIFS(' 押出ekstrusi'!$H$7:$H$1000,' 押出ekstrusi'!$A$7:$A$1000,'04'!I$2,' 押出ekstrusi'!$D$7:$D$1000,'04'!$A$24,' 押出ekstrusi'!$X$7:$X$1000,'04'!$G$19)</f>
        <v>76542</v>
      </c>
      <c r="J20" s="22">
        <f>SUMIFS(' 押出ekstrusi'!$H$7:$H$1000,' 押出ekstrusi'!$A$7:$A$1000,'04'!J$2,' 押出ekstrusi'!$D$7:$D$1000,'04'!$A$24,' 押出ekstrusi'!$X$7:$X$1000,'04'!$G$19)</f>
        <v>0</v>
      </c>
      <c r="K20" s="22">
        <f>SUMIFS(' 押出ekstrusi'!$H$7:$H$1000,' 押出ekstrusi'!$A$7:$A$1000,'04'!K$2,' 押出ekstrusi'!$D$7:$D$1000,'04'!$A$24,' 押出ekstrusi'!$X$7:$X$1000,'04'!$G$19)</f>
        <v>0</v>
      </c>
      <c r="L20" s="22">
        <f>SUMIFS(' 押出ekstrusi'!$H$7:$H$1000,' 押出ekstrusi'!$A$7:$A$1000,'04'!L$2,' 押出ekstrusi'!$D$7:$D$1000,'04'!$A$24,' 押出ekstrusi'!$X$7:$X$1000,'04'!$G$19)</f>
        <v>0</v>
      </c>
      <c r="M20" s="22">
        <f>SUMIFS(' 押出ekstrusi'!$H$7:$H$1000,' 押出ekstrusi'!$A$7:$A$1000,'04'!M$2,' 押出ekstrusi'!$D$7:$D$1000,'04'!$A$24,' 押出ekstrusi'!$X$7:$X$1000,'04'!$G$19)</f>
        <v>0</v>
      </c>
      <c r="N20" s="22">
        <f>SUMIFS(' 押出ekstrusi'!$H$7:$H$1000,' 押出ekstrusi'!$A$7:$A$1000,'04'!N$2,' 押出ekstrusi'!$D$7:$D$1000,'04'!$A$24,' 押出ekstrusi'!$X$7:$X$1000,'04'!$G$19)</f>
        <v>0</v>
      </c>
      <c r="O20" s="165"/>
      <c r="P20" s="165"/>
      <c r="Q20" s="165"/>
      <c r="R20" s="174"/>
      <c r="S20" s="174"/>
      <c r="T20" s="165"/>
      <c r="U20" s="165"/>
      <c r="V20" s="165"/>
      <c r="W20" s="22">
        <f>SUMIFS(' 押出ekstrusi'!$H$7:$H$1000,' 押出ekstrusi'!$A$7:$A$1000,'04'!W$2,' 押出ekstrusi'!$D$7:$D$1000,'04'!$A$24,' 押出ekstrusi'!$X$7:$X$1000,'04'!$G$19)</f>
        <v>0</v>
      </c>
      <c r="X20" s="22">
        <f>SUMIFS(' 押出ekstrusi'!$H$7:$H$1000,' 押出ekstrusi'!$A$7:$A$1000,'04'!X$2,' 押出ekstrusi'!$D$7:$D$1000,'04'!$A$24,' 押出ekstrusi'!$X$7:$X$1000,'04'!$G$19)</f>
        <v>0</v>
      </c>
      <c r="Y20" s="22">
        <f>SUMIFS(' 押出ekstrusi'!$H$7:$H$1000,' 押出ekstrusi'!$A$7:$A$1000,'04'!Y$2,' 押出ekstrusi'!$D$7:$D$1000,'04'!$A$24,' 押出ekstrusi'!$X$7:$X$1000,'04'!$G$19)</f>
        <v>0</v>
      </c>
      <c r="Z20" s="22">
        <f>SUMIFS(' 押出ekstrusi'!$H$7:$H$1000,' 押出ekstrusi'!$A$7:$A$1000,'04'!Z$2,' 押出ekstrusi'!$D$7:$D$1000,'04'!$A$24,' 押出ekstrusi'!$X$7:$X$1000,'04'!$G$19)</f>
        <v>0</v>
      </c>
      <c r="AA20" s="22">
        <f>SUMIFS(' 押出ekstrusi'!$H$7:$H$1000,' 押出ekstrusi'!$A$7:$A$1000,'04'!AA$2,' 押出ekstrusi'!$D$7:$D$1000,'04'!$A$24,' 押出ekstrusi'!$X$7:$X$1000,'04'!$G$19)</f>
        <v>0</v>
      </c>
      <c r="AB20" s="22">
        <f>SUMIFS(' 押出ekstrusi'!$H$7:$H$1000,' 押出ekstrusi'!$A$7:$A$1000,'04'!AB$2,' 押出ekstrusi'!$D$7:$D$1000,'04'!$A$24,' 押出ekstrusi'!$X$7:$X$1000,'04'!$G$19)</f>
        <v>0</v>
      </c>
      <c r="AC20" s="165"/>
      <c r="AD20" s="22">
        <f>SUMIFS(' 押出ekstrusi'!$H$7:$H$1000,' 押出ekstrusi'!$A$7:$A$1000,'04'!AD$2,' 押出ekstrusi'!$D$7:$D$1000,'04'!$A$24,' 押出ekstrusi'!$X$7:$X$1000,'04'!$G$19)</f>
        <v>0</v>
      </c>
      <c r="AE20" s="22">
        <f>SUMIFS(' 押出ekstrusi'!$H$7:$H$1000,' 押出ekstrusi'!$A$7:$A$1000,'04'!AE$2,' 押出ekstrusi'!$D$7:$D$1000,'04'!$A$24,' 押出ekstrusi'!$X$7:$X$1000,'04'!$G$19)</f>
        <v>0</v>
      </c>
      <c r="AF20" s="22">
        <f>SUMIFS(' 押出ekstrusi'!$H$7:$H$1000,' 押出ekstrusi'!$A$7:$A$1000,'04'!AF$2,' 押出ekstrusi'!$D$7:$D$1000,'04'!$A$24,' 押出ekstrusi'!$X$7:$X$1000,'04'!$G$19)</f>
        <v>0</v>
      </c>
      <c r="AG20" s="22">
        <f>SUMIFS(' 押出ekstrusi'!$H$7:$H$1000,' 押出ekstrusi'!$A$7:$A$1000,'04'!AG$2,' 押出ekstrusi'!$D$7:$D$1000,'04'!$A$24,' 押出ekstrusi'!$X$7:$X$1000,'04'!$G$19)</f>
        <v>0</v>
      </c>
      <c r="AH20" s="22">
        <f>SUMIFS(' 押出ekstrusi'!$H$7:$H$1000,' 押出ekstrusi'!$A$7:$A$1000,'04'!AH$2,' 押出ekstrusi'!$D$7:$D$1000,'04'!$A$24,' 押出ekstrusi'!$X$7:$X$1000,'04'!$G$19)</f>
        <v>0</v>
      </c>
      <c r="AI20" s="22">
        <f>SUMIFS(' 押出ekstrusi'!$H$7:$H$1000,' 押出ekstrusi'!$A$7:$A$1000,'04'!AI$2,' 押出ekstrusi'!$D$7:$D$1000,'04'!$A$24,' 押出ekstrusi'!$X$7:$X$1000,'04'!$G$19)</f>
        <v>0</v>
      </c>
      <c r="AJ20" s="165"/>
      <c r="AK20" s="22">
        <f>SUMIFS(' 押出ekstrusi'!$H$7:$H$1000,' 押出ekstrusi'!$A$7:$A$1000,'04'!AK$2,' 押出ekstrusi'!$D$7:$D$1000,'04'!$A$24,' 押出ekstrusi'!$X$7:$X$1000,'04'!$G$19)</f>
        <v>0</v>
      </c>
      <c r="AL20" s="22">
        <f>SUMIFS(' 押出ekstrusi'!$H$7:$H$1000,' 押出ekstrusi'!$A$7:$A$1000,'04'!AL$2,' 押出ekstrusi'!$D$7:$D$1000,'04'!$A$24,' 押出ekstrusi'!$X$7:$X$1000,'04'!$G$19)</f>
        <v>0</v>
      </c>
      <c r="AM20" s="113"/>
      <c r="AN20" s="84"/>
      <c r="AO20" s="83"/>
      <c r="AP20" s="83"/>
      <c r="AQ20" s="7"/>
      <c r="AR20" s="8"/>
      <c r="AS20" s="8"/>
      <c r="AT20" s="7"/>
      <c r="AU20" s="7"/>
      <c r="AV20" s="7"/>
      <c r="AW20" s="7"/>
    </row>
    <row r="21" spans="1:49">
      <c r="A21" s="88"/>
      <c r="B21" s="234"/>
      <c r="C21" s="200"/>
      <c r="D21" s="217"/>
      <c r="E21" s="209"/>
      <c r="F21" s="200"/>
      <c r="G21" s="27"/>
      <c r="H21" s="26" t="s">
        <v>34</v>
      </c>
      <c r="I21" s="40">
        <f>I20-I19</f>
        <v>-34758</v>
      </c>
      <c r="J21" s="40">
        <f>I21+(J20-J19)</f>
        <v>-146058</v>
      </c>
      <c r="K21" s="40">
        <f t="shared" ref="K21:M21" si="22">J21+(K20-K19)</f>
        <v>-257358</v>
      </c>
      <c r="L21" s="40">
        <f t="shared" si="22"/>
        <v>-368658</v>
      </c>
      <c r="M21" s="40">
        <f t="shared" si="22"/>
        <v>-479958</v>
      </c>
      <c r="N21" s="143">
        <f>M21+(N20-N19)</f>
        <v>-479958</v>
      </c>
      <c r="O21" s="166"/>
      <c r="P21" s="166"/>
      <c r="Q21" s="166"/>
      <c r="R21" s="166"/>
      <c r="S21" s="166"/>
      <c r="T21" s="166"/>
      <c r="U21" s="166"/>
      <c r="V21" s="166"/>
      <c r="W21" s="40">
        <f>N21+(W20-W19)</f>
        <v>-591258</v>
      </c>
      <c r="X21" s="40">
        <f>W21+(X20-X19)</f>
        <v>-702558</v>
      </c>
      <c r="Y21" s="40">
        <f t="shared" ref="Y21:AA21" si="23">X21+(Y20-Y19)</f>
        <v>-813858</v>
      </c>
      <c r="Z21" s="40">
        <f t="shared" si="23"/>
        <v>-925158</v>
      </c>
      <c r="AA21" s="40">
        <f t="shared" si="23"/>
        <v>-1036458</v>
      </c>
      <c r="AB21" s="143">
        <f>AA21+(AB20-AB19)</f>
        <v>-1036458</v>
      </c>
      <c r="AC21" s="166"/>
      <c r="AD21" s="40">
        <f>AB21+(AD20-AD19)</f>
        <v>-1147758</v>
      </c>
      <c r="AE21" s="40">
        <f>AD21+(AE20-AE19)</f>
        <v>-1259058</v>
      </c>
      <c r="AF21" s="40">
        <f t="shared" ref="AF21:AH21" si="24">AE21+(AF20-AF19)</f>
        <v>-1370358</v>
      </c>
      <c r="AG21" s="40">
        <f t="shared" si="24"/>
        <v>-1481658</v>
      </c>
      <c r="AH21" s="40">
        <f t="shared" si="24"/>
        <v>-1592958</v>
      </c>
      <c r="AI21" s="143">
        <f>AH21+(AI20-AI19)</f>
        <v>-1592958</v>
      </c>
      <c r="AJ21" s="166"/>
      <c r="AK21" s="40">
        <f>AI21+(AK20-AK19)</f>
        <v>-1704258</v>
      </c>
      <c r="AL21" s="40">
        <f>AK21+(AL20-AL19)</f>
        <v>-1815558</v>
      </c>
      <c r="AM21" s="40"/>
      <c r="AN21" s="84"/>
      <c r="AO21" s="83"/>
      <c r="AP21" s="83"/>
      <c r="AQ21" s="7"/>
      <c r="AR21" s="8"/>
      <c r="AS21" s="8"/>
      <c r="AT21" s="7"/>
      <c r="AU21" s="7"/>
      <c r="AV21" s="7"/>
      <c r="AW21" s="7"/>
    </row>
    <row r="22" spans="1:49">
      <c r="A22" s="88"/>
      <c r="B22" s="234"/>
      <c r="C22" s="200"/>
      <c r="D22" s="217"/>
      <c r="E22" s="209"/>
      <c r="F22" s="200"/>
      <c r="G22" s="72" t="s">
        <v>16</v>
      </c>
      <c r="H22" s="23" t="s">
        <v>109</v>
      </c>
      <c r="I22" s="71">
        <f>($M$34*$D$3)*2</f>
        <v>111300</v>
      </c>
      <c r="J22" s="71">
        <f t="shared" ref="J22:K22" si="25">($M$34*$D$3)*2</f>
        <v>111300</v>
      </c>
      <c r="K22" s="71">
        <f t="shared" si="25"/>
        <v>111300</v>
      </c>
      <c r="L22" s="71">
        <f>($M$34*$D$3)*2</f>
        <v>111300</v>
      </c>
      <c r="M22" s="71">
        <f>($M$34*$D$3)*2</f>
        <v>111300</v>
      </c>
      <c r="N22" s="21"/>
      <c r="O22" s="165"/>
      <c r="P22" s="165"/>
      <c r="Q22" s="165"/>
      <c r="R22" s="165"/>
      <c r="S22" s="165"/>
      <c r="T22" s="165"/>
      <c r="U22" s="165"/>
      <c r="V22" s="165"/>
      <c r="W22" s="71">
        <f>($M$34*$D$3)*2</f>
        <v>111300</v>
      </c>
      <c r="X22" s="71">
        <f t="shared" ref="X22:Y22" si="26">($M$34*$D$3)*2</f>
        <v>111300</v>
      </c>
      <c r="Y22" s="71">
        <f t="shared" si="26"/>
        <v>111300</v>
      </c>
      <c r="Z22" s="71">
        <f>($AA$34*$D$3)*2</f>
        <v>111300</v>
      </c>
      <c r="AA22" s="71">
        <f>($AA$34*$D$3)*2</f>
        <v>111300</v>
      </c>
      <c r="AB22" s="21"/>
      <c r="AC22" s="165"/>
      <c r="AD22" s="71">
        <f>($AA$34*$D$3)*2</f>
        <v>111300</v>
      </c>
      <c r="AE22" s="71">
        <f t="shared" ref="AE22:AF22" si="27">($M$34*$D$3)*2</f>
        <v>111300</v>
      </c>
      <c r="AF22" s="71">
        <f t="shared" si="27"/>
        <v>111300</v>
      </c>
      <c r="AG22" s="71">
        <f>($AA$34*$D$3)*2</f>
        <v>111300</v>
      </c>
      <c r="AH22" s="71">
        <f>($AA$34*$D$3)*2</f>
        <v>111300</v>
      </c>
      <c r="AI22" s="21"/>
      <c r="AJ22" s="165"/>
      <c r="AK22" s="71">
        <f t="shared" ref="AK22:AM22" si="28">($M$34*$D$3)*2</f>
        <v>111300</v>
      </c>
      <c r="AL22" s="71">
        <f t="shared" si="28"/>
        <v>111300</v>
      </c>
      <c r="AM22" s="71"/>
      <c r="AN22" s="84"/>
      <c r="AO22" s="83"/>
      <c r="AP22" s="83"/>
      <c r="AQ22" s="7"/>
      <c r="AR22" s="8"/>
      <c r="AS22" s="8"/>
      <c r="AT22" s="7"/>
      <c r="AU22" s="7"/>
      <c r="AV22" s="7"/>
      <c r="AW22" s="7"/>
    </row>
    <row r="23" spans="1:49">
      <c r="A23" s="88"/>
      <c r="B23" s="234"/>
      <c r="C23" s="200"/>
      <c r="D23" s="217"/>
      <c r="E23" s="209"/>
      <c r="F23" s="200"/>
      <c r="G23" s="72"/>
      <c r="H23" s="23" t="s">
        <v>7</v>
      </c>
      <c r="I23" s="71">
        <v>1</v>
      </c>
      <c r="J23" s="71">
        <v>1</v>
      </c>
      <c r="K23" s="71">
        <v>1</v>
      </c>
      <c r="L23" s="71">
        <v>1</v>
      </c>
      <c r="M23" s="71">
        <v>1</v>
      </c>
      <c r="N23" s="21"/>
      <c r="O23" s="165"/>
      <c r="P23" s="165"/>
      <c r="Q23" s="165"/>
      <c r="R23" s="165"/>
      <c r="S23" s="165"/>
      <c r="T23" s="165"/>
      <c r="U23" s="165"/>
      <c r="V23" s="165"/>
      <c r="W23" s="71">
        <v>1</v>
      </c>
      <c r="X23" s="71">
        <v>1</v>
      </c>
      <c r="Y23" s="71">
        <v>1</v>
      </c>
      <c r="Z23" s="71">
        <v>1</v>
      </c>
      <c r="AA23" s="71">
        <v>1</v>
      </c>
      <c r="AB23" s="21"/>
      <c r="AC23" s="165"/>
      <c r="AD23" s="71">
        <v>1</v>
      </c>
      <c r="AE23" s="71">
        <v>1</v>
      </c>
      <c r="AF23" s="71">
        <v>1</v>
      </c>
      <c r="AG23" s="71">
        <v>1</v>
      </c>
      <c r="AH23" s="71">
        <v>1</v>
      </c>
      <c r="AI23" s="21"/>
      <c r="AJ23" s="165"/>
      <c r="AK23" s="71">
        <v>1</v>
      </c>
      <c r="AL23" s="71">
        <v>1</v>
      </c>
      <c r="AM23" s="71"/>
      <c r="AN23" s="84"/>
      <c r="AO23" s="83"/>
      <c r="AP23" s="83"/>
      <c r="AQ23" s="7"/>
      <c r="AR23" s="8"/>
      <c r="AS23" s="8"/>
      <c r="AT23" s="7"/>
      <c r="AU23" s="7"/>
      <c r="AV23" s="7"/>
      <c r="AW23" s="7"/>
    </row>
    <row r="24" spans="1:49">
      <c r="A24" s="89" t="s">
        <v>115</v>
      </c>
      <c r="B24" s="234"/>
      <c r="C24" s="200"/>
      <c r="D24" s="217"/>
      <c r="E24" s="209"/>
      <c r="F24" s="200"/>
      <c r="G24" s="27"/>
      <c r="H24" s="26" t="s">
        <v>0</v>
      </c>
      <c r="I24" s="22">
        <f>SUMIFS(' 押出ekstrusi'!$H$7:$H$1000,' 押出ekstrusi'!$A$7:$A$1000,'04'!I$2,' 押出ekstrusi'!$D$7:$D$1000,'04'!$A$24,' 押出ekstrusi'!$X$7:$X$1000,'04'!$G$22)</f>
        <v>6136</v>
      </c>
      <c r="J24" s="22">
        <f>SUMIFS(' 押出ekstrusi'!$H$7:$H$1000,' 押出ekstrusi'!$A$7:$A$1000,'04'!J$2,' 押出ekstrusi'!$D$7:$D$1000,'04'!$A$24,' 押出ekstrusi'!$X$7:$X$1000,'04'!$G$22)</f>
        <v>39260</v>
      </c>
      <c r="K24" s="22">
        <f>SUMIFS(' 押出ekstrusi'!$H$7:$H$1000,' 押出ekstrusi'!$A$7:$A$1000,'04'!K$2,' 押出ekstrusi'!$D$7:$D$1000,'04'!$A$24,' 押出ekstrusi'!$X$7:$X$1000,'04'!$G$22)</f>
        <v>0</v>
      </c>
      <c r="L24" s="22">
        <f>SUMIFS(' 押出ekstrusi'!$H$7:$H$1000,' 押出ekstrusi'!$A$7:$A$1000,'04'!L$2,' 押出ekstrusi'!$D$7:$D$1000,'04'!$A$24,' 押出ekstrusi'!$X$7:$X$1000,'04'!$G$22)</f>
        <v>0</v>
      </c>
      <c r="M24" s="22">
        <f>SUMIFS(' 押出ekstrusi'!$H$7:$H$1000,' 押出ekstrusi'!$A$7:$A$1000,'04'!M$2,' 押出ekstrusi'!$D$7:$D$1000,'04'!$A$24,' 押出ekstrusi'!$X$7:$X$1000,'04'!$G$22)</f>
        <v>0</v>
      </c>
      <c r="N24" s="22">
        <f>SUMIFS(' 押出ekstrusi'!$H$7:$H$1000,' 押出ekstrusi'!$A$7:$A$1000,'04'!N$2,' 押出ekstrusi'!$D$7:$D$1000,'04'!$A$24,' 押出ekstrusi'!$X$7:$X$1000,'04'!$G$22)</f>
        <v>0</v>
      </c>
      <c r="O24" s="165"/>
      <c r="P24" s="165"/>
      <c r="Q24" s="165"/>
      <c r="R24" s="174"/>
      <c r="S24" s="174"/>
      <c r="T24" s="165"/>
      <c r="U24" s="165"/>
      <c r="V24" s="165"/>
      <c r="W24" s="22">
        <f>SUMIFS(' 押出ekstrusi'!$H$7:$H$1000,' 押出ekstrusi'!$A$7:$A$1000,'04'!W$2,' 押出ekstrusi'!$D$7:$D$1000,'04'!$A$24,' 押出ekstrusi'!$X$7:$X$1000,'04'!$G$22)</f>
        <v>0</v>
      </c>
      <c r="X24" s="22">
        <f>SUMIFS(' 押出ekstrusi'!$H$7:$H$1000,' 押出ekstrusi'!$A$7:$A$1000,'04'!X$2,' 押出ekstrusi'!$D$7:$D$1000,'04'!$A$24,' 押出ekstrusi'!$X$7:$X$1000,'04'!$G$22)</f>
        <v>0</v>
      </c>
      <c r="Y24" s="22">
        <f>SUMIFS(' 押出ekstrusi'!$H$7:$H$1000,' 押出ekstrusi'!$A$7:$A$1000,'04'!Y$2,' 押出ekstrusi'!$D$7:$D$1000,'04'!$A$24,' 押出ekstrusi'!$X$7:$X$1000,'04'!$G$22)</f>
        <v>0</v>
      </c>
      <c r="Z24" s="22">
        <f>SUMIFS(' 押出ekstrusi'!$H$7:$H$1000,' 押出ekstrusi'!$A$7:$A$1000,'04'!Z$2,' 押出ekstrusi'!$D$7:$D$1000,'04'!$A$24,' 押出ekstrusi'!$X$7:$X$1000,'04'!$G$22)</f>
        <v>0</v>
      </c>
      <c r="AA24" s="22">
        <f>SUMIFS(' 押出ekstrusi'!$H$7:$H$1000,' 押出ekstrusi'!$A$7:$A$1000,'04'!AA$2,' 押出ekstrusi'!$D$7:$D$1000,'04'!$A$24,' 押出ekstrusi'!$X$7:$X$1000,'04'!$G$22)</f>
        <v>0</v>
      </c>
      <c r="AB24" s="22">
        <f>SUMIFS(' 押出ekstrusi'!$H$7:$H$1000,' 押出ekstrusi'!$A$7:$A$1000,'04'!AB$2,' 押出ekstrusi'!$D$7:$D$1000,'04'!$A$24,' 押出ekstrusi'!$X$7:$X$1000,'04'!$G$22)</f>
        <v>0</v>
      </c>
      <c r="AC24" s="165"/>
      <c r="AD24" s="22">
        <f>SUMIFS(' 押出ekstrusi'!$H$7:$H$1000,' 押出ekstrusi'!$A$7:$A$1000,'04'!AD$2,' 押出ekstrusi'!$D$7:$D$1000,'04'!$A$24,' 押出ekstrusi'!$X$7:$X$1000,'04'!$G$22)</f>
        <v>0</v>
      </c>
      <c r="AE24" s="22">
        <f>SUMIFS(' 押出ekstrusi'!$H$7:$H$1000,' 押出ekstrusi'!$A$7:$A$1000,'04'!AE$2,' 押出ekstrusi'!$D$7:$D$1000,'04'!$A$24,' 押出ekstrusi'!$X$7:$X$1000,'04'!$G$22)</f>
        <v>0</v>
      </c>
      <c r="AF24" s="22">
        <f>SUMIFS(' 押出ekstrusi'!$H$7:$H$1000,' 押出ekstrusi'!$A$7:$A$1000,'04'!AF$2,' 押出ekstrusi'!$D$7:$D$1000,'04'!$A$24,' 押出ekstrusi'!$X$7:$X$1000,'04'!$G$22)</f>
        <v>0</v>
      </c>
      <c r="AG24" s="22">
        <f>SUMIFS(' 押出ekstrusi'!$H$7:$H$1000,' 押出ekstrusi'!$A$7:$A$1000,'04'!AG$2,' 押出ekstrusi'!$D$7:$D$1000,'04'!$A$24,' 押出ekstrusi'!$X$7:$X$1000,'04'!$G$22)</f>
        <v>0</v>
      </c>
      <c r="AH24" s="22">
        <f>SUMIFS(' 押出ekstrusi'!$H$7:$H$1000,' 押出ekstrusi'!$A$7:$A$1000,'04'!AH$2,' 押出ekstrusi'!$D$7:$D$1000,'04'!$A$24,' 押出ekstrusi'!$X$7:$X$1000,'04'!$G$22)</f>
        <v>0</v>
      </c>
      <c r="AI24" s="22">
        <f>SUMIFS(' 押出ekstrusi'!$H$7:$H$1000,' 押出ekstrusi'!$A$7:$A$1000,'04'!AI$2,' 押出ekstrusi'!$D$7:$D$1000,'04'!$A$24,' 押出ekstrusi'!$X$7:$X$1000,'04'!$G$22)</f>
        <v>0</v>
      </c>
      <c r="AJ24" s="165"/>
      <c r="AK24" s="22">
        <f>SUMIFS(' 押出ekstrusi'!$H$7:$H$1000,' 押出ekstrusi'!$A$7:$A$1000,'04'!AK$2,' 押出ekstrusi'!$D$7:$D$1000,'04'!$A$24,' 押出ekstrusi'!$X$7:$X$1000,'04'!$G$22)</f>
        <v>0</v>
      </c>
      <c r="AL24" s="22">
        <f>SUMIFS(' 押出ekstrusi'!$H$7:$H$1000,' 押出ekstrusi'!$A$7:$A$1000,'04'!AL$2,' 押出ekstrusi'!$D$7:$D$1000,'04'!$A$24,' 押出ekstrusi'!$X$7:$X$1000,'04'!$G$22)</f>
        <v>0</v>
      </c>
      <c r="AM24" s="113"/>
      <c r="AN24" s="84"/>
      <c r="AO24" s="83"/>
      <c r="AP24" s="83"/>
      <c r="AQ24" s="7"/>
      <c r="AR24" s="8"/>
      <c r="AS24" s="8"/>
      <c r="AT24" s="7"/>
      <c r="AU24" s="7"/>
      <c r="AV24" s="7"/>
      <c r="AW24" s="7"/>
    </row>
    <row r="25" spans="1:49">
      <c r="A25" s="88"/>
      <c r="B25" s="234"/>
      <c r="C25" s="200"/>
      <c r="D25" s="217"/>
      <c r="E25" s="209"/>
      <c r="F25" s="200"/>
      <c r="G25" s="27"/>
      <c r="H25" s="26" t="s">
        <v>34</v>
      </c>
      <c r="I25" s="40">
        <f>I24-I22</f>
        <v>-105164</v>
      </c>
      <c r="J25" s="40">
        <f>I25+(J24-J22)</f>
        <v>-177204</v>
      </c>
      <c r="K25" s="40">
        <f t="shared" ref="K25:M25" si="29">J25+(K24-K22)</f>
        <v>-288504</v>
      </c>
      <c r="L25" s="40">
        <f t="shared" si="29"/>
        <v>-399804</v>
      </c>
      <c r="M25" s="40">
        <f t="shared" si="29"/>
        <v>-511104</v>
      </c>
      <c r="N25" s="143">
        <f>M25+(N24-N22)</f>
        <v>-511104</v>
      </c>
      <c r="O25" s="166"/>
      <c r="P25" s="166"/>
      <c r="Q25" s="166"/>
      <c r="R25" s="166"/>
      <c r="S25" s="166"/>
      <c r="T25" s="166"/>
      <c r="U25" s="166"/>
      <c r="V25" s="166"/>
      <c r="W25" s="40">
        <f>N25+(W24-W22)</f>
        <v>-622404</v>
      </c>
      <c r="X25" s="40">
        <f>W25+(X24-X22)</f>
        <v>-733704</v>
      </c>
      <c r="Y25" s="40">
        <f t="shared" ref="Y25:AA25" si="30">X25+(Y24-Y22)</f>
        <v>-845004</v>
      </c>
      <c r="Z25" s="40">
        <f t="shared" si="30"/>
        <v>-956304</v>
      </c>
      <c r="AA25" s="40">
        <f t="shared" si="30"/>
        <v>-1067604</v>
      </c>
      <c r="AB25" s="143">
        <f>AA25+(AB24-AB22)</f>
        <v>-1067604</v>
      </c>
      <c r="AC25" s="166"/>
      <c r="AD25" s="40">
        <f>AB25+(AD24-AD22)</f>
        <v>-1178904</v>
      </c>
      <c r="AE25" s="40">
        <f>AD25+(AE24-AE22)</f>
        <v>-1290204</v>
      </c>
      <c r="AF25" s="40">
        <f t="shared" ref="AF25:AH25" si="31">AE25+(AF24-AF22)</f>
        <v>-1401504</v>
      </c>
      <c r="AG25" s="40">
        <f t="shared" si="31"/>
        <v>-1512804</v>
      </c>
      <c r="AH25" s="40">
        <f t="shared" si="31"/>
        <v>-1624104</v>
      </c>
      <c r="AI25" s="143">
        <f>AH25+(AI24-AI22)</f>
        <v>-1624104</v>
      </c>
      <c r="AJ25" s="166"/>
      <c r="AK25" s="40">
        <f>AI25+(AK24-AK22)</f>
        <v>-1735404</v>
      </c>
      <c r="AL25" s="40">
        <f>AK25+(AL24-AL22)</f>
        <v>-1846704</v>
      </c>
      <c r="AM25" s="40"/>
      <c r="AN25" s="84"/>
      <c r="AO25" s="83"/>
      <c r="AP25" s="83"/>
      <c r="AQ25" s="7"/>
      <c r="AR25" s="8"/>
      <c r="AS25" s="8"/>
      <c r="AT25" s="7"/>
      <c r="AU25" s="7"/>
      <c r="AV25" s="7"/>
      <c r="AW25" s="7"/>
    </row>
    <row r="26" spans="1:49">
      <c r="A26" s="88"/>
      <c r="B26" s="234"/>
      <c r="C26" s="200"/>
      <c r="D26" s="217"/>
      <c r="E26" s="209"/>
      <c r="F26" s="200"/>
      <c r="G26" s="72" t="s">
        <v>14</v>
      </c>
      <c r="H26" s="23" t="s">
        <v>40</v>
      </c>
      <c r="I26" s="71">
        <f>$M$34*$D$3</f>
        <v>55650</v>
      </c>
      <c r="J26" s="71">
        <f t="shared" ref="J26:K26" si="32">$M$34*$D$3</f>
        <v>55650</v>
      </c>
      <c r="K26" s="71">
        <f t="shared" si="32"/>
        <v>55650</v>
      </c>
      <c r="L26" s="71">
        <f>$M$34*$D$3</f>
        <v>55650</v>
      </c>
      <c r="M26" s="71">
        <f>$M$34*$D$3</f>
        <v>55650</v>
      </c>
      <c r="N26" s="21"/>
      <c r="O26" s="165"/>
      <c r="P26" s="165"/>
      <c r="Q26" s="165"/>
      <c r="R26" s="165"/>
      <c r="S26" s="165"/>
      <c r="T26" s="165"/>
      <c r="U26" s="165"/>
      <c r="V26" s="165"/>
      <c r="W26" s="71">
        <f>$M$34*$D$3</f>
        <v>55650</v>
      </c>
      <c r="X26" s="71">
        <f t="shared" ref="X26:Y26" si="33">$M$34*$D$3</f>
        <v>55650</v>
      </c>
      <c r="Y26" s="71">
        <f t="shared" si="33"/>
        <v>55650</v>
      </c>
      <c r="Z26" s="71">
        <f>$AA$34*$D$3</f>
        <v>55650</v>
      </c>
      <c r="AA26" s="71">
        <f>$AA$34*$D$3</f>
        <v>55650</v>
      </c>
      <c r="AB26" s="21"/>
      <c r="AC26" s="165"/>
      <c r="AD26" s="71">
        <f>$AA$34*$D$3</f>
        <v>55650</v>
      </c>
      <c r="AE26" s="71">
        <f t="shared" ref="AE26:AF26" si="34">$M$34*$D$3</f>
        <v>55650</v>
      </c>
      <c r="AF26" s="71">
        <f t="shared" si="34"/>
        <v>55650</v>
      </c>
      <c r="AG26" s="71">
        <f>$AA$34*$D$3</f>
        <v>55650</v>
      </c>
      <c r="AH26" s="71">
        <f>$AA$34*$D$3</f>
        <v>55650</v>
      </c>
      <c r="AI26" s="21"/>
      <c r="AJ26" s="165"/>
      <c r="AK26" s="71">
        <f t="shared" ref="AK26:AM26" si="35">$M$34*$D$3</f>
        <v>55650</v>
      </c>
      <c r="AL26" s="71">
        <f t="shared" si="35"/>
        <v>55650</v>
      </c>
      <c r="AM26" s="71"/>
      <c r="AN26" s="84"/>
      <c r="AO26" s="83"/>
      <c r="AP26" s="83"/>
      <c r="AQ26" s="7"/>
      <c r="AR26" s="8"/>
      <c r="AS26" s="8"/>
      <c r="AT26" s="7"/>
      <c r="AU26" s="7"/>
      <c r="AV26" s="7"/>
      <c r="AW26" s="7"/>
    </row>
    <row r="27" spans="1:49">
      <c r="A27" s="88"/>
      <c r="B27" s="234"/>
      <c r="C27" s="200"/>
      <c r="D27" s="217"/>
      <c r="E27" s="209"/>
      <c r="F27" s="200"/>
      <c r="G27" s="72"/>
      <c r="H27" s="23" t="s">
        <v>7</v>
      </c>
      <c r="I27" s="71">
        <v>1</v>
      </c>
      <c r="J27" s="71">
        <v>1</v>
      </c>
      <c r="K27" s="71">
        <v>1</v>
      </c>
      <c r="L27" s="71">
        <v>1</v>
      </c>
      <c r="M27" s="71">
        <v>1</v>
      </c>
      <c r="N27" s="21"/>
      <c r="O27" s="165"/>
      <c r="P27" s="165"/>
      <c r="Q27" s="165"/>
      <c r="R27" s="165"/>
      <c r="S27" s="165"/>
      <c r="T27" s="165"/>
      <c r="U27" s="165"/>
      <c r="V27" s="165"/>
      <c r="W27" s="71">
        <v>1</v>
      </c>
      <c r="X27" s="71">
        <v>1</v>
      </c>
      <c r="Y27" s="71">
        <v>1</v>
      </c>
      <c r="Z27" s="71">
        <v>1</v>
      </c>
      <c r="AA27" s="71">
        <v>1</v>
      </c>
      <c r="AB27" s="21"/>
      <c r="AC27" s="165"/>
      <c r="AD27" s="71">
        <v>1</v>
      </c>
      <c r="AE27" s="71">
        <v>1</v>
      </c>
      <c r="AF27" s="71">
        <v>1</v>
      </c>
      <c r="AG27" s="71">
        <v>1</v>
      </c>
      <c r="AH27" s="71">
        <v>1</v>
      </c>
      <c r="AI27" s="21"/>
      <c r="AJ27" s="165"/>
      <c r="AK27" s="71">
        <v>1</v>
      </c>
      <c r="AL27" s="71">
        <v>1</v>
      </c>
      <c r="AM27" s="71"/>
      <c r="AN27" s="84"/>
      <c r="AO27" s="83"/>
      <c r="AP27" s="83"/>
      <c r="AQ27" s="7"/>
      <c r="AR27" s="8"/>
      <c r="AS27" s="8"/>
      <c r="AT27" s="7"/>
      <c r="AU27" s="7"/>
      <c r="AV27" s="7"/>
      <c r="AW27" s="7"/>
    </row>
    <row r="28" spans="1:49">
      <c r="A28" s="88"/>
      <c r="B28" s="234"/>
      <c r="C28" s="200"/>
      <c r="D28" s="217"/>
      <c r="E28" s="209"/>
      <c r="F28" s="200"/>
      <c r="G28" s="27"/>
      <c r="H28" s="26" t="s">
        <v>0</v>
      </c>
      <c r="I28" s="22">
        <f>SUMIFS(' 押出ekstrusi'!$H$7:$H$1000,' 押出ekstrusi'!$A$7:$A$1000,'04'!I$2,' 押出ekstrusi'!$D$7:$D$1000,'04'!$A$24,' 押出ekstrusi'!$X$7:$X$1000,'04'!$G$26)</f>
        <v>20964</v>
      </c>
      <c r="J28" s="22">
        <f>SUMIFS(' 押出ekstrusi'!$H$7:$H$1000,' 押出ekstrusi'!$A$7:$A$1000,'04'!J$2,' 押出ekstrusi'!$D$7:$D$1000,'04'!$A$24,' 押出ekstrusi'!$X$7:$X$1000,'04'!$G$26)</f>
        <v>0</v>
      </c>
      <c r="K28" s="22">
        <f>SUMIFS(' 押出ekstrusi'!$H$7:$H$1000,' 押出ekstrusi'!$A$7:$A$1000,'04'!K$2,' 押出ekstrusi'!$D$7:$D$1000,'04'!$A$24,' 押出ekstrusi'!$X$7:$X$1000,'04'!$G$26)</f>
        <v>0</v>
      </c>
      <c r="L28" s="22">
        <f>SUMIFS(' 押出ekstrusi'!$H$7:$H$1000,' 押出ekstrusi'!$A$7:$A$1000,'04'!L$2,' 押出ekstrusi'!$D$7:$D$1000,'04'!$A$24,' 押出ekstrusi'!$X$7:$X$1000,'04'!$G$26)</f>
        <v>0</v>
      </c>
      <c r="M28" s="22">
        <f>SUMIFS(' 押出ekstrusi'!$H$7:$H$1000,' 押出ekstrusi'!$A$7:$A$1000,'04'!M$2,' 押出ekstrusi'!$D$7:$D$1000,'04'!$A$24,' 押出ekstrusi'!$X$7:$X$1000,'04'!$G$26)</f>
        <v>0</v>
      </c>
      <c r="N28" s="22">
        <f>SUMIFS(' 押出ekstrusi'!$H$7:$H$1000,' 押出ekstrusi'!$A$7:$A$1000,'04'!N$2,' 押出ekstrusi'!$D$7:$D$1000,'04'!$A$24,' 押出ekstrusi'!$X$7:$X$1000,'04'!$G$26)</f>
        <v>0</v>
      </c>
      <c r="O28" s="165"/>
      <c r="P28" s="165"/>
      <c r="Q28" s="165"/>
      <c r="R28" s="174"/>
      <c r="S28" s="174"/>
      <c r="T28" s="165"/>
      <c r="U28" s="165"/>
      <c r="V28" s="165"/>
      <c r="W28" s="22">
        <f>SUMIFS(' 押出ekstrusi'!$H$7:$H$1000,' 押出ekstrusi'!$A$7:$A$1000,'04'!W$2,' 押出ekstrusi'!$D$7:$D$1000,'04'!$A$24,' 押出ekstrusi'!$X$7:$X$1000,'04'!$G$26)</f>
        <v>0</v>
      </c>
      <c r="X28" s="22">
        <f>SUMIFS(' 押出ekstrusi'!$H$7:$H$1000,' 押出ekstrusi'!$A$7:$A$1000,'04'!X$2,' 押出ekstrusi'!$D$7:$D$1000,'04'!$A$24,' 押出ekstrusi'!$X$7:$X$1000,'04'!$G$26)</f>
        <v>0</v>
      </c>
      <c r="Y28" s="22">
        <f>SUMIFS(' 押出ekstrusi'!$H$7:$H$1000,' 押出ekstrusi'!$A$7:$A$1000,'04'!Y$2,' 押出ekstrusi'!$D$7:$D$1000,'04'!$A$24,' 押出ekstrusi'!$X$7:$X$1000,'04'!$G$26)</f>
        <v>0</v>
      </c>
      <c r="Z28" s="22">
        <f>SUMIFS(' 押出ekstrusi'!$H$7:$H$1000,' 押出ekstrusi'!$A$7:$A$1000,'04'!Z$2,' 押出ekstrusi'!$D$7:$D$1000,'04'!$A$24,' 押出ekstrusi'!$X$7:$X$1000,'04'!$G$26)</f>
        <v>0</v>
      </c>
      <c r="AA28" s="22">
        <f>SUMIFS(' 押出ekstrusi'!$H$7:$H$1000,' 押出ekstrusi'!$A$7:$A$1000,'04'!AA$2,' 押出ekstrusi'!$D$7:$D$1000,'04'!$A$24,' 押出ekstrusi'!$X$7:$X$1000,'04'!$G$26)</f>
        <v>0</v>
      </c>
      <c r="AB28" s="22">
        <f>SUMIFS(' 押出ekstrusi'!$H$7:$H$1000,' 押出ekstrusi'!$A$7:$A$1000,'04'!AB$2,' 押出ekstrusi'!$D$7:$D$1000,'04'!$A$24,' 押出ekstrusi'!$X$7:$X$1000,'04'!$G$26)</f>
        <v>0</v>
      </c>
      <c r="AC28" s="165"/>
      <c r="AD28" s="22">
        <f>SUMIFS(' 押出ekstrusi'!$H$7:$H$1000,' 押出ekstrusi'!$A$7:$A$1000,'04'!AD$2,' 押出ekstrusi'!$D$7:$D$1000,'04'!$A$24,' 押出ekstrusi'!$X$7:$X$1000,'04'!$G$26)</f>
        <v>0</v>
      </c>
      <c r="AE28" s="22">
        <f>SUMIFS(' 押出ekstrusi'!$H$7:$H$1000,' 押出ekstrusi'!$A$7:$A$1000,'04'!AE$2,' 押出ekstrusi'!$D$7:$D$1000,'04'!$A$24,' 押出ekstrusi'!$X$7:$X$1000,'04'!$G$26)</f>
        <v>0</v>
      </c>
      <c r="AF28" s="22">
        <f>SUMIFS(' 押出ekstrusi'!$H$7:$H$1000,' 押出ekstrusi'!$A$7:$A$1000,'04'!AF$2,' 押出ekstrusi'!$D$7:$D$1000,'04'!$A$24,' 押出ekstrusi'!$X$7:$X$1000,'04'!$G$26)</f>
        <v>0</v>
      </c>
      <c r="AG28" s="22">
        <f>SUMIFS(' 押出ekstrusi'!$H$7:$H$1000,' 押出ekstrusi'!$A$7:$A$1000,'04'!AG$2,' 押出ekstrusi'!$D$7:$D$1000,'04'!$A$24,' 押出ekstrusi'!$X$7:$X$1000,'04'!$G$26)</f>
        <v>0</v>
      </c>
      <c r="AH28" s="22">
        <f>SUMIFS(' 押出ekstrusi'!$H$7:$H$1000,' 押出ekstrusi'!$A$7:$A$1000,'04'!AH$2,' 押出ekstrusi'!$D$7:$D$1000,'04'!$A$24,' 押出ekstrusi'!$X$7:$X$1000,'04'!$G$26)</f>
        <v>0</v>
      </c>
      <c r="AI28" s="22">
        <f>SUMIFS(' 押出ekstrusi'!$H$7:$H$1000,' 押出ekstrusi'!$A$7:$A$1000,'04'!AI$2,' 押出ekstrusi'!$D$7:$D$1000,'04'!$A$24,' 押出ekstrusi'!$X$7:$X$1000,'04'!$G$26)</f>
        <v>0</v>
      </c>
      <c r="AJ28" s="165"/>
      <c r="AK28" s="22">
        <f>SUMIFS(' 押出ekstrusi'!$H$7:$H$1000,' 押出ekstrusi'!$A$7:$A$1000,'04'!AK$2,' 押出ekstrusi'!$D$7:$D$1000,'04'!$A$24,' 押出ekstrusi'!$X$7:$X$1000,'04'!$G$26)</f>
        <v>0</v>
      </c>
      <c r="AL28" s="22">
        <f>SUMIFS(' 押出ekstrusi'!$H$7:$H$1000,' 押出ekstrusi'!$A$7:$A$1000,'04'!AL$2,' 押出ekstrusi'!$D$7:$D$1000,'04'!$A$24,' 押出ekstrusi'!$X$7:$X$1000,'04'!$G$26)</f>
        <v>0</v>
      </c>
      <c r="AM28" s="113"/>
      <c r="AN28" s="84"/>
      <c r="AO28" s="83"/>
      <c r="AP28" s="83"/>
      <c r="AQ28" s="7"/>
      <c r="AR28" s="8"/>
      <c r="AS28" s="8"/>
      <c r="AT28" s="7"/>
      <c r="AU28" s="7"/>
      <c r="AV28" s="7"/>
      <c r="AW28" s="7"/>
    </row>
    <row r="29" spans="1:49">
      <c r="A29" s="88"/>
      <c r="B29" s="234"/>
      <c r="C29" s="200"/>
      <c r="D29" s="217"/>
      <c r="E29" s="209"/>
      <c r="F29" s="200"/>
      <c r="G29" s="27"/>
      <c r="H29" s="26" t="s">
        <v>34</v>
      </c>
      <c r="I29" s="40">
        <f>I28-I26</f>
        <v>-34686</v>
      </c>
      <c r="J29" s="40">
        <f>I29+(J28-J26)</f>
        <v>-90336</v>
      </c>
      <c r="K29" s="40">
        <f t="shared" ref="K29:M29" si="36">J29+(K28-K26)</f>
        <v>-145986</v>
      </c>
      <c r="L29" s="40">
        <f t="shared" si="36"/>
        <v>-201636</v>
      </c>
      <c r="M29" s="40">
        <f t="shared" si="36"/>
        <v>-257286</v>
      </c>
      <c r="N29" s="143">
        <f>M29+(N28-N26)</f>
        <v>-257286</v>
      </c>
      <c r="O29" s="166"/>
      <c r="P29" s="166"/>
      <c r="Q29" s="166"/>
      <c r="R29" s="166"/>
      <c r="S29" s="166"/>
      <c r="T29" s="166"/>
      <c r="U29" s="166"/>
      <c r="V29" s="166"/>
      <c r="W29" s="40">
        <f>N29+(W28-W26)</f>
        <v>-312936</v>
      </c>
      <c r="X29" s="40">
        <f>W29+(X28-X26)</f>
        <v>-368586</v>
      </c>
      <c r="Y29" s="40">
        <f t="shared" ref="Y29:AA29" si="37">X29+(Y28-Y26)</f>
        <v>-424236</v>
      </c>
      <c r="Z29" s="40">
        <f t="shared" si="37"/>
        <v>-479886</v>
      </c>
      <c r="AA29" s="40">
        <f t="shared" si="37"/>
        <v>-535536</v>
      </c>
      <c r="AB29" s="143">
        <f>AA29+(AB28-AB26)</f>
        <v>-535536</v>
      </c>
      <c r="AC29" s="166"/>
      <c r="AD29" s="40">
        <f>AB29+(AD28-AD26)</f>
        <v>-591186</v>
      </c>
      <c r="AE29" s="40">
        <f>AD29+(AE28-AE26)</f>
        <v>-646836</v>
      </c>
      <c r="AF29" s="40">
        <f t="shared" ref="AF29:AH29" si="38">AE29+(AF28-AF26)</f>
        <v>-702486</v>
      </c>
      <c r="AG29" s="40">
        <f t="shared" si="38"/>
        <v>-758136</v>
      </c>
      <c r="AH29" s="40">
        <f t="shared" si="38"/>
        <v>-813786</v>
      </c>
      <c r="AI29" s="143">
        <f>AH29+(AI28-AI26)</f>
        <v>-813786</v>
      </c>
      <c r="AJ29" s="166"/>
      <c r="AK29" s="40">
        <f>AI29+(AK28-AK26)</f>
        <v>-869436</v>
      </c>
      <c r="AL29" s="40">
        <f t="shared" ref="AL29:AM29" si="39">AK29+(AL28-AL26)</f>
        <v>-925086</v>
      </c>
      <c r="AM29" s="40"/>
      <c r="AN29" s="84"/>
      <c r="AO29" s="83"/>
      <c r="AP29" s="83"/>
      <c r="AQ29" s="7"/>
      <c r="AR29" s="8"/>
      <c r="AS29" s="8"/>
      <c r="AT29" s="7"/>
      <c r="AU29" s="7"/>
      <c r="AV29" s="7"/>
      <c r="AW29" s="7"/>
    </row>
    <row r="30" spans="1:49">
      <c r="A30" s="88"/>
      <c r="B30" s="234"/>
      <c r="C30" s="200"/>
      <c r="D30" s="217"/>
      <c r="E30" s="209"/>
      <c r="F30" s="200"/>
      <c r="G30" s="72"/>
      <c r="H30" s="23" t="s">
        <v>96</v>
      </c>
      <c r="I30" s="71">
        <f>$M$34*$D$3</f>
        <v>55650</v>
      </c>
      <c r="J30" s="71">
        <f t="shared" ref="J30:K30" si="40">$M$34*$D$3</f>
        <v>55650</v>
      </c>
      <c r="K30" s="71">
        <f t="shared" si="40"/>
        <v>55650</v>
      </c>
      <c r="L30" s="71">
        <f>$M$34*$D$3</f>
        <v>55650</v>
      </c>
      <c r="M30" s="71">
        <f>$M$34*$D$3</f>
        <v>55650</v>
      </c>
      <c r="N30" s="21">
        <f>$M$34*$D$3</f>
        <v>55650</v>
      </c>
      <c r="O30" s="165"/>
      <c r="P30" s="165"/>
      <c r="Q30" s="165"/>
      <c r="R30" s="165"/>
      <c r="S30" s="165"/>
      <c r="T30" s="165"/>
      <c r="U30" s="165"/>
      <c r="V30" s="165"/>
      <c r="W30" s="71">
        <f>$M$34*$D$3</f>
        <v>55650</v>
      </c>
      <c r="X30" s="71">
        <f t="shared" ref="X30:Y30" si="41">$M$34*$D$3</f>
        <v>55650</v>
      </c>
      <c r="Y30" s="71">
        <f t="shared" si="41"/>
        <v>55650</v>
      </c>
      <c r="Z30" s="71">
        <f>$AA$34*$D$3</f>
        <v>55650</v>
      </c>
      <c r="AA30" s="71">
        <f>$AA$34*$D$3</f>
        <v>55650</v>
      </c>
      <c r="AB30" s="21">
        <f>$AA$34*$D$3</f>
        <v>55650</v>
      </c>
      <c r="AC30" s="165"/>
      <c r="AD30" s="71">
        <f>$AA$34*$D$3</f>
        <v>55650</v>
      </c>
      <c r="AE30" s="71">
        <f t="shared" ref="AE30:AF30" si="42">$M$34*$D$3</f>
        <v>55650</v>
      </c>
      <c r="AF30" s="71">
        <f t="shared" si="42"/>
        <v>55650</v>
      </c>
      <c r="AG30" s="71">
        <f>$AA$34*$D$3</f>
        <v>55650</v>
      </c>
      <c r="AH30" s="71">
        <f>$AA$34*$D$3</f>
        <v>55650</v>
      </c>
      <c r="AI30" s="21">
        <f>$AA$34*$D$3</f>
        <v>55650</v>
      </c>
      <c r="AJ30" s="165"/>
      <c r="AK30" s="71">
        <f t="shared" ref="AK30:AM30" si="43">$M$34*$D$3</f>
        <v>55650</v>
      </c>
      <c r="AL30" s="71">
        <f t="shared" si="43"/>
        <v>55650</v>
      </c>
      <c r="AM30" s="71"/>
      <c r="AN30" s="84"/>
      <c r="AO30" s="83"/>
      <c r="AP30" s="83"/>
      <c r="AQ30" s="7"/>
      <c r="AR30" s="8"/>
      <c r="AS30" s="8"/>
      <c r="AT30" s="7"/>
      <c r="AU30" s="7"/>
      <c r="AV30" s="7"/>
      <c r="AW30" s="7"/>
    </row>
    <row r="31" spans="1:49">
      <c r="A31" s="88"/>
      <c r="B31" s="234"/>
      <c r="C31" s="200"/>
      <c r="D31" s="217"/>
      <c r="E31" s="209"/>
      <c r="F31" s="200"/>
      <c r="G31" s="72"/>
      <c r="H31" s="23" t="s">
        <v>5</v>
      </c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21">
        <v>1</v>
      </c>
      <c r="O31" s="165"/>
      <c r="P31" s="165"/>
      <c r="Q31" s="165"/>
      <c r="R31" s="165"/>
      <c r="S31" s="165"/>
      <c r="T31" s="165"/>
      <c r="U31" s="165"/>
      <c r="V31" s="165"/>
      <c r="W31" s="71">
        <v>1</v>
      </c>
      <c r="X31" s="71">
        <v>1</v>
      </c>
      <c r="Y31" s="71">
        <v>1</v>
      </c>
      <c r="Z31" s="71">
        <v>1</v>
      </c>
      <c r="AA31" s="71">
        <v>1</v>
      </c>
      <c r="AB31" s="21">
        <v>1</v>
      </c>
      <c r="AC31" s="165"/>
      <c r="AD31" s="71">
        <v>1</v>
      </c>
      <c r="AE31" s="71">
        <v>1</v>
      </c>
      <c r="AF31" s="71">
        <v>1</v>
      </c>
      <c r="AG31" s="71">
        <v>1</v>
      </c>
      <c r="AH31" s="71">
        <v>1</v>
      </c>
      <c r="AI31" s="21">
        <v>1</v>
      </c>
      <c r="AJ31" s="165"/>
      <c r="AK31" s="71">
        <v>1</v>
      </c>
      <c r="AL31" s="71">
        <v>1</v>
      </c>
      <c r="AM31" s="71"/>
      <c r="AN31" s="84"/>
      <c r="AO31" s="83"/>
      <c r="AP31" s="83"/>
      <c r="AQ31" s="7"/>
      <c r="AR31" s="8"/>
      <c r="AS31" s="8"/>
      <c r="AT31" s="7"/>
      <c r="AU31" s="7"/>
      <c r="AV31" s="7"/>
      <c r="AW31" s="7"/>
    </row>
    <row r="32" spans="1:49">
      <c r="A32" s="88"/>
      <c r="B32" s="234"/>
      <c r="C32" s="200"/>
      <c r="D32" s="217"/>
      <c r="E32" s="209"/>
      <c r="F32" s="200"/>
      <c r="G32" s="27"/>
      <c r="H32" s="26" t="s">
        <v>0</v>
      </c>
      <c r="I32" s="22">
        <f>SUMIFS('總絞Twisting core'!$K$7:$K$1000,'總絞Twisting core'!$A$7:$A$1000,'04'!I$2,'總絞Twisting core'!$D$7:$D$1000,'04'!$A$24)</f>
        <v>35334</v>
      </c>
      <c r="J32" s="22">
        <f>SUMIFS('總絞Twisting core'!$K$7:$K$1000,'總絞Twisting core'!$A$7:$A$1000,'04'!J$2,'總絞Twisting core'!$D$7:$D$1000,'04'!$A$24)</f>
        <v>5673</v>
      </c>
      <c r="K32" s="22">
        <f>SUMIFS('總絞Twisting core'!$K$7:$K$1000,'總絞Twisting core'!$A$7:$A$1000,'04'!K$2,'總絞Twisting core'!$D$7:$D$1000,'04'!$A$24)</f>
        <v>0</v>
      </c>
      <c r="L32" s="22">
        <f>SUMIFS('總絞Twisting core'!$K$7:$K$1000,'總絞Twisting core'!$A$7:$A$1000,'04'!L$2,'總絞Twisting core'!$D$7:$D$1000,'04'!$A$24)</f>
        <v>0</v>
      </c>
      <c r="M32" s="22">
        <f>SUMIFS('總絞Twisting core'!$K$7:$K$1000,'總絞Twisting core'!$A$7:$A$1000,'04'!M$2,'總絞Twisting core'!$D$7:$D$1000,'04'!$A$24)</f>
        <v>0</v>
      </c>
      <c r="N32" s="22">
        <f>SUMIFS('總絞Twisting core'!$K$7:$K$1000,'總絞Twisting core'!$A$7:$A$1000,'04'!N$2,'總絞Twisting core'!$D$7:$D$1000,'04'!$A$24)</f>
        <v>0</v>
      </c>
      <c r="O32" s="165"/>
      <c r="P32" s="165"/>
      <c r="Q32" s="165"/>
      <c r="R32" s="174"/>
      <c r="S32" s="174"/>
      <c r="T32" s="165"/>
      <c r="U32" s="165"/>
      <c r="V32" s="165"/>
      <c r="W32" s="22">
        <f>SUMIFS('總絞Twisting core'!$K$7:$K$1000,'總絞Twisting core'!$A$7:$A$1000,'04'!W$2,'總絞Twisting core'!$D$7:$D$1000,'04'!$A$24)</f>
        <v>0</v>
      </c>
      <c r="X32" s="22">
        <f>SUMIFS('總絞Twisting core'!$K$7:$K$1000,'總絞Twisting core'!$A$7:$A$1000,'04'!X$2,'總絞Twisting core'!$D$7:$D$1000,'04'!$A$24)</f>
        <v>0</v>
      </c>
      <c r="Y32" s="22">
        <f>SUMIFS('總絞Twisting core'!$K$7:$K$1000,'總絞Twisting core'!$A$7:$A$1000,'04'!Y$2,'總絞Twisting core'!$D$7:$D$1000,'04'!$A$24)</f>
        <v>0</v>
      </c>
      <c r="Z32" s="22">
        <f>SUMIFS('總絞Twisting core'!$K$7:$K$1000,'總絞Twisting core'!$A$7:$A$1000,'04'!Z$2,'總絞Twisting core'!$D$7:$D$1000,'04'!$A$24)</f>
        <v>0</v>
      </c>
      <c r="AA32" s="22">
        <f>SUMIFS('總絞Twisting core'!$K$7:$K$1000,'總絞Twisting core'!$A$7:$A$1000,'04'!AA$2,'總絞Twisting core'!$D$7:$D$1000,'04'!$A$24)</f>
        <v>0</v>
      </c>
      <c r="AB32" s="22">
        <f>SUMIFS('總絞Twisting core'!$K$7:$K$1000,'總絞Twisting core'!$A$7:$A$1000,'04'!AB$2,'總絞Twisting core'!$D$7:$D$1000,'04'!$A$24)</f>
        <v>0</v>
      </c>
      <c r="AC32" s="165"/>
      <c r="AD32" s="22">
        <f>SUMIFS('總絞Twisting core'!$K$7:$K$1000,'總絞Twisting core'!$A$7:$A$1000,'04'!AD$2,'總絞Twisting core'!$D$7:$D$1000,'04'!$A$24)</f>
        <v>0</v>
      </c>
      <c r="AE32" s="22">
        <f>SUMIFS('總絞Twisting core'!$K$7:$K$1000,'總絞Twisting core'!$A$7:$A$1000,'04'!AE$2,'總絞Twisting core'!$D$7:$D$1000,'04'!$A$24)</f>
        <v>0</v>
      </c>
      <c r="AF32" s="22">
        <f>SUMIFS('總絞Twisting core'!$K$7:$K$1000,'總絞Twisting core'!$A$7:$A$1000,'04'!AF$2,'總絞Twisting core'!$D$7:$D$1000,'04'!$A$24)</f>
        <v>0</v>
      </c>
      <c r="AG32" s="22">
        <f>SUMIFS('總絞Twisting core'!$K$7:$K$1000,'總絞Twisting core'!$A$7:$A$1000,'04'!AG$2,'總絞Twisting core'!$D$7:$D$1000,'04'!$A$24)</f>
        <v>0</v>
      </c>
      <c r="AH32" s="22">
        <f>SUMIFS('總絞Twisting core'!$K$7:$K$1000,'總絞Twisting core'!$A$7:$A$1000,'04'!AH$2,'總絞Twisting core'!$D$7:$D$1000,'04'!$A$24)</f>
        <v>0</v>
      </c>
      <c r="AI32" s="22">
        <f>SUMIFS('總絞Twisting core'!$K$7:$K$1000,'總絞Twisting core'!$A$7:$A$1000,'04'!AI$2,'總絞Twisting core'!$D$7:$D$1000,'04'!$A$24)</f>
        <v>0</v>
      </c>
      <c r="AJ32" s="165"/>
      <c r="AK32" s="22">
        <f>SUMIFS('總絞Twisting core'!$K$7:$K$1000,'總絞Twisting core'!$A$7:$A$1000,'04'!AK$2,'總絞Twisting core'!$D$7:$D$1000,'04'!$A$24)</f>
        <v>0</v>
      </c>
      <c r="AL32" s="22">
        <f>SUMIFS('總絞Twisting core'!$K$7:$K$1000,'總絞Twisting core'!$A$7:$A$1000,'04'!AL$2,'總絞Twisting core'!$D$7:$D$1000,'04'!$A$24)</f>
        <v>0</v>
      </c>
      <c r="AM32" s="113"/>
      <c r="AN32" s="84"/>
      <c r="AO32" s="83"/>
      <c r="AP32" s="83"/>
      <c r="AQ32" s="7"/>
      <c r="AR32" s="8"/>
      <c r="AS32" s="8"/>
      <c r="AT32" s="7"/>
      <c r="AU32" s="7"/>
      <c r="AV32" s="7"/>
      <c r="AW32" s="7"/>
    </row>
    <row r="33" spans="1:49">
      <c r="A33" s="88"/>
      <c r="B33" s="234"/>
      <c r="C33" s="200"/>
      <c r="D33" s="217"/>
      <c r="E33" s="209"/>
      <c r="F33" s="200"/>
      <c r="G33" s="27"/>
      <c r="H33" s="26" t="s">
        <v>34</v>
      </c>
      <c r="I33" s="40">
        <f>I32-I30</f>
        <v>-20316</v>
      </c>
      <c r="J33" s="40">
        <f>I33+(J32-J30)</f>
        <v>-70293</v>
      </c>
      <c r="K33" s="40">
        <f>J33+(K32-K30)</f>
        <v>-125943</v>
      </c>
      <c r="L33" s="40">
        <f>K33+(L32-L30)</f>
        <v>-181593</v>
      </c>
      <c r="M33" s="40">
        <f>L33+(M32-M30)</f>
        <v>-237243</v>
      </c>
      <c r="N33" s="143">
        <f>M33+(N32-N30)</f>
        <v>-292893</v>
      </c>
      <c r="O33" s="166"/>
      <c r="P33" s="166"/>
      <c r="Q33" s="166"/>
      <c r="R33" s="165"/>
      <c r="S33" s="165"/>
      <c r="T33" s="166"/>
      <c r="U33" s="166"/>
      <c r="V33" s="166"/>
      <c r="W33" s="40">
        <f>N33+(W32-W30)</f>
        <v>-348543</v>
      </c>
      <c r="X33" s="40">
        <f>W33+(X32-X30)</f>
        <v>-404193</v>
      </c>
      <c r="Y33" s="40">
        <f>X33+(Y32-Y30)</f>
        <v>-459843</v>
      </c>
      <c r="Z33" s="40">
        <f>Y33+(Z32-Z30)</f>
        <v>-515493</v>
      </c>
      <c r="AA33" s="40">
        <f>Z33+(AA32-AA30)</f>
        <v>-571143</v>
      </c>
      <c r="AB33" s="143">
        <f>AA33+(AB32-AB30)</f>
        <v>-626793</v>
      </c>
      <c r="AC33" s="166"/>
      <c r="AD33" s="40">
        <f>AB33+(AD32-AD30)</f>
        <v>-682443</v>
      </c>
      <c r="AE33" s="40">
        <f>AD33+(AE32-AE30)</f>
        <v>-738093</v>
      </c>
      <c r="AF33" s="40">
        <f t="shared" ref="AF33:AG33" si="44">AE33+(AF32-AF30)</f>
        <v>-793743</v>
      </c>
      <c r="AG33" s="40">
        <f t="shared" si="44"/>
        <v>-849393</v>
      </c>
      <c r="AH33" s="40">
        <f>AG33+(AH32-AH30)</f>
        <v>-905043</v>
      </c>
      <c r="AI33" s="143">
        <f>AH33+(AI32-AI30)</f>
        <v>-960693</v>
      </c>
      <c r="AJ33" s="166"/>
      <c r="AK33" s="40">
        <f>AI33+(AK32-AK30)</f>
        <v>-1016343</v>
      </c>
      <c r="AL33" s="40">
        <f>AK33+(AL32-AL30)</f>
        <v>-1071993</v>
      </c>
      <c r="AM33" s="113"/>
      <c r="AN33" s="84"/>
      <c r="AO33" s="83"/>
      <c r="AP33" s="83"/>
      <c r="AQ33" s="7"/>
      <c r="AR33" s="8"/>
      <c r="AS33" s="8"/>
      <c r="AT33" s="7"/>
      <c r="AU33" s="7"/>
      <c r="AV33" s="7"/>
      <c r="AW33" s="7"/>
    </row>
    <row r="34" spans="1:49">
      <c r="A34" s="88"/>
      <c r="B34" s="234"/>
      <c r="C34" s="200"/>
      <c r="D34" s="217"/>
      <c r="E34" s="209"/>
      <c r="F34" s="200"/>
      <c r="G34" s="72"/>
      <c r="H34" s="23" t="s">
        <v>2</v>
      </c>
      <c r="I34" s="71">
        <v>35000</v>
      </c>
      <c r="J34" s="71">
        <v>35000</v>
      </c>
      <c r="K34" s="71">
        <v>35000</v>
      </c>
      <c r="L34" s="71">
        <v>35000</v>
      </c>
      <c r="M34" s="71">
        <v>35000</v>
      </c>
      <c r="N34" s="21"/>
      <c r="O34" s="165"/>
      <c r="P34" s="165"/>
      <c r="Q34" s="165"/>
      <c r="R34" s="165"/>
      <c r="S34" s="165"/>
      <c r="T34" s="165"/>
      <c r="U34" s="165"/>
      <c r="V34" s="165"/>
      <c r="W34" s="71">
        <v>35000</v>
      </c>
      <c r="X34" s="71">
        <v>35000</v>
      </c>
      <c r="Y34" s="71">
        <v>35000</v>
      </c>
      <c r="Z34" s="71">
        <v>35000</v>
      </c>
      <c r="AA34" s="71">
        <v>35000</v>
      </c>
      <c r="AB34" s="21"/>
      <c r="AC34" s="165"/>
      <c r="AD34" s="71">
        <v>35000</v>
      </c>
      <c r="AE34" s="71">
        <v>35000</v>
      </c>
      <c r="AF34" s="71">
        <v>35000</v>
      </c>
      <c r="AG34" s="71">
        <v>35000</v>
      </c>
      <c r="AH34" s="71">
        <v>35000</v>
      </c>
      <c r="AI34" s="21"/>
      <c r="AJ34" s="165"/>
      <c r="AK34" s="71">
        <v>35000</v>
      </c>
      <c r="AL34" s="71">
        <v>35000</v>
      </c>
      <c r="AM34" s="71"/>
      <c r="AN34" s="84"/>
      <c r="AO34" s="83"/>
      <c r="AP34" s="83"/>
      <c r="AQ34" s="7"/>
      <c r="AR34" s="8"/>
      <c r="AS34" s="8"/>
      <c r="AT34" s="7"/>
      <c r="AU34" s="7"/>
      <c r="AV34" s="7"/>
      <c r="AW34" s="7"/>
    </row>
    <row r="35" spans="1:49">
      <c r="A35" s="88"/>
      <c r="B35" s="234"/>
      <c r="C35" s="200"/>
      <c r="D35" s="217"/>
      <c r="E35" s="209"/>
      <c r="F35" s="200"/>
      <c r="G35" s="72"/>
      <c r="H35" s="23" t="s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21"/>
      <c r="O35" s="165"/>
      <c r="P35" s="165"/>
      <c r="Q35" s="165"/>
      <c r="R35" s="165"/>
      <c r="S35" s="165"/>
      <c r="T35" s="165"/>
      <c r="U35" s="165"/>
      <c r="V35" s="165"/>
      <c r="W35" s="71">
        <v>1</v>
      </c>
      <c r="X35" s="71">
        <v>1</v>
      </c>
      <c r="Y35" s="71">
        <v>1</v>
      </c>
      <c r="Z35" s="71">
        <v>1</v>
      </c>
      <c r="AA35" s="71">
        <v>1</v>
      </c>
      <c r="AB35" s="21"/>
      <c r="AC35" s="165"/>
      <c r="AD35" s="71">
        <v>1</v>
      </c>
      <c r="AE35" s="71">
        <v>1</v>
      </c>
      <c r="AF35" s="71">
        <v>1</v>
      </c>
      <c r="AG35" s="71">
        <v>1</v>
      </c>
      <c r="AH35" s="71">
        <v>1</v>
      </c>
      <c r="AI35" s="21"/>
      <c r="AJ35" s="165"/>
      <c r="AK35" s="71">
        <v>1</v>
      </c>
      <c r="AL35" s="71">
        <v>1</v>
      </c>
      <c r="AM35" s="71"/>
      <c r="AN35" s="84"/>
      <c r="AO35" s="83"/>
      <c r="AP35" s="83"/>
      <c r="AQ35" s="7"/>
      <c r="AR35" s="8"/>
      <c r="AS35" s="8"/>
      <c r="AT35" s="7"/>
      <c r="AU35" s="7"/>
      <c r="AV35" s="7"/>
      <c r="AW35" s="7"/>
    </row>
    <row r="36" spans="1:49">
      <c r="A36" s="88"/>
      <c r="B36" s="234"/>
      <c r="C36" s="200"/>
      <c r="D36" s="217"/>
      <c r="E36" s="209"/>
      <c r="F36" s="200"/>
      <c r="G36" s="27"/>
      <c r="H36" s="26" t="s">
        <v>0</v>
      </c>
      <c r="I36" s="36"/>
      <c r="J36" s="24"/>
      <c r="K36" s="24"/>
      <c r="L36" s="36"/>
      <c r="M36" s="36"/>
      <c r="N36" s="35"/>
      <c r="O36" s="165"/>
      <c r="P36" s="165"/>
      <c r="Q36" s="174"/>
      <c r="R36" s="174"/>
      <c r="S36" s="174"/>
      <c r="T36" s="165"/>
      <c r="U36" s="165"/>
      <c r="V36" s="165"/>
      <c r="W36" s="36"/>
      <c r="X36" s="24"/>
      <c r="Y36" s="24"/>
      <c r="Z36" s="36"/>
      <c r="AA36" s="36"/>
      <c r="AB36" s="35"/>
      <c r="AC36" s="167"/>
      <c r="AD36" s="36"/>
      <c r="AE36" s="24"/>
      <c r="AF36" s="24"/>
      <c r="AG36" s="36"/>
      <c r="AH36" s="36"/>
      <c r="AI36" s="35"/>
      <c r="AJ36" s="167"/>
      <c r="AK36" s="117"/>
      <c r="AL36" s="27"/>
      <c r="AM36" s="113"/>
      <c r="AN36" s="84"/>
      <c r="AO36" s="83"/>
      <c r="AP36" s="83"/>
      <c r="AQ36" s="7"/>
      <c r="AR36" s="8"/>
      <c r="AS36" s="8"/>
      <c r="AT36" s="7"/>
      <c r="AU36" s="7"/>
      <c r="AV36" s="7"/>
      <c r="AW36" s="7"/>
    </row>
    <row r="37" spans="1:49" ht="15.75" thickBot="1">
      <c r="A37" s="86"/>
      <c r="B37" s="235"/>
      <c r="C37" s="201"/>
      <c r="D37" s="218"/>
      <c r="E37" s="210"/>
      <c r="F37" s="201"/>
      <c r="G37" s="65"/>
      <c r="H37" s="34" t="s">
        <v>34</v>
      </c>
      <c r="I37" s="85">
        <f>I36-I34</f>
        <v>-35000</v>
      </c>
      <c r="J37" s="85">
        <f>I37+(J36-J34)</f>
        <v>-70000</v>
      </c>
      <c r="K37" s="85">
        <f t="shared" ref="K37:M37" si="45">J37+(K36-K34)</f>
        <v>-105000</v>
      </c>
      <c r="L37" s="85">
        <f t="shared" si="45"/>
        <v>-140000</v>
      </c>
      <c r="M37" s="85">
        <f t="shared" si="45"/>
        <v>-175000</v>
      </c>
      <c r="N37" s="144">
        <f>M37+(N36-N34)</f>
        <v>-175000</v>
      </c>
      <c r="O37" s="168"/>
      <c r="P37" s="168"/>
      <c r="Q37" s="168"/>
      <c r="R37" s="168"/>
      <c r="S37" s="168"/>
      <c r="T37" s="168"/>
      <c r="U37" s="168"/>
      <c r="V37" s="168"/>
      <c r="W37" s="85">
        <f>N37+(W36-W34)</f>
        <v>-210000</v>
      </c>
      <c r="X37" s="85">
        <f>W37+(X36-X34)</f>
        <v>-245000</v>
      </c>
      <c r="Y37" s="85">
        <f t="shared" ref="Y37:AA37" si="46">X37+(Y36-Y34)</f>
        <v>-280000</v>
      </c>
      <c r="Z37" s="85">
        <f t="shared" si="46"/>
        <v>-315000</v>
      </c>
      <c r="AA37" s="85">
        <f t="shared" si="46"/>
        <v>-350000</v>
      </c>
      <c r="AB37" s="144">
        <f>AA37+(AB36-AB34)</f>
        <v>-350000</v>
      </c>
      <c r="AC37" s="168"/>
      <c r="AD37" s="85">
        <f>AB37+(AD36-AD34)</f>
        <v>-385000</v>
      </c>
      <c r="AE37" s="85">
        <f>AD37+(AE36-AE34)</f>
        <v>-420000</v>
      </c>
      <c r="AF37" s="85">
        <f t="shared" ref="AF37:AH37" si="47">AE37+(AF36-AF34)</f>
        <v>-455000</v>
      </c>
      <c r="AG37" s="85">
        <f t="shared" si="47"/>
        <v>-490000</v>
      </c>
      <c r="AH37" s="85">
        <f t="shared" si="47"/>
        <v>-525000</v>
      </c>
      <c r="AI37" s="144">
        <f>AH37+(AI36-AI34)</f>
        <v>-525000</v>
      </c>
      <c r="AJ37" s="168"/>
      <c r="AK37" s="85">
        <f>AI37+(AK36-AK34)</f>
        <v>-560000</v>
      </c>
      <c r="AL37" s="85">
        <f>AK37+(AL36-AL34)</f>
        <v>-595000</v>
      </c>
      <c r="AM37" s="85"/>
      <c r="AN37" s="84"/>
      <c r="AO37" s="83"/>
      <c r="AP37" s="83"/>
      <c r="AQ37" s="7"/>
      <c r="AR37" s="8"/>
      <c r="AS37" s="8"/>
      <c r="AT37" s="7"/>
      <c r="AU37" s="7"/>
      <c r="AV37" s="7"/>
      <c r="AW37" s="7"/>
    </row>
    <row r="38" spans="1:49" ht="15" hidden="1" customHeight="1">
      <c r="A38" s="82"/>
      <c r="B38" s="236" t="s">
        <v>114</v>
      </c>
      <c r="C38" s="203">
        <v>12000</v>
      </c>
      <c r="D38" s="219">
        <v>1.2749999999999999</v>
      </c>
      <c r="E38" s="79"/>
      <c r="F38" s="202" t="s">
        <v>113</v>
      </c>
      <c r="G38" s="73">
        <v>0.08</v>
      </c>
      <c r="H38" s="29" t="s">
        <v>31</v>
      </c>
      <c r="I38" s="81">
        <v>128.16999999999999</v>
      </c>
      <c r="J38" s="81"/>
      <c r="K38" s="81"/>
      <c r="L38" s="81">
        <v>128.16999999999999</v>
      </c>
      <c r="M38" s="81">
        <v>128.16999999999999</v>
      </c>
      <c r="N38" s="145">
        <v>128.16999999999999</v>
      </c>
      <c r="O38" s="169"/>
      <c r="P38" s="169"/>
      <c r="Q38" s="178"/>
      <c r="R38" s="178"/>
      <c r="S38" s="178"/>
      <c r="T38" s="169"/>
      <c r="U38" s="169"/>
      <c r="V38" s="169"/>
      <c r="W38" s="81">
        <v>128.16999999999999</v>
      </c>
      <c r="X38" s="81"/>
      <c r="Y38" s="81"/>
      <c r="Z38" s="81">
        <v>128.16999999999999</v>
      </c>
      <c r="AA38" s="81">
        <v>128.16999999999999</v>
      </c>
      <c r="AB38" s="145">
        <v>128.16999999999999</v>
      </c>
      <c r="AC38" s="169">
        <v>128.16999999999999</v>
      </c>
      <c r="AD38" s="81">
        <v>128.16999999999999</v>
      </c>
      <c r="AE38" s="81"/>
      <c r="AF38" s="81"/>
      <c r="AG38" s="81">
        <v>128.16999999999999</v>
      </c>
      <c r="AH38" s="81">
        <v>128.16999999999999</v>
      </c>
      <c r="AI38" s="145">
        <v>128.16999999999999</v>
      </c>
      <c r="AJ38" s="169">
        <v>128.16999999999999</v>
      </c>
      <c r="AK38" s="119"/>
      <c r="AL38" s="31"/>
      <c r="AM38" s="112"/>
      <c r="AN38" s="194"/>
      <c r="AO38" s="7"/>
      <c r="AP38" s="6"/>
      <c r="AQ38" s="6"/>
      <c r="AR38" s="6"/>
      <c r="AS38" s="6"/>
      <c r="AT38" s="7"/>
      <c r="AU38" s="7"/>
      <c r="AV38" s="7"/>
      <c r="AW38" s="7"/>
    </row>
    <row r="39" spans="1:49" ht="15" hidden="1" customHeight="1">
      <c r="A39" s="80"/>
      <c r="B39" s="236"/>
      <c r="C39" s="203"/>
      <c r="D39" s="219"/>
      <c r="E39" s="79"/>
      <c r="F39" s="203"/>
      <c r="G39" s="73"/>
      <c r="H39" s="23" t="s">
        <v>26</v>
      </c>
      <c r="I39" s="22">
        <v>1.5</v>
      </c>
      <c r="J39" s="22"/>
      <c r="K39" s="22"/>
      <c r="L39" s="22">
        <v>1.5</v>
      </c>
      <c r="M39" s="22">
        <v>1.5</v>
      </c>
      <c r="N39" s="21">
        <v>1.5</v>
      </c>
      <c r="O39" s="165"/>
      <c r="P39" s="165"/>
      <c r="Q39" s="165"/>
      <c r="R39" s="165"/>
      <c r="S39" s="165"/>
      <c r="T39" s="165"/>
      <c r="U39" s="165"/>
      <c r="V39" s="165"/>
      <c r="W39" s="22">
        <v>1.5</v>
      </c>
      <c r="X39" s="22"/>
      <c r="Y39" s="22"/>
      <c r="Z39" s="22">
        <v>1.5</v>
      </c>
      <c r="AA39" s="22">
        <v>1.5</v>
      </c>
      <c r="AB39" s="21">
        <v>1.5</v>
      </c>
      <c r="AC39" s="165">
        <v>1.5</v>
      </c>
      <c r="AD39" s="22">
        <v>1.5</v>
      </c>
      <c r="AE39" s="22"/>
      <c r="AF39" s="22"/>
      <c r="AG39" s="22">
        <v>1.5</v>
      </c>
      <c r="AH39" s="22">
        <v>1.5</v>
      </c>
      <c r="AI39" s="21">
        <v>1.5</v>
      </c>
      <c r="AJ39" s="165">
        <v>1.5</v>
      </c>
      <c r="AK39" s="115"/>
      <c r="AL39" s="22"/>
      <c r="AM39" s="113"/>
      <c r="AN39" s="194"/>
      <c r="AO39" s="7"/>
      <c r="AP39" s="6"/>
      <c r="AQ39" s="6"/>
      <c r="AR39" s="6"/>
      <c r="AS39" s="6"/>
      <c r="AT39" s="7"/>
      <c r="AU39" s="7"/>
      <c r="AV39" s="7"/>
      <c r="AW39" s="7"/>
    </row>
    <row r="40" spans="1:49" ht="15" hidden="1" customHeight="1">
      <c r="A40" s="80"/>
      <c r="B40" s="236"/>
      <c r="C40" s="203"/>
      <c r="D40" s="219"/>
      <c r="E40" s="79"/>
      <c r="F40" s="203"/>
      <c r="G40" s="24"/>
      <c r="H40" s="66" t="s">
        <v>0</v>
      </c>
      <c r="I40" s="36"/>
      <c r="J40" s="36"/>
      <c r="K40" s="36"/>
      <c r="L40" s="22"/>
      <c r="M40" s="22"/>
      <c r="N40" s="21"/>
      <c r="O40" s="165"/>
      <c r="P40" s="165"/>
      <c r="Q40" s="165"/>
      <c r="R40" s="165"/>
      <c r="S40" s="165"/>
      <c r="T40" s="165"/>
      <c r="U40" s="165"/>
      <c r="V40" s="165"/>
      <c r="W40" s="22"/>
      <c r="X40" s="22"/>
      <c r="Y40" s="22"/>
      <c r="Z40" s="22"/>
      <c r="AA40" s="22"/>
      <c r="AB40" s="21"/>
      <c r="AC40" s="165"/>
      <c r="AD40" s="22"/>
      <c r="AE40" s="22"/>
      <c r="AF40" s="22"/>
      <c r="AG40" s="22"/>
      <c r="AH40" s="22"/>
      <c r="AI40" s="21"/>
      <c r="AJ40" s="165"/>
      <c r="AK40" s="115"/>
      <c r="AL40" s="22"/>
      <c r="AM40" s="113"/>
      <c r="AN40" s="6"/>
      <c r="AO40" s="6"/>
      <c r="AP40" s="6"/>
      <c r="AQ40" s="6"/>
      <c r="AR40" s="6"/>
      <c r="AS40" s="6"/>
      <c r="AT40" s="7"/>
      <c r="AU40" s="7"/>
      <c r="AV40" s="7"/>
      <c r="AW40" s="7"/>
    </row>
    <row r="41" spans="1:49" ht="15" hidden="1" customHeight="1">
      <c r="A41" s="80"/>
      <c r="B41" s="236"/>
      <c r="C41" s="203"/>
      <c r="D41" s="219"/>
      <c r="E41" s="79"/>
      <c r="F41" s="203"/>
      <c r="G41" s="72" t="s">
        <v>104</v>
      </c>
      <c r="H41" s="23" t="s">
        <v>103</v>
      </c>
      <c r="I41" s="74">
        <v>128.16999999999999</v>
      </c>
      <c r="J41" s="74"/>
      <c r="K41" s="74"/>
      <c r="L41" s="74">
        <v>128.16999999999999</v>
      </c>
      <c r="M41" s="74">
        <v>128.16999999999999</v>
      </c>
      <c r="N41" s="146">
        <v>128.16999999999999</v>
      </c>
      <c r="O41" s="170"/>
      <c r="P41" s="170"/>
      <c r="Q41" s="165"/>
      <c r="R41" s="165"/>
      <c r="S41" s="165"/>
      <c r="T41" s="170"/>
      <c r="U41" s="170"/>
      <c r="V41" s="170"/>
      <c r="W41" s="74">
        <v>128.16999999999999</v>
      </c>
      <c r="X41" s="74"/>
      <c r="Y41" s="74"/>
      <c r="Z41" s="74">
        <v>128.16999999999999</v>
      </c>
      <c r="AA41" s="74">
        <v>128.16999999999999</v>
      </c>
      <c r="AB41" s="146">
        <v>128.16999999999999</v>
      </c>
      <c r="AC41" s="170">
        <v>128.16999999999999</v>
      </c>
      <c r="AD41" s="74">
        <v>128.16999999999999</v>
      </c>
      <c r="AE41" s="74"/>
      <c r="AF41" s="74"/>
      <c r="AG41" s="74">
        <v>128.16999999999999</v>
      </c>
      <c r="AH41" s="74">
        <v>128.16999999999999</v>
      </c>
      <c r="AI41" s="146">
        <v>128.16999999999999</v>
      </c>
      <c r="AJ41" s="170">
        <v>128.16999999999999</v>
      </c>
      <c r="AK41" s="120"/>
      <c r="AL41" s="22"/>
      <c r="AM41" s="113"/>
      <c r="AN41" s="6"/>
      <c r="AO41" s="6"/>
      <c r="AP41" s="6"/>
      <c r="AQ41" s="6"/>
      <c r="AR41" s="6"/>
      <c r="AS41" s="6"/>
      <c r="AT41" s="7"/>
      <c r="AU41" s="7"/>
      <c r="AV41" s="7"/>
      <c r="AW41" s="7"/>
    </row>
    <row r="42" spans="1:49" ht="15" hidden="1" customHeight="1">
      <c r="A42" s="80"/>
      <c r="B42" s="236"/>
      <c r="C42" s="203"/>
      <c r="D42" s="219"/>
      <c r="E42" s="79"/>
      <c r="F42" s="203"/>
      <c r="G42" s="73"/>
      <c r="H42" s="23" t="s">
        <v>26</v>
      </c>
      <c r="I42" s="22">
        <v>0.5</v>
      </c>
      <c r="J42" s="22"/>
      <c r="K42" s="22"/>
      <c r="L42" s="22">
        <v>0.5</v>
      </c>
      <c r="M42" s="22">
        <v>0.5</v>
      </c>
      <c r="N42" s="21">
        <v>0.5</v>
      </c>
      <c r="O42" s="165"/>
      <c r="P42" s="165"/>
      <c r="Q42" s="165"/>
      <c r="R42" s="165"/>
      <c r="S42" s="165"/>
      <c r="T42" s="165"/>
      <c r="U42" s="165"/>
      <c r="V42" s="165"/>
      <c r="W42" s="22">
        <v>0.5</v>
      </c>
      <c r="X42" s="22"/>
      <c r="Y42" s="22"/>
      <c r="Z42" s="22">
        <v>0.5</v>
      </c>
      <c r="AA42" s="22">
        <v>0.5</v>
      </c>
      <c r="AB42" s="21">
        <v>0.5</v>
      </c>
      <c r="AC42" s="165">
        <v>0.5</v>
      </c>
      <c r="AD42" s="22">
        <v>0.5</v>
      </c>
      <c r="AE42" s="22"/>
      <c r="AF42" s="22"/>
      <c r="AG42" s="22">
        <v>0.5</v>
      </c>
      <c r="AH42" s="22">
        <v>0.5</v>
      </c>
      <c r="AI42" s="21">
        <v>0.5</v>
      </c>
      <c r="AJ42" s="165">
        <v>0.5</v>
      </c>
      <c r="AK42" s="115"/>
      <c r="AL42" s="22"/>
      <c r="AM42" s="113"/>
      <c r="AN42" s="6"/>
      <c r="AO42" s="6"/>
      <c r="AP42" s="6"/>
      <c r="AQ42" s="6"/>
      <c r="AR42" s="6"/>
      <c r="AS42" s="6"/>
      <c r="AT42" s="7"/>
      <c r="AU42" s="7"/>
      <c r="AV42" s="7"/>
      <c r="AW42" s="7"/>
    </row>
    <row r="43" spans="1:49" ht="15" hidden="1" customHeight="1">
      <c r="A43" s="80"/>
      <c r="B43" s="236"/>
      <c r="C43" s="203"/>
      <c r="D43" s="219"/>
      <c r="E43" s="79"/>
      <c r="F43" s="203"/>
      <c r="G43" s="27"/>
      <c r="H43" s="26" t="s">
        <v>0</v>
      </c>
      <c r="I43" s="22"/>
      <c r="J43" s="22"/>
      <c r="K43" s="22"/>
      <c r="L43" s="22"/>
      <c r="M43" s="22"/>
      <c r="N43" s="21"/>
      <c r="O43" s="165"/>
      <c r="P43" s="165"/>
      <c r="Q43" s="165"/>
      <c r="R43" s="165"/>
      <c r="S43" s="165"/>
      <c r="T43" s="165"/>
      <c r="U43" s="165"/>
      <c r="V43" s="165"/>
      <c r="W43" s="22"/>
      <c r="X43" s="22"/>
      <c r="Y43" s="22"/>
      <c r="Z43" s="22"/>
      <c r="AA43" s="22"/>
      <c r="AB43" s="21"/>
      <c r="AC43" s="165"/>
      <c r="AD43" s="22"/>
      <c r="AE43" s="22"/>
      <c r="AF43" s="22"/>
      <c r="AG43" s="22"/>
      <c r="AH43" s="22"/>
      <c r="AI43" s="21"/>
      <c r="AJ43" s="165"/>
      <c r="AK43" s="115"/>
      <c r="AL43" s="22"/>
      <c r="AM43" s="113"/>
      <c r="AN43" s="6"/>
      <c r="AO43" s="6"/>
      <c r="AP43" s="6"/>
      <c r="AQ43" s="6"/>
      <c r="AR43" s="6"/>
      <c r="AS43" s="6"/>
      <c r="AT43" s="7"/>
      <c r="AU43" s="7"/>
      <c r="AV43" s="7"/>
      <c r="AW43" s="7"/>
    </row>
    <row r="44" spans="1:49">
      <c r="A44" s="244" t="s">
        <v>112</v>
      </c>
      <c r="B44" s="236"/>
      <c r="C44" s="203"/>
      <c r="D44" s="219"/>
      <c r="E44" s="79"/>
      <c r="F44" s="203"/>
      <c r="G44" s="73" t="s">
        <v>111</v>
      </c>
      <c r="H44" s="23" t="s">
        <v>71</v>
      </c>
      <c r="I44" s="71">
        <f>$I$52*2</f>
        <v>30599.999999999996</v>
      </c>
      <c r="J44" s="71">
        <f t="shared" ref="J44:K44" si="48">$I$52*2</f>
        <v>30599.999999999996</v>
      </c>
      <c r="K44" s="71">
        <f t="shared" si="48"/>
        <v>30599.999999999996</v>
      </c>
      <c r="L44" s="71">
        <f>$I$52*2</f>
        <v>30599.999999999996</v>
      </c>
      <c r="M44" s="71">
        <f>$I$52*2</f>
        <v>30599.999999999996</v>
      </c>
      <c r="N44" s="21"/>
      <c r="O44" s="165"/>
      <c r="P44" s="165"/>
      <c r="Q44" s="165"/>
      <c r="R44" s="165"/>
      <c r="S44" s="165"/>
      <c r="T44" s="165"/>
      <c r="U44" s="165"/>
      <c r="V44" s="165"/>
      <c r="W44" s="71">
        <f>$I$52*2</f>
        <v>30599.999999999996</v>
      </c>
      <c r="X44" s="71">
        <f t="shared" ref="X44:Y44" si="49">$I$52*2</f>
        <v>30599.999999999996</v>
      </c>
      <c r="Y44" s="71">
        <f t="shared" si="49"/>
        <v>30599.999999999996</v>
      </c>
      <c r="Z44" s="71">
        <f>$I$52*2</f>
        <v>30599.999999999996</v>
      </c>
      <c r="AA44" s="71">
        <f>$I$52*2</f>
        <v>30599.999999999996</v>
      </c>
      <c r="AB44" s="21"/>
      <c r="AC44" s="165"/>
      <c r="AD44" s="71">
        <f>$I$52*2</f>
        <v>30599.999999999996</v>
      </c>
      <c r="AE44" s="71">
        <f t="shared" ref="AE44:AF44" si="50">$I$52*2</f>
        <v>30599.999999999996</v>
      </c>
      <c r="AF44" s="71">
        <f t="shared" si="50"/>
        <v>30599.999999999996</v>
      </c>
      <c r="AG44" s="71">
        <f>$I$52*2</f>
        <v>30599.999999999996</v>
      </c>
      <c r="AH44" s="71">
        <f>$I$52*2</f>
        <v>30599.999999999996</v>
      </c>
      <c r="AI44" s="21"/>
      <c r="AJ44" s="165"/>
      <c r="AK44" s="71">
        <f t="shared" ref="AK44:AM44" si="51">$I$52*2</f>
        <v>30599.999999999996</v>
      </c>
      <c r="AL44" s="71">
        <f t="shared" si="51"/>
        <v>30599.999999999996</v>
      </c>
      <c r="AM44" s="71"/>
      <c r="AN44" s="6"/>
      <c r="AO44" s="6"/>
      <c r="AP44" s="6"/>
      <c r="AQ44" s="6"/>
      <c r="AR44" s="6"/>
      <c r="AS44" s="6"/>
      <c r="AT44" s="7"/>
      <c r="AU44" s="7"/>
      <c r="AV44" s="7"/>
      <c r="AW44" s="7"/>
    </row>
    <row r="45" spans="1:49">
      <c r="A45" s="244"/>
      <c r="B45" s="236"/>
      <c r="C45" s="203"/>
      <c r="D45" s="219"/>
      <c r="E45" s="79"/>
      <c r="F45" s="203"/>
      <c r="G45" s="72"/>
      <c r="H45" s="23" t="s">
        <v>66</v>
      </c>
      <c r="I45" s="71">
        <v>1</v>
      </c>
      <c r="J45" s="71">
        <v>1</v>
      </c>
      <c r="K45" s="71">
        <v>1</v>
      </c>
      <c r="L45" s="71">
        <v>1</v>
      </c>
      <c r="M45" s="71">
        <v>1</v>
      </c>
      <c r="N45" s="21"/>
      <c r="O45" s="165"/>
      <c r="P45" s="165"/>
      <c r="Q45" s="165"/>
      <c r="R45" s="165"/>
      <c r="S45" s="165"/>
      <c r="T45" s="165"/>
      <c r="U45" s="165"/>
      <c r="V45" s="165"/>
      <c r="W45" s="71">
        <v>1</v>
      </c>
      <c r="X45" s="71">
        <v>1</v>
      </c>
      <c r="Y45" s="71">
        <v>1</v>
      </c>
      <c r="Z45" s="71">
        <v>1</v>
      </c>
      <c r="AA45" s="71">
        <v>1</v>
      </c>
      <c r="AB45" s="21"/>
      <c r="AC45" s="165"/>
      <c r="AD45" s="71">
        <v>1</v>
      </c>
      <c r="AE45" s="71">
        <v>1</v>
      </c>
      <c r="AF45" s="71">
        <v>1</v>
      </c>
      <c r="AG45" s="71">
        <v>1</v>
      </c>
      <c r="AH45" s="71">
        <v>1</v>
      </c>
      <c r="AI45" s="21"/>
      <c r="AJ45" s="165"/>
      <c r="AK45" s="71">
        <v>1</v>
      </c>
      <c r="AL45" s="71">
        <v>1</v>
      </c>
      <c r="AM45" s="71"/>
      <c r="AN45" s="6"/>
      <c r="AO45" s="6"/>
      <c r="AP45" s="6"/>
      <c r="AQ45" s="6"/>
      <c r="AR45" s="6"/>
      <c r="AS45" s="6"/>
      <c r="AT45" s="7"/>
      <c r="AU45" s="7"/>
      <c r="AV45" s="7"/>
      <c r="AW45" s="7"/>
    </row>
    <row r="46" spans="1:49">
      <c r="A46" s="244"/>
      <c r="B46" s="236"/>
      <c r="C46" s="203"/>
      <c r="D46" s="219"/>
      <c r="E46" s="79"/>
      <c r="F46" s="203"/>
      <c r="G46" s="27"/>
      <c r="H46" s="26" t="s">
        <v>0</v>
      </c>
      <c r="I46" s="22">
        <f>SUMIFS('絞線Twisting wire'!$K$7:$K$1000,'絞線Twisting wire'!$A$7:$A$1000,'04'!I$2,'絞線Twisting wire'!$D$7:$D$1000,'04'!$G$44,'絞線Twisting wire'!$F$7:$F$1000,'04'!$A$44)</f>
        <v>14840</v>
      </c>
      <c r="J46" s="22">
        <f>SUMIFS('絞線Twisting wire'!$K$7:$K$1000,'絞線Twisting wire'!$A$7:$A$1000,'04'!J$2,'絞線Twisting wire'!$D$7:$D$1000,'04'!$G$44,'絞線Twisting wire'!$F$7:$F$1000,'04'!$A$44)</f>
        <v>22273</v>
      </c>
      <c r="K46" s="22">
        <f>SUMIFS('絞線Twisting wire'!$K$7:$K$1000,'絞線Twisting wire'!$A$7:$A$1000,'04'!K$2,'絞線Twisting wire'!$D$7:$D$1000,'04'!$G$44,'絞線Twisting wire'!$F$7:$F$1000,'04'!$A$44)</f>
        <v>0</v>
      </c>
      <c r="L46" s="22">
        <f>SUMIFS('絞線Twisting wire'!$K$7:$K$1000,'絞線Twisting wire'!$A$7:$A$1000,'04'!L$2,'絞線Twisting wire'!$D$7:$D$1000,'04'!$G$44,'絞線Twisting wire'!$F$7:$F$1000,'04'!$A$44)</f>
        <v>0</v>
      </c>
      <c r="M46" s="22">
        <f>SUMIFS('絞線Twisting wire'!$K$7:$K$1000,'絞線Twisting wire'!$A$7:$A$1000,'04'!M$2,'絞線Twisting wire'!$D$7:$D$1000,'04'!$G$44,'絞線Twisting wire'!$F$7:$F$1000,'04'!$A$44)</f>
        <v>0</v>
      </c>
      <c r="N46" s="22">
        <f>SUMIFS('絞線Twisting wire'!$K$7:$K$1000,'絞線Twisting wire'!$A$7:$A$1000,'04'!N$2,'絞線Twisting wire'!$D$7:$D$1000,'04'!$G$44,'絞線Twisting wire'!$F$7:$F$1000,'04'!$A$44)</f>
        <v>0</v>
      </c>
      <c r="O46" s="165"/>
      <c r="P46" s="165"/>
      <c r="Q46" s="165"/>
      <c r="R46" s="165"/>
      <c r="S46" s="165"/>
      <c r="T46" s="165"/>
      <c r="U46" s="165"/>
      <c r="V46" s="165"/>
      <c r="W46" s="22">
        <f>SUMIFS('絞線Twisting wire'!$K$7:$K$1000,'絞線Twisting wire'!$A$7:$A$1000,'04'!W$2,'絞線Twisting wire'!$D$7:$D$1000,'04'!$G$44,'絞線Twisting wire'!$F$7:$F$1000,'04'!$A$44)</f>
        <v>0</v>
      </c>
      <c r="X46" s="22">
        <f>SUMIFS('絞線Twisting wire'!$K$7:$K$1000,'絞線Twisting wire'!$A$7:$A$1000,'04'!X$2,'絞線Twisting wire'!$D$7:$D$1000,'04'!$G$44,'絞線Twisting wire'!$F$7:$F$1000,'04'!$A$44)</f>
        <v>0</v>
      </c>
      <c r="Y46" s="22">
        <f>SUMIFS('絞線Twisting wire'!$K$7:$K$1000,'絞線Twisting wire'!$A$7:$A$1000,'04'!Y$2,'絞線Twisting wire'!$D$7:$D$1000,'04'!$G$44,'絞線Twisting wire'!$F$7:$F$1000,'04'!$A$44)</f>
        <v>0</v>
      </c>
      <c r="Z46" s="22">
        <f>SUMIFS('絞線Twisting wire'!$K$7:$K$1000,'絞線Twisting wire'!$A$7:$A$1000,'04'!Z$2,'絞線Twisting wire'!$D$7:$D$1000,'04'!$G$44,'絞線Twisting wire'!$F$7:$F$1000,'04'!$A$44)</f>
        <v>0</v>
      </c>
      <c r="AA46" s="22">
        <f>SUMIFS('絞線Twisting wire'!$K$7:$K$1000,'絞線Twisting wire'!$A$7:$A$1000,'04'!AA$2,'絞線Twisting wire'!$D$7:$D$1000,'04'!$G$44,'絞線Twisting wire'!$F$7:$F$1000,'04'!$A$44)</f>
        <v>0</v>
      </c>
      <c r="AB46" s="22">
        <f>SUMIFS('絞線Twisting wire'!$K$7:$K$1000,'絞線Twisting wire'!$A$7:$A$1000,'04'!AB$2,'絞線Twisting wire'!$D$7:$D$1000,'04'!$G$44,'絞線Twisting wire'!$F$7:$F$1000,'04'!$A$44)</f>
        <v>0</v>
      </c>
      <c r="AC46" s="165"/>
      <c r="AD46" s="22">
        <f>SUMIFS('絞線Twisting wire'!$K$7:$K$1000,'絞線Twisting wire'!$A$7:$A$1000,'04'!AD$2,'絞線Twisting wire'!$D$7:$D$1000,'04'!$G$44,'絞線Twisting wire'!$F$7:$F$1000,'04'!$A$44)</f>
        <v>0</v>
      </c>
      <c r="AE46" s="22">
        <f>SUMIFS('絞線Twisting wire'!$K$7:$K$1000,'絞線Twisting wire'!$A$7:$A$1000,'04'!AE$2,'絞線Twisting wire'!$D$7:$D$1000,'04'!$G$44,'絞線Twisting wire'!$F$7:$F$1000,'04'!$A$44)</f>
        <v>0</v>
      </c>
      <c r="AF46" s="22">
        <f>SUMIFS('絞線Twisting wire'!$K$7:$K$1000,'絞線Twisting wire'!$A$7:$A$1000,'04'!AF$2,'絞線Twisting wire'!$D$7:$D$1000,'04'!$G$44,'絞線Twisting wire'!$F$7:$F$1000,'04'!$A$44)</f>
        <v>0</v>
      </c>
      <c r="AG46" s="22">
        <f>SUMIFS('絞線Twisting wire'!$K$7:$K$1000,'絞線Twisting wire'!$A$7:$A$1000,'04'!AG$2,'絞線Twisting wire'!$D$7:$D$1000,'04'!$G$44,'絞線Twisting wire'!$F$7:$F$1000,'04'!$A$44)</f>
        <v>0</v>
      </c>
      <c r="AH46" s="22">
        <f>SUMIFS('絞線Twisting wire'!$K$7:$K$1000,'絞線Twisting wire'!$A$7:$A$1000,'04'!AH$2,'絞線Twisting wire'!$D$7:$D$1000,'04'!$G$44,'絞線Twisting wire'!$F$7:$F$1000,'04'!$A$44)</f>
        <v>0</v>
      </c>
      <c r="AI46" s="22">
        <f>SUMIFS('絞線Twisting wire'!$K$7:$K$1000,'絞線Twisting wire'!$A$7:$A$1000,'04'!AI$2,'絞線Twisting wire'!$D$7:$D$1000,'04'!$G$44,'絞線Twisting wire'!$F$7:$F$1000,'04'!$A$44)</f>
        <v>0</v>
      </c>
      <c r="AJ46" s="165"/>
      <c r="AK46" s="22">
        <f>SUMIFS('絞線Twisting wire'!$K$7:$K$1000,'絞線Twisting wire'!$A$7:$A$1000,'04'!AK$2,'絞線Twisting wire'!$D$7:$D$1000,'04'!$G$44,'絞線Twisting wire'!$F$7:$F$1000,'04'!$A$44)</f>
        <v>0</v>
      </c>
      <c r="AL46" s="22">
        <f>SUMIFS('絞線Twisting wire'!$K$7:$K$1000,'絞線Twisting wire'!$A$7:$A$1000,'04'!AL$2,'絞線Twisting wire'!$D$7:$D$1000,'04'!$G$44,'絞線Twisting wire'!$F$7:$F$1000,'04'!$A$44)</f>
        <v>0</v>
      </c>
      <c r="AM46" s="113"/>
      <c r="AN46" s="6"/>
      <c r="AO46" s="6"/>
      <c r="AP46" s="6"/>
      <c r="AQ46" s="6"/>
      <c r="AR46" s="6"/>
      <c r="AS46" s="6"/>
      <c r="AT46" s="7"/>
      <c r="AU46" s="7"/>
      <c r="AV46" s="7"/>
      <c r="AW46" s="7"/>
    </row>
    <row r="47" spans="1:49">
      <c r="A47" s="244"/>
      <c r="B47" s="236"/>
      <c r="C47" s="203"/>
      <c r="D47" s="219"/>
      <c r="E47" s="79"/>
      <c r="F47" s="203"/>
      <c r="G47" s="27"/>
      <c r="H47" s="26" t="s">
        <v>34</v>
      </c>
      <c r="I47" s="40">
        <f>I46-I44</f>
        <v>-15759.999999999996</v>
      </c>
      <c r="J47" s="40">
        <f>I47+(J46-J44)</f>
        <v>-24086.999999999993</v>
      </c>
      <c r="K47" s="40">
        <f t="shared" ref="K47:M47" si="52">J47+(K46-K44)</f>
        <v>-54686.999999999985</v>
      </c>
      <c r="L47" s="40">
        <f t="shared" si="52"/>
        <v>-85286.999999999985</v>
      </c>
      <c r="M47" s="40">
        <f t="shared" si="52"/>
        <v>-115886.99999999999</v>
      </c>
      <c r="N47" s="143">
        <f>M47+(N46-N44)</f>
        <v>-115886.99999999999</v>
      </c>
      <c r="O47" s="166"/>
      <c r="P47" s="166"/>
      <c r="Q47" s="166"/>
      <c r="R47" s="166"/>
      <c r="S47" s="166"/>
      <c r="T47" s="166"/>
      <c r="U47" s="166"/>
      <c r="V47" s="166"/>
      <c r="W47" s="40">
        <f>N47+(W46-W44)</f>
        <v>-146486.99999999997</v>
      </c>
      <c r="X47" s="40">
        <f>W47+(X46-X44)</f>
        <v>-177086.99999999997</v>
      </c>
      <c r="Y47" s="40">
        <f t="shared" ref="Y47:AA47" si="53">X47+(Y46-Y44)</f>
        <v>-207686.99999999997</v>
      </c>
      <c r="Z47" s="40">
        <f t="shared" si="53"/>
        <v>-238286.99999999997</v>
      </c>
      <c r="AA47" s="40">
        <f t="shared" si="53"/>
        <v>-268886.99999999994</v>
      </c>
      <c r="AB47" s="143">
        <f>AA47+(AB46-AB44)</f>
        <v>-268886.99999999994</v>
      </c>
      <c r="AC47" s="166"/>
      <c r="AD47" s="40">
        <f>AB47+(AD46-AD44)</f>
        <v>-299486.99999999994</v>
      </c>
      <c r="AE47" s="40">
        <f>AD47+(AE46-AE44)</f>
        <v>-330086.99999999994</v>
      </c>
      <c r="AF47" s="40">
        <f t="shared" ref="AF47:AH47" si="54">AE47+(AF46-AF44)</f>
        <v>-360686.99999999994</v>
      </c>
      <c r="AG47" s="40">
        <f t="shared" si="54"/>
        <v>-391286.99999999994</v>
      </c>
      <c r="AH47" s="40">
        <f t="shared" si="54"/>
        <v>-421886.99999999994</v>
      </c>
      <c r="AI47" s="143">
        <f>AH47+(AI46-AI44)</f>
        <v>-421886.99999999994</v>
      </c>
      <c r="AJ47" s="166"/>
      <c r="AK47" s="40">
        <f>AI47+(AK46-AK44)</f>
        <v>-452486.99999999994</v>
      </c>
      <c r="AL47" s="40">
        <f t="shared" ref="AL47:AM47" si="55">AK47+(AL46-AL44)</f>
        <v>-483086.99999999994</v>
      </c>
      <c r="AM47" s="40"/>
      <c r="AN47" s="6"/>
      <c r="AO47" s="6"/>
      <c r="AP47" s="6"/>
      <c r="AQ47" s="6"/>
      <c r="AR47" s="6"/>
      <c r="AS47" s="6"/>
      <c r="AT47" s="7"/>
      <c r="AU47" s="7"/>
      <c r="AV47" s="7"/>
      <c r="AW47" s="7"/>
    </row>
    <row r="48" spans="1:49">
      <c r="A48" s="244"/>
      <c r="B48" s="236"/>
      <c r="C48" s="203"/>
      <c r="D48" s="219"/>
      <c r="E48" s="79"/>
      <c r="F48" s="203"/>
      <c r="G48" s="72" t="s">
        <v>100</v>
      </c>
      <c r="H48" s="23" t="s">
        <v>110</v>
      </c>
      <c r="I48" s="71">
        <f>$I$59*2</f>
        <v>30599.999999999996</v>
      </c>
      <c r="J48" s="71">
        <f t="shared" ref="J48:K48" si="56">$I$59*2</f>
        <v>30599.999999999996</v>
      </c>
      <c r="K48" s="71">
        <f t="shared" si="56"/>
        <v>30599.999999999996</v>
      </c>
      <c r="L48" s="71">
        <f>$I$59*2</f>
        <v>30599.999999999996</v>
      </c>
      <c r="M48" s="71">
        <f>$I$59*2</f>
        <v>30599.999999999996</v>
      </c>
      <c r="N48" s="21"/>
      <c r="O48" s="165"/>
      <c r="P48" s="165"/>
      <c r="Q48" s="165"/>
      <c r="R48" s="165"/>
      <c r="S48" s="165"/>
      <c r="T48" s="165"/>
      <c r="U48" s="165"/>
      <c r="V48" s="165"/>
      <c r="W48" s="71">
        <f>$I$59*2</f>
        <v>30599.999999999996</v>
      </c>
      <c r="X48" s="71">
        <f t="shared" ref="X48:Y48" si="57">$I$59*2</f>
        <v>30599.999999999996</v>
      </c>
      <c r="Y48" s="71">
        <f t="shared" si="57"/>
        <v>30599.999999999996</v>
      </c>
      <c r="Z48" s="71">
        <f>$I$59*2</f>
        <v>30599.999999999996</v>
      </c>
      <c r="AA48" s="71">
        <f>$I$59*2</f>
        <v>30599.999999999996</v>
      </c>
      <c r="AB48" s="21"/>
      <c r="AC48" s="165"/>
      <c r="AD48" s="71">
        <f>$I$59*2</f>
        <v>30599.999999999996</v>
      </c>
      <c r="AE48" s="71">
        <f t="shared" ref="AE48:AF48" si="58">$I$59*2</f>
        <v>30599.999999999996</v>
      </c>
      <c r="AF48" s="71">
        <f t="shared" si="58"/>
        <v>30599.999999999996</v>
      </c>
      <c r="AG48" s="71">
        <f>$I$59*2</f>
        <v>30599.999999999996</v>
      </c>
      <c r="AH48" s="71">
        <f>$I$59*2</f>
        <v>30599.999999999996</v>
      </c>
      <c r="AI48" s="21"/>
      <c r="AJ48" s="165"/>
      <c r="AK48" s="71">
        <f t="shared" ref="AK48:AM48" si="59">$I$59*2</f>
        <v>30599.999999999996</v>
      </c>
      <c r="AL48" s="71">
        <f t="shared" si="59"/>
        <v>30599.999999999996</v>
      </c>
      <c r="AM48" s="71"/>
      <c r="AN48" s="6"/>
      <c r="AO48" s="6"/>
      <c r="AP48" s="6"/>
      <c r="AQ48" s="6"/>
      <c r="AR48" s="6"/>
      <c r="AS48" s="6"/>
      <c r="AT48" s="7"/>
      <c r="AU48" s="7"/>
      <c r="AV48" s="7"/>
      <c r="AW48" s="7"/>
    </row>
    <row r="49" spans="1:49">
      <c r="A49" s="244"/>
      <c r="B49" s="236"/>
      <c r="C49" s="203"/>
      <c r="D49" s="219"/>
      <c r="E49" s="79"/>
      <c r="F49" s="203"/>
      <c r="G49" s="72"/>
      <c r="H49" s="23" t="s">
        <v>66</v>
      </c>
      <c r="I49" s="71">
        <v>4</v>
      </c>
      <c r="J49" s="71">
        <v>4</v>
      </c>
      <c r="K49" s="71">
        <v>4</v>
      </c>
      <c r="L49" s="71">
        <v>4</v>
      </c>
      <c r="M49" s="71">
        <v>4</v>
      </c>
      <c r="N49" s="21"/>
      <c r="O49" s="165"/>
      <c r="P49" s="165"/>
      <c r="Q49" s="165"/>
      <c r="R49" s="165"/>
      <c r="S49" s="165"/>
      <c r="T49" s="165"/>
      <c r="U49" s="165"/>
      <c r="V49" s="165"/>
      <c r="W49" s="71">
        <v>4</v>
      </c>
      <c r="X49" s="71">
        <v>4</v>
      </c>
      <c r="Y49" s="71">
        <v>4</v>
      </c>
      <c r="Z49" s="71">
        <v>4</v>
      </c>
      <c r="AA49" s="71">
        <v>4</v>
      </c>
      <c r="AB49" s="21"/>
      <c r="AC49" s="165"/>
      <c r="AD49" s="71">
        <v>4</v>
      </c>
      <c r="AE49" s="71">
        <v>4</v>
      </c>
      <c r="AF49" s="71">
        <v>4</v>
      </c>
      <c r="AG49" s="71">
        <v>4</v>
      </c>
      <c r="AH49" s="71">
        <v>4</v>
      </c>
      <c r="AI49" s="21"/>
      <c r="AJ49" s="165"/>
      <c r="AK49" s="71">
        <v>4</v>
      </c>
      <c r="AL49" s="71">
        <v>4</v>
      </c>
      <c r="AM49" s="71"/>
      <c r="AN49" s="6"/>
      <c r="AO49" s="6"/>
      <c r="AP49" s="6"/>
      <c r="AQ49" s="6"/>
      <c r="AR49" s="6"/>
      <c r="AS49" s="6"/>
      <c r="AT49" s="7"/>
      <c r="AU49" s="7"/>
      <c r="AV49" s="7"/>
      <c r="AW49" s="7"/>
    </row>
    <row r="50" spans="1:49">
      <c r="A50" s="244"/>
      <c r="B50" s="236"/>
      <c r="C50" s="203"/>
      <c r="D50" s="219"/>
      <c r="E50" s="79"/>
      <c r="F50" s="203"/>
      <c r="G50" s="27"/>
      <c r="H50" s="26" t="s">
        <v>0</v>
      </c>
      <c r="I50" s="22">
        <f>SUMIFS('絞線Twisting wire'!$K$7:$K$1000,'絞線Twisting wire'!$A$7:$A$1000,'04'!I$2,'絞線Twisting wire'!$D$7:$D$1000,'04'!$G$48,'絞線Twisting wire'!$F$7:$F$1000,'04'!$A$44)</f>
        <v>16217</v>
      </c>
      <c r="J50" s="22">
        <f>SUMIFS('絞線Twisting wire'!$K$7:$K$1000,'絞線Twisting wire'!$A$7:$A$1000,'04'!J$2,'絞線Twisting wire'!$D$7:$D$1000,'04'!$G$48,'絞線Twisting wire'!$F$7:$F$1000,'04'!$A$44)</f>
        <v>19512</v>
      </c>
      <c r="K50" s="22">
        <f>SUMIFS('絞線Twisting wire'!$K$7:$K$1000,'絞線Twisting wire'!$A$7:$A$1000,'04'!K$2,'絞線Twisting wire'!$D$7:$D$1000,'04'!$G$48,'絞線Twisting wire'!$F$7:$F$1000,'04'!$A$44)</f>
        <v>0</v>
      </c>
      <c r="L50" s="22">
        <f>SUMIFS('絞線Twisting wire'!$K$7:$K$1000,'絞線Twisting wire'!$A$7:$A$1000,'04'!L$2,'絞線Twisting wire'!$D$7:$D$1000,'04'!$G$48,'絞線Twisting wire'!$F$7:$F$1000,'04'!$A$44)</f>
        <v>0</v>
      </c>
      <c r="M50" s="22">
        <f>SUMIFS('絞線Twisting wire'!$K$7:$K$1000,'絞線Twisting wire'!$A$7:$A$1000,'04'!M$2,'絞線Twisting wire'!$D$7:$D$1000,'04'!$G$48,'絞線Twisting wire'!$F$7:$F$1000,'04'!$A$44)</f>
        <v>0</v>
      </c>
      <c r="N50" s="22">
        <f>SUMIFS('絞線Twisting wire'!$K$7:$K$1000,'絞線Twisting wire'!$A$7:$A$1000,'04'!N$2,'絞線Twisting wire'!$D$7:$D$1000,'04'!$G$48,'絞線Twisting wire'!$F$7:$F$1000,'04'!$A$44)</f>
        <v>0</v>
      </c>
      <c r="O50" s="165"/>
      <c r="P50" s="165"/>
      <c r="Q50" s="165"/>
      <c r="R50" s="165"/>
      <c r="S50" s="165"/>
      <c r="T50" s="165"/>
      <c r="U50" s="165"/>
      <c r="V50" s="165"/>
      <c r="W50" s="22">
        <f>SUMIFS('絞線Twisting wire'!$K$7:$K$1000,'絞線Twisting wire'!$A$7:$A$1000,'04'!W$2,'絞線Twisting wire'!$D$7:$D$1000,'04'!$G$48,'絞線Twisting wire'!$F$7:$F$1000,'04'!$A$44)</f>
        <v>0</v>
      </c>
      <c r="X50" s="22">
        <f>SUMIFS('絞線Twisting wire'!$K$7:$K$1000,'絞線Twisting wire'!$A$7:$A$1000,'04'!X$2,'絞線Twisting wire'!$D$7:$D$1000,'04'!$G$48,'絞線Twisting wire'!$F$7:$F$1000,'04'!$A$44)</f>
        <v>0</v>
      </c>
      <c r="Y50" s="22">
        <f>SUMIFS('絞線Twisting wire'!$K$7:$K$1000,'絞線Twisting wire'!$A$7:$A$1000,'04'!Y$2,'絞線Twisting wire'!$D$7:$D$1000,'04'!$G$48,'絞線Twisting wire'!$F$7:$F$1000,'04'!$A$44)</f>
        <v>0</v>
      </c>
      <c r="Z50" s="22">
        <f>SUMIFS('絞線Twisting wire'!$K$7:$K$1000,'絞線Twisting wire'!$A$7:$A$1000,'04'!Z$2,'絞線Twisting wire'!$D$7:$D$1000,'04'!$G$48,'絞線Twisting wire'!$F$7:$F$1000,'04'!$A$44)</f>
        <v>0</v>
      </c>
      <c r="AA50" s="22">
        <f>SUMIFS('絞線Twisting wire'!$K$7:$K$1000,'絞線Twisting wire'!$A$7:$A$1000,'04'!AA$2,'絞線Twisting wire'!$D$7:$D$1000,'04'!$G$48,'絞線Twisting wire'!$F$7:$F$1000,'04'!$A$44)</f>
        <v>0</v>
      </c>
      <c r="AB50" s="22">
        <f>SUMIFS('絞線Twisting wire'!$K$7:$K$1000,'絞線Twisting wire'!$A$7:$A$1000,'04'!AB$2,'絞線Twisting wire'!$D$7:$D$1000,'04'!$G$48,'絞線Twisting wire'!$F$7:$F$1000,'04'!$A$44)</f>
        <v>0</v>
      </c>
      <c r="AC50" s="165"/>
      <c r="AD50" s="22">
        <f>SUMIFS('絞線Twisting wire'!$K$7:$K$1000,'絞線Twisting wire'!$A$7:$A$1000,'04'!AD$2,'絞線Twisting wire'!$D$7:$D$1000,'04'!$G$48,'絞線Twisting wire'!$F$7:$F$1000,'04'!$A$44)</f>
        <v>0</v>
      </c>
      <c r="AE50" s="22">
        <f>SUMIFS('絞線Twisting wire'!$K$7:$K$1000,'絞線Twisting wire'!$A$7:$A$1000,'04'!AE$2,'絞線Twisting wire'!$D$7:$D$1000,'04'!$G$48,'絞線Twisting wire'!$F$7:$F$1000,'04'!$A$44)</f>
        <v>0</v>
      </c>
      <c r="AF50" s="22">
        <f>SUMIFS('絞線Twisting wire'!$K$7:$K$1000,'絞線Twisting wire'!$A$7:$A$1000,'04'!AF$2,'絞線Twisting wire'!$D$7:$D$1000,'04'!$G$48,'絞線Twisting wire'!$F$7:$F$1000,'04'!$A$44)</f>
        <v>0</v>
      </c>
      <c r="AG50" s="22">
        <f>SUMIFS('絞線Twisting wire'!$K$7:$K$1000,'絞線Twisting wire'!$A$7:$A$1000,'04'!AG$2,'絞線Twisting wire'!$D$7:$D$1000,'04'!$G$48,'絞線Twisting wire'!$F$7:$F$1000,'04'!$A$44)</f>
        <v>0</v>
      </c>
      <c r="AH50" s="22">
        <f>SUMIFS('絞線Twisting wire'!$K$7:$K$1000,'絞線Twisting wire'!$A$7:$A$1000,'04'!AH$2,'絞線Twisting wire'!$D$7:$D$1000,'04'!$G$48,'絞線Twisting wire'!$F$7:$F$1000,'04'!$A$44)</f>
        <v>0</v>
      </c>
      <c r="AI50" s="22">
        <f>SUMIFS('絞線Twisting wire'!$K$7:$K$1000,'絞線Twisting wire'!$A$7:$A$1000,'04'!AI$2,'絞線Twisting wire'!$D$7:$D$1000,'04'!$G$48,'絞線Twisting wire'!$F$7:$F$1000,'04'!$A$44)</f>
        <v>0</v>
      </c>
      <c r="AJ50" s="165"/>
      <c r="AK50" s="22">
        <f>SUMIFS('絞線Twisting wire'!$K$7:$K$1000,'絞線Twisting wire'!$A$7:$A$1000,'04'!AK$2,'絞線Twisting wire'!$D$7:$D$1000,'04'!$G$48,'絞線Twisting wire'!$F$7:$F$1000,'04'!$A$44)</f>
        <v>0</v>
      </c>
      <c r="AL50" s="22">
        <f>SUMIFS('絞線Twisting wire'!$K$7:$K$1000,'絞線Twisting wire'!$A$7:$A$1000,'04'!AL$2,'絞線Twisting wire'!$D$7:$D$1000,'04'!$G$48,'絞線Twisting wire'!$F$7:$F$1000,'04'!$A$44)</f>
        <v>0</v>
      </c>
      <c r="AM50" s="113"/>
      <c r="AN50" s="6"/>
      <c r="AO50" s="6"/>
      <c r="AP50" s="6"/>
      <c r="AQ50" s="6"/>
      <c r="AR50" s="6"/>
      <c r="AS50" s="6"/>
      <c r="AT50" s="7"/>
      <c r="AU50" s="7"/>
      <c r="AV50" s="7"/>
      <c r="AW50" s="7"/>
    </row>
    <row r="51" spans="1:49">
      <c r="A51" s="244"/>
      <c r="B51" s="236"/>
      <c r="C51" s="203"/>
      <c r="D51" s="219"/>
      <c r="E51" s="79"/>
      <c r="F51" s="203"/>
      <c r="G51" s="27"/>
      <c r="H51" s="26" t="s">
        <v>34</v>
      </c>
      <c r="I51" s="40">
        <f>I50-I48</f>
        <v>-14382.999999999996</v>
      </c>
      <c r="J51" s="40">
        <f>I51+(J50-J48)</f>
        <v>-25470.999999999993</v>
      </c>
      <c r="K51" s="40">
        <f t="shared" ref="K51:M51" si="60">J51+(K50-K48)</f>
        <v>-56070.999999999985</v>
      </c>
      <c r="L51" s="40">
        <f t="shared" si="60"/>
        <v>-86670.999999999985</v>
      </c>
      <c r="M51" s="40">
        <f t="shared" si="60"/>
        <v>-117270.99999999999</v>
      </c>
      <c r="N51" s="143">
        <f>M51+(N50-N48)</f>
        <v>-117270.99999999999</v>
      </c>
      <c r="O51" s="166"/>
      <c r="P51" s="166"/>
      <c r="Q51" s="166"/>
      <c r="R51" s="166"/>
      <c r="S51" s="166"/>
      <c r="T51" s="166"/>
      <c r="U51" s="166"/>
      <c r="V51" s="166"/>
      <c r="W51" s="40">
        <f>N51+(W50-W48)</f>
        <v>-147870.99999999997</v>
      </c>
      <c r="X51" s="40">
        <f>W51+(X50-X48)</f>
        <v>-178470.99999999997</v>
      </c>
      <c r="Y51" s="40">
        <f t="shared" ref="Y51:AA51" si="61">X51+(Y50-Y48)</f>
        <v>-209070.99999999997</v>
      </c>
      <c r="Z51" s="40">
        <f t="shared" si="61"/>
        <v>-239670.99999999997</v>
      </c>
      <c r="AA51" s="40">
        <f t="shared" si="61"/>
        <v>-270270.99999999994</v>
      </c>
      <c r="AB51" s="143">
        <f>AA51+(AB50-AB48)</f>
        <v>-270270.99999999994</v>
      </c>
      <c r="AC51" s="166"/>
      <c r="AD51" s="40">
        <f>AB51+(AD50-AD48)</f>
        <v>-300870.99999999994</v>
      </c>
      <c r="AE51" s="40">
        <f>AD51+(AE50-AE48)</f>
        <v>-331470.99999999994</v>
      </c>
      <c r="AF51" s="40">
        <f t="shared" ref="AF51:AH51" si="62">AE51+(AF50-AF48)</f>
        <v>-362070.99999999994</v>
      </c>
      <c r="AG51" s="40">
        <f t="shared" si="62"/>
        <v>-392670.99999999994</v>
      </c>
      <c r="AH51" s="40">
        <f t="shared" si="62"/>
        <v>-423270.99999999994</v>
      </c>
      <c r="AI51" s="143">
        <f>AH51+(AI50-AI48)</f>
        <v>-423270.99999999994</v>
      </c>
      <c r="AJ51" s="166"/>
      <c r="AK51" s="40">
        <f>AI51+(AK50-AK48)</f>
        <v>-453870.99999999994</v>
      </c>
      <c r="AL51" s="40">
        <f>AK51+(AL50-AL48)</f>
        <v>-484470.99999999994</v>
      </c>
      <c r="AM51" s="40"/>
      <c r="AN51" s="6"/>
      <c r="AO51" s="6"/>
      <c r="AP51" s="6"/>
      <c r="AQ51" s="6"/>
      <c r="AR51" s="6"/>
      <c r="AS51" s="6"/>
      <c r="AT51" s="7"/>
      <c r="AU51" s="7"/>
      <c r="AV51" s="7"/>
      <c r="AW51" s="7"/>
    </row>
    <row r="52" spans="1:49">
      <c r="A52" s="244"/>
      <c r="B52" s="236"/>
      <c r="C52" s="203"/>
      <c r="D52" s="219"/>
      <c r="E52" s="79"/>
      <c r="F52" s="203"/>
      <c r="G52" s="72" t="s">
        <v>9</v>
      </c>
      <c r="H52" s="23" t="s">
        <v>8</v>
      </c>
      <c r="I52" s="71">
        <f>$K$70*$D$38/2</f>
        <v>15299.999999999998</v>
      </c>
      <c r="J52" s="71">
        <f t="shared" ref="J52:K52" si="63">$K$70*$D$38/2</f>
        <v>15299.999999999998</v>
      </c>
      <c r="K52" s="71">
        <f t="shared" si="63"/>
        <v>15299.999999999998</v>
      </c>
      <c r="L52" s="71">
        <f>$K$70*$D$38/2</f>
        <v>15299.999999999998</v>
      </c>
      <c r="M52" s="71">
        <f>$K$70*$D$38/2</f>
        <v>15299.999999999998</v>
      </c>
      <c r="N52" s="21"/>
      <c r="O52" s="165"/>
      <c r="P52" s="165"/>
      <c r="Q52" s="165"/>
      <c r="R52" s="165"/>
      <c r="S52" s="165"/>
      <c r="T52" s="165"/>
      <c r="U52" s="165"/>
      <c r="V52" s="165"/>
      <c r="W52" s="71">
        <f>$K$70*$D$38/2</f>
        <v>15299.999999999998</v>
      </c>
      <c r="X52" s="71">
        <f t="shared" ref="X52:Y52" si="64">$K$70*$D$38/2</f>
        <v>15299.999999999998</v>
      </c>
      <c r="Y52" s="71">
        <f t="shared" si="64"/>
        <v>15299.999999999998</v>
      </c>
      <c r="Z52" s="71">
        <f>$K$70*$D$38/2</f>
        <v>15299.999999999998</v>
      </c>
      <c r="AA52" s="71">
        <f>$K$70*$D$38/2</f>
        <v>15299.999999999998</v>
      </c>
      <c r="AB52" s="21"/>
      <c r="AC52" s="165"/>
      <c r="AD52" s="71">
        <f>$K$70*$D$38/2</f>
        <v>15299.999999999998</v>
      </c>
      <c r="AE52" s="71">
        <f t="shared" ref="AE52:AF52" si="65">$K$70*$D$38/2</f>
        <v>15299.999999999998</v>
      </c>
      <c r="AF52" s="71">
        <f t="shared" si="65"/>
        <v>15299.999999999998</v>
      </c>
      <c r="AG52" s="71">
        <f>$K$70*$D$38/2</f>
        <v>15299.999999999998</v>
      </c>
      <c r="AH52" s="71">
        <f>$K$70*$D$38/2</f>
        <v>15299.999999999998</v>
      </c>
      <c r="AI52" s="21"/>
      <c r="AJ52" s="165"/>
      <c r="AK52" s="71">
        <f t="shared" ref="AK52:AM52" si="66">$K$70*$D$38/2</f>
        <v>15299.999999999998</v>
      </c>
      <c r="AL52" s="71">
        <f t="shared" si="66"/>
        <v>15299.999999999998</v>
      </c>
      <c r="AM52" s="71"/>
      <c r="AN52" s="6"/>
      <c r="AO52" s="6"/>
      <c r="AP52" s="6"/>
      <c r="AQ52" s="6"/>
      <c r="AR52" s="6"/>
      <c r="AS52" s="6"/>
      <c r="AT52" s="7"/>
      <c r="AU52" s="7"/>
      <c r="AV52" s="7"/>
      <c r="AW52" s="7"/>
    </row>
    <row r="53" spans="1:49">
      <c r="A53" s="244"/>
      <c r="B53" s="236"/>
      <c r="C53" s="203"/>
      <c r="D53" s="219"/>
      <c r="E53" s="79"/>
      <c r="F53" s="203"/>
      <c r="G53" s="27"/>
      <c r="H53" s="26" t="s">
        <v>0</v>
      </c>
      <c r="I53" s="22">
        <f>SUMIFS(' 押出ekstrusi'!$H$7:$H$1000,' 押出ekstrusi'!$A$7:$A$1000,'04'!I$2,' 押出ekstrusi'!$D$7:$D$1000,'04'!$A$44,' 押出ekstrusi'!$X$7:$X$1000,'04'!$G$52)</f>
        <v>0</v>
      </c>
      <c r="J53" s="22">
        <f>SUMIFS(' 押出ekstrusi'!$H$7:$H$1000,' 押出ekstrusi'!$A$7:$A$1000,'04'!J$2,' 押出ekstrusi'!$D$7:$D$1000,'04'!$A$44,' 押出ekstrusi'!$X$7:$X$1000,'04'!$G$52)</f>
        <v>14542</v>
      </c>
      <c r="K53" s="22">
        <f>SUMIFS(' 押出ekstrusi'!$H$7:$H$1000,' 押出ekstrusi'!$A$7:$A$1000,'04'!K$2,' 押出ekstrusi'!$D$7:$D$1000,'04'!$A$44,' 押出ekstrusi'!$X$7:$X$1000,'04'!$G$52)</f>
        <v>0</v>
      </c>
      <c r="L53" s="22">
        <f>SUMIFS(' 押出ekstrusi'!$H$7:$H$1000,' 押出ekstrusi'!$A$7:$A$1000,'04'!L$2,' 押出ekstrusi'!$D$7:$D$1000,'04'!$A$44,' 押出ekstrusi'!$X$7:$X$1000,'04'!$G$52)</f>
        <v>0</v>
      </c>
      <c r="M53" s="22">
        <f>SUMIFS(' 押出ekstrusi'!$H$7:$H$1000,' 押出ekstrusi'!$A$7:$A$1000,'04'!M$2,' 押出ekstrusi'!$D$7:$D$1000,'04'!$A$44,' 押出ekstrusi'!$X$7:$X$1000,'04'!$G$52)</f>
        <v>0</v>
      </c>
      <c r="N53" s="22">
        <f>SUMIFS(' 押出ekstrusi'!$H$7:$H$1000,' 押出ekstrusi'!$A$7:$A$1000,'04'!N$2,' 押出ekstrusi'!$D$7:$D$1000,'04'!$A$44,' 押出ekstrusi'!$X$7:$X$1000,'04'!$G$52)</f>
        <v>0</v>
      </c>
      <c r="O53" s="165"/>
      <c r="P53" s="165"/>
      <c r="Q53" s="165"/>
      <c r="R53" s="165"/>
      <c r="S53" s="165"/>
      <c r="T53" s="165"/>
      <c r="U53" s="165"/>
      <c r="V53" s="165"/>
      <c r="W53" s="22">
        <f>SUMIFS(' 押出ekstrusi'!$H$7:$H$1000,' 押出ekstrusi'!$A$7:$A$1000,'04'!W$2,' 押出ekstrusi'!$D$7:$D$1000,'04'!$A$44,' 押出ekstrusi'!$X$7:$X$1000,'04'!$G$52)</f>
        <v>0</v>
      </c>
      <c r="X53" s="22">
        <f>SUMIFS(' 押出ekstrusi'!$H$7:$H$1000,' 押出ekstrusi'!$A$7:$A$1000,'04'!X$2,' 押出ekstrusi'!$D$7:$D$1000,'04'!$A$44,' 押出ekstrusi'!$X$7:$X$1000,'04'!$G$52)</f>
        <v>0</v>
      </c>
      <c r="Y53" s="22">
        <f>SUMIFS(' 押出ekstrusi'!$H$7:$H$1000,' 押出ekstrusi'!$A$7:$A$1000,'04'!Y$2,' 押出ekstrusi'!$D$7:$D$1000,'04'!$A$44,' 押出ekstrusi'!$X$7:$X$1000,'04'!$G$52)</f>
        <v>0</v>
      </c>
      <c r="Z53" s="22">
        <f>SUMIFS(' 押出ekstrusi'!$H$7:$H$1000,' 押出ekstrusi'!$A$7:$A$1000,'04'!Z$2,' 押出ekstrusi'!$D$7:$D$1000,'04'!$A$44,' 押出ekstrusi'!$X$7:$X$1000,'04'!$G$52)</f>
        <v>0</v>
      </c>
      <c r="AA53" s="22">
        <f>SUMIFS(' 押出ekstrusi'!$H$7:$H$1000,' 押出ekstrusi'!$A$7:$A$1000,'04'!AA$2,' 押出ekstrusi'!$D$7:$D$1000,'04'!$A$44,' 押出ekstrusi'!$X$7:$X$1000,'04'!$G$52)</f>
        <v>0</v>
      </c>
      <c r="AB53" s="22">
        <f>SUMIFS(' 押出ekstrusi'!$H$7:$H$1000,' 押出ekstrusi'!$A$7:$A$1000,'04'!AB$2,' 押出ekstrusi'!$D$7:$D$1000,'04'!$A$44,' 押出ekstrusi'!$X$7:$X$1000,'04'!$G$52)</f>
        <v>0</v>
      </c>
      <c r="AC53" s="165"/>
      <c r="AD53" s="22">
        <f>SUMIFS(' 押出ekstrusi'!$H$7:$H$1000,' 押出ekstrusi'!$A$7:$A$1000,'04'!AD$2,' 押出ekstrusi'!$D$7:$D$1000,'04'!$A$44,' 押出ekstrusi'!$X$7:$X$1000,'04'!$G$52)</f>
        <v>0</v>
      </c>
      <c r="AE53" s="22">
        <f>SUMIFS(' 押出ekstrusi'!$H$7:$H$1000,' 押出ekstrusi'!$A$7:$A$1000,'04'!AE$2,' 押出ekstrusi'!$D$7:$D$1000,'04'!$A$44,' 押出ekstrusi'!$X$7:$X$1000,'04'!$G$52)</f>
        <v>0</v>
      </c>
      <c r="AF53" s="22">
        <f>SUMIFS(' 押出ekstrusi'!$H$7:$H$1000,' 押出ekstrusi'!$A$7:$A$1000,'04'!AF$2,' 押出ekstrusi'!$D$7:$D$1000,'04'!$A$44,' 押出ekstrusi'!$X$7:$X$1000,'04'!$G$52)</f>
        <v>0</v>
      </c>
      <c r="AG53" s="22">
        <f>SUMIFS(' 押出ekstrusi'!$H$7:$H$1000,' 押出ekstrusi'!$A$7:$A$1000,'04'!AG$2,' 押出ekstrusi'!$D$7:$D$1000,'04'!$A$44,' 押出ekstrusi'!$X$7:$X$1000,'04'!$G$52)</f>
        <v>0</v>
      </c>
      <c r="AH53" s="22">
        <f>SUMIFS(' 押出ekstrusi'!$H$7:$H$1000,' 押出ekstrusi'!$A$7:$A$1000,'04'!AH$2,' 押出ekstrusi'!$D$7:$D$1000,'04'!$A$44,' 押出ekstrusi'!$X$7:$X$1000,'04'!$G$52)</f>
        <v>0</v>
      </c>
      <c r="AI53" s="22">
        <f>SUMIFS(' 押出ekstrusi'!$H$7:$H$1000,' 押出ekstrusi'!$A$7:$A$1000,'04'!AI$2,' 押出ekstrusi'!$D$7:$D$1000,'04'!$A$44,' 押出ekstrusi'!$X$7:$X$1000,'04'!$G$52)</f>
        <v>0</v>
      </c>
      <c r="AJ53" s="165"/>
      <c r="AK53" s="22">
        <f>SUMIFS(' 押出ekstrusi'!$H$7:$H$1000,' 押出ekstrusi'!$A$7:$A$1000,'04'!AK$2,' 押出ekstrusi'!$D$7:$D$1000,'04'!$A$44,' 押出ekstrusi'!$X$7:$X$1000,'04'!$G$52)</f>
        <v>0</v>
      </c>
      <c r="AL53" s="22">
        <f>SUMIFS(' 押出ekstrusi'!$H$7:$H$1000,' 押出ekstrusi'!$A$7:$A$1000,'04'!AL$2,' 押出ekstrusi'!$D$7:$D$1000,'04'!$A$44,' 押出ekstrusi'!$X$7:$X$1000,'04'!$G$52)</f>
        <v>0</v>
      </c>
      <c r="AM53" s="113"/>
      <c r="AN53" s="6"/>
      <c r="AO53" s="6"/>
      <c r="AP53" s="6"/>
      <c r="AQ53" s="6"/>
      <c r="AR53" s="6"/>
      <c r="AS53" s="6"/>
      <c r="AT53" s="7"/>
      <c r="AU53" s="7"/>
      <c r="AV53" s="7"/>
      <c r="AW53" s="7"/>
    </row>
    <row r="54" spans="1:49">
      <c r="A54" s="244"/>
      <c r="B54" s="236"/>
      <c r="C54" s="203"/>
      <c r="D54" s="219"/>
      <c r="E54" s="79"/>
      <c r="F54" s="203"/>
      <c r="G54" s="27"/>
      <c r="H54" s="26" t="s">
        <v>34</v>
      </c>
      <c r="I54" s="40">
        <f>I53-I52</f>
        <v>-15299.999999999998</v>
      </c>
      <c r="J54" s="40">
        <f>I54+(J53-J52)</f>
        <v>-16057.999999999996</v>
      </c>
      <c r="K54" s="40">
        <f t="shared" ref="K54:M54" si="67">J54+(K53-K52)</f>
        <v>-31357.999999999993</v>
      </c>
      <c r="L54" s="40">
        <f t="shared" si="67"/>
        <v>-46657.999999999993</v>
      </c>
      <c r="M54" s="40">
        <f t="shared" si="67"/>
        <v>-61957.999999999993</v>
      </c>
      <c r="N54" s="143">
        <f>M54+(N53-N52)</f>
        <v>-61957.999999999993</v>
      </c>
      <c r="O54" s="166"/>
      <c r="P54" s="166"/>
      <c r="Q54" s="166"/>
      <c r="R54" s="166"/>
      <c r="S54" s="166"/>
      <c r="T54" s="166"/>
      <c r="U54" s="166"/>
      <c r="V54" s="166"/>
      <c r="W54" s="40">
        <f>N54+(W53-W52)</f>
        <v>-77257.999999999985</v>
      </c>
      <c r="X54" s="40">
        <f>W54+(X53-X52)</f>
        <v>-92557.999999999985</v>
      </c>
      <c r="Y54" s="40">
        <f t="shared" ref="Y54:AA54" si="68">X54+(Y53-Y52)</f>
        <v>-107857.99999999999</v>
      </c>
      <c r="Z54" s="40">
        <f t="shared" si="68"/>
        <v>-123157.99999999999</v>
      </c>
      <c r="AA54" s="40">
        <f t="shared" si="68"/>
        <v>-138457.99999999997</v>
      </c>
      <c r="AB54" s="143">
        <f>AA54+(AB53-AB52)</f>
        <v>-138457.99999999997</v>
      </c>
      <c r="AC54" s="166"/>
      <c r="AD54" s="40">
        <f>AB54+(AD53-AD52)</f>
        <v>-153757.99999999997</v>
      </c>
      <c r="AE54" s="40">
        <f>AD54+(AE53-AE52)</f>
        <v>-169057.99999999997</v>
      </c>
      <c r="AF54" s="40">
        <f t="shared" ref="AF54:AH54" si="69">AE54+(AF53-AF52)</f>
        <v>-184357.99999999997</v>
      </c>
      <c r="AG54" s="40">
        <f t="shared" si="69"/>
        <v>-199657.99999999997</v>
      </c>
      <c r="AH54" s="40">
        <f t="shared" si="69"/>
        <v>-214957.99999999997</v>
      </c>
      <c r="AI54" s="143">
        <f>AH54+(AI53-AI52)</f>
        <v>-214957.99999999997</v>
      </c>
      <c r="AJ54" s="166"/>
      <c r="AK54" s="40">
        <f>AI54+(AK53-AK52)</f>
        <v>-230257.99999999997</v>
      </c>
      <c r="AL54" s="40">
        <f>AK54+(AL53-AL52)</f>
        <v>-245557.99999999997</v>
      </c>
      <c r="AM54" s="40"/>
      <c r="AN54" s="6"/>
      <c r="AO54" s="6"/>
      <c r="AP54" s="6"/>
      <c r="AQ54" s="6"/>
      <c r="AR54" s="6"/>
      <c r="AS54" s="6"/>
      <c r="AT54" s="7"/>
      <c r="AU54" s="7"/>
      <c r="AV54" s="7"/>
      <c r="AW54" s="7"/>
    </row>
    <row r="55" spans="1:49">
      <c r="A55" s="244"/>
      <c r="B55" s="236"/>
      <c r="C55" s="203"/>
      <c r="D55" s="219"/>
      <c r="E55" s="79"/>
      <c r="F55" s="203"/>
      <c r="G55" s="72" t="s">
        <v>16</v>
      </c>
      <c r="H55" s="23" t="s">
        <v>109</v>
      </c>
      <c r="I55" s="71">
        <f>$K$70*$D$38/2</f>
        <v>15299.999999999998</v>
      </c>
      <c r="J55" s="71">
        <f t="shared" ref="J55:K55" si="70">$K$70*$D$38/2</f>
        <v>15299.999999999998</v>
      </c>
      <c r="K55" s="71">
        <f t="shared" si="70"/>
        <v>15299.999999999998</v>
      </c>
      <c r="L55" s="71">
        <f>$K$70*$D$38/2</f>
        <v>15299.999999999998</v>
      </c>
      <c r="M55" s="71">
        <f>$K$70*$D$38/2</f>
        <v>15299.999999999998</v>
      </c>
      <c r="N55" s="21"/>
      <c r="O55" s="165"/>
      <c r="P55" s="165"/>
      <c r="Q55" s="165"/>
      <c r="R55" s="165"/>
      <c r="S55" s="165"/>
      <c r="T55" s="165"/>
      <c r="U55" s="165"/>
      <c r="V55" s="165"/>
      <c r="W55" s="71">
        <f>$K$70*$D$38/2</f>
        <v>15299.999999999998</v>
      </c>
      <c r="X55" s="71">
        <f t="shared" ref="X55:Y55" si="71">$K$70*$D$38/2</f>
        <v>15299.999999999998</v>
      </c>
      <c r="Y55" s="71">
        <f t="shared" si="71"/>
        <v>15299.999999999998</v>
      </c>
      <c r="Z55" s="71">
        <f>$K$70*$D$38/2</f>
        <v>15299.999999999998</v>
      </c>
      <c r="AA55" s="71">
        <f>$K$70*$D$38/2</f>
        <v>15299.999999999998</v>
      </c>
      <c r="AB55" s="21"/>
      <c r="AC55" s="165"/>
      <c r="AD55" s="71">
        <f>$K$70*$D$38/2</f>
        <v>15299.999999999998</v>
      </c>
      <c r="AE55" s="71">
        <f t="shared" ref="AE55:AF55" si="72">$K$70*$D$38/2</f>
        <v>15299.999999999998</v>
      </c>
      <c r="AF55" s="71">
        <f t="shared" si="72"/>
        <v>15299.999999999998</v>
      </c>
      <c r="AG55" s="71">
        <f>$K$70*$D$38/2</f>
        <v>15299.999999999998</v>
      </c>
      <c r="AH55" s="71">
        <f>$K$70*$D$38/2</f>
        <v>15299.999999999998</v>
      </c>
      <c r="AI55" s="21"/>
      <c r="AJ55" s="165"/>
      <c r="AK55" s="71">
        <f t="shared" ref="AK55:AM55" si="73">$K$70*$D$38/2</f>
        <v>15299.999999999998</v>
      </c>
      <c r="AL55" s="71">
        <f t="shared" si="73"/>
        <v>15299.999999999998</v>
      </c>
      <c r="AM55" s="71"/>
      <c r="AN55" s="6"/>
      <c r="AO55" s="6"/>
      <c r="AP55" s="6"/>
      <c r="AQ55" s="6"/>
      <c r="AR55" s="6"/>
      <c r="AS55" s="6"/>
      <c r="AT55" s="7"/>
      <c r="AU55" s="7"/>
      <c r="AV55" s="7"/>
      <c r="AW55" s="7"/>
    </row>
    <row r="56" spans="1:49">
      <c r="A56" s="244"/>
      <c r="B56" s="236"/>
      <c r="C56" s="203"/>
      <c r="D56" s="219"/>
      <c r="E56" s="79"/>
      <c r="F56" s="203"/>
      <c r="G56" s="72"/>
      <c r="H56" s="23" t="s">
        <v>7</v>
      </c>
      <c r="I56" s="71">
        <v>1</v>
      </c>
      <c r="J56" s="71">
        <v>1</v>
      </c>
      <c r="K56" s="71">
        <v>1</v>
      </c>
      <c r="L56" s="71">
        <v>1</v>
      </c>
      <c r="M56" s="71">
        <v>1</v>
      </c>
      <c r="N56" s="21"/>
      <c r="O56" s="165"/>
      <c r="P56" s="165"/>
      <c r="Q56" s="165"/>
      <c r="R56" s="165"/>
      <c r="S56" s="165"/>
      <c r="T56" s="165"/>
      <c r="U56" s="165"/>
      <c r="V56" s="165"/>
      <c r="W56" s="71">
        <v>1</v>
      </c>
      <c r="X56" s="71">
        <v>1</v>
      </c>
      <c r="Y56" s="71">
        <v>1</v>
      </c>
      <c r="Z56" s="71">
        <v>1</v>
      </c>
      <c r="AA56" s="71">
        <v>1</v>
      </c>
      <c r="AB56" s="21"/>
      <c r="AC56" s="165"/>
      <c r="AD56" s="71">
        <v>1</v>
      </c>
      <c r="AE56" s="71">
        <v>1</v>
      </c>
      <c r="AF56" s="71">
        <v>1</v>
      </c>
      <c r="AG56" s="71">
        <v>1</v>
      </c>
      <c r="AH56" s="71">
        <v>1</v>
      </c>
      <c r="AI56" s="21"/>
      <c r="AJ56" s="165"/>
      <c r="AK56" s="71">
        <v>1</v>
      </c>
      <c r="AL56" s="71">
        <v>1</v>
      </c>
      <c r="AM56" s="71"/>
      <c r="AN56" s="6"/>
      <c r="AO56" s="6"/>
      <c r="AP56" s="6"/>
      <c r="AQ56" s="6"/>
      <c r="AR56" s="6"/>
      <c r="AS56" s="6"/>
      <c r="AT56" s="7"/>
      <c r="AU56" s="7"/>
      <c r="AV56" s="7"/>
      <c r="AW56" s="7"/>
    </row>
    <row r="57" spans="1:49">
      <c r="A57" s="244"/>
      <c r="B57" s="236"/>
      <c r="C57" s="203"/>
      <c r="D57" s="219"/>
      <c r="E57" s="79"/>
      <c r="F57" s="203"/>
      <c r="G57" s="25"/>
      <c r="H57" s="26" t="s">
        <v>0</v>
      </c>
      <c r="I57" s="22">
        <f>SUMIFS(' 押出ekstrusi'!$H$7:$H$1000,' 押出ekstrusi'!$A$7:$A$1000,'04'!I$2,' 押出ekstrusi'!$D$7:$D$1000,'04'!$A$44,' 押出ekstrusi'!$X$7:$X$1000,'04'!$G$55)</f>
        <v>0</v>
      </c>
      <c r="J57" s="22">
        <f>SUMIFS(' 押出ekstrusi'!$H$7:$H$1000,' 押出ekstrusi'!$A$7:$A$1000,'04'!J$2,' 押出ekstrusi'!$D$7:$D$1000,'04'!$A$44,' 押出ekstrusi'!$X$7:$X$1000,'04'!$G$55)</f>
        <v>0</v>
      </c>
      <c r="K57" s="22">
        <f>SUMIFS(' 押出ekstrusi'!$H$7:$H$1000,' 押出ekstrusi'!$A$7:$A$1000,'04'!K$2,' 押出ekstrusi'!$D$7:$D$1000,'04'!$A$44,' 押出ekstrusi'!$X$7:$X$1000,'04'!$G$55)</f>
        <v>0</v>
      </c>
      <c r="L57" s="22">
        <f>SUMIFS(' 押出ekstrusi'!$H$7:$H$1000,' 押出ekstrusi'!$A$7:$A$1000,'04'!L$2,' 押出ekstrusi'!$D$7:$D$1000,'04'!$A$44,' 押出ekstrusi'!$X$7:$X$1000,'04'!$G$55)</f>
        <v>0</v>
      </c>
      <c r="M57" s="22">
        <f>SUMIFS(' 押出ekstrusi'!$H$7:$H$1000,' 押出ekstrusi'!$A$7:$A$1000,'04'!M$2,' 押出ekstrusi'!$D$7:$D$1000,'04'!$A$44,' 押出ekstrusi'!$X$7:$X$1000,'04'!$G$55)</f>
        <v>0</v>
      </c>
      <c r="N57" s="22">
        <f>SUMIFS(' 押出ekstrusi'!$H$7:$H$1000,' 押出ekstrusi'!$A$7:$A$1000,'04'!N$2,' 押出ekstrusi'!$D$7:$D$1000,'04'!$A$44,' 押出ekstrusi'!$X$7:$X$1000,'04'!$G$55)</f>
        <v>0</v>
      </c>
      <c r="O57" s="165"/>
      <c r="P57" s="165"/>
      <c r="Q57" s="165"/>
      <c r="R57" s="165"/>
      <c r="S57" s="165"/>
      <c r="T57" s="165"/>
      <c r="U57" s="165"/>
      <c r="V57" s="165"/>
      <c r="W57" s="22">
        <f>SUMIFS(' 押出ekstrusi'!$H$7:$H$1000,' 押出ekstrusi'!$A$7:$A$1000,'04'!W$2,' 押出ekstrusi'!$D$7:$D$1000,'04'!$A$44,' 押出ekstrusi'!$X$7:$X$1000,'04'!$G$55)</f>
        <v>0</v>
      </c>
      <c r="X57" s="22">
        <f>SUMIFS(' 押出ekstrusi'!$H$7:$H$1000,' 押出ekstrusi'!$A$7:$A$1000,'04'!X$2,' 押出ekstrusi'!$D$7:$D$1000,'04'!$A$44,' 押出ekstrusi'!$X$7:$X$1000,'04'!$G$55)</f>
        <v>0</v>
      </c>
      <c r="Y57" s="22">
        <f>SUMIFS(' 押出ekstrusi'!$H$7:$H$1000,' 押出ekstrusi'!$A$7:$A$1000,'04'!Y$2,' 押出ekstrusi'!$D$7:$D$1000,'04'!$A$44,' 押出ekstrusi'!$X$7:$X$1000,'04'!$G$55)</f>
        <v>0</v>
      </c>
      <c r="Z57" s="22">
        <f>SUMIFS(' 押出ekstrusi'!$H$7:$H$1000,' 押出ekstrusi'!$A$7:$A$1000,'04'!Z$2,' 押出ekstrusi'!$D$7:$D$1000,'04'!$A$44,' 押出ekstrusi'!$X$7:$X$1000,'04'!$G$55)</f>
        <v>0</v>
      </c>
      <c r="AA57" s="22">
        <f>SUMIFS(' 押出ekstrusi'!$H$7:$H$1000,' 押出ekstrusi'!$A$7:$A$1000,'04'!AA$2,' 押出ekstrusi'!$D$7:$D$1000,'04'!$A$44,' 押出ekstrusi'!$X$7:$X$1000,'04'!$G$55)</f>
        <v>0</v>
      </c>
      <c r="AB57" s="22">
        <f>SUMIFS(' 押出ekstrusi'!$H$7:$H$1000,' 押出ekstrusi'!$A$7:$A$1000,'04'!AB$2,' 押出ekstrusi'!$D$7:$D$1000,'04'!$A$44,' 押出ekstrusi'!$X$7:$X$1000,'04'!$G$55)</f>
        <v>0</v>
      </c>
      <c r="AC57" s="165"/>
      <c r="AD57" s="22">
        <f>SUMIFS(' 押出ekstrusi'!$H$7:$H$1000,' 押出ekstrusi'!$A$7:$A$1000,'04'!AD$2,' 押出ekstrusi'!$D$7:$D$1000,'04'!$A$44,' 押出ekstrusi'!$X$7:$X$1000,'04'!$G$55)</f>
        <v>0</v>
      </c>
      <c r="AE57" s="22">
        <f>SUMIFS(' 押出ekstrusi'!$H$7:$H$1000,' 押出ekstrusi'!$A$7:$A$1000,'04'!AE$2,' 押出ekstrusi'!$D$7:$D$1000,'04'!$A$44,' 押出ekstrusi'!$X$7:$X$1000,'04'!$G$55)</f>
        <v>0</v>
      </c>
      <c r="AF57" s="22">
        <f>SUMIFS(' 押出ekstrusi'!$H$7:$H$1000,' 押出ekstrusi'!$A$7:$A$1000,'04'!AF$2,' 押出ekstrusi'!$D$7:$D$1000,'04'!$A$44,' 押出ekstrusi'!$X$7:$X$1000,'04'!$G$55)</f>
        <v>0</v>
      </c>
      <c r="AG57" s="22">
        <f>SUMIFS(' 押出ekstrusi'!$H$7:$H$1000,' 押出ekstrusi'!$A$7:$A$1000,'04'!AG$2,' 押出ekstrusi'!$D$7:$D$1000,'04'!$A$44,' 押出ekstrusi'!$X$7:$X$1000,'04'!$G$55)</f>
        <v>0</v>
      </c>
      <c r="AH57" s="22">
        <f>SUMIFS(' 押出ekstrusi'!$H$7:$H$1000,' 押出ekstrusi'!$A$7:$A$1000,'04'!AH$2,' 押出ekstrusi'!$D$7:$D$1000,'04'!$A$44,' 押出ekstrusi'!$X$7:$X$1000,'04'!$G$55)</f>
        <v>0</v>
      </c>
      <c r="AI57" s="22">
        <f>SUMIFS(' 押出ekstrusi'!$H$7:$H$1000,' 押出ekstrusi'!$A$7:$A$1000,'04'!AI$2,' 押出ekstrusi'!$D$7:$D$1000,'04'!$A$44,' 押出ekstrusi'!$X$7:$X$1000,'04'!$G$55)</f>
        <v>0</v>
      </c>
      <c r="AJ57" s="165"/>
      <c r="AK57" s="22">
        <f>SUMIFS(' 押出ekstrusi'!$H$7:$H$1000,' 押出ekstrusi'!$A$7:$A$1000,'04'!AK$2,' 押出ekstrusi'!$D$7:$D$1000,'04'!$A$44,' 押出ekstrusi'!$X$7:$X$1000,'04'!$G$55)</f>
        <v>0</v>
      </c>
      <c r="AL57" s="22">
        <f>SUMIFS(' 押出ekstrusi'!$H$7:$H$1000,' 押出ekstrusi'!$A$7:$A$1000,'04'!AL$2,' 押出ekstrusi'!$D$7:$D$1000,'04'!$A$44,' 押出ekstrusi'!$X$7:$X$1000,'04'!$G$55)</f>
        <v>0</v>
      </c>
      <c r="AM57" s="113"/>
      <c r="AN57" s="6"/>
      <c r="AO57" s="6"/>
      <c r="AP57" s="6"/>
      <c r="AQ57" s="6"/>
      <c r="AR57" s="6"/>
      <c r="AS57" s="6"/>
      <c r="AT57" s="7"/>
      <c r="AU57" s="7"/>
      <c r="AV57" s="7"/>
      <c r="AW57" s="7"/>
    </row>
    <row r="58" spans="1:49">
      <c r="A58" s="244"/>
      <c r="B58" s="236"/>
      <c r="C58" s="203"/>
      <c r="D58" s="219"/>
      <c r="E58" s="79"/>
      <c r="F58" s="203"/>
      <c r="G58" s="43"/>
      <c r="H58" s="26" t="s">
        <v>34</v>
      </c>
      <c r="I58" s="40">
        <f>I57-I55</f>
        <v>-15299.999999999998</v>
      </c>
      <c r="J58" s="40">
        <f>I58+(J57-J55)</f>
        <v>-30599.999999999996</v>
      </c>
      <c r="K58" s="40">
        <f t="shared" ref="K58:M58" si="74">J58+(K57-K55)</f>
        <v>-45899.999999999993</v>
      </c>
      <c r="L58" s="40">
        <f t="shared" si="74"/>
        <v>-61199.999999999993</v>
      </c>
      <c r="M58" s="40">
        <f t="shared" si="74"/>
        <v>-76499.999999999985</v>
      </c>
      <c r="N58" s="143">
        <f>M58+(N57-N55)</f>
        <v>-76499.999999999985</v>
      </c>
      <c r="O58" s="166"/>
      <c r="P58" s="166"/>
      <c r="Q58" s="166"/>
      <c r="R58" s="166"/>
      <c r="S58" s="166"/>
      <c r="T58" s="166"/>
      <c r="U58" s="166"/>
      <c r="V58" s="166"/>
      <c r="W58" s="40">
        <f>N58+(W57-W55)</f>
        <v>-91799.999999999985</v>
      </c>
      <c r="X58" s="40">
        <f>W58+(X57-X55)</f>
        <v>-107099.99999999999</v>
      </c>
      <c r="Y58" s="40">
        <f t="shared" ref="Y58:AA58" si="75">X58+(Y57-Y55)</f>
        <v>-122399.99999999999</v>
      </c>
      <c r="Z58" s="40">
        <f t="shared" si="75"/>
        <v>-137699.99999999997</v>
      </c>
      <c r="AA58" s="40">
        <f t="shared" si="75"/>
        <v>-152999.99999999997</v>
      </c>
      <c r="AB58" s="143">
        <f>AA58+(AB57-AB55)</f>
        <v>-152999.99999999997</v>
      </c>
      <c r="AC58" s="166"/>
      <c r="AD58" s="40">
        <f>AB58+(AD57-AD55)</f>
        <v>-168299.99999999997</v>
      </c>
      <c r="AE58" s="40">
        <f>AD58+(AE57-AE55)</f>
        <v>-183599.99999999997</v>
      </c>
      <c r="AF58" s="40">
        <f t="shared" ref="AF58:AH58" si="76">AE58+(AF57-AF55)</f>
        <v>-198899.99999999997</v>
      </c>
      <c r="AG58" s="40">
        <f t="shared" si="76"/>
        <v>-214199.99999999997</v>
      </c>
      <c r="AH58" s="40">
        <f t="shared" si="76"/>
        <v>-229499.99999999997</v>
      </c>
      <c r="AI58" s="143">
        <f>AH58+(AI57-AI55)</f>
        <v>-229499.99999999997</v>
      </c>
      <c r="AJ58" s="166"/>
      <c r="AK58" s="40">
        <f>AI58+(AK57-AK55)</f>
        <v>-244799.99999999997</v>
      </c>
      <c r="AL58" s="40">
        <f t="shared" ref="AL58:AM58" si="77">AK58+(AL57-AL55)</f>
        <v>-260099.99999999997</v>
      </c>
      <c r="AM58" s="40"/>
      <c r="AN58" s="6"/>
      <c r="AO58" s="6"/>
      <c r="AP58" s="6"/>
      <c r="AQ58" s="6"/>
      <c r="AR58" s="6"/>
      <c r="AS58" s="6"/>
      <c r="AT58" s="7"/>
      <c r="AU58" s="7"/>
      <c r="AV58" s="7"/>
      <c r="AW58" s="7"/>
    </row>
    <row r="59" spans="1:49">
      <c r="A59" s="244"/>
      <c r="B59" s="236"/>
      <c r="C59" s="203"/>
      <c r="D59" s="219"/>
      <c r="E59" s="79"/>
      <c r="F59" s="203"/>
      <c r="G59" s="72" t="s">
        <v>14</v>
      </c>
      <c r="H59" s="23" t="s">
        <v>40</v>
      </c>
      <c r="I59" s="71">
        <f>$K$70*$D$38/2</f>
        <v>15299.999999999998</v>
      </c>
      <c r="J59" s="71">
        <f t="shared" ref="J59:K59" si="78">$K$70*$D$38/2</f>
        <v>15299.999999999998</v>
      </c>
      <c r="K59" s="71">
        <f t="shared" si="78"/>
        <v>15299.999999999998</v>
      </c>
      <c r="L59" s="71">
        <f>$K$70*$D$38/2</f>
        <v>15299.999999999998</v>
      </c>
      <c r="M59" s="71">
        <f>$K$70*$D$38/2</f>
        <v>15299.999999999998</v>
      </c>
      <c r="N59" s="21"/>
      <c r="O59" s="165"/>
      <c r="P59" s="165"/>
      <c r="Q59" s="165"/>
      <c r="R59" s="165"/>
      <c r="S59" s="165"/>
      <c r="T59" s="165"/>
      <c r="U59" s="165"/>
      <c r="V59" s="165"/>
      <c r="W59" s="71">
        <f>$K$70*$D$38/2</f>
        <v>15299.999999999998</v>
      </c>
      <c r="X59" s="71">
        <f t="shared" ref="X59:Y59" si="79">$K$70*$D$38/2</f>
        <v>15299.999999999998</v>
      </c>
      <c r="Y59" s="71">
        <f t="shared" si="79"/>
        <v>15299.999999999998</v>
      </c>
      <c r="Z59" s="71">
        <f>$K$70*$D$38/2</f>
        <v>15299.999999999998</v>
      </c>
      <c r="AA59" s="71">
        <f>$K$70*$D$38/2</f>
        <v>15299.999999999998</v>
      </c>
      <c r="AB59" s="21"/>
      <c r="AC59" s="165"/>
      <c r="AD59" s="71">
        <f>$K$70*$D$38/2</f>
        <v>15299.999999999998</v>
      </c>
      <c r="AE59" s="71">
        <f t="shared" ref="AE59:AF59" si="80">$K$70*$D$38/2</f>
        <v>15299.999999999998</v>
      </c>
      <c r="AF59" s="71">
        <f t="shared" si="80"/>
        <v>15299.999999999998</v>
      </c>
      <c r="AG59" s="71">
        <f>$K$70*$D$38/2</f>
        <v>15299.999999999998</v>
      </c>
      <c r="AH59" s="71">
        <f>$K$70*$D$38/2</f>
        <v>15299.999999999998</v>
      </c>
      <c r="AI59" s="21"/>
      <c r="AJ59" s="165"/>
      <c r="AK59" s="71">
        <f t="shared" ref="AK59:AM59" si="81">$K$70*$D$38/2</f>
        <v>15299.999999999998</v>
      </c>
      <c r="AL59" s="71">
        <f t="shared" si="81"/>
        <v>15299.999999999998</v>
      </c>
      <c r="AM59" s="71"/>
      <c r="AN59" s="6"/>
      <c r="AO59" s="6"/>
      <c r="AP59" s="6"/>
      <c r="AQ59" s="6"/>
      <c r="AR59" s="6"/>
      <c r="AS59" s="6"/>
      <c r="AT59" s="7"/>
      <c r="AU59" s="7"/>
      <c r="AV59" s="7"/>
      <c r="AW59" s="7"/>
    </row>
    <row r="60" spans="1:49">
      <c r="A60" s="244"/>
      <c r="B60" s="236"/>
      <c r="C60" s="203"/>
      <c r="D60" s="219"/>
      <c r="E60" s="79"/>
      <c r="F60" s="203"/>
      <c r="G60" s="27"/>
      <c r="H60" s="26" t="s">
        <v>0</v>
      </c>
      <c r="I60" s="22">
        <f>SUMIFS(' 押出ekstrusi'!$H$7:$H$1000,' 押出ekstrusi'!$A$7:$A$1000,'04'!I$2,' 押出ekstrusi'!$D$7:$D$1000,'04'!$A$44,' 押出ekstrusi'!$X$7:$X$1000,'04'!$G$59)</f>
        <v>0</v>
      </c>
      <c r="J60" s="22">
        <f>SUMIFS(' 押出ekstrusi'!$H$7:$H$1000,' 押出ekstrusi'!$A$7:$A$1000,'04'!J$2,' 押出ekstrusi'!$D$7:$D$1000,'04'!$A$44,' 押出ekstrusi'!$X$7:$X$1000,'04'!$G$59)</f>
        <v>0</v>
      </c>
      <c r="K60" s="22">
        <f>SUMIFS(' 押出ekstrusi'!$H$7:$H$1000,' 押出ekstrusi'!$A$7:$A$1000,'04'!K$2,' 押出ekstrusi'!$D$7:$D$1000,'04'!$A$44,' 押出ekstrusi'!$X$7:$X$1000,'04'!$G$59)</f>
        <v>0</v>
      </c>
      <c r="L60" s="22">
        <f>SUMIFS(' 押出ekstrusi'!$H$7:$H$1000,' 押出ekstrusi'!$A$7:$A$1000,'04'!L$2,' 押出ekstrusi'!$D$7:$D$1000,'04'!$A$44,' 押出ekstrusi'!$X$7:$X$1000,'04'!$G$59)</f>
        <v>0</v>
      </c>
      <c r="M60" s="22">
        <f>SUMIFS(' 押出ekstrusi'!$H$7:$H$1000,' 押出ekstrusi'!$A$7:$A$1000,'04'!M$2,' 押出ekstrusi'!$D$7:$D$1000,'04'!$A$44,' 押出ekstrusi'!$X$7:$X$1000,'04'!$G$59)</f>
        <v>0</v>
      </c>
      <c r="N60" s="22">
        <f>SUMIFS(' 押出ekstrusi'!$H$7:$H$1000,' 押出ekstrusi'!$A$7:$A$1000,'04'!N$2,' 押出ekstrusi'!$D$7:$D$1000,'04'!$A$44,' 押出ekstrusi'!$X$7:$X$1000,'04'!$G$59)</f>
        <v>0</v>
      </c>
      <c r="O60" s="165"/>
      <c r="P60" s="165"/>
      <c r="Q60" s="165"/>
      <c r="R60" s="165"/>
      <c r="S60" s="165"/>
      <c r="T60" s="165"/>
      <c r="U60" s="165"/>
      <c r="V60" s="165"/>
      <c r="W60" s="22">
        <f>SUMIFS(' 押出ekstrusi'!$H$7:$H$1000,' 押出ekstrusi'!$A$7:$A$1000,'04'!W$2,' 押出ekstrusi'!$D$7:$D$1000,'04'!$A$44,' 押出ekstrusi'!$X$7:$X$1000,'04'!$G$59)</f>
        <v>0</v>
      </c>
      <c r="X60" s="22">
        <f>SUMIFS(' 押出ekstrusi'!$H$7:$H$1000,' 押出ekstrusi'!$A$7:$A$1000,'04'!X$2,' 押出ekstrusi'!$D$7:$D$1000,'04'!$A$44,' 押出ekstrusi'!$X$7:$X$1000,'04'!$G$59)</f>
        <v>0</v>
      </c>
      <c r="Y60" s="22">
        <f>SUMIFS(' 押出ekstrusi'!$H$7:$H$1000,' 押出ekstrusi'!$A$7:$A$1000,'04'!Y$2,' 押出ekstrusi'!$D$7:$D$1000,'04'!$A$44,' 押出ekstrusi'!$X$7:$X$1000,'04'!$G$59)</f>
        <v>0</v>
      </c>
      <c r="Z60" s="22">
        <f>SUMIFS(' 押出ekstrusi'!$H$7:$H$1000,' 押出ekstrusi'!$A$7:$A$1000,'04'!Z$2,' 押出ekstrusi'!$D$7:$D$1000,'04'!$A$44,' 押出ekstrusi'!$X$7:$X$1000,'04'!$G$59)</f>
        <v>0</v>
      </c>
      <c r="AA60" s="22">
        <f>SUMIFS(' 押出ekstrusi'!$H$7:$H$1000,' 押出ekstrusi'!$A$7:$A$1000,'04'!AA$2,' 押出ekstrusi'!$D$7:$D$1000,'04'!$A$44,' 押出ekstrusi'!$X$7:$X$1000,'04'!$G$59)</f>
        <v>0</v>
      </c>
      <c r="AB60" s="22">
        <f>SUMIFS(' 押出ekstrusi'!$H$7:$H$1000,' 押出ekstrusi'!$A$7:$A$1000,'04'!AB$2,' 押出ekstrusi'!$D$7:$D$1000,'04'!$A$44,' 押出ekstrusi'!$X$7:$X$1000,'04'!$G$59)</f>
        <v>0</v>
      </c>
      <c r="AC60" s="165"/>
      <c r="AD60" s="22">
        <f>SUMIFS(' 押出ekstrusi'!$H$7:$H$1000,' 押出ekstrusi'!$A$7:$A$1000,'04'!AD$2,' 押出ekstrusi'!$D$7:$D$1000,'04'!$A$44,' 押出ekstrusi'!$X$7:$X$1000,'04'!$G$59)</f>
        <v>0</v>
      </c>
      <c r="AE60" s="22">
        <f>SUMIFS(' 押出ekstrusi'!$H$7:$H$1000,' 押出ekstrusi'!$A$7:$A$1000,'04'!AE$2,' 押出ekstrusi'!$D$7:$D$1000,'04'!$A$44,' 押出ekstrusi'!$X$7:$X$1000,'04'!$G$59)</f>
        <v>0</v>
      </c>
      <c r="AF60" s="22">
        <f>SUMIFS(' 押出ekstrusi'!$H$7:$H$1000,' 押出ekstrusi'!$A$7:$A$1000,'04'!AF$2,' 押出ekstrusi'!$D$7:$D$1000,'04'!$A$44,' 押出ekstrusi'!$X$7:$X$1000,'04'!$G$59)</f>
        <v>0</v>
      </c>
      <c r="AG60" s="22">
        <f>SUMIFS(' 押出ekstrusi'!$H$7:$H$1000,' 押出ekstrusi'!$A$7:$A$1000,'04'!AG$2,' 押出ekstrusi'!$D$7:$D$1000,'04'!$A$44,' 押出ekstrusi'!$X$7:$X$1000,'04'!$G$59)</f>
        <v>0</v>
      </c>
      <c r="AH60" s="22">
        <f>SUMIFS(' 押出ekstrusi'!$H$7:$H$1000,' 押出ekstrusi'!$A$7:$A$1000,'04'!AH$2,' 押出ekstrusi'!$D$7:$D$1000,'04'!$A$44,' 押出ekstrusi'!$X$7:$X$1000,'04'!$G$59)</f>
        <v>0</v>
      </c>
      <c r="AI60" s="22">
        <f>SUMIFS(' 押出ekstrusi'!$H$7:$H$1000,' 押出ekstrusi'!$A$7:$A$1000,'04'!AI$2,' 押出ekstrusi'!$D$7:$D$1000,'04'!$A$44,' 押出ekstrusi'!$X$7:$X$1000,'04'!$G$59)</f>
        <v>0</v>
      </c>
      <c r="AJ60" s="165"/>
      <c r="AK60" s="22">
        <f>SUMIFS(' 押出ekstrusi'!$H$7:$H$1000,' 押出ekstrusi'!$A$7:$A$1000,'04'!AK$2,' 押出ekstrusi'!$D$7:$D$1000,'04'!$A$44,' 押出ekstrusi'!$X$7:$X$1000,'04'!$G$59)</f>
        <v>0</v>
      </c>
      <c r="AL60" s="22">
        <f>SUMIFS(' 押出ekstrusi'!$H$7:$H$1000,' 押出ekstrusi'!$A$7:$A$1000,'04'!AL$2,' 押出ekstrusi'!$D$7:$D$1000,'04'!$A$44,' 押出ekstrusi'!$X$7:$X$1000,'04'!$G$59)</f>
        <v>0</v>
      </c>
      <c r="AM60" s="113"/>
      <c r="AN60" s="6"/>
      <c r="AO60" s="6"/>
      <c r="AP60" s="6"/>
      <c r="AQ60" s="6"/>
      <c r="AR60" s="6"/>
      <c r="AS60" s="6"/>
      <c r="AT60" s="7"/>
      <c r="AU60" s="7"/>
      <c r="AV60" s="7"/>
      <c r="AW60" s="7"/>
    </row>
    <row r="61" spans="1:49">
      <c r="A61" s="244"/>
      <c r="B61" s="236"/>
      <c r="C61" s="203"/>
      <c r="D61" s="219"/>
      <c r="E61" s="79"/>
      <c r="F61" s="203"/>
      <c r="G61" s="27"/>
      <c r="H61" s="26" t="s">
        <v>34</v>
      </c>
      <c r="I61" s="40">
        <f>I60-I59</f>
        <v>-15299.999999999998</v>
      </c>
      <c r="J61" s="40">
        <f>I61+(J60-J59)</f>
        <v>-30599.999999999996</v>
      </c>
      <c r="K61" s="40">
        <f t="shared" ref="K61:M61" si="82">J61+(K60-K59)</f>
        <v>-45899.999999999993</v>
      </c>
      <c r="L61" s="40">
        <f t="shared" si="82"/>
        <v>-61199.999999999993</v>
      </c>
      <c r="M61" s="40">
        <f t="shared" si="82"/>
        <v>-76499.999999999985</v>
      </c>
      <c r="N61" s="143">
        <f>M61+(N60-N59)</f>
        <v>-76499.999999999985</v>
      </c>
      <c r="O61" s="166"/>
      <c r="P61" s="166"/>
      <c r="Q61" s="166"/>
      <c r="R61" s="166"/>
      <c r="S61" s="166"/>
      <c r="T61" s="166"/>
      <c r="U61" s="166"/>
      <c r="V61" s="166"/>
      <c r="W61" s="40">
        <f>N61+(W60-W59)</f>
        <v>-91799.999999999985</v>
      </c>
      <c r="X61" s="40">
        <f>W61+(X60-X59)</f>
        <v>-107099.99999999999</v>
      </c>
      <c r="Y61" s="40">
        <f t="shared" ref="Y61:AA61" si="83">X61+(Y60-Y59)</f>
        <v>-122399.99999999999</v>
      </c>
      <c r="Z61" s="40">
        <f t="shared" si="83"/>
        <v>-137699.99999999997</v>
      </c>
      <c r="AA61" s="40">
        <f t="shared" si="83"/>
        <v>-152999.99999999997</v>
      </c>
      <c r="AB61" s="143">
        <f>AA61+(AB60-AB59)</f>
        <v>-152999.99999999997</v>
      </c>
      <c r="AC61" s="166"/>
      <c r="AD61" s="40">
        <f>AB61+(AD60-AD59)</f>
        <v>-168299.99999999997</v>
      </c>
      <c r="AE61" s="40">
        <f>AD61+(AE60-AE59)</f>
        <v>-183599.99999999997</v>
      </c>
      <c r="AF61" s="40">
        <f t="shared" ref="AF61:AH61" si="84">AE61+(AF60-AF59)</f>
        <v>-198899.99999999997</v>
      </c>
      <c r="AG61" s="40">
        <f t="shared" si="84"/>
        <v>-214199.99999999997</v>
      </c>
      <c r="AH61" s="40">
        <f t="shared" si="84"/>
        <v>-229499.99999999997</v>
      </c>
      <c r="AI61" s="143">
        <f>AH61+(AI60-AI59)</f>
        <v>-229499.99999999997</v>
      </c>
      <c r="AJ61" s="166"/>
      <c r="AK61" s="40">
        <f>AI61+(AK60-AK59)</f>
        <v>-244799.99999999997</v>
      </c>
      <c r="AL61" s="40">
        <f>AK61+(AL60-AL59)</f>
        <v>-260099.99999999997</v>
      </c>
      <c r="AM61" s="40"/>
      <c r="AN61" s="6"/>
      <c r="AO61" s="6"/>
      <c r="AP61" s="6"/>
      <c r="AQ61" s="6"/>
      <c r="AR61" s="6"/>
      <c r="AS61" s="6"/>
      <c r="AT61" s="7"/>
      <c r="AU61" s="7"/>
      <c r="AV61" s="7"/>
      <c r="AW61" s="7"/>
    </row>
    <row r="62" spans="1:49">
      <c r="A62" s="244"/>
      <c r="B62" s="236"/>
      <c r="C62" s="203"/>
      <c r="D62" s="219"/>
      <c r="E62" s="79"/>
      <c r="F62" s="203"/>
      <c r="G62" s="72" t="s">
        <v>108</v>
      </c>
      <c r="H62" s="23" t="s">
        <v>43</v>
      </c>
      <c r="I62" s="71">
        <f>$K$70*$D$38/2</f>
        <v>15299.999999999998</v>
      </c>
      <c r="J62" s="71">
        <f t="shared" ref="J62:K62" si="85">$K$70*$D$38/2</f>
        <v>15299.999999999998</v>
      </c>
      <c r="K62" s="71">
        <f t="shared" si="85"/>
        <v>15299.999999999998</v>
      </c>
      <c r="L62" s="71">
        <f>$K$70*$D$38/2</f>
        <v>15299.999999999998</v>
      </c>
      <c r="M62" s="71">
        <f>$K$70*$D$38/2</f>
        <v>15299.999999999998</v>
      </c>
      <c r="N62" s="21"/>
      <c r="O62" s="165"/>
      <c r="P62" s="165"/>
      <c r="Q62" s="165"/>
      <c r="R62" s="165"/>
      <c r="S62" s="165"/>
      <c r="T62" s="165"/>
      <c r="U62" s="165"/>
      <c r="V62" s="165"/>
      <c r="W62" s="71">
        <f>$K$70*$D$38/2</f>
        <v>15299.999999999998</v>
      </c>
      <c r="X62" s="71">
        <f t="shared" ref="X62:Y62" si="86">$K$70*$D$38/2</f>
        <v>15299.999999999998</v>
      </c>
      <c r="Y62" s="71">
        <f t="shared" si="86"/>
        <v>15299.999999999998</v>
      </c>
      <c r="Z62" s="71">
        <f>$K$70*$D$38/2</f>
        <v>15299.999999999998</v>
      </c>
      <c r="AA62" s="71">
        <f>$K$70*$D$38/2</f>
        <v>15299.999999999998</v>
      </c>
      <c r="AB62" s="21"/>
      <c r="AC62" s="165"/>
      <c r="AD62" s="71">
        <f>$K$70*$D$38/2</f>
        <v>15299.999999999998</v>
      </c>
      <c r="AE62" s="71">
        <f t="shared" ref="AE62:AF62" si="87">$K$70*$D$38/2</f>
        <v>15299.999999999998</v>
      </c>
      <c r="AF62" s="71">
        <f t="shared" si="87"/>
        <v>15299.999999999998</v>
      </c>
      <c r="AG62" s="71">
        <f>$K$70*$D$38/2</f>
        <v>15299.999999999998</v>
      </c>
      <c r="AH62" s="71">
        <f>$K$70*$D$38/2</f>
        <v>15299.999999999998</v>
      </c>
      <c r="AI62" s="21"/>
      <c r="AJ62" s="165"/>
      <c r="AK62" s="71">
        <f t="shared" ref="AK62:AM62" si="88">$K$70*$D$38/2</f>
        <v>15299.999999999998</v>
      </c>
      <c r="AL62" s="71">
        <f t="shared" si="88"/>
        <v>15299.999999999998</v>
      </c>
      <c r="AM62" s="71"/>
      <c r="AN62" s="6"/>
      <c r="AO62" s="6"/>
      <c r="AP62" s="6"/>
      <c r="AQ62" s="6"/>
      <c r="AR62" s="6"/>
      <c r="AS62" s="6"/>
      <c r="AT62" s="7"/>
      <c r="AU62" s="7"/>
      <c r="AV62" s="7"/>
      <c r="AW62" s="7"/>
    </row>
    <row r="63" spans="1:49">
      <c r="A63" s="244"/>
      <c r="B63" s="236"/>
      <c r="C63" s="203"/>
      <c r="D63" s="219"/>
      <c r="E63" s="79"/>
      <c r="F63" s="203"/>
      <c r="G63" s="72"/>
      <c r="H63" s="23" t="s">
        <v>7</v>
      </c>
      <c r="I63" s="71">
        <v>1</v>
      </c>
      <c r="J63" s="71">
        <v>1</v>
      </c>
      <c r="K63" s="71">
        <v>1</v>
      </c>
      <c r="L63" s="71">
        <v>1</v>
      </c>
      <c r="M63" s="71">
        <v>1</v>
      </c>
      <c r="N63" s="21"/>
      <c r="O63" s="165"/>
      <c r="P63" s="165"/>
      <c r="Q63" s="165"/>
      <c r="R63" s="165"/>
      <c r="S63" s="165"/>
      <c r="T63" s="165"/>
      <c r="U63" s="165"/>
      <c r="V63" s="165"/>
      <c r="W63" s="71">
        <v>1</v>
      </c>
      <c r="X63" s="71">
        <v>1</v>
      </c>
      <c r="Y63" s="71">
        <v>1</v>
      </c>
      <c r="Z63" s="71">
        <v>1</v>
      </c>
      <c r="AA63" s="71">
        <v>1</v>
      </c>
      <c r="AB63" s="21"/>
      <c r="AC63" s="165"/>
      <c r="AD63" s="71">
        <v>1</v>
      </c>
      <c r="AE63" s="71">
        <v>1</v>
      </c>
      <c r="AF63" s="71">
        <v>1</v>
      </c>
      <c r="AG63" s="71">
        <v>1</v>
      </c>
      <c r="AH63" s="71">
        <v>1</v>
      </c>
      <c r="AI63" s="21"/>
      <c r="AJ63" s="165"/>
      <c r="AK63" s="71">
        <v>1</v>
      </c>
      <c r="AL63" s="71">
        <v>1</v>
      </c>
      <c r="AM63" s="71"/>
      <c r="AN63" s="57"/>
      <c r="AO63" s="57"/>
      <c r="AP63" s="57"/>
      <c r="AQ63" s="7"/>
      <c r="AR63" s="8"/>
      <c r="AS63" s="8"/>
      <c r="AT63" s="7"/>
      <c r="AU63" s="7"/>
      <c r="AV63" s="7"/>
      <c r="AW63" s="7"/>
    </row>
    <row r="64" spans="1:49">
      <c r="A64" s="244"/>
      <c r="B64" s="236"/>
      <c r="C64" s="203"/>
      <c r="D64" s="219"/>
      <c r="E64" s="79"/>
      <c r="F64" s="203"/>
      <c r="G64" s="27"/>
      <c r="H64" s="26" t="s">
        <v>0</v>
      </c>
      <c r="I64" s="22">
        <f>SUMIFS(' 押出ekstrusi'!$H$7:$H$1000,' 押出ekstrusi'!$A$7:$A$1000,'04'!I$2,' 押出ekstrusi'!$D$7:$D$1000,'04'!$A$44,' 押出ekstrusi'!$X$7:$X$1000,'04'!$G$62)</f>
        <v>0</v>
      </c>
      <c r="J64" s="22">
        <f>SUMIFS(' 押出ekstrusi'!$H$7:$H$1000,' 押出ekstrusi'!$A$7:$A$1000,'04'!J$2,' 押出ekstrusi'!$D$7:$D$1000,'04'!$A$44,' 押出ekstrusi'!$X$7:$X$1000,'04'!$G$62)</f>
        <v>0</v>
      </c>
      <c r="K64" s="22">
        <f>SUMIFS(' 押出ekstrusi'!$H$7:$H$1000,' 押出ekstrusi'!$A$7:$A$1000,'04'!K$2,' 押出ekstrusi'!$D$7:$D$1000,'04'!$A$44,' 押出ekstrusi'!$X$7:$X$1000,'04'!$G$62)</f>
        <v>0</v>
      </c>
      <c r="L64" s="22">
        <f>SUMIFS(' 押出ekstrusi'!$H$7:$H$1000,' 押出ekstrusi'!$A$7:$A$1000,'04'!L$2,' 押出ekstrusi'!$D$7:$D$1000,'04'!$A$44,' 押出ekstrusi'!$X$7:$X$1000,'04'!$G$62)</f>
        <v>0</v>
      </c>
      <c r="M64" s="22">
        <f>SUMIFS(' 押出ekstrusi'!$H$7:$H$1000,' 押出ekstrusi'!$A$7:$A$1000,'04'!M$2,' 押出ekstrusi'!$D$7:$D$1000,'04'!$A$44,' 押出ekstrusi'!$X$7:$X$1000,'04'!$G$62)</f>
        <v>0</v>
      </c>
      <c r="N64" s="22">
        <f>SUMIFS(' 押出ekstrusi'!$H$7:$H$1000,' 押出ekstrusi'!$A$7:$A$1000,'04'!N$2,' 押出ekstrusi'!$D$7:$D$1000,'04'!$A$44,' 押出ekstrusi'!$X$7:$X$1000,'04'!$G$62)</f>
        <v>0</v>
      </c>
      <c r="O64" s="165"/>
      <c r="P64" s="165"/>
      <c r="Q64" s="165"/>
      <c r="R64" s="165"/>
      <c r="S64" s="165"/>
      <c r="T64" s="165"/>
      <c r="U64" s="165"/>
      <c r="V64" s="165"/>
      <c r="W64" s="22">
        <f>SUMIFS(' 押出ekstrusi'!$H$7:$H$1000,' 押出ekstrusi'!$A$7:$A$1000,'04'!W$2,' 押出ekstrusi'!$D$7:$D$1000,'04'!$A$44,' 押出ekstrusi'!$X$7:$X$1000,'04'!$G$62)</f>
        <v>0</v>
      </c>
      <c r="X64" s="22">
        <f>SUMIFS(' 押出ekstrusi'!$H$7:$H$1000,' 押出ekstrusi'!$A$7:$A$1000,'04'!X$2,' 押出ekstrusi'!$D$7:$D$1000,'04'!$A$44,' 押出ekstrusi'!$X$7:$X$1000,'04'!$G$62)</f>
        <v>0</v>
      </c>
      <c r="Y64" s="22">
        <f>SUMIFS(' 押出ekstrusi'!$H$7:$H$1000,' 押出ekstrusi'!$A$7:$A$1000,'04'!Y$2,' 押出ekstrusi'!$D$7:$D$1000,'04'!$A$44,' 押出ekstrusi'!$X$7:$X$1000,'04'!$G$62)</f>
        <v>0</v>
      </c>
      <c r="Z64" s="22">
        <f>SUMIFS(' 押出ekstrusi'!$H$7:$H$1000,' 押出ekstrusi'!$A$7:$A$1000,'04'!Z$2,' 押出ekstrusi'!$D$7:$D$1000,'04'!$A$44,' 押出ekstrusi'!$X$7:$X$1000,'04'!$G$62)</f>
        <v>0</v>
      </c>
      <c r="AA64" s="22">
        <f>SUMIFS(' 押出ekstrusi'!$H$7:$H$1000,' 押出ekstrusi'!$A$7:$A$1000,'04'!AA$2,' 押出ekstrusi'!$D$7:$D$1000,'04'!$A$44,' 押出ekstrusi'!$X$7:$X$1000,'04'!$G$62)</f>
        <v>0</v>
      </c>
      <c r="AB64" s="22">
        <f>SUMIFS(' 押出ekstrusi'!$H$7:$H$1000,' 押出ekstrusi'!$A$7:$A$1000,'04'!AB$2,' 押出ekstrusi'!$D$7:$D$1000,'04'!$A$44,' 押出ekstrusi'!$X$7:$X$1000,'04'!$G$62)</f>
        <v>0</v>
      </c>
      <c r="AC64" s="165"/>
      <c r="AD64" s="22">
        <f>SUMIFS(' 押出ekstrusi'!$H$7:$H$1000,' 押出ekstrusi'!$A$7:$A$1000,'04'!AD$2,' 押出ekstrusi'!$D$7:$D$1000,'04'!$A$44,' 押出ekstrusi'!$X$7:$X$1000,'04'!$G$62)</f>
        <v>0</v>
      </c>
      <c r="AE64" s="22">
        <f>SUMIFS(' 押出ekstrusi'!$H$7:$H$1000,' 押出ekstrusi'!$A$7:$A$1000,'04'!AE$2,' 押出ekstrusi'!$D$7:$D$1000,'04'!$A$44,' 押出ekstrusi'!$X$7:$X$1000,'04'!$G$62)</f>
        <v>0</v>
      </c>
      <c r="AF64" s="22">
        <f>SUMIFS(' 押出ekstrusi'!$H$7:$H$1000,' 押出ekstrusi'!$A$7:$A$1000,'04'!AF$2,' 押出ekstrusi'!$D$7:$D$1000,'04'!$A$44,' 押出ekstrusi'!$X$7:$X$1000,'04'!$G$62)</f>
        <v>0</v>
      </c>
      <c r="AG64" s="22">
        <f>SUMIFS(' 押出ekstrusi'!$H$7:$H$1000,' 押出ekstrusi'!$A$7:$A$1000,'04'!AG$2,' 押出ekstrusi'!$D$7:$D$1000,'04'!$A$44,' 押出ekstrusi'!$X$7:$X$1000,'04'!$G$62)</f>
        <v>0</v>
      </c>
      <c r="AH64" s="22">
        <f>SUMIFS(' 押出ekstrusi'!$H$7:$H$1000,' 押出ekstrusi'!$A$7:$A$1000,'04'!AH$2,' 押出ekstrusi'!$D$7:$D$1000,'04'!$A$44,' 押出ekstrusi'!$X$7:$X$1000,'04'!$G$62)</f>
        <v>0</v>
      </c>
      <c r="AI64" s="22">
        <f>SUMIFS(' 押出ekstrusi'!$H$7:$H$1000,' 押出ekstrusi'!$A$7:$A$1000,'04'!AI$2,' 押出ekstrusi'!$D$7:$D$1000,'04'!$A$44,' 押出ekstrusi'!$X$7:$X$1000,'04'!$G$62)</f>
        <v>0</v>
      </c>
      <c r="AJ64" s="165"/>
      <c r="AK64" s="22">
        <f>SUMIFS(' 押出ekstrusi'!$H$7:$H$1000,' 押出ekstrusi'!$A$7:$A$1000,'04'!AK$2,' 押出ekstrusi'!$D$7:$D$1000,'04'!$A$44,' 押出ekstrusi'!$X$7:$X$1000,'04'!$G$62)</f>
        <v>0</v>
      </c>
      <c r="AL64" s="22">
        <f>SUMIFS(' 押出ekstrusi'!$H$7:$H$1000,' 押出ekstrusi'!$A$7:$A$1000,'04'!AL$2,' 押出ekstrusi'!$D$7:$D$1000,'04'!$A$44,' 押出ekstrusi'!$X$7:$X$1000,'04'!$G$62)</f>
        <v>0</v>
      </c>
      <c r="AM64" s="113"/>
      <c r="AN64" s="57"/>
      <c r="AO64" s="57"/>
      <c r="AP64" s="57"/>
      <c r="AQ64" s="7"/>
      <c r="AR64" s="8"/>
      <c r="AS64" s="8"/>
      <c r="AT64" s="7"/>
      <c r="AU64" s="7"/>
      <c r="AV64" s="7"/>
      <c r="AW64" s="7"/>
    </row>
    <row r="65" spans="1:49">
      <c r="A65" s="244"/>
      <c r="B65" s="236"/>
      <c r="C65" s="203"/>
      <c r="D65" s="219"/>
      <c r="E65" s="79"/>
      <c r="F65" s="203"/>
      <c r="G65" s="27"/>
      <c r="H65" s="26" t="s">
        <v>34</v>
      </c>
      <c r="I65" s="40">
        <f>I64-I62</f>
        <v>-15299.999999999998</v>
      </c>
      <c r="J65" s="40">
        <f>I65+(J64-J62)</f>
        <v>-30599.999999999996</v>
      </c>
      <c r="K65" s="40">
        <f t="shared" ref="K65:M65" si="89">J65+(K64-K62)</f>
        <v>-45899.999999999993</v>
      </c>
      <c r="L65" s="40">
        <f t="shared" si="89"/>
        <v>-61199.999999999993</v>
      </c>
      <c r="M65" s="40">
        <f t="shared" si="89"/>
        <v>-76499.999999999985</v>
      </c>
      <c r="N65" s="143">
        <f>M65+(N64-N62)</f>
        <v>-76499.999999999985</v>
      </c>
      <c r="O65" s="166"/>
      <c r="P65" s="166"/>
      <c r="Q65" s="166"/>
      <c r="R65" s="166"/>
      <c r="S65" s="166"/>
      <c r="T65" s="166"/>
      <c r="U65" s="166"/>
      <c r="V65" s="166"/>
      <c r="W65" s="40">
        <f>N65+(W64-W62)</f>
        <v>-91799.999999999985</v>
      </c>
      <c r="X65" s="40">
        <f>W65+(X64-X62)</f>
        <v>-107099.99999999999</v>
      </c>
      <c r="Y65" s="40">
        <f t="shared" ref="Y65:AA65" si="90">X65+(Y64-Y62)</f>
        <v>-122399.99999999999</v>
      </c>
      <c r="Z65" s="40">
        <f t="shared" si="90"/>
        <v>-137699.99999999997</v>
      </c>
      <c r="AA65" s="40">
        <f t="shared" si="90"/>
        <v>-152999.99999999997</v>
      </c>
      <c r="AB65" s="143">
        <f>AA65+(AB64-AB62)</f>
        <v>-152999.99999999997</v>
      </c>
      <c r="AC65" s="166"/>
      <c r="AD65" s="40">
        <f>AB65+(AD64-AD62)</f>
        <v>-168299.99999999997</v>
      </c>
      <c r="AE65" s="40">
        <f>AD65+(AE64-AE62)</f>
        <v>-183599.99999999997</v>
      </c>
      <c r="AF65" s="40">
        <f t="shared" ref="AF65:AH65" si="91">AE65+(AF64-AF62)</f>
        <v>-198899.99999999997</v>
      </c>
      <c r="AG65" s="40">
        <f t="shared" si="91"/>
        <v>-214199.99999999997</v>
      </c>
      <c r="AH65" s="40">
        <f t="shared" si="91"/>
        <v>-229499.99999999997</v>
      </c>
      <c r="AI65" s="143">
        <f>AH65+(AI64-AI62)</f>
        <v>-229499.99999999997</v>
      </c>
      <c r="AJ65" s="166"/>
      <c r="AK65" s="40">
        <f>AI65+(AK64-AK62)</f>
        <v>-244799.99999999997</v>
      </c>
      <c r="AL65" s="40">
        <f t="shared" ref="AL65:AM65" si="92">AK65+(AL64-AL62)</f>
        <v>-260099.99999999997</v>
      </c>
      <c r="AM65" s="40"/>
      <c r="AN65" s="57"/>
      <c r="AO65" s="57"/>
      <c r="AP65" s="57"/>
      <c r="AQ65" s="7"/>
      <c r="AR65" s="8"/>
      <c r="AS65" s="8"/>
      <c r="AT65" s="7"/>
      <c r="AU65" s="7"/>
      <c r="AV65" s="7"/>
      <c r="AW65" s="7"/>
    </row>
    <row r="66" spans="1:49">
      <c r="A66" s="244"/>
      <c r="B66" s="236"/>
      <c r="C66" s="203"/>
      <c r="D66" s="219"/>
      <c r="E66" s="79"/>
      <c r="F66" s="203"/>
      <c r="G66" s="72"/>
      <c r="H66" s="23" t="s">
        <v>96</v>
      </c>
      <c r="I66" s="71">
        <f>$K$70*$D$38/2</f>
        <v>15299.999999999998</v>
      </c>
      <c r="J66" s="71">
        <f>$K$70*$D$38/2</f>
        <v>15299.999999999998</v>
      </c>
      <c r="K66" s="71">
        <f>$K$70*$D$38/2</f>
        <v>15299.999999999998</v>
      </c>
      <c r="L66" s="71">
        <f>$K$70*$D$38/2</f>
        <v>15299.999999999998</v>
      </c>
      <c r="M66" s="71">
        <f>$K$70*$D$38/2</f>
        <v>15299.999999999998</v>
      </c>
      <c r="N66" s="21"/>
      <c r="O66" s="165"/>
      <c r="P66" s="165"/>
      <c r="Q66" s="165"/>
      <c r="R66" s="165"/>
      <c r="S66" s="165"/>
      <c r="T66" s="165"/>
      <c r="U66" s="165"/>
      <c r="V66" s="165"/>
      <c r="W66" s="71">
        <f>$K$70*$D$38/2</f>
        <v>15299.999999999998</v>
      </c>
      <c r="X66" s="71">
        <f t="shared" ref="X66:Y66" si="93">$K$70*$D$38/2</f>
        <v>15299.999999999998</v>
      </c>
      <c r="Y66" s="71">
        <f t="shared" si="93"/>
        <v>15299.999999999998</v>
      </c>
      <c r="Z66" s="71">
        <f>$K$70*$D$38/2</f>
        <v>15299.999999999998</v>
      </c>
      <c r="AA66" s="71">
        <f>$K$70*$D$38/2</f>
        <v>15299.999999999998</v>
      </c>
      <c r="AB66" s="21"/>
      <c r="AC66" s="165"/>
      <c r="AD66" s="71">
        <f>$K$70*$D$38/2</f>
        <v>15299.999999999998</v>
      </c>
      <c r="AE66" s="71">
        <f t="shared" ref="AE66:AF66" si="94">$K$70*$D$38/2</f>
        <v>15299.999999999998</v>
      </c>
      <c r="AF66" s="71">
        <f t="shared" si="94"/>
        <v>15299.999999999998</v>
      </c>
      <c r="AG66" s="71">
        <f>$K$70*$D$38/2</f>
        <v>15299.999999999998</v>
      </c>
      <c r="AH66" s="71">
        <f>$K$70*$D$38/2</f>
        <v>15299.999999999998</v>
      </c>
      <c r="AI66" s="21"/>
      <c r="AJ66" s="165"/>
      <c r="AK66" s="71">
        <f t="shared" ref="AK66:AM66" si="95">$K$70*$D$38/2</f>
        <v>15299.999999999998</v>
      </c>
      <c r="AL66" s="71">
        <f t="shared" si="95"/>
        <v>15299.999999999998</v>
      </c>
      <c r="AM66" s="71"/>
      <c r="AN66" s="57"/>
      <c r="AO66" s="57"/>
      <c r="AP66" s="57"/>
      <c r="AQ66" s="7"/>
      <c r="AR66" s="8"/>
      <c r="AS66" s="8"/>
      <c r="AT66" s="7"/>
      <c r="AU66" s="7"/>
      <c r="AV66" s="7"/>
      <c r="AW66" s="7"/>
    </row>
    <row r="67" spans="1:49">
      <c r="A67" s="244"/>
      <c r="B67" s="236"/>
      <c r="C67" s="203"/>
      <c r="D67" s="219"/>
      <c r="E67" s="79"/>
      <c r="F67" s="203"/>
      <c r="G67" s="72"/>
      <c r="H67" s="23" t="s">
        <v>5</v>
      </c>
      <c r="I67" s="71">
        <v>1</v>
      </c>
      <c r="J67" s="71">
        <v>1</v>
      </c>
      <c r="K67" s="71">
        <v>1</v>
      </c>
      <c r="L67" s="71">
        <v>1</v>
      </c>
      <c r="M67" s="71">
        <v>1</v>
      </c>
      <c r="N67" s="21"/>
      <c r="O67" s="165"/>
      <c r="P67" s="165"/>
      <c r="Q67" s="165"/>
      <c r="R67" s="165"/>
      <c r="S67" s="165"/>
      <c r="T67" s="165"/>
      <c r="U67" s="165"/>
      <c r="V67" s="165"/>
      <c r="W67" s="71">
        <v>1</v>
      </c>
      <c r="X67" s="71">
        <v>1</v>
      </c>
      <c r="Y67" s="71">
        <v>1</v>
      </c>
      <c r="Z67" s="71">
        <v>1</v>
      </c>
      <c r="AA67" s="71">
        <v>1</v>
      </c>
      <c r="AB67" s="21"/>
      <c r="AC67" s="165"/>
      <c r="AD67" s="71">
        <v>1</v>
      </c>
      <c r="AE67" s="71">
        <v>1</v>
      </c>
      <c r="AF67" s="71">
        <v>1</v>
      </c>
      <c r="AG67" s="71">
        <v>1</v>
      </c>
      <c r="AH67" s="71">
        <v>1</v>
      </c>
      <c r="AI67" s="21"/>
      <c r="AJ67" s="165"/>
      <c r="AK67" s="71">
        <v>1</v>
      </c>
      <c r="AL67" s="71">
        <v>1</v>
      </c>
      <c r="AM67" s="71"/>
      <c r="AN67" s="57"/>
      <c r="AO67" s="57"/>
      <c r="AP67" s="57"/>
      <c r="AQ67" s="7"/>
      <c r="AR67" s="8"/>
      <c r="AS67" s="8"/>
      <c r="AT67" s="7"/>
      <c r="AU67" s="7"/>
      <c r="AV67" s="7"/>
      <c r="AW67" s="7"/>
    </row>
    <row r="68" spans="1:49">
      <c r="A68" s="244"/>
      <c r="B68" s="236"/>
      <c r="C68" s="203"/>
      <c r="D68" s="219"/>
      <c r="E68" s="79"/>
      <c r="F68" s="203"/>
      <c r="G68" s="27"/>
      <c r="H68" s="26" t="s">
        <v>0</v>
      </c>
      <c r="I68" s="22">
        <f>SUMIFS('總絞Twisting core'!$K$7:$K$1000,'總絞Twisting core'!$A$7:$A$1000,'04'!I$2,'總絞Twisting core'!$D$7:$D$1000,'04'!$A$44)</f>
        <v>0</v>
      </c>
      <c r="J68" s="22">
        <f>SUMIFS('總絞Twisting core'!$K$7:$K$1000,'總絞Twisting core'!$A$7:$A$1000,'04'!J$2,'總絞Twisting core'!$D$7:$D$1000,'04'!$A$44)</f>
        <v>5097</v>
      </c>
      <c r="K68" s="22">
        <f>SUMIFS('總絞Twisting core'!$K$7:$K$1000,'總絞Twisting core'!$A$7:$A$1000,'04'!K$2,'總絞Twisting core'!$D$7:$D$1000,'04'!$A$44)</f>
        <v>0</v>
      </c>
      <c r="L68" s="22">
        <f>SUMIFS('總絞Twisting core'!$K$7:$K$1000,'總絞Twisting core'!$A$7:$A$1000,'04'!L$2,'總絞Twisting core'!$D$7:$D$1000,'04'!$A$44)</f>
        <v>0</v>
      </c>
      <c r="M68" s="22">
        <f>SUMIFS('總絞Twisting core'!$K$7:$K$1000,'總絞Twisting core'!$A$7:$A$1000,'04'!M$2,'總絞Twisting core'!$D$7:$D$1000,'04'!$A$44)</f>
        <v>0</v>
      </c>
      <c r="N68" s="22">
        <f>SUMIFS('總絞Twisting core'!$K$7:$K$1000,'總絞Twisting core'!$A$7:$A$1000,'04'!N$2,'總絞Twisting core'!$D$7:$D$1000,'04'!$A$44)</f>
        <v>0</v>
      </c>
      <c r="O68" s="165"/>
      <c r="P68" s="165"/>
      <c r="Q68" s="165"/>
      <c r="R68" s="165"/>
      <c r="S68" s="165"/>
      <c r="T68" s="165"/>
      <c r="U68" s="165"/>
      <c r="V68" s="165"/>
      <c r="W68" s="22">
        <f>SUMIFS('總絞Twisting core'!$K$7:$K$1000,'總絞Twisting core'!$A$7:$A$1000,'04'!W$2,'總絞Twisting core'!$D$7:$D$1000,'04'!$A$44)</f>
        <v>0</v>
      </c>
      <c r="X68" s="22">
        <f>SUMIFS('總絞Twisting core'!$K$7:$K$1000,'總絞Twisting core'!$A$7:$A$1000,'04'!X$2,'總絞Twisting core'!$D$7:$D$1000,'04'!$A$44)</f>
        <v>0</v>
      </c>
      <c r="Y68" s="22">
        <f>SUMIFS('總絞Twisting core'!$K$7:$K$1000,'總絞Twisting core'!$A$7:$A$1000,'04'!Y$2,'總絞Twisting core'!$D$7:$D$1000,'04'!$A$44)</f>
        <v>0</v>
      </c>
      <c r="Z68" s="22">
        <f>SUMIFS('總絞Twisting core'!$K$7:$K$1000,'總絞Twisting core'!$A$7:$A$1000,'04'!Z$2,'總絞Twisting core'!$D$7:$D$1000,'04'!$A$44)</f>
        <v>0</v>
      </c>
      <c r="AA68" s="22">
        <f>SUMIFS('總絞Twisting core'!$K$7:$K$1000,'總絞Twisting core'!$A$7:$A$1000,'04'!AA$2,'總絞Twisting core'!$D$7:$D$1000,'04'!$A$44)</f>
        <v>0</v>
      </c>
      <c r="AB68" s="22">
        <f>SUMIFS('總絞Twisting core'!$K$7:$K$1000,'總絞Twisting core'!$A$7:$A$1000,'04'!AB$2,'總絞Twisting core'!$D$7:$D$1000,'04'!$A$44)</f>
        <v>0</v>
      </c>
      <c r="AC68" s="165"/>
      <c r="AD68" s="22">
        <f>SUMIFS('總絞Twisting core'!$K$7:$K$1000,'總絞Twisting core'!$A$7:$A$1000,'04'!AD$2,'總絞Twisting core'!$D$7:$D$1000,'04'!$A$44)</f>
        <v>0</v>
      </c>
      <c r="AE68" s="22">
        <f>SUMIFS('總絞Twisting core'!$K$7:$K$1000,'總絞Twisting core'!$A$7:$A$1000,'04'!AE$2,'總絞Twisting core'!$D$7:$D$1000,'04'!$A$44)</f>
        <v>0</v>
      </c>
      <c r="AF68" s="22">
        <f>SUMIFS('總絞Twisting core'!$K$7:$K$1000,'總絞Twisting core'!$A$7:$A$1000,'04'!AF$2,'總絞Twisting core'!$D$7:$D$1000,'04'!$A$44)</f>
        <v>0</v>
      </c>
      <c r="AG68" s="22">
        <f>SUMIFS('總絞Twisting core'!$K$7:$K$1000,'總絞Twisting core'!$A$7:$A$1000,'04'!AG$2,'總絞Twisting core'!$D$7:$D$1000,'04'!$A$44)</f>
        <v>0</v>
      </c>
      <c r="AH68" s="22">
        <f>SUMIFS('總絞Twisting core'!$K$7:$K$1000,'總絞Twisting core'!$A$7:$A$1000,'04'!AH$2,'總絞Twisting core'!$D$7:$D$1000,'04'!$A$44)</f>
        <v>0</v>
      </c>
      <c r="AI68" s="22">
        <f>SUMIFS('總絞Twisting core'!$K$7:$K$1000,'總絞Twisting core'!$A$7:$A$1000,'04'!AI$2,'總絞Twisting core'!$D$7:$D$1000,'04'!$A$44)</f>
        <v>0</v>
      </c>
      <c r="AJ68" s="165"/>
      <c r="AK68" s="22">
        <f>SUMIFS('總絞Twisting core'!$K$7:$K$1000,'總絞Twisting core'!$A$7:$A$1000,'04'!AK$2,'總絞Twisting core'!$D$7:$D$1000,'04'!$A$44)</f>
        <v>0</v>
      </c>
      <c r="AL68" s="22">
        <f>SUMIFS('總絞Twisting core'!$K$7:$K$1000,'總絞Twisting core'!$A$7:$A$1000,'04'!AL$2,'總絞Twisting core'!$D$7:$D$1000,'04'!$A$44)</f>
        <v>0</v>
      </c>
      <c r="AM68" s="113"/>
      <c r="AN68" s="57"/>
      <c r="AO68" s="57"/>
      <c r="AP68" s="57"/>
      <c r="AQ68" s="7"/>
      <c r="AR68" s="8"/>
      <c r="AS68" s="8"/>
      <c r="AT68" s="7"/>
      <c r="AU68" s="7"/>
      <c r="AV68" s="7"/>
      <c r="AW68" s="7"/>
    </row>
    <row r="69" spans="1:49">
      <c r="A69" s="244"/>
      <c r="B69" s="236"/>
      <c r="C69" s="203"/>
      <c r="D69" s="219"/>
      <c r="E69" s="79"/>
      <c r="F69" s="203"/>
      <c r="G69" s="27"/>
      <c r="H69" s="26" t="s">
        <v>34</v>
      </c>
      <c r="I69" s="40">
        <f>I68-I66</f>
        <v>-15299.999999999998</v>
      </c>
      <c r="J69" s="40">
        <f>I69+(J68-J66)</f>
        <v>-25502.999999999996</v>
      </c>
      <c r="K69" s="40">
        <f t="shared" ref="K69:M69" si="96">J69+(K68-K66)</f>
        <v>-40802.999999999993</v>
      </c>
      <c r="L69" s="40">
        <f t="shared" si="96"/>
        <v>-56102.999999999993</v>
      </c>
      <c r="M69" s="40">
        <f t="shared" si="96"/>
        <v>-71402.999999999985</v>
      </c>
      <c r="N69" s="143">
        <f>M69+(N68-N66)</f>
        <v>-71402.999999999985</v>
      </c>
      <c r="O69" s="166"/>
      <c r="P69" s="166"/>
      <c r="Q69" s="166"/>
      <c r="R69" s="166"/>
      <c r="S69" s="166"/>
      <c r="T69" s="166"/>
      <c r="U69" s="166"/>
      <c r="V69" s="166"/>
      <c r="W69" s="40">
        <f>N69+(W68-W66)</f>
        <v>-86702.999999999985</v>
      </c>
      <c r="X69" s="40">
        <f>W69+(X68-X66)</f>
        <v>-102002.99999999999</v>
      </c>
      <c r="Y69" s="40">
        <f t="shared" ref="Y69:AA69" si="97">X69+(Y68-Y66)</f>
        <v>-117302.99999999999</v>
      </c>
      <c r="Z69" s="40">
        <f t="shared" si="97"/>
        <v>-132602.99999999997</v>
      </c>
      <c r="AA69" s="40">
        <f t="shared" si="97"/>
        <v>-147902.99999999997</v>
      </c>
      <c r="AB69" s="143">
        <f>AA69+(AB68-AB66)</f>
        <v>-147902.99999999997</v>
      </c>
      <c r="AC69" s="166"/>
      <c r="AD69" s="40">
        <f>AB69+(AD68-AD66)</f>
        <v>-163202.99999999997</v>
      </c>
      <c r="AE69" s="40">
        <f>AD69+(AE68-AE66)</f>
        <v>-178502.99999999997</v>
      </c>
      <c r="AF69" s="40">
        <f t="shared" ref="AF69:AH69" si="98">AE69+(AF68-AF66)</f>
        <v>-193802.99999999997</v>
      </c>
      <c r="AG69" s="40">
        <f t="shared" si="98"/>
        <v>-209102.99999999997</v>
      </c>
      <c r="AH69" s="40">
        <f t="shared" si="98"/>
        <v>-224402.99999999997</v>
      </c>
      <c r="AI69" s="143">
        <f>AH69+(AI68-AI66)</f>
        <v>-224402.99999999997</v>
      </c>
      <c r="AJ69" s="166"/>
      <c r="AK69" s="40">
        <f>AI69+(AK68-AK66)</f>
        <v>-239702.99999999997</v>
      </c>
      <c r="AL69" s="40">
        <f t="shared" ref="AL69:AM69" si="99">AK69+(AL68-AL66)</f>
        <v>-255002.99999999997</v>
      </c>
      <c r="AM69" s="40"/>
      <c r="AN69" s="57"/>
      <c r="AO69" s="57"/>
      <c r="AP69" s="57"/>
      <c r="AQ69" s="7"/>
      <c r="AR69" s="8"/>
      <c r="AS69" s="8"/>
      <c r="AT69" s="7"/>
      <c r="AU69" s="7"/>
      <c r="AV69" s="7"/>
      <c r="AW69" s="7"/>
    </row>
    <row r="70" spans="1:49">
      <c r="A70" s="244"/>
      <c r="B70" s="236"/>
      <c r="C70" s="203"/>
      <c r="D70" s="219"/>
      <c r="E70" s="79"/>
      <c r="F70" s="203"/>
      <c r="G70" s="72"/>
      <c r="H70" s="23" t="s">
        <v>2</v>
      </c>
      <c r="I70" s="71"/>
      <c r="J70" s="71"/>
      <c r="K70" s="71">
        <f>($C$38*2)</f>
        <v>24000</v>
      </c>
      <c r="L70" s="71"/>
      <c r="M70" s="71">
        <f>($C$38*2)</f>
        <v>24000</v>
      </c>
      <c r="N70" s="21"/>
      <c r="O70" s="165"/>
      <c r="P70" s="165"/>
      <c r="Q70" s="165"/>
      <c r="R70" s="165"/>
      <c r="S70" s="165"/>
      <c r="T70" s="165"/>
      <c r="U70" s="165"/>
      <c r="V70" s="165"/>
      <c r="W70" s="71">
        <f>($C$38*2)</f>
        <v>24000</v>
      </c>
      <c r="X70" s="71"/>
      <c r="Y70" s="71">
        <f>($C$38*2)</f>
        <v>24000</v>
      </c>
      <c r="Z70" s="71"/>
      <c r="AA70" s="71">
        <f>($C$38*2)</f>
        <v>24000</v>
      </c>
      <c r="AB70" s="21"/>
      <c r="AC70" s="165"/>
      <c r="AD70" s="71"/>
      <c r="AE70" s="71">
        <f>($C$38*2)</f>
        <v>24000</v>
      </c>
      <c r="AF70" s="71"/>
      <c r="AG70" s="71">
        <f>($C$38*2)</f>
        <v>24000</v>
      </c>
      <c r="AH70" s="71"/>
      <c r="AI70" s="21"/>
      <c r="AJ70" s="165"/>
      <c r="AK70" s="71">
        <f>($C$38*2)</f>
        <v>24000</v>
      </c>
      <c r="AL70" s="71"/>
      <c r="AM70" s="71"/>
      <c r="AN70" s="57"/>
      <c r="AO70" s="57"/>
      <c r="AP70" s="57"/>
      <c r="AQ70" s="7"/>
      <c r="AR70" s="8"/>
      <c r="AS70" s="8"/>
      <c r="AT70" s="7"/>
      <c r="AU70" s="7"/>
      <c r="AV70" s="7"/>
      <c r="AW70" s="7"/>
    </row>
    <row r="71" spans="1:49">
      <c r="A71" s="244"/>
      <c r="B71" s="236"/>
      <c r="C71" s="203"/>
      <c r="D71" s="219"/>
      <c r="E71" s="79"/>
      <c r="F71" s="203"/>
      <c r="G71" s="72"/>
      <c r="H71" s="23" t="s">
        <v>1</v>
      </c>
      <c r="I71" s="71"/>
      <c r="J71" s="71"/>
      <c r="K71" s="41">
        <v>1</v>
      </c>
      <c r="L71" s="41"/>
      <c r="M71" s="41">
        <v>1</v>
      </c>
      <c r="N71" s="30"/>
      <c r="O71" s="165"/>
      <c r="P71" s="165"/>
      <c r="Q71" s="165"/>
      <c r="R71" s="165"/>
      <c r="S71" s="165"/>
      <c r="T71" s="165"/>
      <c r="U71" s="165"/>
      <c r="V71" s="165"/>
      <c r="W71" s="41">
        <v>1</v>
      </c>
      <c r="X71" s="71"/>
      <c r="Y71" s="41">
        <v>1</v>
      </c>
      <c r="Z71" s="71"/>
      <c r="AA71" s="41">
        <v>1</v>
      </c>
      <c r="AB71" s="30"/>
      <c r="AC71" s="178"/>
      <c r="AD71" s="41"/>
      <c r="AE71" s="41">
        <v>1</v>
      </c>
      <c r="AF71" s="41"/>
      <c r="AG71" s="41">
        <v>1</v>
      </c>
      <c r="AH71" s="71"/>
      <c r="AI71" s="30"/>
      <c r="AJ71" s="165"/>
      <c r="AK71" s="41">
        <v>1</v>
      </c>
      <c r="AL71" s="41"/>
      <c r="AM71" s="41"/>
      <c r="AN71" s="57"/>
      <c r="AO71" s="57"/>
      <c r="AP71" s="57"/>
      <c r="AQ71" s="7"/>
      <c r="AR71" s="8"/>
      <c r="AS71" s="8"/>
      <c r="AT71" s="7"/>
      <c r="AU71" s="7"/>
      <c r="AV71" s="7"/>
      <c r="AW71" s="7"/>
    </row>
    <row r="72" spans="1:49">
      <c r="A72" s="244"/>
      <c r="B72" s="236"/>
      <c r="C72" s="203"/>
      <c r="D72" s="219"/>
      <c r="E72" s="79"/>
      <c r="F72" s="203"/>
      <c r="G72" s="27"/>
      <c r="H72" s="26" t="s">
        <v>0</v>
      </c>
      <c r="I72" s="36"/>
      <c r="J72" s="36"/>
      <c r="K72" s="36"/>
      <c r="L72" s="77"/>
      <c r="M72" s="78"/>
      <c r="N72" s="147"/>
      <c r="O72" s="165"/>
      <c r="P72" s="165"/>
      <c r="Q72" s="165"/>
      <c r="R72" s="165"/>
      <c r="S72" s="165"/>
      <c r="T72" s="165"/>
      <c r="U72" s="165"/>
      <c r="V72" s="165"/>
      <c r="W72" s="77"/>
      <c r="X72" s="24"/>
      <c r="Y72" s="77"/>
      <c r="Z72" s="36"/>
      <c r="AA72" s="77"/>
      <c r="AB72" s="147"/>
      <c r="AC72" s="187"/>
      <c r="AD72" s="77"/>
      <c r="AE72" s="24"/>
      <c r="AF72" s="77"/>
      <c r="AG72" s="77"/>
      <c r="AH72" s="36"/>
      <c r="AI72" s="147"/>
      <c r="AJ72" s="167"/>
      <c r="AK72" s="122"/>
      <c r="AL72" s="22"/>
      <c r="AM72" s="113"/>
      <c r="AN72" s="57"/>
      <c r="AO72" s="57"/>
      <c r="AP72" s="57"/>
      <c r="AQ72" s="7"/>
      <c r="AR72" s="8"/>
      <c r="AS72" s="8"/>
      <c r="AT72" s="7"/>
      <c r="AU72" s="7"/>
      <c r="AV72" s="7"/>
      <c r="AW72" s="7"/>
    </row>
    <row r="73" spans="1:49" ht="15.75" thickBot="1">
      <c r="A73" s="245"/>
      <c r="B73" s="237"/>
      <c r="C73" s="204"/>
      <c r="D73" s="220"/>
      <c r="E73" s="76"/>
      <c r="F73" s="204"/>
      <c r="G73" s="65"/>
      <c r="H73" s="34" t="s">
        <v>34</v>
      </c>
      <c r="I73" s="18"/>
      <c r="J73" s="18"/>
      <c r="K73" s="20"/>
      <c r="L73" s="18"/>
      <c r="M73" s="18"/>
      <c r="N73" s="17"/>
      <c r="O73" s="171"/>
      <c r="P73" s="171"/>
      <c r="Q73" s="171"/>
      <c r="R73" s="171"/>
      <c r="S73" s="171"/>
      <c r="T73" s="171"/>
      <c r="U73" s="171"/>
      <c r="V73" s="171"/>
      <c r="W73" s="18"/>
      <c r="X73" s="18"/>
      <c r="Y73" s="18"/>
      <c r="Z73" s="18"/>
      <c r="AA73" s="18"/>
      <c r="AB73" s="17"/>
      <c r="AC73" s="171"/>
      <c r="AD73" s="18"/>
      <c r="AE73" s="18"/>
      <c r="AF73" s="18"/>
      <c r="AG73" s="18"/>
      <c r="AH73" s="18"/>
      <c r="AI73" s="17"/>
      <c r="AJ73" s="171"/>
      <c r="AK73" s="123"/>
      <c r="AL73" s="18"/>
      <c r="AM73" s="118"/>
      <c r="AN73" s="57"/>
      <c r="AO73" s="57"/>
      <c r="AP73" s="57"/>
      <c r="AQ73" s="7"/>
      <c r="AR73" s="8"/>
      <c r="AS73" s="8"/>
      <c r="AT73" s="7"/>
      <c r="AU73" s="7"/>
      <c r="AV73" s="7"/>
      <c r="AW73" s="7"/>
    </row>
    <row r="74" spans="1:49" ht="15" hidden="1" customHeight="1">
      <c r="A74" s="246" t="s">
        <v>107</v>
      </c>
      <c r="B74" s="238" t="s">
        <v>106</v>
      </c>
      <c r="C74" s="205">
        <v>2500</v>
      </c>
      <c r="D74" s="221">
        <v>1.59</v>
      </c>
      <c r="E74" s="195"/>
      <c r="F74" s="205" t="s">
        <v>105</v>
      </c>
      <c r="G74" s="33">
        <v>0.08</v>
      </c>
      <c r="H74" s="32" t="s">
        <v>31</v>
      </c>
      <c r="I74" s="75">
        <v>43.82</v>
      </c>
      <c r="J74" s="75"/>
      <c r="K74" s="75"/>
      <c r="L74" s="75">
        <v>43.82</v>
      </c>
      <c r="M74" s="75">
        <v>43.82</v>
      </c>
      <c r="N74" s="148">
        <v>43.82</v>
      </c>
      <c r="O74" s="169"/>
      <c r="P74" s="169"/>
      <c r="Q74" s="178"/>
      <c r="R74" s="178"/>
      <c r="S74" s="178"/>
      <c r="T74" s="169"/>
      <c r="U74" s="169"/>
      <c r="V74" s="169"/>
      <c r="W74" s="81">
        <v>43.82</v>
      </c>
      <c r="X74" s="75"/>
      <c r="Y74" s="75"/>
      <c r="Z74" s="75">
        <v>43.82</v>
      </c>
      <c r="AA74" s="75">
        <v>43.82</v>
      </c>
      <c r="AB74" s="148">
        <v>43.82</v>
      </c>
      <c r="AC74" s="172">
        <v>43.82</v>
      </c>
      <c r="AD74" s="75">
        <v>43.82</v>
      </c>
      <c r="AE74" s="75"/>
      <c r="AF74" s="75"/>
      <c r="AG74" s="75">
        <v>43.82</v>
      </c>
      <c r="AH74" s="75">
        <v>43.82</v>
      </c>
      <c r="AI74" s="148">
        <v>43.82</v>
      </c>
      <c r="AJ74" s="172">
        <v>43.82</v>
      </c>
      <c r="AK74" s="119"/>
      <c r="AL74" s="31"/>
      <c r="AM74" s="112"/>
      <c r="AN74" s="194"/>
      <c r="AO74" s="7"/>
      <c r="AP74" s="6"/>
      <c r="AQ74" s="6"/>
      <c r="AR74" s="6"/>
      <c r="AS74" s="6"/>
      <c r="AT74" s="7"/>
      <c r="AU74" s="7"/>
      <c r="AV74" s="7"/>
      <c r="AW74" s="7"/>
    </row>
    <row r="75" spans="1:49" ht="15" hidden="1" customHeight="1">
      <c r="A75" s="244"/>
      <c r="B75" s="236"/>
      <c r="C75" s="203"/>
      <c r="D75" s="222"/>
      <c r="E75" s="196"/>
      <c r="F75" s="203"/>
      <c r="G75" s="27"/>
      <c r="H75" s="23" t="s">
        <v>26</v>
      </c>
      <c r="I75" s="22">
        <v>0.5</v>
      </c>
      <c r="J75" s="22"/>
      <c r="K75" s="22"/>
      <c r="L75" s="22">
        <v>0.5</v>
      </c>
      <c r="M75" s="22">
        <v>0.5</v>
      </c>
      <c r="N75" s="21">
        <v>0.5</v>
      </c>
      <c r="O75" s="165"/>
      <c r="P75" s="165"/>
      <c r="Q75" s="165"/>
      <c r="R75" s="165"/>
      <c r="S75" s="165"/>
      <c r="T75" s="165"/>
      <c r="U75" s="165"/>
      <c r="V75" s="165"/>
      <c r="W75" s="22">
        <v>0.5</v>
      </c>
      <c r="X75" s="22"/>
      <c r="Y75" s="22"/>
      <c r="Z75" s="22">
        <v>0.5</v>
      </c>
      <c r="AA75" s="22">
        <v>0.5</v>
      </c>
      <c r="AB75" s="21">
        <v>0.5</v>
      </c>
      <c r="AC75" s="165">
        <v>0.5</v>
      </c>
      <c r="AD75" s="22">
        <v>0.5</v>
      </c>
      <c r="AE75" s="22"/>
      <c r="AF75" s="22"/>
      <c r="AG75" s="22">
        <v>0.5</v>
      </c>
      <c r="AH75" s="22">
        <v>0.5</v>
      </c>
      <c r="AI75" s="21">
        <v>0.5</v>
      </c>
      <c r="AJ75" s="165">
        <v>0.5</v>
      </c>
      <c r="AK75" s="115"/>
      <c r="AL75" s="22"/>
      <c r="AM75" s="113"/>
      <c r="AN75" s="194"/>
      <c r="AO75" s="7"/>
      <c r="AP75" s="6"/>
      <c r="AQ75" s="6"/>
      <c r="AR75" s="6"/>
      <c r="AS75" s="6"/>
      <c r="AT75" s="7"/>
      <c r="AU75" s="7"/>
      <c r="AV75" s="7"/>
      <c r="AW75" s="7"/>
    </row>
    <row r="76" spans="1:49" ht="15" hidden="1" customHeight="1">
      <c r="A76" s="244"/>
      <c r="B76" s="236"/>
      <c r="C76" s="203"/>
      <c r="D76" s="222"/>
      <c r="E76" s="196"/>
      <c r="F76" s="203"/>
      <c r="G76" s="27"/>
      <c r="H76" s="26" t="s">
        <v>0</v>
      </c>
      <c r="I76" s="36"/>
      <c r="J76" s="22"/>
      <c r="K76" s="22"/>
      <c r="L76" s="22"/>
      <c r="M76" s="22"/>
      <c r="N76" s="21"/>
      <c r="O76" s="165"/>
      <c r="P76" s="165"/>
      <c r="Q76" s="165"/>
      <c r="R76" s="165"/>
      <c r="S76" s="165"/>
      <c r="T76" s="165"/>
      <c r="U76" s="165"/>
      <c r="V76" s="165"/>
      <c r="W76" s="22"/>
      <c r="X76" s="22"/>
      <c r="Y76" s="22"/>
      <c r="Z76" s="22"/>
      <c r="AA76" s="22"/>
      <c r="AB76" s="21"/>
      <c r="AC76" s="165"/>
      <c r="AD76" s="22"/>
      <c r="AE76" s="22"/>
      <c r="AF76" s="22"/>
      <c r="AG76" s="22"/>
      <c r="AH76" s="22"/>
      <c r="AI76" s="21"/>
      <c r="AJ76" s="165"/>
      <c r="AK76" s="115"/>
      <c r="AL76" s="22"/>
      <c r="AM76" s="113"/>
      <c r="AN76" s="57"/>
      <c r="AO76" s="57"/>
      <c r="AP76" s="57"/>
      <c r="AQ76" s="7"/>
      <c r="AR76" s="8"/>
      <c r="AS76" s="8"/>
      <c r="AT76" s="7"/>
      <c r="AU76" s="7"/>
      <c r="AV76" s="7"/>
      <c r="AW76" s="7"/>
    </row>
    <row r="77" spans="1:49" ht="15" hidden="1" customHeight="1">
      <c r="A77" s="244"/>
      <c r="B77" s="236"/>
      <c r="C77" s="203"/>
      <c r="D77" s="222"/>
      <c r="E77" s="196"/>
      <c r="F77" s="203"/>
      <c r="G77" s="28" t="s">
        <v>104</v>
      </c>
      <c r="H77" s="29" t="s">
        <v>103</v>
      </c>
      <c r="I77" s="74">
        <v>43.82</v>
      </c>
      <c r="J77" s="74"/>
      <c r="K77" s="74"/>
      <c r="L77" s="74">
        <v>43.82</v>
      </c>
      <c r="M77" s="74">
        <v>43.82</v>
      </c>
      <c r="N77" s="146">
        <v>43.82</v>
      </c>
      <c r="O77" s="170"/>
      <c r="P77" s="170"/>
      <c r="Q77" s="165"/>
      <c r="R77" s="165"/>
      <c r="S77" s="165"/>
      <c r="T77" s="170"/>
      <c r="U77" s="170"/>
      <c r="V77" s="170"/>
      <c r="W77" s="74">
        <v>43.82</v>
      </c>
      <c r="X77" s="74"/>
      <c r="Y77" s="74"/>
      <c r="Z77" s="74">
        <v>43.82</v>
      </c>
      <c r="AA77" s="74">
        <v>43.82</v>
      </c>
      <c r="AB77" s="146">
        <v>43.82</v>
      </c>
      <c r="AC77" s="170">
        <v>43.82</v>
      </c>
      <c r="AD77" s="74">
        <v>43.82</v>
      </c>
      <c r="AE77" s="74"/>
      <c r="AF77" s="74"/>
      <c r="AG77" s="74">
        <v>43.82</v>
      </c>
      <c r="AH77" s="74">
        <v>43.82</v>
      </c>
      <c r="AI77" s="146">
        <v>43.82</v>
      </c>
      <c r="AJ77" s="170">
        <v>43.82</v>
      </c>
      <c r="AK77" s="120"/>
      <c r="AL77" s="22"/>
      <c r="AM77" s="113"/>
      <c r="AN77" s="57"/>
      <c r="AO77" s="57"/>
      <c r="AP77" s="57"/>
      <c r="AQ77" s="7"/>
      <c r="AR77" s="8"/>
      <c r="AS77" s="8"/>
      <c r="AT77" s="7"/>
      <c r="AU77" s="7"/>
      <c r="AV77" s="7"/>
      <c r="AW77" s="7"/>
    </row>
    <row r="78" spans="1:49" ht="15" hidden="1" customHeight="1">
      <c r="A78" s="244"/>
      <c r="B78" s="236"/>
      <c r="C78" s="203"/>
      <c r="D78" s="222"/>
      <c r="E78" s="196"/>
      <c r="F78" s="203"/>
      <c r="G78" s="27"/>
      <c r="H78" s="23" t="s">
        <v>26</v>
      </c>
      <c r="I78" s="22">
        <v>0.2</v>
      </c>
      <c r="J78" s="22"/>
      <c r="K78" s="22"/>
      <c r="L78" s="22">
        <v>0.2</v>
      </c>
      <c r="M78" s="22">
        <v>0.2</v>
      </c>
      <c r="N78" s="21">
        <v>0.2</v>
      </c>
      <c r="O78" s="165"/>
      <c r="P78" s="165"/>
      <c r="Q78" s="165"/>
      <c r="R78" s="165"/>
      <c r="S78" s="165"/>
      <c r="T78" s="165"/>
      <c r="U78" s="165"/>
      <c r="V78" s="165"/>
      <c r="W78" s="22">
        <v>0.2</v>
      </c>
      <c r="X78" s="22"/>
      <c r="Y78" s="22"/>
      <c r="Z78" s="22">
        <v>0.2</v>
      </c>
      <c r="AA78" s="22">
        <v>0.2</v>
      </c>
      <c r="AB78" s="21">
        <v>0.2</v>
      </c>
      <c r="AC78" s="165">
        <v>0.2</v>
      </c>
      <c r="AD78" s="22">
        <v>0.2</v>
      </c>
      <c r="AE78" s="22"/>
      <c r="AF78" s="22"/>
      <c r="AG78" s="22">
        <v>0.2</v>
      </c>
      <c r="AH78" s="22">
        <v>0.2</v>
      </c>
      <c r="AI78" s="21">
        <v>0.2</v>
      </c>
      <c r="AJ78" s="165">
        <v>0.2</v>
      </c>
      <c r="AK78" s="115"/>
      <c r="AL78" s="22"/>
      <c r="AM78" s="113"/>
      <c r="AN78" s="57"/>
      <c r="AO78" s="57"/>
      <c r="AP78" s="57"/>
      <c r="AQ78" s="7"/>
      <c r="AR78" s="8"/>
      <c r="AS78" s="8"/>
      <c r="AT78" s="7"/>
      <c r="AU78" s="7"/>
      <c r="AV78" s="7"/>
      <c r="AW78" s="7"/>
    </row>
    <row r="79" spans="1:49" ht="15" hidden="1" customHeight="1">
      <c r="A79" s="244"/>
      <c r="B79" s="236"/>
      <c r="C79" s="203"/>
      <c r="D79" s="222"/>
      <c r="E79" s="196"/>
      <c r="F79" s="203"/>
      <c r="G79" s="24"/>
      <c r="H79" s="26" t="s">
        <v>0</v>
      </c>
      <c r="I79" s="22"/>
      <c r="J79" s="22"/>
      <c r="K79" s="22"/>
      <c r="L79" s="22"/>
      <c r="M79" s="22"/>
      <c r="N79" s="21"/>
      <c r="O79" s="165"/>
      <c r="P79" s="165"/>
      <c r="Q79" s="165"/>
      <c r="R79" s="165"/>
      <c r="S79" s="165"/>
      <c r="T79" s="165"/>
      <c r="U79" s="165"/>
      <c r="V79" s="165"/>
      <c r="W79" s="22"/>
      <c r="X79" s="22"/>
      <c r="Y79" s="22"/>
      <c r="Z79" s="22"/>
      <c r="AA79" s="22"/>
      <c r="AB79" s="21"/>
      <c r="AC79" s="165"/>
      <c r="AD79" s="22"/>
      <c r="AE79" s="22"/>
      <c r="AF79" s="22"/>
      <c r="AG79" s="22"/>
      <c r="AH79" s="22"/>
      <c r="AI79" s="21"/>
      <c r="AJ79" s="165"/>
      <c r="AK79" s="115"/>
      <c r="AL79" s="22"/>
      <c r="AM79" s="113"/>
      <c r="AN79" s="57"/>
      <c r="AO79" s="57"/>
      <c r="AP79" s="57"/>
      <c r="AQ79" s="7"/>
      <c r="AR79" s="8"/>
      <c r="AS79" s="8"/>
      <c r="AT79" s="7"/>
      <c r="AU79" s="7"/>
      <c r="AV79" s="7"/>
      <c r="AW79" s="7"/>
    </row>
    <row r="80" spans="1:49">
      <c r="A80" s="244"/>
      <c r="B80" s="236"/>
      <c r="C80" s="203"/>
      <c r="D80" s="222"/>
      <c r="E80" s="196"/>
      <c r="F80" s="203"/>
      <c r="G80" s="72" t="s">
        <v>102</v>
      </c>
      <c r="H80" s="23" t="s">
        <v>101</v>
      </c>
      <c r="I80" s="39">
        <f t="shared" ref="I80:M80" si="100">$W$107*$D$74/5</f>
        <v>3975</v>
      </c>
      <c r="J80" s="39">
        <f t="shared" si="100"/>
        <v>3975</v>
      </c>
      <c r="K80" s="39">
        <f t="shared" si="100"/>
        <v>3975</v>
      </c>
      <c r="L80" s="39">
        <f t="shared" si="100"/>
        <v>3975</v>
      </c>
      <c r="M80" s="39">
        <f t="shared" si="100"/>
        <v>3975</v>
      </c>
      <c r="N80" s="149"/>
      <c r="O80" s="173"/>
      <c r="P80" s="173"/>
      <c r="Q80" s="173"/>
      <c r="R80" s="173"/>
      <c r="S80" s="173"/>
      <c r="T80" s="173"/>
      <c r="U80" s="173"/>
      <c r="V80" s="173"/>
      <c r="W80" s="39">
        <f t="shared" ref="W80:AA80" si="101">$W$107*$D$74/5</f>
        <v>3975</v>
      </c>
      <c r="X80" s="39">
        <f t="shared" si="101"/>
        <v>3975</v>
      </c>
      <c r="Y80" s="39">
        <f t="shared" si="101"/>
        <v>3975</v>
      </c>
      <c r="Z80" s="39">
        <f t="shared" si="101"/>
        <v>3975</v>
      </c>
      <c r="AA80" s="39">
        <f t="shared" si="101"/>
        <v>3975</v>
      </c>
      <c r="AB80" s="149"/>
      <c r="AC80" s="173"/>
      <c r="AD80" s="39">
        <f>$W$107*$D$74/5</f>
        <v>3975</v>
      </c>
      <c r="AE80" s="39">
        <f t="shared" ref="AE80:AF80" si="102">$W$107*$D$74/5</f>
        <v>3975</v>
      </c>
      <c r="AF80" s="39">
        <f t="shared" si="102"/>
        <v>3975</v>
      </c>
      <c r="AG80" s="39">
        <f>$W$107*$D$74/5</f>
        <v>3975</v>
      </c>
      <c r="AH80" s="39">
        <f>$W$107*$D$74/5</f>
        <v>3975</v>
      </c>
      <c r="AI80" s="149">
        <f>$W$107*$D$74/5</f>
        <v>3975</v>
      </c>
      <c r="AJ80" s="173"/>
      <c r="AK80" s="39">
        <f t="shared" ref="AK80:AM80" si="103">$W$107*$D$74/5</f>
        <v>3975</v>
      </c>
      <c r="AL80" s="39">
        <f t="shared" si="103"/>
        <v>3975</v>
      </c>
      <c r="AM80" s="39"/>
      <c r="AN80" s="57"/>
      <c r="AO80" s="57"/>
      <c r="AP80" s="57"/>
      <c r="AQ80" s="7"/>
      <c r="AR80" s="8"/>
      <c r="AS80" s="8"/>
      <c r="AT80" s="7"/>
      <c r="AU80" s="7"/>
      <c r="AV80" s="7"/>
      <c r="AW80" s="7"/>
    </row>
    <row r="81" spans="1:49">
      <c r="A81" s="244"/>
      <c r="B81" s="236"/>
      <c r="C81" s="203"/>
      <c r="D81" s="222"/>
      <c r="E81" s="196"/>
      <c r="F81" s="203"/>
      <c r="G81" s="73"/>
      <c r="H81" s="23" t="s">
        <v>66</v>
      </c>
      <c r="I81" s="71">
        <v>1</v>
      </c>
      <c r="J81" s="71">
        <v>1</v>
      </c>
      <c r="K81" s="71">
        <v>1</v>
      </c>
      <c r="L81" s="71">
        <v>1</v>
      </c>
      <c r="M81" s="71">
        <v>1</v>
      </c>
      <c r="N81" s="21"/>
      <c r="O81" s="165"/>
      <c r="P81" s="165"/>
      <c r="Q81" s="165"/>
      <c r="R81" s="165"/>
      <c r="S81" s="165"/>
      <c r="T81" s="165"/>
      <c r="U81" s="165"/>
      <c r="V81" s="165"/>
      <c r="W81" s="71">
        <v>1</v>
      </c>
      <c r="X81" s="71">
        <v>1</v>
      </c>
      <c r="Y81" s="71">
        <v>1</v>
      </c>
      <c r="Z81" s="71">
        <v>1</v>
      </c>
      <c r="AA81" s="71">
        <v>1</v>
      </c>
      <c r="AB81" s="21"/>
      <c r="AC81" s="165"/>
      <c r="AD81" s="71">
        <v>1</v>
      </c>
      <c r="AE81" s="71">
        <v>1</v>
      </c>
      <c r="AF81" s="71">
        <v>1</v>
      </c>
      <c r="AG81" s="71">
        <v>1</v>
      </c>
      <c r="AH81" s="71">
        <v>1</v>
      </c>
      <c r="AI81" s="21">
        <v>1</v>
      </c>
      <c r="AJ81" s="165"/>
      <c r="AK81" s="71">
        <v>1</v>
      </c>
      <c r="AL81" s="71">
        <v>1</v>
      </c>
      <c r="AM81" s="71"/>
      <c r="AN81" s="57"/>
      <c r="AO81" s="57"/>
      <c r="AP81" s="57"/>
      <c r="AQ81" s="7"/>
      <c r="AR81" s="8"/>
      <c r="AS81" s="8"/>
      <c r="AT81" s="7"/>
      <c r="AU81" s="7"/>
      <c r="AV81" s="7"/>
      <c r="AW81" s="7"/>
    </row>
    <row r="82" spans="1:49">
      <c r="A82" s="244"/>
      <c r="B82" s="236"/>
      <c r="C82" s="203"/>
      <c r="D82" s="222"/>
      <c r="E82" s="196"/>
      <c r="F82" s="203"/>
      <c r="G82" s="27"/>
      <c r="H82" s="26" t="s">
        <v>0</v>
      </c>
      <c r="I82" s="22">
        <f>SUMIFS('絞線Twisting wire'!$K$7:$K$1000,'絞線Twisting wire'!$A$7:$A$1000,'04'!I$2,'絞線Twisting wire'!$D$7:$D$1000,'04'!$G$80,'絞線Twisting wire'!$F$7:$F$1000,'04'!$A$74)</f>
        <v>0</v>
      </c>
      <c r="J82" s="22">
        <f>SUMIFS('絞線Twisting wire'!$K$7:$K$1000,'絞線Twisting wire'!$A$7:$A$1000,'04'!J$2,'絞線Twisting wire'!$D$7:$D$1000,'04'!$G$80,'絞線Twisting wire'!$F$7:$F$1000,'04'!$A$74)</f>
        <v>0</v>
      </c>
      <c r="K82" s="22">
        <f>SUMIFS('絞線Twisting wire'!$K$7:$K$1000,'絞線Twisting wire'!$A$7:$A$1000,'04'!K$2,'絞線Twisting wire'!$D$7:$D$1000,'04'!$G$80,'絞線Twisting wire'!$F$7:$F$1000,'04'!$A$74)</f>
        <v>0</v>
      </c>
      <c r="L82" s="22">
        <f>SUMIFS('絞線Twisting wire'!$K$7:$K$1000,'絞線Twisting wire'!$A$7:$A$1000,'04'!L$2,'絞線Twisting wire'!$D$7:$D$1000,'04'!$G$80,'絞線Twisting wire'!$F$7:$F$1000,'04'!$A$74)</f>
        <v>0</v>
      </c>
      <c r="M82" s="22">
        <f>SUMIFS('絞線Twisting wire'!$K$7:$K$1000,'絞線Twisting wire'!$A$7:$A$1000,'04'!M$2,'絞線Twisting wire'!$D$7:$D$1000,'04'!$G$80,'絞線Twisting wire'!$F$7:$F$1000,'04'!$A$74)</f>
        <v>0</v>
      </c>
      <c r="N82" s="22">
        <f>SUMIFS('絞線Twisting wire'!$K$7:$K$1000,'絞線Twisting wire'!$A$7:$A$1000,'04'!N$2,'絞線Twisting wire'!$D$7:$D$1000,'04'!$G$80,'絞線Twisting wire'!$F$7:$F$1000,'04'!$A$74)</f>
        <v>0</v>
      </c>
      <c r="O82" s="165"/>
      <c r="P82" s="165"/>
      <c r="Q82" s="165"/>
      <c r="R82" s="165"/>
      <c r="S82" s="165"/>
      <c r="T82" s="165"/>
      <c r="U82" s="165"/>
      <c r="V82" s="165"/>
      <c r="W82" s="22">
        <f>SUMIFS('絞線Twisting wire'!$K$7:$K$1000,'絞線Twisting wire'!$A$7:$A$1000,'04'!W$2,'絞線Twisting wire'!$D$7:$D$1000,'04'!$G$80,'絞線Twisting wire'!$F$7:$F$1000,'04'!$A$74)</f>
        <v>0</v>
      </c>
      <c r="X82" s="22">
        <f>SUMIFS('絞線Twisting wire'!$K$7:$K$1000,'絞線Twisting wire'!$A$7:$A$1000,'04'!X$2,'絞線Twisting wire'!$D$7:$D$1000,'04'!$G$80,'絞線Twisting wire'!$F$7:$F$1000,'04'!$A$74)</f>
        <v>0</v>
      </c>
      <c r="Y82" s="22">
        <f>SUMIFS('絞線Twisting wire'!$K$7:$K$1000,'絞線Twisting wire'!$A$7:$A$1000,'04'!Y$2,'絞線Twisting wire'!$D$7:$D$1000,'04'!$G$80,'絞線Twisting wire'!$F$7:$F$1000,'04'!$A$74)</f>
        <v>0</v>
      </c>
      <c r="Z82" s="22">
        <f>SUMIFS('絞線Twisting wire'!$K$7:$K$1000,'絞線Twisting wire'!$A$7:$A$1000,'04'!Z$2,'絞線Twisting wire'!$D$7:$D$1000,'04'!$G$80,'絞線Twisting wire'!$F$7:$F$1000,'04'!$A$74)</f>
        <v>0</v>
      </c>
      <c r="AA82" s="22">
        <f>SUMIFS('絞線Twisting wire'!$K$7:$K$1000,'絞線Twisting wire'!$A$7:$A$1000,'04'!AA$2,'絞線Twisting wire'!$D$7:$D$1000,'04'!$G$80,'絞線Twisting wire'!$F$7:$F$1000,'04'!$A$74)</f>
        <v>0</v>
      </c>
      <c r="AB82" s="22">
        <f>SUMIFS('絞線Twisting wire'!$K$7:$K$1000,'絞線Twisting wire'!$A$7:$A$1000,'04'!AB$2,'絞線Twisting wire'!$D$7:$D$1000,'04'!$G$80,'絞線Twisting wire'!$F$7:$F$1000,'04'!$A$74)</f>
        <v>0</v>
      </c>
      <c r="AC82" s="165"/>
      <c r="AD82" s="22">
        <f>SUMIFS('絞線Twisting wire'!$K$7:$K$1000,'絞線Twisting wire'!$A$7:$A$1000,'04'!AD$2,'絞線Twisting wire'!$D$7:$D$1000,'04'!$G$80,'絞線Twisting wire'!$F$7:$F$1000,'04'!$A$74)</f>
        <v>0</v>
      </c>
      <c r="AE82" s="22">
        <f>SUMIFS('絞線Twisting wire'!$K$7:$K$1000,'絞線Twisting wire'!$A$7:$A$1000,'04'!AE$2,'絞線Twisting wire'!$D$7:$D$1000,'04'!$G$80,'絞線Twisting wire'!$F$7:$F$1000,'04'!$A$74)</f>
        <v>0</v>
      </c>
      <c r="AF82" s="22">
        <f>SUMIFS('絞線Twisting wire'!$K$7:$K$1000,'絞線Twisting wire'!$A$7:$A$1000,'04'!AF$2,'絞線Twisting wire'!$D$7:$D$1000,'04'!$G$80,'絞線Twisting wire'!$F$7:$F$1000,'04'!$A$74)</f>
        <v>0</v>
      </c>
      <c r="AG82" s="22">
        <f>SUMIFS('絞線Twisting wire'!$K$7:$K$1000,'絞線Twisting wire'!$A$7:$A$1000,'04'!AG$2,'絞線Twisting wire'!$D$7:$D$1000,'04'!$G$80,'絞線Twisting wire'!$F$7:$F$1000,'04'!$A$74)</f>
        <v>0</v>
      </c>
      <c r="AH82" s="22">
        <f>SUMIFS('絞線Twisting wire'!$K$7:$K$1000,'絞線Twisting wire'!$A$7:$A$1000,'04'!AH$2,'絞線Twisting wire'!$D$7:$D$1000,'04'!$G$80,'絞線Twisting wire'!$F$7:$F$1000,'04'!$A$74)</f>
        <v>0</v>
      </c>
      <c r="AI82" s="22">
        <f>SUMIFS('絞線Twisting wire'!$K$7:$K$1000,'絞線Twisting wire'!$A$7:$A$1000,'04'!AI$2,'絞線Twisting wire'!$D$7:$D$1000,'04'!$G$80,'絞線Twisting wire'!$F$7:$F$1000,'04'!$A$74)</f>
        <v>0</v>
      </c>
      <c r="AJ82" s="165"/>
      <c r="AK82" s="22">
        <f>SUMIFS('絞線Twisting wire'!$K$7:$K$1000,'絞線Twisting wire'!$A$7:$A$1000,'04'!AK$2,'絞線Twisting wire'!$D$7:$D$1000,'04'!$G$80,'絞線Twisting wire'!$F$7:$F$1000,'04'!$A$74)</f>
        <v>0</v>
      </c>
      <c r="AL82" s="22">
        <f>SUMIFS('絞線Twisting wire'!$K$7:$K$1000,'絞線Twisting wire'!$A$7:$A$1000,'04'!AL$2,'絞線Twisting wire'!$D$7:$D$1000,'04'!$G$80,'絞線Twisting wire'!$F$7:$F$1000,'04'!$A$74)</f>
        <v>0</v>
      </c>
      <c r="AM82" s="113"/>
      <c r="AN82" s="57"/>
      <c r="AO82" s="57"/>
      <c r="AP82" s="57"/>
      <c r="AQ82" s="7"/>
      <c r="AR82" s="8"/>
      <c r="AS82" s="8"/>
      <c r="AT82" s="7"/>
      <c r="AU82" s="7"/>
      <c r="AV82" s="7"/>
      <c r="AW82" s="7"/>
    </row>
    <row r="83" spans="1:49">
      <c r="A83" s="244"/>
      <c r="B83" s="236"/>
      <c r="C83" s="203"/>
      <c r="D83" s="222"/>
      <c r="E83" s="196"/>
      <c r="F83" s="203"/>
      <c r="G83" s="27"/>
      <c r="H83" s="26" t="s">
        <v>34</v>
      </c>
      <c r="I83" s="40">
        <f>I82-I80</f>
        <v>-3975</v>
      </c>
      <c r="J83" s="40">
        <f>I83+(J82-J80)</f>
        <v>-7950</v>
      </c>
      <c r="K83" s="40">
        <f t="shared" ref="K83:L83" si="104">J83+(K82-K80)</f>
        <v>-11925</v>
      </c>
      <c r="L83" s="40">
        <f t="shared" si="104"/>
        <v>-15900</v>
      </c>
      <c r="M83" s="40">
        <f>L83+(M82-M80)</f>
        <v>-19875</v>
      </c>
      <c r="N83" s="143">
        <f>M83+(N82-N80)</f>
        <v>-19875</v>
      </c>
      <c r="O83" s="166"/>
      <c r="P83" s="166"/>
      <c r="Q83" s="166"/>
      <c r="R83" s="165"/>
      <c r="S83" s="165"/>
      <c r="T83" s="166"/>
      <c r="U83" s="166"/>
      <c r="V83" s="166"/>
      <c r="W83" s="68">
        <f>N83+(W82-W80)</f>
        <v>-23850</v>
      </c>
      <c r="X83" s="40">
        <f>W83+(X82-X80)</f>
        <v>-27825</v>
      </c>
      <c r="Y83" s="40">
        <f t="shared" ref="Y83:Z83" si="105">X83+(Y82-Y80)</f>
        <v>-31800</v>
      </c>
      <c r="Z83" s="40">
        <f t="shared" si="105"/>
        <v>-35775</v>
      </c>
      <c r="AA83" s="40">
        <f>Z83+(AA82-AA80)</f>
        <v>-39750</v>
      </c>
      <c r="AB83" s="143">
        <f>AA83+(AB82-AB80)</f>
        <v>-39750</v>
      </c>
      <c r="AC83" s="166"/>
      <c r="AD83" s="68">
        <f>AB83+(AD82-AD80)</f>
        <v>-43725</v>
      </c>
      <c r="AE83" s="40">
        <f>AD83+(AE82-AE80)</f>
        <v>-47700</v>
      </c>
      <c r="AF83" s="40">
        <f t="shared" ref="AF83:AG83" si="106">AE83+(AF82-AF80)</f>
        <v>-51675</v>
      </c>
      <c r="AG83" s="40">
        <f t="shared" si="106"/>
        <v>-55650</v>
      </c>
      <c r="AH83" s="40">
        <f>AG83+(AH82-AH80)</f>
        <v>-59625</v>
      </c>
      <c r="AI83" s="143">
        <f>AH83+(AI82-AI80)</f>
        <v>-63600</v>
      </c>
      <c r="AJ83" s="166"/>
      <c r="AK83" s="68">
        <f>AI83+(AK82-AK80)</f>
        <v>-67575</v>
      </c>
      <c r="AL83" s="40">
        <f>AK83+(AL82-AL80)</f>
        <v>-71550</v>
      </c>
      <c r="AM83" s="113"/>
      <c r="AN83" s="57"/>
      <c r="AO83" s="57"/>
      <c r="AP83" s="57"/>
      <c r="AQ83" s="7"/>
      <c r="AR83" s="8"/>
      <c r="AS83" s="8"/>
      <c r="AT83" s="7"/>
      <c r="AU83" s="7"/>
      <c r="AV83" s="7"/>
      <c r="AW83" s="7"/>
    </row>
    <row r="84" spans="1:49">
      <c r="A84" s="244"/>
      <c r="B84" s="236"/>
      <c r="C84" s="203"/>
      <c r="D84" s="222"/>
      <c r="E84" s="196"/>
      <c r="F84" s="203"/>
      <c r="G84" s="72" t="s">
        <v>100</v>
      </c>
      <c r="H84" s="23" t="s">
        <v>99</v>
      </c>
      <c r="I84" s="71">
        <f t="shared" ref="I84:M84" si="107">($W$107*$D$74/5)*2</f>
        <v>7950</v>
      </c>
      <c r="J84" s="71">
        <f t="shared" si="107"/>
        <v>7950</v>
      </c>
      <c r="K84" s="71">
        <f t="shared" si="107"/>
        <v>7950</v>
      </c>
      <c r="L84" s="71">
        <f t="shared" si="107"/>
        <v>7950</v>
      </c>
      <c r="M84" s="71">
        <f t="shared" si="107"/>
        <v>7950</v>
      </c>
      <c r="N84" s="21"/>
      <c r="O84" s="165"/>
      <c r="P84" s="165"/>
      <c r="Q84" s="165"/>
      <c r="R84" s="165"/>
      <c r="S84" s="165"/>
      <c r="T84" s="165"/>
      <c r="U84" s="165"/>
      <c r="V84" s="165"/>
      <c r="W84" s="71">
        <f>($W$107*$D$74/5)*2</f>
        <v>7950</v>
      </c>
      <c r="X84" s="71">
        <f t="shared" ref="X84:Y84" si="108">($W$107*$D$74/5)*2</f>
        <v>7950</v>
      </c>
      <c r="Y84" s="71">
        <f t="shared" si="108"/>
        <v>7950</v>
      </c>
      <c r="Z84" s="71">
        <f>($W$107*$D$74/5)*2</f>
        <v>7950</v>
      </c>
      <c r="AA84" s="71">
        <f>($W$107*$D$74/5)*2</f>
        <v>7950</v>
      </c>
      <c r="AB84" s="21"/>
      <c r="AC84" s="165"/>
      <c r="AD84" s="71">
        <f>($W$107*$D$74/5)*2</f>
        <v>7950</v>
      </c>
      <c r="AE84" s="71">
        <f t="shared" ref="AE84:AG84" si="109">($W$107*$D$74/5)*2</f>
        <v>7950</v>
      </c>
      <c r="AF84" s="71">
        <f t="shared" si="109"/>
        <v>7950</v>
      </c>
      <c r="AG84" s="71">
        <f t="shared" si="109"/>
        <v>7950</v>
      </c>
      <c r="AH84" s="71">
        <f>($W$107*$D$74/5)*2</f>
        <v>7950</v>
      </c>
      <c r="AI84" s="21">
        <f>($W$107*$D$74/5)*2</f>
        <v>7950</v>
      </c>
      <c r="AJ84" s="165"/>
      <c r="AK84" s="71">
        <f t="shared" ref="AK84:AM84" si="110">($W$107*$D$74/5)*2</f>
        <v>7950</v>
      </c>
      <c r="AL84" s="71">
        <f t="shared" si="110"/>
        <v>7950</v>
      </c>
      <c r="AM84" s="71"/>
      <c r="AN84" s="57"/>
      <c r="AO84" s="57"/>
      <c r="AP84" s="57"/>
      <c r="AQ84" s="7"/>
      <c r="AR84" s="8"/>
      <c r="AS84" s="8"/>
      <c r="AT84" s="7"/>
      <c r="AU84" s="7"/>
      <c r="AV84" s="7"/>
      <c r="AW84" s="7"/>
    </row>
    <row r="85" spans="1:49">
      <c r="A85" s="244"/>
      <c r="B85" s="236"/>
      <c r="C85" s="203"/>
      <c r="D85" s="222"/>
      <c r="E85" s="196"/>
      <c r="F85" s="203"/>
      <c r="G85" s="72"/>
      <c r="H85" s="23" t="s">
        <v>66</v>
      </c>
      <c r="I85" s="71">
        <v>1</v>
      </c>
      <c r="J85" s="71">
        <v>1</v>
      </c>
      <c r="K85" s="71">
        <v>1</v>
      </c>
      <c r="L85" s="71">
        <v>1</v>
      </c>
      <c r="M85" s="71">
        <v>1</v>
      </c>
      <c r="N85" s="21"/>
      <c r="O85" s="165"/>
      <c r="P85" s="165"/>
      <c r="Q85" s="165"/>
      <c r="R85" s="165"/>
      <c r="S85" s="165"/>
      <c r="T85" s="165"/>
      <c r="U85" s="165"/>
      <c r="V85" s="165"/>
      <c r="W85" s="71">
        <v>1</v>
      </c>
      <c r="X85" s="71">
        <v>1</v>
      </c>
      <c r="Y85" s="71">
        <v>1</v>
      </c>
      <c r="Z85" s="71">
        <v>1</v>
      </c>
      <c r="AA85" s="71">
        <v>1</v>
      </c>
      <c r="AB85" s="21"/>
      <c r="AC85" s="165"/>
      <c r="AD85" s="71">
        <v>1</v>
      </c>
      <c r="AE85" s="71">
        <v>1</v>
      </c>
      <c r="AF85" s="71">
        <v>1</v>
      </c>
      <c r="AG85" s="71">
        <v>1</v>
      </c>
      <c r="AH85" s="71">
        <v>1</v>
      </c>
      <c r="AI85" s="21">
        <v>1</v>
      </c>
      <c r="AJ85" s="165"/>
      <c r="AK85" s="71">
        <v>1</v>
      </c>
      <c r="AL85" s="71">
        <v>1</v>
      </c>
      <c r="AM85" s="71"/>
      <c r="AN85" s="57"/>
      <c r="AO85" s="57"/>
      <c r="AP85" s="57"/>
      <c r="AQ85" s="7"/>
      <c r="AR85" s="8"/>
      <c r="AS85" s="8"/>
      <c r="AT85" s="7"/>
      <c r="AU85" s="7"/>
      <c r="AV85" s="7"/>
      <c r="AW85" s="7"/>
    </row>
    <row r="86" spans="1:49">
      <c r="A86" s="244"/>
      <c r="B86" s="236"/>
      <c r="C86" s="203"/>
      <c r="D86" s="222"/>
      <c r="E86" s="196"/>
      <c r="F86" s="203"/>
      <c r="G86" s="27"/>
      <c r="H86" s="26" t="s">
        <v>0</v>
      </c>
      <c r="I86" s="22">
        <f>SUMIFS('絞線Twisting wire'!$K$7:$K$1000,'絞線Twisting wire'!$A$7:$A$1000,'04'!I$2,'絞線Twisting wire'!$D$7:$D$1000,'04'!$G$84,'絞線Twisting wire'!$F$7:$F$1000,'04'!$A$74)</f>
        <v>0</v>
      </c>
      <c r="J86" s="22">
        <f>SUMIFS('絞線Twisting wire'!$K$7:$K$1000,'絞線Twisting wire'!$A$7:$A$1000,'04'!J$2,'絞線Twisting wire'!$D$7:$D$1000,'04'!$G$84,'絞線Twisting wire'!$F$7:$F$1000,'04'!$A$74)</f>
        <v>0</v>
      </c>
      <c r="K86" s="22">
        <f>SUMIFS('絞線Twisting wire'!$K$7:$K$1000,'絞線Twisting wire'!$A$7:$A$1000,'04'!K$2,'絞線Twisting wire'!$D$7:$D$1000,'04'!$G$84,'絞線Twisting wire'!$F$7:$F$1000,'04'!$A$74)</f>
        <v>0</v>
      </c>
      <c r="L86" s="22">
        <f>SUMIFS('絞線Twisting wire'!$K$7:$K$1000,'絞線Twisting wire'!$A$7:$A$1000,'04'!L$2,'絞線Twisting wire'!$D$7:$D$1000,'04'!$G$84,'絞線Twisting wire'!$F$7:$F$1000,'04'!$A$74)</f>
        <v>0</v>
      </c>
      <c r="M86" s="22">
        <f>SUMIFS('絞線Twisting wire'!$K$7:$K$1000,'絞線Twisting wire'!$A$7:$A$1000,'04'!M$2,'絞線Twisting wire'!$D$7:$D$1000,'04'!$G$84,'絞線Twisting wire'!$F$7:$F$1000,'04'!$A$74)</f>
        <v>0</v>
      </c>
      <c r="N86" s="22">
        <f>SUMIFS('絞線Twisting wire'!$K$7:$K$1000,'絞線Twisting wire'!$A$7:$A$1000,'04'!N$2,'絞線Twisting wire'!$D$7:$D$1000,'04'!$G$84,'絞線Twisting wire'!$F$7:$F$1000,'04'!$A$74)</f>
        <v>0</v>
      </c>
      <c r="O86" s="165"/>
      <c r="P86" s="165"/>
      <c r="Q86" s="165"/>
      <c r="R86" s="165"/>
      <c r="S86" s="165"/>
      <c r="T86" s="165"/>
      <c r="U86" s="165"/>
      <c r="V86" s="165"/>
      <c r="W86" s="22">
        <f>SUMIFS('絞線Twisting wire'!$K$7:$K$1000,'絞線Twisting wire'!$A$7:$A$1000,'04'!W$2,'絞線Twisting wire'!$D$7:$D$1000,'04'!$G$84,'絞線Twisting wire'!$F$7:$F$1000,'04'!$A$74)</f>
        <v>0</v>
      </c>
      <c r="X86" s="22">
        <f>SUMIFS('絞線Twisting wire'!$K$7:$K$1000,'絞線Twisting wire'!$A$7:$A$1000,'04'!X$2,'絞線Twisting wire'!$D$7:$D$1000,'04'!$G$84,'絞線Twisting wire'!$F$7:$F$1000,'04'!$A$74)</f>
        <v>0</v>
      </c>
      <c r="Y86" s="22">
        <f>SUMIFS('絞線Twisting wire'!$K$7:$K$1000,'絞線Twisting wire'!$A$7:$A$1000,'04'!Y$2,'絞線Twisting wire'!$D$7:$D$1000,'04'!$G$84,'絞線Twisting wire'!$F$7:$F$1000,'04'!$A$74)</f>
        <v>0</v>
      </c>
      <c r="Z86" s="22">
        <f>SUMIFS('絞線Twisting wire'!$K$7:$K$1000,'絞線Twisting wire'!$A$7:$A$1000,'04'!Z$2,'絞線Twisting wire'!$D$7:$D$1000,'04'!$G$84,'絞線Twisting wire'!$F$7:$F$1000,'04'!$A$74)</f>
        <v>0</v>
      </c>
      <c r="AA86" s="22">
        <f>SUMIFS('絞線Twisting wire'!$K$7:$K$1000,'絞線Twisting wire'!$A$7:$A$1000,'04'!AA$2,'絞線Twisting wire'!$D$7:$D$1000,'04'!$G$84,'絞線Twisting wire'!$F$7:$F$1000,'04'!$A$74)</f>
        <v>0</v>
      </c>
      <c r="AB86" s="22">
        <f>SUMIFS('絞線Twisting wire'!$K$7:$K$1000,'絞線Twisting wire'!$A$7:$A$1000,'04'!AB$2,'絞線Twisting wire'!$D$7:$D$1000,'04'!$G$84,'絞線Twisting wire'!$F$7:$F$1000,'04'!$A$74)</f>
        <v>0</v>
      </c>
      <c r="AC86" s="165"/>
      <c r="AD86" s="22">
        <f>SUMIFS('絞線Twisting wire'!$K$7:$K$1000,'絞線Twisting wire'!$A$7:$A$1000,'04'!AD$2,'絞線Twisting wire'!$D$7:$D$1000,'04'!$G$84,'絞線Twisting wire'!$F$7:$F$1000,'04'!$A$74)</f>
        <v>0</v>
      </c>
      <c r="AE86" s="22">
        <f>SUMIFS('絞線Twisting wire'!$K$7:$K$1000,'絞線Twisting wire'!$A$7:$A$1000,'04'!AE$2,'絞線Twisting wire'!$D$7:$D$1000,'04'!$G$84,'絞線Twisting wire'!$F$7:$F$1000,'04'!$A$74)</f>
        <v>0</v>
      </c>
      <c r="AF86" s="22">
        <f>SUMIFS('絞線Twisting wire'!$K$7:$K$1000,'絞線Twisting wire'!$A$7:$A$1000,'04'!AF$2,'絞線Twisting wire'!$D$7:$D$1000,'04'!$G$84,'絞線Twisting wire'!$F$7:$F$1000,'04'!$A$74)</f>
        <v>0</v>
      </c>
      <c r="AG86" s="22">
        <f>SUMIFS('絞線Twisting wire'!$K$7:$K$1000,'絞線Twisting wire'!$A$7:$A$1000,'04'!AG$2,'絞線Twisting wire'!$D$7:$D$1000,'04'!$G$84,'絞線Twisting wire'!$F$7:$F$1000,'04'!$A$74)</f>
        <v>0</v>
      </c>
      <c r="AH86" s="22">
        <f>SUMIFS('絞線Twisting wire'!$K$7:$K$1000,'絞線Twisting wire'!$A$7:$A$1000,'04'!AH$2,'絞線Twisting wire'!$D$7:$D$1000,'04'!$G$84,'絞線Twisting wire'!$F$7:$F$1000,'04'!$A$74)</f>
        <v>0</v>
      </c>
      <c r="AI86" s="22">
        <f>SUMIFS('絞線Twisting wire'!$K$7:$K$1000,'絞線Twisting wire'!$A$7:$A$1000,'04'!AI$2,'絞線Twisting wire'!$D$7:$D$1000,'04'!$G$84,'絞線Twisting wire'!$F$7:$F$1000,'04'!$A$74)</f>
        <v>0</v>
      </c>
      <c r="AJ86" s="165"/>
      <c r="AK86" s="22">
        <f>SUMIFS('絞線Twisting wire'!$K$7:$K$1000,'絞線Twisting wire'!$A$7:$A$1000,'04'!AK$2,'絞線Twisting wire'!$D$7:$D$1000,'04'!$G$84,'絞線Twisting wire'!$F$7:$F$1000,'04'!$A$74)</f>
        <v>0</v>
      </c>
      <c r="AL86" s="22">
        <f>SUMIFS('絞線Twisting wire'!$K$7:$K$1000,'絞線Twisting wire'!$A$7:$A$1000,'04'!AL$2,'絞線Twisting wire'!$D$7:$D$1000,'04'!$G$84,'絞線Twisting wire'!$F$7:$F$1000,'04'!$A$74)</f>
        <v>0</v>
      </c>
      <c r="AM86" s="113"/>
      <c r="AN86" s="57"/>
      <c r="AO86" s="57"/>
      <c r="AP86" s="57"/>
      <c r="AQ86" s="7"/>
      <c r="AR86" s="8"/>
      <c r="AS86" s="8"/>
      <c r="AT86" s="7"/>
      <c r="AU86" s="7"/>
      <c r="AV86" s="7"/>
      <c r="AW86" s="7"/>
    </row>
    <row r="87" spans="1:49">
      <c r="A87" s="244"/>
      <c r="B87" s="236"/>
      <c r="C87" s="203"/>
      <c r="D87" s="222"/>
      <c r="E87" s="196"/>
      <c r="F87" s="203"/>
      <c r="G87" s="27"/>
      <c r="H87" s="26" t="s">
        <v>34</v>
      </c>
      <c r="I87" s="40">
        <f>I86-I84</f>
        <v>-7950</v>
      </c>
      <c r="J87" s="40">
        <f>I87+(J86-J84)</f>
        <v>-15900</v>
      </c>
      <c r="K87" s="40">
        <f t="shared" ref="K87:L87" si="111">J87+(K86-K84)</f>
        <v>-23850</v>
      </c>
      <c r="L87" s="40">
        <f t="shared" si="111"/>
        <v>-31800</v>
      </c>
      <c r="M87" s="40">
        <f>L87+(M86-M84)</f>
        <v>-39750</v>
      </c>
      <c r="N87" s="143">
        <f>M87+(N86-N84)</f>
        <v>-39750</v>
      </c>
      <c r="O87" s="166"/>
      <c r="P87" s="166"/>
      <c r="Q87" s="166"/>
      <c r="R87" s="165"/>
      <c r="S87" s="165"/>
      <c r="T87" s="166"/>
      <c r="U87" s="166"/>
      <c r="V87" s="166"/>
      <c r="W87" s="40">
        <f>N87+(W86-W84)</f>
        <v>-47700</v>
      </c>
      <c r="X87" s="40">
        <f>W87+(X86-X84)</f>
        <v>-55650</v>
      </c>
      <c r="Y87" s="40">
        <f t="shared" ref="Y87:Z87" si="112">X87+(Y86-Y84)</f>
        <v>-63600</v>
      </c>
      <c r="Z87" s="40">
        <f t="shared" si="112"/>
        <v>-71550</v>
      </c>
      <c r="AA87" s="40">
        <f>Z87+(AA86-AA84)</f>
        <v>-79500</v>
      </c>
      <c r="AB87" s="143">
        <f>AA87+(AB86-AB84)</f>
        <v>-79500</v>
      </c>
      <c r="AC87" s="166"/>
      <c r="AD87" s="40">
        <f>AB87+(AD86-AD84)</f>
        <v>-87450</v>
      </c>
      <c r="AE87" s="40">
        <f>AD87+(AE86-AE84)</f>
        <v>-95400</v>
      </c>
      <c r="AF87" s="40">
        <f t="shared" ref="AF87:AG87" si="113">AE87+(AF86-AF84)</f>
        <v>-103350</v>
      </c>
      <c r="AG87" s="40">
        <f t="shared" si="113"/>
        <v>-111300</v>
      </c>
      <c r="AH87" s="40">
        <f>AG87+(AH86-AH84)</f>
        <v>-119250</v>
      </c>
      <c r="AI87" s="143">
        <f>AH87+(AI86-AI84)</f>
        <v>-127200</v>
      </c>
      <c r="AJ87" s="166"/>
      <c r="AK87" s="40">
        <f>AI87+(AK86-AK84)</f>
        <v>-135150</v>
      </c>
      <c r="AL87" s="40">
        <f>AK87+(AL86-AL84)</f>
        <v>-143100</v>
      </c>
      <c r="AM87" s="113"/>
      <c r="AN87" s="57"/>
      <c r="AO87" s="57"/>
      <c r="AP87" s="57"/>
      <c r="AQ87" s="7"/>
      <c r="AR87" s="8"/>
      <c r="AS87" s="8"/>
      <c r="AT87" s="7"/>
      <c r="AU87" s="7"/>
      <c r="AV87" s="7"/>
      <c r="AW87" s="7"/>
    </row>
    <row r="88" spans="1:49">
      <c r="A88" s="244"/>
      <c r="B88" s="236"/>
      <c r="C88" s="203"/>
      <c r="D88" s="222"/>
      <c r="E88" s="196"/>
      <c r="F88" s="203"/>
      <c r="G88" s="72" t="s">
        <v>9</v>
      </c>
      <c r="H88" s="23" t="s">
        <v>8</v>
      </c>
      <c r="I88" s="39">
        <f t="shared" ref="I88:M88" si="114">$W$107*$D$74/5</f>
        <v>3975</v>
      </c>
      <c r="J88" s="39">
        <f t="shared" si="114"/>
        <v>3975</v>
      </c>
      <c r="K88" s="39">
        <f t="shared" si="114"/>
        <v>3975</v>
      </c>
      <c r="L88" s="39">
        <f t="shared" si="114"/>
        <v>3975</v>
      </c>
      <c r="M88" s="39">
        <f t="shared" si="114"/>
        <v>3975</v>
      </c>
      <c r="N88" s="149"/>
      <c r="O88" s="173"/>
      <c r="P88" s="173"/>
      <c r="Q88" s="173"/>
      <c r="R88" s="173"/>
      <c r="S88" s="173"/>
      <c r="T88" s="173"/>
      <c r="U88" s="173"/>
      <c r="V88" s="173"/>
      <c r="W88" s="39">
        <f>$W$107*$D$74/5</f>
        <v>3975</v>
      </c>
      <c r="X88" s="39">
        <f t="shared" ref="X88:Y88" si="115">$W$107*$D$74/5</f>
        <v>3975</v>
      </c>
      <c r="Y88" s="39">
        <f t="shared" si="115"/>
        <v>3975</v>
      </c>
      <c r="Z88" s="39">
        <f>$W$107*$D$74/5</f>
        <v>3975</v>
      </c>
      <c r="AA88" s="39">
        <f>$W$107*$D$74/5</f>
        <v>3975</v>
      </c>
      <c r="AB88" s="149"/>
      <c r="AC88" s="173"/>
      <c r="AD88" s="39">
        <f>$W$107*$D$74/5</f>
        <v>3975</v>
      </c>
      <c r="AE88" s="39">
        <f t="shared" ref="AE88:AH88" si="116">$W$107*$D$74/5</f>
        <v>3975</v>
      </c>
      <c r="AF88" s="39">
        <f t="shared" si="116"/>
        <v>3975</v>
      </c>
      <c r="AG88" s="39">
        <f>$W$107*$D$74/5</f>
        <v>3975</v>
      </c>
      <c r="AH88" s="39">
        <f t="shared" si="116"/>
        <v>3975</v>
      </c>
      <c r="AI88" s="149"/>
      <c r="AJ88" s="173"/>
      <c r="AK88" s="39">
        <f t="shared" ref="AK88:AM88" si="117">$W$107*$D$74/5</f>
        <v>3975</v>
      </c>
      <c r="AL88" s="39">
        <f t="shared" si="117"/>
        <v>3975</v>
      </c>
      <c r="AM88" s="39"/>
      <c r="AN88" s="57"/>
      <c r="AO88" s="57"/>
      <c r="AP88" s="57"/>
      <c r="AQ88" s="7"/>
      <c r="AR88" s="8"/>
      <c r="AS88" s="8"/>
      <c r="AT88" s="7"/>
      <c r="AU88" s="7"/>
      <c r="AV88" s="7"/>
      <c r="AW88" s="7"/>
    </row>
    <row r="89" spans="1:49">
      <c r="A89" s="244"/>
      <c r="B89" s="236"/>
      <c r="C89" s="203"/>
      <c r="D89" s="222"/>
      <c r="E89" s="196"/>
      <c r="F89" s="203"/>
      <c r="G89" s="72"/>
      <c r="H89" s="23" t="s">
        <v>7</v>
      </c>
      <c r="I89" s="71">
        <v>1</v>
      </c>
      <c r="J89" s="71">
        <v>1</v>
      </c>
      <c r="K89" s="71">
        <v>1</v>
      </c>
      <c r="L89" s="71">
        <v>1</v>
      </c>
      <c r="M89" s="71">
        <v>1</v>
      </c>
      <c r="N89" s="21"/>
      <c r="O89" s="165"/>
      <c r="P89" s="165"/>
      <c r="Q89" s="165"/>
      <c r="R89" s="165"/>
      <c r="S89" s="165"/>
      <c r="T89" s="165"/>
      <c r="U89" s="165"/>
      <c r="V89" s="165"/>
      <c r="W89" s="71">
        <v>1</v>
      </c>
      <c r="X89" s="71">
        <v>1</v>
      </c>
      <c r="Y89" s="71">
        <v>1</v>
      </c>
      <c r="Z89" s="71">
        <v>1</v>
      </c>
      <c r="AA89" s="71">
        <v>1</v>
      </c>
      <c r="AB89" s="21"/>
      <c r="AC89" s="165"/>
      <c r="AD89" s="71">
        <v>1</v>
      </c>
      <c r="AE89" s="71">
        <v>1</v>
      </c>
      <c r="AF89" s="71">
        <v>1</v>
      </c>
      <c r="AG89" s="71">
        <v>1</v>
      </c>
      <c r="AH89" s="71">
        <v>1</v>
      </c>
      <c r="AI89" s="21"/>
      <c r="AJ89" s="165"/>
      <c r="AK89" s="71">
        <v>1</v>
      </c>
      <c r="AL89" s="71">
        <v>1</v>
      </c>
      <c r="AM89" s="71"/>
      <c r="AN89" s="57"/>
      <c r="AO89" s="57"/>
      <c r="AP89" s="57"/>
      <c r="AQ89" s="7"/>
      <c r="AR89" s="8"/>
      <c r="AS89" s="8"/>
      <c r="AT89" s="7"/>
      <c r="AU89" s="7"/>
      <c r="AV89" s="7"/>
      <c r="AW89" s="7"/>
    </row>
    <row r="90" spans="1:49">
      <c r="A90" s="244"/>
      <c r="B90" s="236"/>
      <c r="C90" s="203"/>
      <c r="D90" s="222"/>
      <c r="E90" s="196"/>
      <c r="F90" s="203"/>
      <c r="G90" s="27"/>
      <c r="H90" s="26" t="s">
        <v>0</v>
      </c>
      <c r="I90" s="22">
        <f>SUMIFS(' 押出ekstrusi'!$H$7:$H$1000,' 押出ekstrusi'!$A$7:$A$1000,'04'!I$2,' 押出ekstrusi'!$D$7:$D$1000,'04'!$A$74,' 押出ekstrusi'!$X$7:$X$1000,'04'!$G$88)</f>
        <v>0</v>
      </c>
      <c r="J90" s="22">
        <f>SUMIFS(' 押出ekstrusi'!$H$7:$H$1000,' 押出ekstrusi'!$A$7:$A$1000,'04'!J$2,' 押出ekstrusi'!$D$7:$D$1000,'04'!$A$74,' 押出ekstrusi'!$X$7:$X$1000,'04'!$G$88)</f>
        <v>0</v>
      </c>
      <c r="K90" s="22">
        <f>SUMIFS(' 押出ekstrusi'!$H$7:$H$1000,' 押出ekstrusi'!$A$7:$A$1000,'04'!K$2,' 押出ekstrusi'!$D$7:$D$1000,'04'!$A$74,' 押出ekstrusi'!$X$7:$X$1000,'04'!$G$88)</f>
        <v>0</v>
      </c>
      <c r="L90" s="22">
        <f>SUMIFS(' 押出ekstrusi'!$H$7:$H$1000,' 押出ekstrusi'!$A$7:$A$1000,'04'!L$2,' 押出ekstrusi'!$D$7:$D$1000,'04'!$A$74,' 押出ekstrusi'!$X$7:$X$1000,'04'!$G$88)</f>
        <v>0</v>
      </c>
      <c r="M90" s="22">
        <f>SUMIFS(' 押出ekstrusi'!$H$7:$H$1000,' 押出ekstrusi'!$A$7:$A$1000,'04'!M$2,' 押出ekstrusi'!$D$7:$D$1000,'04'!$A$74,' 押出ekstrusi'!$X$7:$X$1000,'04'!$G$88)</f>
        <v>0</v>
      </c>
      <c r="N90" s="22">
        <f>SUMIFS(' 押出ekstrusi'!$H$7:$H$1000,' 押出ekstrusi'!$A$7:$A$1000,'04'!N$2,' 押出ekstrusi'!$D$7:$D$1000,'04'!$A$74,' 押出ekstrusi'!$X$7:$X$1000,'04'!$G$88)</f>
        <v>0</v>
      </c>
      <c r="O90" s="165"/>
      <c r="P90" s="165"/>
      <c r="Q90" s="165"/>
      <c r="R90" s="165"/>
      <c r="S90" s="165"/>
      <c r="T90" s="165"/>
      <c r="U90" s="165"/>
      <c r="V90" s="165"/>
      <c r="W90" s="22">
        <f>SUMIFS(' 押出ekstrusi'!$H$7:$H$1000,' 押出ekstrusi'!$A$7:$A$1000,'04'!W$2,' 押出ekstrusi'!$D$7:$D$1000,'04'!$A$74,' 押出ekstrusi'!$X$7:$X$1000,'04'!$G$88)</f>
        <v>0</v>
      </c>
      <c r="X90" s="22">
        <f>SUMIFS(' 押出ekstrusi'!$H$7:$H$1000,' 押出ekstrusi'!$A$7:$A$1000,'04'!X$2,' 押出ekstrusi'!$D$7:$D$1000,'04'!$A$74,' 押出ekstrusi'!$X$7:$X$1000,'04'!$G$88)</f>
        <v>0</v>
      </c>
      <c r="Y90" s="22">
        <f>SUMIFS(' 押出ekstrusi'!$H$7:$H$1000,' 押出ekstrusi'!$A$7:$A$1000,'04'!Y$2,' 押出ekstrusi'!$D$7:$D$1000,'04'!$A$74,' 押出ekstrusi'!$X$7:$X$1000,'04'!$G$88)</f>
        <v>0</v>
      </c>
      <c r="Z90" s="22">
        <f>SUMIFS(' 押出ekstrusi'!$H$7:$H$1000,' 押出ekstrusi'!$A$7:$A$1000,'04'!Z$2,' 押出ekstrusi'!$D$7:$D$1000,'04'!$A$74,' 押出ekstrusi'!$X$7:$X$1000,'04'!$G$88)</f>
        <v>0</v>
      </c>
      <c r="AA90" s="22">
        <f>SUMIFS(' 押出ekstrusi'!$H$7:$H$1000,' 押出ekstrusi'!$A$7:$A$1000,'04'!AA$2,' 押出ekstrusi'!$D$7:$D$1000,'04'!$A$74,' 押出ekstrusi'!$X$7:$X$1000,'04'!$G$88)</f>
        <v>0</v>
      </c>
      <c r="AB90" s="22">
        <f>SUMIFS(' 押出ekstrusi'!$H$7:$H$1000,' 押出ekstrusi'!$A$7:$A$1000,'04'!AB$2,' 押出ekstrusi'!$D$7:$D$1000,'04'!$A$74,' 押出ekstrusi'!$X$7:$X$1000,'04'!$G$88)</f>
        <v>0</v>
      </c>
      <c r="AC90" s="165"/>
      <c r="AD90" s="22">
        <f>SUMIFS(' 押出ekstrusi'!$H$7:$H$1000,' 押出ekstrusi'!$A$7:$A$1000,'04'!AD$2,' 押出ekstrusi'!$D$7:$D$1000,'04'!$A$74,' 押出ekstrusi'!$X$7:$X$1000,'04'!$G$88)</f>
        <v>0</v>
      </c>
      <c r="AE90" s="22">
        <f>SUMIFS(' 押出ekstrusi'!$H$7:$H$1000,' 押出ekstrusi'!$A$7:$A$1000,'04'!AE$2,' 押出ekstrusi'!$D$7:$D$1000,'04'!$A$74,' 押出ekstrusi'!$X$7:$X$1000,'04'!$G$88)</f>
        <v>0</v>
      </c>
      <c r="AF90" s="22">
        <f>SUMIFS(' 押出ekstrusi'!$H$7:$H$1000,' 押出ekstrusi'!$A$7:$A$1000,'04'!AF$2,' 押出ekstrusi'!$D$7:$D$1000,'04'!$A$74,' 押出ekstrusi'!$X$7:$X$1000,'04'!$G$88)</f>
        <v>0</v>
      </c>
      <c r="AG90" s="22">
        <f>SUMIFS(' 押出ekstrusi'!$H$7:$H$1000,' 押出ekstrusi'!$A$7:$A$1000,'04'!AG$2,' 押出ekstrusi'!$D$7:$D$1000,'04'!$A$74,' 押出ekstrusi'!$X$7:$X$1000,'04'!$G$88)</f>
        <v>0</v>
      </c>
      <c r="AH90" s="22">
        <f>SUMIFS(' 押出ekstrusi'!$H$7:$H$1000,' 押出ekstrusi'!$A$7:$A$1000,'04'!AH$2,' 押出ekstrusi'!$D$7:$D$1000,'04'!$A$74,' 押出ekstrusi'!$X$7:$X$1000,'04'!$G$88)</f>
        <v>0</v>
      </c>
      <c r="AI90" s="22">
        <f>SUMIFS(' 押出ekstrusi'!$H$7:$H$1000,' 押出ekstrusi'!$A$7:$A$1000,'04'!AI$2,' 押出ekstrusi'!$D$7:$D$1000,'04'!$A$74,' 押出ekstrusi'!$X$7:$X$1000,'04'!$G$88)</f>
        <v>0</v>
      </c>
      <c r="AJ90" s="165"/>
      <c r="AK90" s="22">
        <f>SUMIFS(' 押出ekstrusi'!$H$7:$H$1000,' 押出ekstrusi'!$A$7:$A$1000,'04'!AK$2,' 押出ekstrusi'!$D$7:$D$1000,'04'!$A$74,' 押出ekstrusi'!$X$7:$X$1000,'04'!$G$88)</f>
        <v>0</v>
      </c>
      <c r="AL90" s="22">
        <f>SUMIFS(' 押出ekstrusi'!$H$7:$H$1000,' 押出ekstrusi'!$A$7:$A$1000,'04'!AL$2,' 押出ekstrusi'!$D$7:$D$1000,'04'!$A$74,' 押出ekstrusi'!$X$7:$X$1000,'04'!$G$88)</f>
        <v>0</v>
      </c>
      <c r="AM90" s="113"/>
      <c r="AN90" s="57"/>
      <c r="AO90" s="57"/>
      <c r="AP90" s="57"/>
      <c r="AQ90" s="7"/>
      <c r="AR90" s="8"/>
      <c r="AS90" s="8"/>
      <c r="AT90" s="7"/>
      <c r="AU90" s="7"/>
      <c r="AV90" s="7"/>
      <c r="AW90" s="7"/>
    </row>
    <row r="91" spans="1:49">
      <c r="A91" s="244"/>
      <c r="B91" s="236"/>
      <c r="C91" s="203"/>
      <c r="D91" s="222"/>
      <c r="E91" s="196"/>
      <c r="F91" s="203"/>
      <c r="G91" s="27"/>
      <c r="H91" s="26" t="s">
        <v>34</v>
      </c>
      <c r="I91" s="40">
        <f>I90-I88</f>
        <v>-3975</v>
      </c>
      <c r="J91" s="40">
        <f>I91+(J90-J88)</f>
        <v>-7950</v>
      </c>
      <c r="K91" s="40">
        <f t="shared" ref="K91:L91" si="118">J91+(K90-K88)</f>
        <v>-11925</v>
      </c>
      <c r="L91" s="40">
        <f t="shared" si="118"/>
        <v>-15900</v>
      </c>
      <c r="M91" s="40">
        <f>L91+(M90-M88)</f>
        <v>-19875</v>
      </c>
      <c r="N91" s="143">
        <f>M91+(N90-N88)</f>
        <v>-19875</v>
      </c>
      <c r="O91" s="166"/>
      <c r="P91" s="166"/>
      <c r="Q91" s="166"/>
      <c r="R91" s="165"/>
      <c r="S91" s="165"/>
      <c r="T91" s="166"/>
      <c r="U91" s="166"/>
      <c r="V91" s="166"/>
      <c r="W91" s="68">
        <f>N91+(W90-W88)</f>
        <v>-23850</v>
      </c>
      <c r="X91" s="40">
        <f>W91+(X90-X88)</f>
        <v>-27825</v>
      </c>
      <c r="Y91" s="40">
        <f t="shared" ref="Y91:Z91" si="119">X91+(Y90-Y88)</f>
        <v>-31800</v>
      </c>
      <c r="Z91" s="40">
        <f t="shared" si="119"/>
        <v>-35775</v>
      </c>
      <c r="AA91" s="40">
        <f>Z91+(AA90-AA88)</f>
        <v>-39750</v>
      </c>
      <c r="AB91" s="143">
        <f>AA91+(AB90-AB88)</f>
        <v>-39750</v>
      </c>
      <c r="AC91" s="166"/>
      <c r="AD91" s="68">
        <f>AB91+(AD90-AD88)</f>
        <v>-43725</v>
      </c>
      <c r="AE91" s="40">
        <f>AD91+(AE90-AE88)</f>
        <v>-47700</v>
      </c>
      <c r="AF91" s="40">
        <f t="shared" ref="AF91:AG91" si="120">AE91+(AF90-AF88)</f>
        <v>-51675</v>
      </c>
      <c r="AG91" s="40">
        <f t="shared" si="120"/>
        <v>-55650</v>
      </c>
      <c r="AH91" s="40">
        <f>AG91+(AH90-AH88)</f>
        <v>-59625</v>
      </c>
      <c r="AI91" s="143">
        <f>AH91+(AI90-AI88)</f>
        <v>-59625</v>
      </c>
      <c r="AJ91" s="166"/>
      <c r="AK91" s="68">
        <f>AI91+(AK90-AK88)</f>
        <v>-63600</v>
      </c>
      <c r="AL91" s="40">
        <f>AK91+(AL90-AL88)</f>
        <v>-67575</v>
      </c>
      <c r="AM91" s="113"/>
      <c r="AN91" s="57"/>
      <c r="AO91" s="57"/>
      <c r="AP91" s="57"/>
      <c r="AQ91" s="7"/>
      <c r="AR91" s="8"/>
      <c r="AS91" s="8"/>
      <c r="AT91" s="7"/>
      <c r="AU91" s="7"/>
      <c r="AV91" s="7"/>
      <c r="AW91" s="7"/>
    </row>
    <row r="92" spans="1:49">
      <c r="A92" s="244"/>
      <c r="B92" s="236"/>
      <c r="C92" s="203"/>
      <c r="D92" s="222"/>
      <c r="E92" s="196"/>
      <c r="F92" s="203"/>
      <c r="G92" s="72" t="s">
        <v>14</v>
      </c>
      <c r="H92" s="23" t="s">
        <v>40</v>
      </c>
      <c r="I92" s="39">
        <f t="shared" ref="I92:M92" si="121">$W$107*$D$74/5</f>
        <v>3975</v>
      </c>
      <c r="J92" s="39">
        <f t="shared" si="121"/>
        <v>3975</v>
      </c>
      <c r="K92" s="39">
        <f t="shared" si="121"/>
        <v>3975</v>
      </c>
      <c r="L92" s="39">
        <f t="shared" si="121"/>
        <v>3975</v>
      </c>
      <c r="M92" s="39">
        <f t="shared" si="121"/>
        <v>3975</v>
      </c>
      <c r="N92" s="149"/>
      <c r="O92" s="173"/>
      <c r="P92" s="173"/>
      <c r="Q92" s="173"/>
      <c r="R92" s="173"/>
      <c r="S92" s="173"/>
      <c r="T92" s="173"/>
      <c r="U92" s="173"/>
      <c r="V92" s="173"/>
      <c r="W92" s="39">
        <f>$W$107*$D$74/5</f>
        <v>3975</v>
      </c>
      <c r="X92" s="39">
        <f t="shared" ref="X92:Y92" si="122">$W$107*$D$74/5</f>
        <v>3975</v>
      </c>
      <c r="Y92" s="39">
        <f t="shared" si="122"/>
        <v>3975</v>
      </c>
      <c r="Z92" s="39">
        <f>$W$107*$D$74/5</f>
        <v>3975</v>
      </c>
      <c r="AA92" s="39">
        <f>$W$107*$D$74/5</f>
        <v>3975</v>
      </c>
      <c r="AB92" s="149"/>
      <c r="AC92" s="173"/>
      <c r="AD92" s="39">
        <f>$W$107*$D$74/5</f>
        <v>3975</v>
      </c>
      <c r="AE92" s="39">
        <f t="shared" ref="AE92:AF92" si="123">$W$107*$D$74/5</f>
        <v>3975</v>
      </c>
      <c r="AF92" s="39">
        <f t="shared" si="123"/>
        <v>3975</v>
      </c>
      <c r="AG92" s="39">
        <f>$W$107*$D$74/5</f>
        <v>3975</v>
      </c>
      <c r="AH92" s="39">
        <f>$W$107*$D$74/5</f>
        <v>3975</v>
      </c>
      <c r="AI92" s="149"/>
      <c r="AJ92" s="173"/>
      <c r="AK92" s="39">
        <f t="shared" ref="AK92:AM92" si="124">$W$107*$D$74/5</f>
        <v>3975</v>
      </c>
      <c r="AL92" s="39">
        <f t="shared" si="124"/>
        <v>3975</v>
      </c>
      <c r="AM92" s="39"/>
      <c r="AN92" s="57"/>
      <c r="AO92" s="57"/>
      <c r="AP92" s="57"/>
      <c r="AQ92" s="7"/>
      <c r="AR92" s="8"/>
      <c r="AS92" s="8"/>
      <c r="AT92" s="7"/>
      <c r="AU92" s="7"/>
      <c r="AV92" s="7"/>
      <c r="AW92" s="7"/>
    </row>
    <row r="93" spans="1:49">
      <c r="A93" s="244"/>
      <c r="B93" s="236"/>
      <c r="C93" s="203"/>
      <c r="D93" s="222"/>
      <c r="E93" s="196"/>
      <c r="F93" s="203"/>
      <c r="G93" s="27"/>
      <c r="H93" s="26" t="s">
        <v>0</v>
      </c>
      <c r="I93" s="22">
        <f>SUMIFS(' 押出ekstrusi'!$H$7:$H$1000,' 押出ekstrusi'!$A$7:$A$1000,'04'!I$2,' 押出ekstrusi'!$D$7:$D$1000,'04'!$A$74,' 押出ekstrusi'!$X$7:$X$1000,'04'!$G$92)</f>
        <v>0</v>
      </c>
      <c r="J93" s="22">
        <f>SUMIFS(' 押出ekstrusi'!$H$7:$H$1000,' 押出ekstrusi'!$A$7:$A$1000,'04'!J$2,' 押出ekstrusi'!$D$7:$D$1000,'04'!$A$74,' 押出ekstrusi'!$X$7:$X$1000,'04'!$G$92)</f>
        <v>0</v>
      </c>
      <c r="K93" s="22">
        <f>SUMIFS(' 押出ekstrusi'!$H$7:$H$1000,' 押出ekstrusi'!$A$7:$A$1000,'04'!K$2,' 押出ekstrusi'!$D$7:$D$1000,'04'!$A$74,' 押出ekstrusi'!$X$7:$X$1000,'04'!$G$92)</f>
        <v>0</v>
      </c>
      <c r="L93" s="22">
        <f>SUMIFS(' 押出ekstrusi'!$H$7:$H$1000,' 押出ekstrusi'!$A$7:$A$1000,'04'!L$2,' 押出ekstrusi'!$D$7:$D$1000,'04'!$A$74,' 押出ekstrusi'!$X$7:$X$1000,'04'!$G$92)</f>
        <v>0</v>
      </c>
      <c r="M93" s="22">
        <f>SUMIFS(' 押出ekstrusi'!$H$7:$H$1000,' 押出ekstrusi'!$A$7:$A$1000,'04'!M$2,' 押出ekstrusi'!$D$7:$D$1000,'04'!$A$74,' 押出ekstrusi'!$X$7:$X$1000,'04'!$G$92)</f>
        <v>0</v>
      </c>
      <c r="N93" s="22">
        <f>SUMIFS(' 押出ekstrusi'!$H$7:$H$1000,' 押出ekstrusi'!$A$7:$A$1000,'04'!N$2,' 押出ekstrusi'!$D$7:$D$1000,'04'!$A$74,' 押出ekstrusi'!$X$7:$X$1000,'04'!$G$92)</f>
        <v>0</v>
      </c>
      <c r="O93" s="165"/>
      <c r="P93" s="165"/>
      <c r="Q93" s="165"/>
      <c r="R93" s="165"/>
      <c r="S93" s="165"/>
      <c r="T93" s="165"/>
      <c r="U93" s="165"/>
      <c r="V93" s="165"/>
      <c r="W93" s="22">
        <f>SUMIFS(' 押出ekstrusi'!$H$7:$H$1000,' 押出ekstrusi'!$A$7:$A$1000,'04'!W$2,' 押出ekstrusi'!$D$7:$D$1000,'04'!$A$74,' 押出ekstrusi'!$X$7:$X$1000,'04'!$G$92)</f>
        <v>0</v>
      </c>
      <c r="X93" s="22">
        <f>SUMIFS(' 押出ekstrusi'!$H$7:$H$1000,' 押出ekstrusi'!$A$7:$A$1000,'04'!X$2,' 押出ekstrusi'!$D$7:$D$1000,'04'!$A$74,' 押出ekstrusi'!$X$7:$X$1000,'04'!$G$92)</f>
        <v>0</v>
      </c>
      <c r="Y93" s="22">
        <f>SUMIFS(' 押出ekstrusi'!$H$7:$H$1000,' 押出ekstrusi'!$A$7:$A$1000,'04'!Y$2,' 押出ekstrusi'!$D$7:$D$1000,'04'!$A$74,' 押出ekstrusi'!$X$7:$X$1000,'04'!$G$92)</f>
        <v>0</v>
      </c>
      <c r="Z93" s="22">
        <f>SUMIFS(' 押出ekstrusi'!$H$7:$H$1000,' 押出ekstrusi'!$A$7:$A$1000,'04'!Z$2,' 押出ekstrusi'!$D$7:$D$1000,'04'!$A$74,' 押出ekstrusi'!$X$7:$X$1000,'04'!$G$92)</f>
        <v>0</v>
      </c>
      <c r="AA93" s="22">
        <f>SUMIFS(' 押出ekstrusi'!$H$7:$H$1000,' 押出ekstrusi'!$A$7:$A$1000,'04'!AA$2,' 押出ekstrusi'!$D$7:$D$1000,'04'!$A$74,' 押出ekstrusi'!$X$7:$X$1000,'04'!$G$92)</f>
        <v>0</v>
      </c>
      <c r="AB93" s="22">
        <f>SUMIFS(' 押出ekstrusi'!$H$7:$H$1000,' 押出ekstrusi'!$A$7:$A$1000,'04'!AB$2,' 押出ekstrusi'!$D$7:$D$1000,'04'!$A$74,' 押出ekstrusi'!$X$7:$X$1000,'04'!$G$92)</f>
        <v>0</v>
      </c>
      <c r="AC93" s="165"/>
      <c r="AD93" s="22">
        <f>SUMIFS(' 押出ekstrusi'!$H$7:$H$1000,' 押出ekstrusi'!$A$7:$A$1000,'04'!AD$2,' 押出ekstrusi'!$D$7:$D$1000,'04'!$A$74,' 押出ekstrusi'!$X$7:$X$1000,'04'!$G$92)</f>
        <v>0</v>
      </c>
      <c r="AE93" s="22">
        <f>SUMIFS(' 押出ekstrusi'!$H$7:$H$1000,' 押出ekstrusi'!$A$7:$A$1000,'04'!AE$2,' 押出ekstrusi'!$D$7:$D$1000,'04'!$A$74,' 押出ekstrusi'!$X$7:$X$1000,'04'!$G$92)</f>
        <v>0</v>
      </c>
      <c r="AF93" s="22">
        <f>SUMIFS(' 押出ekstrusi'!$H$7:$H$1000,' 押出ekstrusi'!$A$7:$A$1000,'04'!AF$2,' 押出ekstrusi'!$D$7:$D$1000,'04'!$A$74,' 押出ekstrusi'!$X$7:$X$1000,'04'!$G$92)</f>
        <v>0</v>
      </c>
      <c r="AG93" s="22">
        <f>SUMIFS(' 押出ekstrusi'!$H$7:$H$1000,' 押出ekstrusi'!$A$7:$A$1000,'04'!AG$2,' 押出ekstrusi'!$D$7:$D$1000,'04'!$A$74,' 押出ekstrusi'!$X$7:$X$1000,'04'!$G$92)</f>
        <v>0</v>
      </c>
      <c r="AH93" s="22">
        <f>SUMIFS(' 押出ekstrusi'!$H$7:$H$1000,' 押出ekstrusi'!$A$7:$A$1000,'04'!AH$2,' 押出ekstrusi'!$D$7:$D$1000,'04'!$A$74,' 押出ekstrusi'!$X$7:$X$1000,'04'!$G$92)</f>
        <v>0</v>
      </c>
      <c r="AI93" s="22">
        <f>SUMIFS(' 押出ekstrusi'!$H$7:$H$1000,' 押出ekstrusi'!$A$7:$A$1000,'04'!AI$2,' 押出ekstrusi'!$D$7:$D$1000,'04'!$A$74,' 押出ekstrusi'!$X$7:$X$1000,'04'!$G$92)</f>
        <v>0</v>
      </c>
      <c r="AJ93" s="165"/>
      <c r="AK93" s="22">
        <f>SUMIFS(' 押出ekstrusi'!$H$7:$H$1000,' 押出ekstrusi'!$A$7:$A$1000,'04'!AK$2,' 押出ekstrusi'!$D$7:$D$1000,'04'!$A$74,' 押出ekstrusi'!$X$7:$X$1000,'04'!$G$92)</f>
        <v>0</v>
      </c>
      <c r="AL93" s="22">
        <f>SUMIFS(' 押出ekstrusi'!$H$7:$H$1000,' 押出ekstrusi'!$A$7:$A$1000,'04'!AL$2,' 押出ekstrusi'!$D$7:$D$1000,'04'!$A$74,' 押出ekstrusi'!$X$7:$X$1000,'04'!$G$92)</f>
        <v>0</v>
      </c>
      <c r="AM93" s="113"/>
      <c r="AN93" s="57"/>
      <c r="AO93" s="57"/>
      <c r="AP93" s="57"/>
      <c r="AQ93" s="7"/>
      <c r="AR93" s="8"/>
      <c r="AS93" s="8"/>
      <c r="AT93" s="7"/>
      <c r="AU93" s="7"/>
      <c r="AV93" s="7"/>
      <c r="AW93" s="7"/>
    </row>
    <row r="94" spans="1:49">
      <c r="A94" s="244"/>
      <c r="B94" s="236"/>
      <c r="C94" s="203"/>
      <c r="D94" s="222"/>
      <c r="E94" s="196"/>
      <c r="F94" s="203"/>
      <c r="G94" s="27"/>
      <c r="H94" s="26" t="s">
        <v>34</v>
      </c>
      <c r="I94" s="40">
        <f>I93-I92</f>
        <v>-3975</v>
      </c>
      <c r="J94" s="40">
        <f>I94+(J93-J92)</f>
        <v>-7950</v>
      </c>
      <c r="K94" s="40">
        <f t="shared" ref="K94:L94" si="125">J94+(K93-K92)</f>
        <v>-11925</v>
      </c>
      <c r="L94" s="40">
        <f t="shared" ref="L94" si="126">K94+(L93-L92)</f>
        <v>-15900</v>
      </c>
      <c r="M94" s="40">
        <f t="shared" ref="M94" si="127">L94+(M93-M92)</f>
        <v>-19875</v>
      </c>
      <c r="N94" s="151">
        <f>M94+(N93-N92)</f>
        <v>-19875</v>
      </c>
      <c r="O94" s="166"/>
      <c r="P94" s="166"/>
      <c r="Q94" s="166"/>
      <c r="R94" s="165"/>
      <c r="S94" s="165"/>
      <c r="T94" s="166"/>
      <c r="U94" s="166"/>
      <c r="V94" s="166"/>
      <c r="W94" s="68">
        <f>N94+(W93-W92)</f>
        <v>-23850</v>
      </c>
      <c r="X94" s="40">
        <f>W94+(X93-X92)</f>
        <v>-27825</v>
      </c>
      <c r="Y94" s="40">
        <f t="shared" ref="Y94:AA94" si="128">X94+(Y93-Y92)</f>
        <v>-31800</v>
      </c>
      <c r="Z94" s="40">
        <f t="shared" si="128"/>
        <v>-35775</v>
      </c>
      <c r="AA94" s="40">
        <f t="shared" si="128"/>
        <v>-39750</v>
      </c>
      <c r="AB94" s="143">
        <f>AA94+(AB93-AB92)</f>
        <v>-39750</v>
      </c>
      <c r="AC94" s="166"/>
      <c r="AD94" s="68">
        <f>AB94+(AD93-AD92)</f>
        <v>-43725</v>
      </c>
      <c r="AE94" s="40">
        <f>AD94+(AE93-AE92)</f>
        <v>-47700</v>
      </c>
      <c r="AF94" s="40">
        <f t="shared" ref="AF94:AH94" si="129">AE94+(AF93-AF92)</f>
        <v>-51675</v>
      </c>
      <c r="AG94" s="40">
        <f t="shared" si="129"/>
        <v>-55650</v>
      </c>
      <c r="AH94" s="40">
        <f t="shared" si="129"/>
        <v>-59625</v>
      </c>
      <c r="AI94" s="143">
        <f>AH94+(AI93-AI92)</f>
        <v>-59625</v>
      </c>
      <c r="AJ94" s="166"/>
      <c r="AK94" s="68">
        <f>AI94+(AK93-AK92)</f>
        <v>-63600</v>
      </c>
      <c r="AL94" s="40">
        <f>AK94+(AL93-AL92)</f>
        <v>-67575</v>
      </c>
      <c r="AM94" s="113"/>
      <c r="AN94" s="57"/>
      <c r="AO94" s="57"/>
      <c r="AP94" s="57"/>
      <c r="AQ94" s="7"/>
      <c r="AR94" s="8"/>
      <c r="AS94" s="8"/>
      <c r="AT94" s="7"/>
      <c r="AU94" s="7"/>
      <c r="AV94" s="7"/>
      <c r="AW94" s="7"/>
    </row>
    <row r="95" spans="1:49">
      <c r="A95" s="244"/>
      <c r="B95" s="236"/>
      <c r="C95" s="203"/>
      <c r="D95" s="222"/>
      <c r="E95" s="196"/>
      <c r="F95" s="203"/>
      <c r="G95" s="72" t="s">
        <v>98</v>
      </c>
      <c r="H95" s="23" t="s">
        <v>97</v>
      </c>
      <c r="I95" s="39">
        <f t="shared" ref="I95:M95" si="130">$W$107*$D$74/5</f>
        <v>3975</v>
      </c>
      <c r="J95" s="39">
        <f t="shared" si="130"/>
        <v>3975</v>
      </c>
      <c r="K95" s="39">
        <f t="shared" si="130"/>
        <v>3975</v>
      </c>
      <c r="L95" s="39">
        <f t="shared" si="130"/>
        <v>3975</v>
      </c>
      <c r="M95" s="39">
        <f t="shared" si="130"/>
        <v>3975</v>
      </c>
      <c r="N95" s="149"/>
      <c r="O95" s="173"/>
      <c r="P95" s="173"/>
      <c r="Q95" s="173"/>
      <c r="R95" s="173"/>
      <c r="S95" s="173"/>
      <c r="T95" s="173"/>
      <c r="U95" s="173"/>
      <c r="V95" s="173"/>
      <c r="W95" s="39">
        <f>$W$107*$D$74/5</f>
        <v>3975</v>
      </c>
      <c r="X95" s="39">
        <f t="shared" ref="X95:Y95" si="131">$W$107*$D$74/5</f>
        <v>3975</v>
      </c>
      <c r="Y95" s="39">
        <f t="shared" si="131"/>
        <v>3975</v>
      </c>
      <c r="Z95" s="39">
        <f>$W$107*$D$74/5</f>
        <v>3975</v>
      </c>
      <c r="AA95" s="39">
        <f>$W$107*$D$74/5</f>
        <v>3975</v>
      </c>
      <c r="AB95" s="149"/>
      <c r="AC95" s="173"/>
      <c r="AD95" s="39">
        <f t="shared" ref="AD95:AG95" si="132">$W$107*$D$74/5</f>
        <v>3975</v>
      </c>
      <c r="AE95" s="39">
        <f t="shared" si="132"/>
        <v>3975</v>
      </c>
      <c r="AF95" s="39">
        <f t="shared" si="132"/>
        <v>3975</v>
      </c>
      <c r="AG95" s="39">
        <f t="shared" si="132"/>
        <v>3975</v>
      </c>
      <c r="AH95" s="39">
        <f>$W$107*$D$74/5</f>
        <v>3975</v>
      </c>
      <c r="AI95" s="149"/>
      <c r="AJ95" s="173"/>
      <c r="AK95" s="39">
        <f t="shared" ref="AK95:AM95" si="133">$W$107*$D$74/5</f>
        <v>3975</v>
      </c>
      <c r="AL95" s="39">
        <f t="shared" si="133"/>
        <v>3975</v>
      </c>
      <c r="AM95" s="39"/>
      <c r="AN95" s="57"/>
      <c r="AO95" s="57"/>
      <c r="AP95" s="57"/>
      <c r="AQ95" s="7"/>
      <c r="AR95" s="8"/>
      <c r="AS95" s="8"/>
      <c r="AT95" s="7"/>
      <c r="AU95" s="7"/>
      <c r="AV95" s="7"/>
      <c r="AW95" s="7"/>
    </row>
    <row r="96" spans="1:49">
      <c r="A96" s="244"/>
      <c r="B96" s="236"/>
      <c r="C96" s="203"/>
      <c r="D96" s="222"/>
      <c r="E96" s="196"/>
      <c r="F96" s="203"/>
      <c r="G96" s="72"/>
      <c r="H96" s="23" t="s">
        <v>7</v>
      </c>
      <c r="I96" s="71">
        <v>1</v>
      </c>
      <c r="J96" s="71">
        <v>1</v>
      </c>
      <c r="K96" s="71">
        <v>1</v>
      </c>
      <c r="L96" s="71">
        <v>1</v>
      </c>
      <c r="M96" s="71">
        <v>1</v>
      </c>
      <c r="N96" s="21"/>
      <c r="O96" s="165"/>
      <c r="P96" s="165"/>
      <c r="Q96" s="165"/>
      <c r="R96" s="165"/>
      <c r="S96" s="165"/>
      <c r="T96" s="165"/>
      <c r="U96" s="165"/>
      <c r="V96" s="165"/>
      <c r="W96" s="71">
        <v>1</v>
      </c>
      <c r="X96" s="71">
        <v>1</v>
      </c>
      <c r="Y96" s="71">
        <v>1</v>
      </c>
      <c r="Z96" s="71">
        <v>1</v>
      </c>
      <c r="AA96" s="71">
        <v>1</v>
      </c>
      <c r="AB96" s="21"/>
      <c r="AC96" s="165"/>
      <c r="AD96" s="71">
        <v>1</v>
      </c>
      <c r="AE96" s="71">
        <v>1</v>
      </c>
      <c r="AF96" s="71">
        <v>1</v>
      </c>
      <c r="AG96" s="71">
        <v>1</v>
      </c>
      <c r="AH96" s="71">
        <v>1</v>
      </c>
      <c r="AI96" s="21"/>
      <c r="AJ96" s="165"/>
      <c r="AK96" s="71">
        <v>1</v>
      </c>
      <c r="AL96" s="71">
        <v>1</v>
      </c>
      <c r="AM96" s="71"/>
      <c r="AN96" s="57"/>
      <c r="AO96" s="57"/>
      <c r="AP96" s="57"/>
      <c r="AQ96" s="7"/>
      <c r="AR96" s="8"/>
      <c r="AS96" s="8"/>
      <c r="AT96" s="7"/>
      <c r="AU96" s="7"/>
      <c r="AV96" s="7"/>
      <c r="AW96" s="7"/>
    </row>
    <row r="97" spans="1:49">
      <c r="A97" s="244"/>
      <c r="B97" s="236"/>
      <c r="C97" s="203"/>
      <c r="D97" s="222"/>
      <c r="E97" s="196"/>
      <c r="F97" s="203"/>
      <c r="G97" s="27"/>
      <c r="H97" s="26" t="s">
        <v>0</v>
      </c>
      <c r="I97" s="22">
        <f>SUMIFS(' 押出ekstrusi'!$H$7:$H$1000,' 押出ekstrusi'!$A$7:$A$1000,'04'!I$2,' 押出ekstrusi'!$D$7:$D$1000,'04'!$A$74,' 押出ekstrusi'!$X$7:$X$1000,'04'!$G$95)</f>
        <v>0</v>
      </c>
      <c r="J97" s="22">
        <f>SUMIFS(' 押出ekstrusi'!$H$7:$H$1000,' 押出ekstrusi'!$A$7:$A$1000,'04'!J$2,' 押出ekstrusi'!$D$7:$D$1000,'04'!$A$74,' 押出ekstrusi'!$X$7:$X$1000,'04'!$G$95)</f>
        <v>0</v>
      </c>
      <c r="K97" s="22">
        <f>SUMIFS(' 押出ekstrusi'!$H$7:$H$1000,' 押出ekstrusi'!$A$7:$A$1000,'04'!K$2,' 押出ekstrusi'!$D$7:$D$1000,'04'!$A$74,' 押出ekstrusi'!$X$7:$X$1000,'04'!$G$95)</f>
        <v>0</v>
      </c>
      <c r="L97" s="22">
        <f>SUMIFS(' 押出ekstrusi'!$H$7:$H$1000,' 押出ekstrusi'!$A$7:$A$1000,'04'!L$2,' 押出ekstrusi'!$D$7:$D$1000,'04'!$A$74,' 押出ekstrusi'!$X$7:$X$1000,'04'!$G$95)</f>
        <v>0</v>
      </c>
      <c r="M97" s="22">
        <f>SUMIFS(' 押出ekstrusi'!$H$7:$H$1000,' 押出ekstrusi'!$A$7:$A$1000,'04'!M$2,' 押出ekstrusi'!$D$7:$D$1000,'04'!$A$74,' 押出ekstrusi'!$X$7:$X$1000,'04'!$G$95)</f>
        <v>0</v>
      </c>
      <c r="N97" s="22">
        <f>SUMIFS(' 押出ekstrusi'!$H$7:$H$1000,' 押出ekstrusi'!$A$7:$A$1000,'04'!N$2,' 押出ekstrusi'!$D$7:$D$1000,'04'!$A$74,' 押出ekstrusi'!$X$7:$X$1000,'04'!$G$95)</f>
        <v>0</v>
      </c>
      <c r="O97" s="165"/>
      <c r="P97" s="165"/>
      <c r="Q97" s="165"/>
      <c r="R97" s="165"/>
      <c r="S97" s="165"/>
      <c r="T97" s="165"/>
      <c r="U97" s="165"/>
      <c r="V97" s="165"/>
      <c r="W97" s="22">
        <f>SUMIFS(' 押出ekstrusi'!$H$7:$H$1000,' 押出ekstrusi'!$A$7:$A$1000,'04'!W$2,' 押出ekstrusi'!$D$7:$D$1000,'04'!$A$74,' 押出ekstrusi'!$X$7:$X$1000,'04'!$G$95)</f>
        <v>0</v>
      </c>
      <c r="X97" s="22">
        <f>SUMIFS(' 押出ekstrusi'!$H$7:$H$1000,' 押出ekstrusi'!$A$7:$A$1000,'04'!X$2,' 押出ekstrusi'!$D$7:$D$1000,'04'!$A$74,' 押出ekstrusi'!$X$7:$X$1000,'04'!$G$95)</f>
        <v>0</v>
      </c>
      <c r="Y97" s="22">
        <f>SUMIFS(' 押出ekstrusi'!$H$7:$H$1000,' 押出ekstrusi'!$A$7:$A$1000,'04'!Y$2,' 押出ekstrusi'!$D$7:$D$1000,'04'!$A$74,' 押出ekstrusi'!$X$7:$X$1000,'04'!$G$95)</f>
        <v>0</v>
      </c>
      <c r="Z97" s="22">
        <f>SUMIFS(' 押出ekstrusi'!$H$7:$H$1000,' 押出ekstrusi'!$A$7:$A$1000,'04'!Z$2,' 押出ekstrusi'!$D$7:$D$1000,'04'!$A$74,' 押出ekstrusi'!$X$7:$X$1000,'04'!$G$95)</f>
        <v>0</v>
      </c>
      <c r="AA97" s="22">
        <f>SUMIFS(' 押出ekstrusi'!$H$7:$H$1000,' 押出ekstrusi'!$A$7:$A$1000,'04'!AA$2,' 押出ekstrusi'!$D$7:$D$1000,'04'!$A$74,' 押出ekstrusi'!$X$7:$X$1000,'04'!$G$95)</f>
        <v>0</v>
      </c>
      <c r="AB97" s="22">
        <f>SUMIFS(' 押出ekstrusi'!$H$7:$H$1000,' 押出ekstrusi'!$A$7:$A$1000,'04'!AB$2,' 押出ekstrusi'!$D$7:$D$1000,'04'!$A$74,' 押出ekstrusi'!$X$7:$X$1000,'04'!$G$95)</f>
        <v>0</v>
      </c>
      <c r="AC97" s="165"/>
      <c r="AD97" s="22">
        <f>SUMIFS(' 押出ekstrusi'!$H$7:$H$1000,' 押出ekstrusi'!$A$7:$A$1000,'04'!AD$2,' 押出ekstrusi'!$D$7:$D$1000,'04'!$A$74,' 押出ekstrusi'!$X$7:$X$1000,'04'!$G$95)</f>
        <v>0</v>
      </c>
      <c r="AE97" s="22">
        <f>SUMIFS(' 押出ekstrusi'!$H$7:$H$1000,' 押出ekstrusi'!$A$7:$A$1000,'04'!AE$2,' 押出ekstrusi'!$D$7:$D$1000,'04'!$A$74,' 押出ekstrusi'!$X$7:$X$1000,'04'!$G$95)</f>
        <v>0</v>
      </c>
      <c r="AF97" s="22">
        <f>SUMIFS(' 押出ekstrusi'!$H$7:$H$1000,' 押出ekstrusi'!$A$7:$A$1000,'04'!AF$2,' 押出ekstrusi'!$D$7:$D$1000,'04'!$A$74,' 押出ekstrusi'!$X$7:$X$1000,'04'!$G$95)</f>
        <v>0</v>
      </c>
      <c r="AG97" s="22">
        <f>SUMIFS(' 押出ekstrusi'!$H$7:$H$1000,' 押出ekstrusi'!$A$7:$A$1000,'04'!AG$2,' 押出ekstrusi'!$D$7:$D$1000,'04'!$A$74,' 押出ekstrusi'!$X$7:$X$1000,'04'!$G$95)</f>
        <v>0</v>
      </c>
      <c r="AH97" s="22">
        <f>SUMIFS(' 押出ekstrusi'!$H$7:$H$1000,' 押出ekstrusi'!$A$7:$A$1000,'04'!AH$2,' 押出ekstrusi'!$D$7:$D$1000,'04'!$A$74,' 押出ekstrusi'!$X$7:$X$1000,'04'!$G$95)</f>
        <v>0</v>
      </c>
      <c r="AI97" s="22">
        <f>SUMIFS(' 押出ekstrusi'!$H$7:$H$1000,' 押出ekstrusi'!$A$7:$A$1000,'04'!AI$2,' 押出ekstrusi'!$D$7:$D$1000,'04'!$A$74,' 押出ekstrusi'!$X$7:$X$1000,'04'!$G$95)</f>
        <v>0</v>
      </c>
      <c r="AJ97" s="165"/>
      <c r="AK97" s="22">
        <f>SUMIFS(' 押出ekstrusi'!$H$7:$H$1000,' 押出ekstrusi'!$A$7:$A$1000,'04'!AK$2,' 押出ekstrusi'!$D$7:$D$1000,'04'!$A$74,' 押出ekstrusi'!$X$7:$X$1000,'04'!$G$95)</f>
        <v>0</v>
      </c>
      <c r="AL97" s="22">
        <f>SUMIFS(' 押出ekstrusi'!$H$7:$H$1000,' 押出ekstrusi'!$A$7:$A$1000,'04'!AL$2,' 押出ekstrusi'!$D$7:$D$1000,'04'!$A$74,' 押出ekstrusi'!$X$7:$X$1000,'04'!$G$95)</f>
        <v>0</v>
      </c>
      <c r="AM97" s="113"/>
      <c r="AN97" s="57"/>
      <c r="AO97" s="57"/>
      <c r="AP97" s="57"/>
      <c r="AQ97" s="7"/>
      <c r="AR97" s="8"/>
      <c r="AS97" s="8"/>
      <c r="AT97" s="7"/>
      <c r="AU97" s="7"/>
      <c r="AV97" s="7"/>
      <c r="AW97" s="7"/>
    </row>
    <row r="98" spans="1:49">
      <c r="A98" s="244"/>
      <c r="B98" s="236"/>
      <c r="C98" s="203"/>
      <c r="D98" s="222"/>
      <c r="E98" s="196"/>
      <c r="F98" s="203"/>
      <c r="G98" s="27"/>
      <c r="H98" s="26" t="s">
        <v>34</v>
      </c>
      <c r="I98" s="40">
        <f>I97-I95</f>
        <v>-3975</v>
      </c>
      <c r="J98" s="40">
        <f>I98+(J97-J95)</f>
        <v>-7950</v>
      </c>
      <c r="K98" s="40">
        <f t="shared" ref="K98:M98" si="134">J98+(K97-K95)</f>
        <v>-11925</v>
      </c>
      <c r="L98" s="40">
        <f t="shared" si="134"/>
        <v>-15900</v>
      </c>
      <c r="M98" s="40">
        <f t="shared" si="134"/>
        <v>-19875</v>
      </c>
      <c r="N98" s="143">
        <f>M98+(N97-N95)</f>
        <v>-19875</v>
      </c>
      <c r="O98" s="166"/>
      <c r="P98" s="166"/>
      <c r="Q98" s="166"/>
      <c r="R98" s="165"/>
      <c r="S98" s="165"/>
      <c r="T98" s="166"/>
      <c r="U98" s="166"/>
      <c r="V98" s="166"/>
      <c r="W98" s="68">
        <f>N98+(W97-W95)</f>
        <v>-23850</v>
      </c>
      <c r="X98" s="40">
        <f>W98+(X97-X95)</f>
        <v>-27825</v>
      </c>
      <c r="Y98" s="40">
        <f t="shared" ref="Y98:AA98" si="135">X98+(Y97-Y95)</f>
        <v>-31800</v>
      </c>
      <c r="Z98" s="40">
        <f t="shared" si="135"/>
        <v>-35775</v>
      </c>
      <c r="AA98" s="40">
        <f t="shared" si="135"/>
        <v>-39750</v>
      </c>
      <c r="AB98" s="143">
        <f>AA98+(AB97-AB95)</f>
        <v>-39750</v>
      </c>
      <c r="AC98" s="166"/>
      <c r="AD98" s="68">
        <f>AB98+(AD97-AD95)</f>
        <v>-43725</v>
      </c>
      <c r="AE98" s="40">
        <f>AD98+(AE97-AE95)</f>
        <v>-47700</v>
      </c>
      <c r="AF98" s="40">
        <f t="shared" ref="AF98:AH98" si="136">AE98+(AF97-AF95)</f>
        <v>-51675</v>
      </c>
      <c r="AG98" s="40">
        <f t="shared" si="136"/>
        <v>-55650</v>
      </c>
      <c r="AH98" s="40">
        <f t="shared" si="136"/>
        <v>-59625</v>
      </c>
      <c r="AI98" s="151">
        <f>AH98+(AI97-AI95)</f>
        <v>-59625</v>
      </c>
      <c r="AJ98" s="166"/>
      <c r="AK98" s="68">
        <f>AI98+(AK97-AK95)</f>
        <v>-63600</v>
      </c>
      <c r="AL98" s="40">
        <f>AK98+(AL97-AL95)</f>
        <v>-67575</v>
      </c>
      <c r="AM98" s="113"/>
      <c r="AN98" s="57"/>
      <c r="AO98" s="57"/>
      <c r="AP98" s="57"/>
      <c r="AQ98" s="7"/>
      <c r="AR98" s="8"/>
      <c r="AS98" s="8"/>
      <c r="AT98" s="7"/>
      <c r="AU98" s="7"/>
      <c r="AV98" s="7"/>
      <c r="AW98" s="7"/>
    </row>
    <row r="99" spans="1:49">
      <c r="A99" s="244"/>
      <c r="B99" s="236"/>
      <c r="C99" s="203"/>
      <c r="D99" s="222"/>
      <c r="E99" s="196"/>
      <c r="F99" s="203"/>
      <c r="G99" s="72"/>
      <c r="H99" s="23" t="s">
        <v>96</v>
      </c>
      <c r="I99" s="71">
        <f t="shared" ref="I99:M99" si="137">$W$107*$D$74/5</f>
        <v>3975</v>
      </c>
      <c r="J99" s="71">
        <f t="shared" si="137"/>
        <v>3975</v>
      </c>
      <c r="K99" s="71">
        <f t="shared" si="137"/>
        <v>3975</v>
      </c>
      <c r="L99" s="71">
        <f t="shared" si="137"/>
        <v>3975</v>
      </c>
      <c r="M99" s="71">
        <f t="shared" si="137"/>
        <v>3975</v>
      </c>
      <c r="N99" s="21"/>
      <c r="O99" s="165"/>
      <c r="P99" s="165"/>
      <c r="Q99" s="165"/>
      <c r="R99" s="165"/>
      <c r="S99" s="165"/>
      <c r="T99" s="165"/>
      <c r="U99" s="165"/>
      <c r="V99" s="165"/>
      <c r="W99" s="71">
        <f>$W$107*$D$74/5</f>
        <v>3975</v>
      </c>
      <c r="X99" s="71">
        <f t="shared" ref="X99:Y99" si="138">$W$107*$D$74/5</f>
        <v>3975</v>
      </c>
      <c r="Y99" s="71">
        <f t="shared" si="138"/>
        <v>3975</v>
      </c>
      <c r="Z99" s="71">
        <f>$W$107*$D$74/5</f>
        <v>3975</v>
      </c>
      <c r="AA99" s="71">
        <f>$W$107*$D$74/5</f>
        <v>3975</v>
      </c>
      <c r="AB99" s="21"/>
      <c r="AC99" s="165"/>
      <c r="AD99" s="71">
        <f>$W$107*$D$74/5</f>
        <v>3975</v>
      </c>
      <c r="AE99" s="71">
        <f t="shared" ref="AE99:AF99" si="139">$W$107*$D$74/5</f>
        <v>3975</v>
      </c>
      <c r="AF99" s="71">
        <f t="shared" si="139"/>
        <v>3975</v>
      </c>
      <c r="AG99" s="71">
        <f>$W$107*$D$74/5</f>
        <v>3975</v>
      </c>
      <c r="AH99" s="71">
        <f>$W$107*$D$74/5</f>
        <v>3975</v>
      </c>
      <c r="AI99" s="21"/>
      <c r="AJ99" s="165"/>
      <c r="AK99" s="71">
        <f t="shared" ref="AK99:AM99" si="140">$W$107*$D$74/5</f>
        <v>3975</v>
      </c>
      <c r="AL99" s="71">
        <f t="shared" si="140"/>
        <v>3975</v>
      </c>
      <c r="AM99" s="71"/>
      <c r="AN99" s="57"/>
      <c r="AO99" s="57"/>
      <c r="AP99" s="57"/>
      <c r="AQ99" s="7"/>
      <c r="AR99" s="8"/>
      <c r="AS99" s="8"/>
      <c r="AT99" s="7"/>
      <c r="AU99" s="7"/>
      <c r="AV99" s="7"/>
      <c r="AW99" s="7"/>
    </row>
    <row r="100" spans="1:49">
      <c r="A100" s="244"/>
      <c r="B100" s="236"/>
      <c r="C100" s="203"/>
      <c r="D100" s="222"/>
      <c r="E100" s="196"/>
      <c r="F100" s="203"/>
      <c r="G100" s="72"/>
      <c r="H100" s="23" t="s">
        <v>5</v>
      </c>
      <c r="I100" s="71">
        <v>1</v>
      </c>
      <c r="J100" s="71">
        <v>1</v>
      </c>
      <c r="K100" s="71">
        <v>1</v>
      </c>
      <c r="L100" s="71">
        <v>1</v>
      </c>
      <c r="M100" s="71">
        <v>1</v>
      </c>
      <c r="N100" s="21"/>
      <c r="O100" s="165"/>
      <c r="P100" s="165"/>
      <c r="Q100" s="165"/>
      <c r="R100" s="165"/>
      <c r="S100" s="165"/>
      <c r="T100" s="165"/>
      <c r="U100" s="165"/>
      <c r="V100" s="165"/>
      <c r="W100" s="71">
        <v>1</v>
      </c>
      <c r="X100" s="71">
        <v>1</v>
      </c>
      <c r="Y100" s="71">
        <v>1</v>
      </c>
      <c r="Z100" s="71">
        <v>1</v>
      </c>
      <c r="AA100" s="71">
        <v>1</v>
      </c>
      <c r="AB100" s="21"/>
      <c r="AC100" s="165"/>
      <c r="AD100" s="71">
        <v>1</v>
      </c>
      <c r="AE100" s="71">
        <v>1</v>
      </c>
      <c r="AF100" s="71">
        <v>1</v>
      </c>
      <c r="AG100" s="71">
        <v>1</v>
      </c>
      <c r="AH100" s="71">
        <v>1</v>
      </c>
      <c r="AI100" s="21"/>
      <c r="AJ100" s="165"/>
      <c r="AK100" s="71">
        <v>1</v>
      </c>
      <c r="AL100" s="71">
        <v>1</v>
      </c>
      <c r="AM100" s="71"/>
      <c r="AN100" s="57"/>
      <c r="AO100" s="57"/>
      <c r="AP100" s="57"/>
      <c r="AQ100" s="7"/>
      <c r="AR100" s="8"/>
      <c r="AS100" s="8"/>
      <c r="AT100" s="7"/>
      <c r="AU100" s="7"/>
      <c r="AV100" s="7"/>
      <c r="AW100" s="7"/>
    </row>
    <row r="101" spans="1:49">
      <c r="A101" s="244"/>
      <c r="B101" s="236"/>
      <c r="C101" s="203"/>
      <c r="D101" s="222"/>
      <c r="E101" s="196"/>
      <c r="F101" s="203"/>
      <c r="G101" s="43"/>
      <c r="H101" s="26" t="s">
        <v>0</v>
      </c>
      <c r="I101" s="22">
        <f>SUMIFS('總絞Twisting core'!$K$7:$K$1000,'總絞Twisting core'!$A$7:$A$1000,'04'!I$2,'總絞Twisting core'!$D$7:$D$1000,'04'!$A$74)</f>
        <v>0</v>
      </c>
      <c r="J101" s="22">
        <f>SUMIFS('總絞Twisting core'!$K$7:$K$1000,'總絞Twisting core'!$A$7:$A$1000,'04'!J$2,'總絞Twisting core'!$D$7:$D$1000,'04'!$A$74)</f>
        <v>0</v>
      </c>
      <c r="K101" s="22">
        <f>SUMIFS('總絞Twisting core'!$K$7:$K$1000,'總絞Twisting core'!$A$7:$A$1000,'04'!K$2,'總絞Twisting core'!$D$7:$D$1000,'04'!$A$74)</f>
        <v>0</v>
      </c>
      <c r="L101" s="22">
        <f>SUMIFS('總絞Twisting core'!$K$7:$K$1000,'總絞Twisting core'!$A$7:$A$1000,'04'!L$2,'總絞Twisting core'!$D$7:$D$1000,'04'!$A$74)</f>
        <v>0</v>
      </c>
      <c r="M101" s="22">
        <f>SUMIFS('總絞Twisting core'!$K$7:$K$1000,'總絞Twisting core'!$A$7:$A$1000,'04'!M$2,'總絞Twisting core'!$D$7:$D$1000,'04'!$A$74)</f>
        <v>0</v>
      </c>
      <c r="N101" s="22">
        <f>SUMIFS('總絞Twisting core'!$K$7:$K$1000,'總絞Twisting core'!$A$7:$A$1000,'04'!N$2,'總絞Twisting core'!$D$7:$D$1000,'04'!$A$74)</f>
        <v>0</v>
      </c>
      <c r="O101" s="165"/>
      <c r="P101" s="165"/>
      <c r="Q101" s="165"/>
      <c r="R101" s="165"/>
      <c r="S101" s="165"/>
      <c r="T101" s="165"/>
      <c r="U101" s="165"/>
      <c r="V101" s="165"/>
      <c r="W101" s="22">
        <f>SUMIFS('總絞Twisting core'!$K$7:$K$1000,'總絞Twisting core'!$A$7:$A$1000,'04'!W$2,'總絞Twisting core'!$D$7:$D$1000,'04'!$A$74)</f>
        <v>0</v>
      </c>
      <c r="X101" s="22">
        <f>SUMIFS('總絞Twisting core'!$K$7:$K$1000,'總絞Twisting core'!$A$7:$A$1000,'04'!X$2,'總絞Twisting core'!$D$7:$D$1000,'04'!$A$74)</f>
        <v>0</v>
      </c>
      <c r="Y101" s="22">
        <f>SUMIFS('總絞Twisting core'!$K$7:$K$1000,'總絞Twisting core'!$A$7:$A$1000,'04'!Y$2,'總絞Twisting core'!$D$7:$D$1000,'04'!$A$74)</f>
        <v>0</v>
      </c>
      <c r="Z101" s="22">
        <f>SUMIFS('總絞Twisting core'!$K$7:$K$1000,'總絞Twisting core'!$A$7:$A$1000,'04'!Z$2,'總絞Twisting core'!$D$7:$D$1000,'04'!$A$74)</f>
        <v>0</v>
      </c>
      <c r="AA101" s="22">
        <f>SUMIFS('總絞Twisting core'!$K$7:$K$1000,'總絞Twisting core'!$A$7:$A$1000,'04'!AA$2,'總絞Twisting core'!$D$7:$D$1000,'04'!$A$74)</f>
        <v>0</v>
      </c>
      <c r="AB101" s="22">
        <f>SUMIFS('總絞Twisting core'!$K$7:$K$1000,'總絞Twisting core'!$A$7:$A$1000,'04'!AB$2,'總絞Twisting core'!$D$7:$D$1000,'04'!$A$74)</f>
        <v>0</v>
      </c>
      <c r="AC101" s="165"/>
      <c r="AD101" s="22">
        <f>SUMIFS('總絞Twisting core'!$K$7:$K$1000,'總絞Twisting core'!$A$7:$A$1000,'04'!AD$2,'總絞Twisting core'!$D$7:$D$1000,'04'!$A$74)</f>
        <v>0</v>
      </c>
      <c r="AE101" s="22">
        <f>SUMIFS('總絞Twisting core'!$K$7:$K$1000,'總絞Twisting core'!$A$7:$A$1000,'04'!AE$2,'總絞Twisting core'!$D$7:$D$1000,'04'!$A$74)</f>
        <v>0</v>
      </c>
      <c r="AF101" s="22">
        <f>SUMIFS('總絞Twisting core'!$K$7:$K$1000,'總絞Twisting core'!$A$7:$A$1000,'04'!AF$2,'總絞Twisting core'!$D$7:$D$1000,'04'!$A$74)</f>
        <v>0</v>
      </c>
      <c r="AG101" s="22">
        <f>SUMIFS('總絞Twisting core'!$K$7:$K$1000,'總絞Twisting core'!$A$7:$A$1000,'04'!AG$2,'總絞Twisting core'!$D$7:$D$1000,'04'!$A$74)</f>
        <v>0</v>
      </c>
      <c r="AH101" s="22">
        <f>SUMIFS('總絞Twisting core'!$K$7:$K$1000,'總絞Twisting core'!$A$7:$A$1000,'04'!AH$2,'總絞Twisting core'!$D$7:$D$1000,'04'!$A$74)</f>
        <v>0</v>
      </c>
      <c r="AI101" s="22">
        <f>SUMIFS('總絞Twisting core'!$K$7:$K$1000,'總絞Twisting core'!$A$7:$A$1000,'04'!AI$2,'總絞Twisting core'!$D$7:$D$1000,'04'!$A$74)</f>
        <v>0</v>
      </c>
      <c r="AJ101" s="165"/>
      <c r="AK101" s="22">
        <f>SUMIFS('總絞Twisting core'!$K$7:$K$1000,'總絞Twisting core'!$A$7:$A$1000,'04'!AK$2,'總絞Twisting core'!$D$7:$D$1000,'04'!$A$74)</f>
        <v>0</v>
      </c>
      <c r="AL101" s="22">
        <f>SUMIFS('總絞Twisting core'!$K$7:$K$1000,'總絞Twisting core'!$A$7:$A$1000,'04'!AL$2,'總絞Twisting core'!$D$7:$D$1000,'04'!$A$74)</f>
        <v>0</v>
      </c>
      <c r="AM101" s="113"/>
      <c r="AN101" s="57"/>
      <c r="AO101" s="57"/>
      <c r="AP101" s="57"/>
      <c r="AQ101" s="7"/>
      <c r="AR101" s="8"/>
      <c r="AS101" s="8"/>
      <c r="AT101" s="7"/>
      <c r="AU101" s="7"/>
      <c r="AV101" s="7"/>
      <c r="AW101" s="7"/>
    </row>
    <row r="102" spans="1:49">
      <c r="A102" s="244"/>
      <c r="B102" s="236"/>
      <c r="C102" s="203"/>
      <c r="D102" s="222"/>
      <c r="E102" s="196"/>
      <c r="F102" s="203"/>
      <c r="G102" s="43"/>
      <c r="H102" s="26" t="s">
        <v>34</v>
      </c>
      <c r="I102" s="40">
        <f>I101-I99</f>
        <v>-3975</v>
      </c>
      <c r="J102" s="40">
        <f>I102+(J101-J99)</f>
        <v>-7950</v>
      </c>
      <c r="K102" s="40">
        <f>J102+(K101-K99)</f>
        <v>-11925</v>
      </c>
      <c r="L102" s="40">
        <f>K102+(L101-L99)</f>
        <v>-15900</v>
      </c>
      <c r="M102" s="40">
        <f>L102+(M101-M99)</f>
        <v>-19875</v>
      </c>
      <c r="N102" s="143">
        <f>M102+(N101-N99)</f>
        <v>-19875</v>
      </c>
      <c r="O102" s="166"/>
      <c r="P102" s="166"/>
      <c r="Q102" s="166"/>
      <c r="R102" s="165"/>
      <c r="S102" s="165"/>
      <c r="T102" s="166"/>
      <c r="U102" s="166"/>
      <c r="V102" s="166"/>
      <c r="W102" s="40">
        <f>N102+(W101-W99)</f>
        <v>-23850</v>
      </c>
      <c r="X102" s="40">
        <f>W102+(X101-X99)</f>
        <v>-27825</v>
      </c>
      <c r="Y102" s="40">
        <f t="shared" ref="Y102:AA102" si="141">X102+(Y101-Y99)</f>
        <v>-31800</v>
      </c>
      <c r="Z102" s="40">
        <f t="shared" si="141"/>
        <v>-35775</v>
      </c>
      <c r="AA102" s="40">
        <f t="shared" si="141"/>
        <v>-39750</v>
      </c>
      <c r="AB102" s="143">
        <f>AA102+(AB101-AB99)</f>
        <v>-39750</v>
      </c>
      <c r="AC102" s="166"/>
      <c r="AD102" s="40">
        <f>AB102+(AD101-AD99)</f>
        <v>-43725</v>
      </c>
      <c r="AE102" s="40">
        <f>AD102+(AE101-AE99)</f>
        <v>-47700</v>
      </c>
      <c r="AF102" s="40">
        <f t="shared" ref="AF102:AH102" si="142">AE102+(AF101-AF99)</f>
        <v>-51675</v>
      </c>
      <c r="AG102" s="40">
        <f t="shared" si="142"/>
        <v>-55650</v>
      </c>
      <c r="AH102" s="40">
        <f t="shared" si="142"/>
        <v>-59625</v>
      </c>
      <c r="AI102" s="143">
        <f>AH102+(AI101-AI99)</f>
        <v>-59625</v>
      </c>
      <c r="AJ102" s="166"/>
      <c r="AK102" s="40">
        <f>AI102+(AK101-AK99)</f>
        <v>-63600</v>
      </c>
      <c r="AL102" s="40">
        <f>AK102+(AL101-AL99)</f>
        <v>-67575</v>
      </c>
      <c r="AM102" s="113"/>
      <c r="AN102" s="57"/>
      <c r="AO102" s="57"/>
      <c r="AP102" s="57"/>
      <c r="AQ102" s="6"/>
      <c r="AR102" s="8"/>
      <c r="AS102" s="8"/>
      <c r="AT102" s="6"/>
      <c r="AU102" s="7"/>
      <c r="AV102" s="6"/>
      <c r="AW102" s="6"/>
    </row>
    <row r="103" spans="1:49">
      <c r="A103" s="244"/>
      <c r="B103" s="236"/>
      <c r="C103" s="203"/>
      <c r="D103" s="222"/>
      <c r="E103" s="196"/>
      <c r="F103" s="203"/>
      <c r="G103" s="72"/>
      <c r="H103" s="23" t="s">
        <v>75</v>
      </c>
      <c r="I103" s="71">
        <f t="shared" ref="I103:K103" si="143">$W$107*$D$74/5</f>
        <v>3975</v>
      </c>
      <c r="J103" s="71">
        <f t="shared" si="143"/>
        <v>3975</v>
      </c>
      <c r="K103" s="71">
        <f t="shared" si="143"/>
        <v>3975</v>
      </c>
      <c r="L103" s="71">
        <f>$W$107*$D$74/5</f>
        <v>3975</v>
      </c>
      <c r="M103" s="71">
        <f>$W$107*$D$74/5</f>
        <v>3975</v>
      </c>
      <c r="N103" s="21"/>
      <c r="O103" s="165"/>
      <c r="P103" s="165"/>
      <c r="Q103" s="165"/>
      <c r="R103" s="165"/>
      <c r="S103" s="165"/>
      <c r="T103" s="165"/>
      <c r="U103" s="165"/>
      <c r="V103" s="165"/>
      <c r="W103" s="71">
        <f>$W$107*$D$74/5</f>
        <v>3975</v>
      </c>
      <c r="X103" s="71">
        <f t="shared" ref="X103:Y103" si="144">$W$107*$D$74/5</f>
        <v>3975</v>
      </c>
      <c r="Y103" s="71">
        <f t="shared" si="144"/>
        <v>3975</v>
      </c>
      <c r="Z103" s="71">
        <f>$W$107*$D$74/5</f>
        <v>3975</v>
      </c>
      <c r="AA103" s="71">
        <f>$W$107*$D$74/5</f>
        <v>3975</v>
      </c>
      <c r="AB103" s="21"/>
      <c r="AC103" s="165"/>
      <c r="AD103" s="71">
        <f>$W$107*$D$74/5</f>
        <v>3975</v>
      </c>
      <c r="AE103" s="71">
        <f t="shared" ref="AE103:AF103" si="145">$W$107*$D$74/5</f>
        <v>3975</v>
      </c>
      <c r="AF103" s="71">
        <f t="shared" si="145"/>
        <v>3975</v>
      </c>
      <c r="AG103" s="71">
        <f>$W$107*$D$74/5</f>
        <v>3975</v>
      </c>
      <c r="AH103" s="71">
        <f>$W$107*$D$74/5</f>
        <v>3975</v>
      </c>
      <c r="AI103" s="21"/>
      <c r="AJ103" s="165"/>
      <c r="AK103" s="71">
        <f>$W$107*$D$74/5</f>
        <v>3975</v>
      </c>
      <c r="AL103" s="71">
        <f t="shared" ref="AL103:AM103" si="146">$W$107*$D$74/5</f>
        <v>3975</v>
      </c>
      <c r="AM103" s="71"/>
      <c r="AN103" s="57"/>
      <c r="AO103" s="57"/>
      <c r="AP103" s="57"/>
      <c r="AQ103" s="6"/>
      <c r="AR103" s="8"/>
      <c r="AS103" s="8"/>
      <c r="AT103" s="6"/>
      <c r="AU103" s="7"/>
      <c r="AV103" s="6"/>
      <c r="AW103" s="6"/>
    </row>
    <row r="104" spans="1:49">
      <c r="A104" s="244"/>
      <c r="B104" s="236"/>
      <c r="C104" s="203"/>
      <c r="D104" s="222"/>
      <c r="E104" s="196"/>
      <c r="F104" s="203"/>
      <c r="G104" s="72"/>
      <c r="H104" s="23" t="s">
        <v>74</v>
      </c>
      <c r="I104" s="71">
        <v>2</v>
      </c>
      <c r="J104" s="71">
        <v>2</v>
      </c>
      <c r="K104" s="71">
        <v>2</v>
      </c>
      <c r="L104" s="71">
        <v>2</v>
      </c>
      <c r="M104" s="71">
        <v>2</v>
      </c>
      <c r="N104" s="21"/>
      <c r="O104" s="165"/>
      <c r="P104" s="165"/>
      <c r="Q104" s="165"/>
      <c r="R104" s="165"/>
      <c r="S104" s="165"/>
      <c r="T104" s="165"/>
      <c r="U104" s="165"/>
      <c r="V104" s="165"/>
      <c r="W104" s="71">
        <v>2</v>
      </c>
      <c r="X104" s="71">
        <v>2</v>
      </c>
      <c r="Y104" s="71">
        <v>2</v>
      </c>
      <c r="Z104" s="71">
        <v>2</v>
      </c>
      <c r="AA104" s="71">
        <v>2</v>
      </c>
      <c r="AB104" s="21"/>
      <c r="AC104" s="165"/>
      <c r="AD104" s="71">
        <v>2</v>
      </c>
      <c r="AE104" s="71">
        <v>2</v>
      </c>
      <c r="AF104" s="71">
        <v>2</v>
      </c>
      <c r="AG104" s="71">
        <v>2</v>
      </c>
      <c r="AH104" s="71">
        <v>2</v>
      </c>
      <c r="AI104" s="21"/>
      <c r="AJ104" s="165"/>
      <c r="AK104" s="71">
        <v>2</v>
      </c>
      <c r="AL104" s="71">
        <v>2</v>
      </c>
      <c r="AM104" s="71"/>
      <c r="AN104" s="57"/>
      <c r="AO104" s="57"/>
      <c r="AP104" s="57"/>
      <c r="AQ104" s="6"/>
      <c r="AR104" s="8"/>
      <c r="AS104" s="8"/>
      <c r="AT104" s="6"/>
      <c r="AU104" s="7"/>
      <c r="AV104" s="6"/>
      <c r="AW104" s="6"/>
    </row>
    <row r="105" spans="1:49">
      <c r="A105" s="244"/>
      <c r="B105" s="236"/>
      <c r="C105" s="203"/>
      <c r="D105" s="222"/>
      <c r="E105" s="196"/>
      <c r="F105" s="203"/>
      <c r="G105" s="43"/>
      <c r="H105" s="26" t="s">
        <v>0</v>
      </c>
      <c r="I105" s="22">
        <f>SUMIFS('编织 缠绕 Winding, Braiding,'!$K$7:$K$1000,'编织 缠绕 Winding, Braiding,'!$A$7:$A$1000,'04'!I$2,'编织 缠绕 Winding, Braiding,'!$D$7:$D$1000,'04'!$A$74)</f>
        <v>0</v>
      </c>
      <c r="J105" s="22">
        <f>SUMIFS('编织 缠绕 Winding, Braiding,'!$K$7:$K$1000,'编织 缠绕 Winding, Braiding,'!$A$7:$A$1000,'04'!J$2,'编织 缠绕 Winding, Braiding,'!$D$7:$D$1000,'04'!$A$74)</f>
        <v>0</v>
      </c>
      <c r="K105" s="22">
        <f>SUMIFS('编织 缠绕 Winding, Braiding,'!$K$7:$K$1000,'编织 缠绕 Winding, Braiding,'!$A$7:$A$1000,'04'!K$2,'编织 缠绕 Winding, Braiding,'!$D$7:$D$1000,'04'!$A$74)</f>
        <v>0</v>
      </c>
      <c r="L105" s="22">
        <f>SUMIFS('编织 缠绕 Winding, Braiding,'!$K$7:$K$1000,'编织 缠绕 Winding, Braiding,'!$A$7:$A$1000,'04'!L$2,'编织 缠绕 Winding, Braiding,'!$D$7:$D$1000,'04'!$A$74)</f>
        <v>0</v>
      </c>
      <c r="M105" s="22">
        <f>SUMIFS('编织 缠绕 Winding, Braiding,'!$K$7:$K$1000,'编织 缠绕 Winding, Braiding,'!$A$7:$A$1000,'04'!M$2,'编织 缠绕 Winding, Braiding,'!$D$7:$D$1000,'04'!$A$74)</f>
        <v>0</v>
      </c>
      <c r="N105" s="22">
        <f>SUMIFS('编织 缠绕 Winding, Braiding,'!$K$7:$K$1000,'编织 缠绕 Winding, Braiding,'!$A$7:$A$1000,'04'!N$2,'编织 缠绕 Winding, Braiding,'!$D$7:$D$1000,'04'!$A$74)</f>
        <v>0</v>
      </c>
      <c r="O105" s="165"/>
      <c r="P105" s="165"/>
      <c r="Q105" s="165"/>
      <c r="R105" s="165"/>
      <c r="S105" s="165"/>
      <c r="T105" s="165"/>
      <c r="U105" s="165"/>
      <c r="V105" s="165"/>
      <c r="W105" s="22">
        <f>SUMIFS('编织 缠绕 Winding, Braiding,'!$K$7:$K$1000,'编织 缠绕 Winding, Braiding,'!$A$7:$A$1000,'04'!W$2,'编织 缠绕 Winding, Braiding,'!$D$7:$D$1000,'04'!$A$74)</f>
        <v>0</v>
      </c>
      <c r="X105" s="22">
        <f>SUMIFS('编织 缠绕 Winding, Braiding,'!$K$7:$K$1000,'编织 缠绕 Winding, Braiding,'!$A$7:$A$1000,'04'!X$2,'编织 缠绕 Winding, Braiding,'!$D$7:$D$1000,'04'!$A$74)</f>
        <v>0</v>
      </c>
      <c r="Y105" s="22">
        <f>SUMIFS('编织 缠绕 Winding, Braiding,'!$K$7:$K$1000,'编织 缠绕 Winding, Braiding,'!$A$7:$A$1000,'04'!Y$2,'编织 缠绕 Winding, Braiding,'!$D$7:$D$1000,'04'!$A$74)</f>
        <v>0</v>
      </c>
      <c r="Z105" s="22">
        <f>SUMIFS('编织 缠绕 Winding, Braiding,'!$K$7:$K$1000,'编织 缠绕 Winding, Braiding,'!$A$7:$A$1000,'04'!Z$2,'编织 缠绕 Winding, Braiding,'!$D$7:$D$1000,'04'!$A$74)</f>
        <v>0</v>
      </c>
      <c r="AA105" s="22">
        <f>SUMIFS('编织 缠绕 Winding, Braiding,'!$K$7:$K$1000,'编织 缠绕 Winding, Braiding,'!$A$7:$A$1000,'04'!AA$2,'编织 缠绕 Winding, Braiding,'!$D$7:$D$1000,'04'!$A$74)</f>
        <v>0</v>
      </c>
      <c r="AB105" s="22">
        <f>SUMIFS('编织 缠绕 Winding, Braiding,'!$K$7:$K$1000,'编织 缠绕 Winding, Braiding,'!$A$7:$A$1000,'04'!AB$2,'编织 缠绕 Winding, Braiding,'!$D$7:$D$1000,'04'!$A$74)</f>
        <v>0</v>
      </c>
      <c r="AC105" s="165"/>
      <c r="AD105" s="22">
        <f>SUMIFS('编织 缠绕 Winding, Braiding,'!$K$7:$K$1000,'编织 缠绕 Winding, Braiding,'!$A$7:$A$1000,'04'!AD$2,'编织 缠绕 Winding, Braiding,'!$D$7:$D$1000,'04'!$A$74)</f>
        <v>0</v>
      </c>
      <c r="AE105" s="22">
        <f>SUMIFS('编织 缠绕 Winding, Braiding,'!$K$7:$K$1000,'编织 缠绕 Winding, Braiding,'!$A$7:$A$1000,'04'!AE$2,'编织 缠绕 Winding, Braiding,'!$D$7:$D$1000,'04'!$A$74)</f>
        <v>0</v>
      </c>
      <c r="AF105" s="22">
        <f>SUMIFS('编织 缠绕 Winding, Braiding,'!$K$7:$K$1000,'编织 缠绕 Winding, Braiding,'!$A$7:$A$1000,'04'!AF$2,'编织 缠绕 Winding, Braiding,'!$D$7:$D$1000,'04'!$A$74)</f>
        <v>0</v>
      </c>
      <c r="AG105" s="22">
        <f>SUMIFS('编织 缠绕 Winding, Braiding,'!$K$7:$K$1000,'编织 缠绕 Winding, Braiding,'!$A$7:$A$1000,'04'!AG$2,'编织 缠绕 Winding, Braiding,'!$D$7:$D$1000,'04'!$A$74)</f>
        <v>0</v>
      </c>
      <c r="AH105" s="22">
        <f>SUMIFS('编织 缠绕 Winding, Braiding,'!$K$7:$K$1000,'编织 缠绕 Winding, Braiding,'!$A$7:$A$1000,'04'!AH$2,'编织 缠绕 Winding, Braiding,'!$D$7:$D$1000,'04'!$A$74)</f>
        <v>0</v>
      </c>
      <c r="AI105" s="22">
        <f>SUMIFS('编织 缠绕 Winding, Braiding,'!$K$7:$K$1000,'编织 缠绕 Winding, Braiding,'!$A$7:$A$1000,'04'!AI$2,'编织 缠绕 Winding, Braiding,'!$D$7:$D$1000,'04'!$A$74)</f>
        <v>0</v>
      </c>
      <c r="AJ105" s="165"/>
      <c r="AK105" s="22">
        <f>SUMIFS('编织 缠绕 Winding, Braiding,'!$K$7:$K$1000,'编织 缠绕 Winding, Braiding,'!$A$7:$A$1000,'04'!AK$2,'编织 缠绕 Winding, Braiding,'!$D$7:$D$1000,'04'!$A$74)</f>
        <v>0</v>
      </c>
      <c r="AL105" s="22">
        <f>SUMIFS('编织 缠绕 Winding, Braiding,'!$K$7:$K$1000,'编织 缠绕 Winding, Braiding,'!$A$7:$A$1000,'04'!AL$2,'编织 缠绕 Winding, Braiding,'!$D$7:$D$1000,'04'!$A$74)</f>
        <v>0</v>
      </c>
      <c r="AM105" s="113"/>
      <c r="AN105" s="57"/>
      <c r="AO105" s="57"/>
      <c r="AP105" s="57"/>
      <c r="AQ105" s="6"/>
      <c r="AR105" s="8"/>
      <c r="AS105" s="8"/>
      <c r="AT105" s="6"/>
      <c r="AU105" s="7"/>
      <c r="AV105" s="6"/>
      <c r="AW105" s="6"/>
    </row>
    <row r="106" spans="1:49">
      <c r="A106" s="244"/>
      <c r="B106" s="236"/>
      <c r="C106" s="203"/>
      <c r="D106" s="222"/>
      <c r="E106" s="196"/>
      <c r="F106" s="203"/>
      <c r="G106" s="43"/>
      <c r="H106" s="26" t="s">
        <v>34</v>
      </c>
      <c r="I106" s="40">
        <f>I105-I103</f>
        <v>-3975</v>
      </c>
      <c r="J106" s="40">
        <f>I106+(J105-J103)</f>
        <v>-7950</v>
      </c>
      <c r="K106" s="40">
        <f t="shared" ref="K106:M106" si="147">J106+(K105-K103)</f>
        <v>-11925</v>
      </c>
      <c r="L106" s="40">
        <f t="shared" si="147"/>
        <v>-15900</v>
      </c>
      <c r="M106" s="40">
        <f t="shared" si="147"/>
        <v>-19875</v>
      </c>
      <c r="N106" s="143">
        <f>M106+(N105-N103)</f>
        <v>-19875</v>
      </c>
      <c r="O106" s="166"/>
      <c r="P106" s="166"/>
      <c r="Q106" s="166"/>
      <c r="R106" s="165"/>
      <c r="S106" s="165"/>
      <c r="T106" s="166"/>
      <c r="U106" s="166"/>
      <c r="V106" s="166"/>
      <c r="W106" s="40">
        <f>N106+(W105-W103)</f>
        <v>-23850</v>
      </c>
      <c r="X106" s="40">
        <f>W106+(X105-X103)</f>
        <v>-27825</v>
      </c>
      <c r="Y106" s="40">
        <f t="shared" ref="Y106:AA106" si="148">X106+(Y105-Y103)</f>
        <v>-31800</v>
      </c>
      <c r="Z106" s="40">
        <f t="shared" si="148"/>
        <v>-35775</v>
      </c>
      <c r="AA106" s="40">
        <f t="shared" si="148"/>
        <v>-39750</v>
      </c>
      <c r="AB106" s="143">
        <f>AA106+(AB105-AB103)</f>
        <v>-39750</v>
      </c>
      <c r="AC106" s="166"/>
      <c r="AD106" s="40">
        <f>AB106+(AD105-AD103)</f>
        <v>-43725</v>
      </c>
      <c r="AE106" s="40">
        <f>AD106+(AE105-AE103)</f>
        <v>-47700</v>
      </c>
      <c r="AF106" s="40">
        <f t="shared" ref="AF106:AH106" si="149">AE106+(AF105-AF103)</f>
        <v>-51675</v>
      </c>
      <c r="AG106" s="40">
        <f t="shared" si="149"/>
        <v>-55650</v>
      </c>
      <c r="AH106" s="40">
        <f t="shared" si="149"/>
        <v>-59625</v>
      </c>
      <c r="AI106" s="143">
        <f>AH106+(AI105-AI103)</f>
        <v>-59625</v>
      </c>
      <c r="AJ106" s="166"/>
      <c r="AK106" s="40">
        <f>AI106+(AK105-AK103)</f>
        <v>-63600</v>
      </c>
      <c r="AL106" s="40">
        <f>AK106+(AL105-AL103)</f>
        <v>-67575</v>
      </c>
      <c r="AM106" s="113"/>
      <c r="AN106" s="57"/>
      <c r="AO106" s="57"/>
      <c r="AP106" s="57"/>
      <c r="AQ106" s="6"/>
      <c r="AR106" s="8"/>
      <c r="AS106" s="8"/>
      <c r="AT106" s="6"/>
      <c r="AU106" s="7"/>
      <c r="AV106" s="6"/>
      <c r="AW106" s="6"/>
    </row>
    <row r="107" spans="1:49">
      <c r="A107" s="244"/>
      <c r="B107" s="236"/>
      <c r="C107" s="203"/>
      <c r="D107" s="222"/>
      <c r="E107" s="196"/>
      <c r="F107" s="203"/>
      <c r="G107" s="72"/>
      <c r="H107" s="23" t="s">
        <v>2</v>
      </c>
      <c r="I107" s="71"/>
      <c r="J107" s="71"/>
      <c r="K107" s="71"/>
      <c r="L107" s="71"/>
      <c r="M107" s="71"/>
      <c r="N107" s="87"/>
      <c r="O107" s="174"/>
      <c r="P107" s="165"/>
      <c r="Q107" s="165"/>
      <c r="R107" s="165"/>
      <c r="S107" s="165"/>
      <c r="T107" s="165"/>
      <c r="U107" s="165"/>
      <c r="V107" s="165"/>
      <c r="W107" s="71">
        <f>($C$74*5)</f>
        <v>12500</v>
      </c>
      <c r="X107" s="71"/>
      <c r="Y107" s="71"/>
      <c r="Z107" s="71"/>
      <c r="AA107" s="71"/>
      <c r="AB107" s="21"/>
      <c r="AC107" s="165"/>
      <c r="AD107" s="71">
        <f>($C$74*5)</f>
        <v>12500</v>
      </c>
      <c r="AE107" s="71"/>
      <c r="AF107" s="71"/>
      <c r="AG107" s="71"/>
      <c r="AH107" s="71"/>
      <c r="AI107" s="21"/>
      <c r="AJ107" s="165"/>
      <c r="AK107" s="71">
        <f>($C$74*5)</f>
        <v>12500</v>
      </c>
      <c r="AL107" s="71"/>
      <c r="AM107" s="71"/>
      <c r="AN107" s="57"/>
      <c r="AO107" s="57"/>
      <c r="AP107" s="57"/>
      <c r="AQ107" s="6"/>
      <c r="AR107" s="8"/>
      <c r="AS107" s="8"/>
      <c r="AT107" s="6"/>
      <c r="AU107" s="7"/>
      <c r="AV107" s="6"/>
      <c r="AW107" s="6"/>
    </row>
    <row r="108" spans="1:49">
      <c r="A108" s="244"/>
      <c r="B108" s="236"/>
      <c r="C108" s="203"/>
      <c r="D108" s="222"/>
      <c r="E108" s="196"/>
      <c r="F108" s="203"/>
      <c r="G108" s="72"/>
      <c r="H108" s="23" t="s">
        <v>54</v>
      </c>
      <c r="I108" s="71"/>
      <c r="J108" s="71"/>
      <c r="K108" s="71"/>
      <c r="L108" s="71"/>
      <c r="M108" s="71"/>
      <c r="N108" s="87"/>
      <c r="O108" s="174"/>
      <c r="P108" s="165"/>
      <c r="Q108" s="165"/>
      <c r="R108" s="165"/>
      <c r="S108" s="165"/>
      <c r="T108" s="165"/>
      <c r="U108" s="165"/>
      <c r="V108" s="165"/>
      <c r="W108" s="71">
        <v>1</v>
      </c>
      <c r="X108" s="71"/>
      <c r="Y108" s="71"/>
      <c r="Z108" s="71"/>
      <c r="AA108" s="71"/>
      <c r="AB108" s="21"/>
      <c r="AC108" s="165"/>
      <c r="AD108" s="71">
        <v>1</v>
      </c>
      <c r="AE108" s="71"/>
      <c r="AF108" s="71"/>
      <c r="AG108" s="71"/>
      <c r="AH108" s="71"/>
      <c r="AI108" s="21"/>
      <c r="AJ108" s="165"/>
      <c r="AK108" s="71">
        <v>1</v>
      </c>
      <c r="AL108" s="71"/>
      <c r="AM108" s="71"/>
      <c r="AN108" s="57"/>
      <c r="AO108" s="57"/>
      <c r="AP108" s="57"/>
      <c r="AQ108" s="6"/>
      <c r="AR108" s="8"/>
      <c r="AS108" s="8"/>
      <c r="AT108" s="6"/>
      <c r="AU108" s="7"/>
      <c r="AV108" s="6"/>
      <c r="AW108" s="6"/>
    </row>
    <row r="109" spans="1:49">
      <c r="A109" s="244"/>
      <c r="B109" s="236"/>
      <c r="C109" s="203"/>
      <c r="D109" s="222"/>
      <c r="E109" s="196"/>
      <c r="F109" s="203"/>
      <c r="G109" s="24"/>
      <c r="H109" s="26" t="s">
        <v>0</v>
      </c>
      <c r="I109" s="36"/>
      <c r="J109" s="36"/>
      <c r="K109" s="36"/>
      <c r="L109" s="36"/>
      <c r="M109" s="36"/>
      <c r="N109" s="35"/>
      <c r="O109" s="165"/>
      <c r="P109" s="165"/>
      <c r="Q109" s="165"/>
      <c r="R109" s="165"/>
      <c r="S109" s="165"/>
      <c r="T109" s="165"/>
      <c r="U109" s="165"/>
      <c r="V109" s="165"/>
      <c r="W109" s="36"/>
      <c r="X109" s="36"/>
      <c r="Y109" s="36"/>
      <c r="Z109" s="36"/>
      <c r="AA109" s="36"/>
      <c r="AB109" s="35"/>
      <c r="AC109" s="167"/>
      <c r="AD109" s="36"/>
      <c r="AE109" s="36"/>
      <c r="AF109" s="36"/>
      <c r="AG109" s="36"/>
      <c r="AH109" s="36"/>
      <c r="AI109" s="35"/>
      <c r="AJ109" s="167"/>
      <c r="AK109" s="125"/>
      <c r="AL109" s="22"/>
      <c r="AM109" s="113"/>
      <c r="AN109" s="57"/>
      <c r="AO109" s="57"/>
      <c r="AP109" s="57"/>
      <c r="AQ109" s="6"/>
      <c r="AR109" s="8"/>
      <c r="AS109" s="8"/>
      <c r="AT109" s="6"/>
      <c r="AU109" s="7"/>
      <c r="AV109" s="6"/>
      <c r="AW109" s="6"/>
    </row>
    <row r="110" spans="1:49" ht="15.75" thickBot="1">
      <c r="A110" s="245"/>
      <c r="B110" s="237"/>
      <c r="C110" s="204"/>
      <c r="D110" s="223"/>
      <c r="E110" s="197"/>
      <c r="F110" s="204"/>
      <c r="G110" s="20"/>
      <c r="H110" s="34" t="s">
        <v>34</v>
      </c>
      <c r="I110" s="18"/>
      <c r="J110" s="18"/>
      <c r="K110" s="18"/>
      <c r="L110" s="18"/>
      <c r="M110" s="18"/>
      <c r="N110" s="17"/>
      <c r="O110" s="165"/>
      <c r="P110" s="165"/>
      <c r="Q110" s="165"/>
      <c r="R110" s="165"/>
      <c r="S110" s="165"/>
      <c r="T110" s="165"/>
      <c r="U110" s="165"/>
      <c r="V110" s="165"/>
      <c r="W110" s="18"/>
      <c r="X110" s="18"/>
      <c r="Y110" s="18"/>
      <c r="Z110" s="18"/>
      <c r="AA110" s="18"/>
      <c r="AB110" s="17"/>
      <c r="AC110" s="171"/>
      <c r="AD110" s="18"/>
      <c r="AE110" s="18"/>
      <c r="AF110" s="18"/>
      <c r="AG110" s="18"/>
      <c r="AH110" s="18"/>
      <c r="AI110" s="17"/>
      <c r="AJ110" s="171"/>
      <c r="AK110" s="123"/>
      <c r="AL110" s="18"/>
      <c r="AM110" s="118"/>
      <c r="AN110" s="57"/>
      <c r="AO110" s="57"/>
      <c r="AP110" s="57"/>
      <c r="AQ110" s="6"/>
      <c r="AR110" s="8"/>
      <c r="AS110" s="8"/>
      <c r="AT110" s="6"/>
      <c r="AU110" s="7"/>
      <c r="AV110" s="6"/>
      <c r="AW110" s="6"/>
    </row>
    <row r="111" spans="1:49" ht="15" customHeight="1">
      <c r="A111" s="247" t="s">
        <v>95</v>
      </c>
      <c r="B111" s="239" t="s">
        <v>94</v>
      </c>
      <c r="C111" s="206">
        <v>2000</v>
      </c>
      <c r="D111" s="224">
        <v>1.56</v>
      </c>
      <c r="E111" s="195"/>
      <c r="F111" s="205" t="s">
        <v>93</v>
      </c>
      <c r="G111" s="70" t="s">
        <v>92</v>
      </c>
      <c r="H111" s="55" t="s">
        <v>76</v>
      </c>
      <c r="I111" s="50">
        <f>($M$123*$D$111)+($M$127*$D$121)</f>
        <v>21050</v>
      </c>
      <c r="J111" s="50"/>
      <c r="K111" s="50"/>
      <c r="L111" s="54"/>
      <c r="M111" s="50">
        <f>($M$123*$D$111)+($M$127*$D$121)</f>
        <v>21050</v>
      </c>
      <c r="N111" s="150"/>
      <c r="O111" s="166"/>
      <c r="P111" s="166"/>
      <c r="Q111" s="166"/>
      <c r="R111" s="166"/>
      <c r="S111" s="166"/>
      <c r="T111" s="166"/>
      <c r="U111" s="166"/>
      <c r="V111" s="166"/>
      <c r="W111" s="54"/>
      <c r="X111" s="50"/>
      <c r="Y111" s="50"/>
      <c r="Z111" s="54"/>
      <c r="AA111" s="50">
        <f>($M$123*$D$111)+($M$127*$D$121)</f>
        <v>21050</v>
      </c>
      <c r="AB111" s="143"/>
      <c r="AC111" s="180"/>
      <c r="AD111" s="54"/>
      <c r="AE111" s="50"/>
      <c r="AF111" s="50"/>
      <c r="AG111" s="54"/>
      <c r="AH111" s="50">
        <f>($M$123*$D$111)+($M$127*$D$121)</f>
        <v>21050</v>
      </c>
      <c r="AI111" s="150"/>
      <c r="AJ111" s="180"/>
      <c r="AK111" s="50"/>
      <c r="AL111" s="50"/>
      <c r="AM111" s="50"/>
      <c r="AN111" s="8"/>
      <c r="AO111" s="8"/>
      <c r="AP111" s="8"/>
      <c r="AQ111" s="8"/>
      <c r="AR111" s="8"/>
      <c r="AS111" s="8"/>
      <c r="AT111" s="8"/>
      <c r="AU111" s="8"/>
      <c r="AV111" s="7"/>
      <c r="AW111" s="7"/>
    </row>
    <row r="112" spans="1:49" ht="15" customHeight="1">
      <c r="A112" s="248"/>
      <c r="B112" s="240"/>
      <c r="C112" s="214"/>
      <c r="D112" s="225"/>
      <c r="E112" s="196"/>
      <c r="F112" s="203"/>
      <c r="G112" s="52"/>
      <c r="H112" s="51" t="s">
        <v>66</v>
      </c>
      <c r="I112" s="50"/>
      <c r="J112" s="50"/>
      <c r="K112" s="50"/>
      <c r="L112" s="50"/>
      <c r="M112" s="50"/>
      <c r="N112" s="143"/>
      <c r="O112" s="166"/>
      <c r="P112" s="166"/>
      <c r="Q112" s="166"/>
      <c r="R112" s="166"/>
      <c r="S112" s="166"/>
      <c r="T112" s="166"/>
      <c r="U112" s="166"/>
      <c r="V112" s="166"/>
      <c r="W112" s="50"/>
      <c r="X112" s="50"/>
      <c r="Y112" s="50"/>
      <c r="Z112" s="50"/>
      <c r="AA112" s="50"/>
      <c r="AB112" s="143"/>
      <c r="AC112" s="166"/>
      <c r="AD112" s="50"/>
      <c r="AE112" s="50"/>
      <c r="AF112" s="50"/>
      <c r="AG112" s="50"/>
      <c r="AH112" s="50"/>
      <c r="AI112" s="143"/>
      <c r="AJ112" s="166"/>
      <c r="AK112" s="50"/>
      <c r="AL112" s="50"/>
      <c r="AM112" s="50"/>
      <c r="AN112" s="8"/>
      <c r="AO112" s="8"/>
      <c r="AP112" s="8"/>
      <c r="AQ112" s="8"/>
      <c r="AR112" s="8"/>
      <c r="AS112" s="8"/>
      <c r="AT112" s="8"/>
      <c r="AU112" s="8"/>
      <c r="AV112" s="7"/>
      <c r="AW112" s="7"/>
    </row>
    <row r="113" spans="1:49" ht="15" customHeight="1">
      <c r="A113" s="248"/>
      <c r="B113" s="240"/>
      <c r="C113" s="214"/>
      <c r="D113" s="225"/>
      <c r="E113" s="196"/>
      <c r="F113" s="203"/>
      <c r="G113" s="49"/>
      <c r="H113" s="48" t="s">
        <v>0</v>
      </c>
      <c r="I113" s="22"/>
      <c r="J113" s="22"/>
      <c r="K113" s="40"/>
      <c r="L113" s="22"/>
      <c r="M113" s="22"/>
      <c r="N113" s="21"/>
      <c r="O113" s="165"/>
      <c r="P113" s="165"/>
      <c r="Q113" s="165"/>
      <c r="R113" s="166"/>
      <c r="S113" s="166"/>
      <c r="T113" s="165"/>
      <c r="U113" s="165"/>
      <c r="V113" s="165"/>
      <c r="W113" s="22"/>
      <c r="X113" s="22"/>
      <c r="Y113" s="40"/>
      <c r="Z113" s="22"/>
      <c r="AA113" s="22"/>
      <c r="AB113" s="21"/>
      <c r="AC113" s="165"/>
      <c r="AD113" s="22"/>
      <c r="AE113" s="22"/>
      <c r="AF113" s="40"/>
      <c r="AG113" s="22"/>
      <c r="AH113" s="22"/>
      <c r="AI113" s="21"/>
      <c r="AJ113" s="165"/>
      <c r="AK113" s="110"/>
      <c r="AL113" s="22"/>
      <c r="AM113" s="113"/>
      <c r="AN113" s="8"/>
      <c r="AO113" s="8"/>
      <c r="AP113" s="8"/>
      <c r="AQ113" s="8"/>
      <c r="AR113" s="8"/>
      <c r="AS113" s="8"/>
      <c r="AT113" s="8"/>
      <c r="AU113" s="8"/>
      <c r="AV113" s="7"/>
      <c r="AW113" s="7"/>
    </row>
    <row r="114" spans="1:49" ht="15" customHeight="1">
      <c r="A114" s="248"/>
      <c r="B114" s="240"/>
      <c r="C114" s="214"/>
      <c r="D114" s="225"/>
      <c r="E114" s="196"/>
      <c r="F114" s="203"/>
      <c r="G114" s="49"/>
      <c r="H114" s="48" t="s">
        <v>87</v>
      </c>
      <c r="I114" s="40">
        <f>I113-I111</f>
        <v>-21050</v>
      </c>
      <c r="J114" s="40">
        <f>I114+(J113-J111)</f>
        <v>-21050</v>
      </c>
      <c r="K114" s="40">
        <f t="shared" ref="K114:M114" si="150">J114+(K113-K111)</f>
        <v>-21050</v>
      </c>
      <c r="L114" s="40">
        <f t="shared" si="150"/>
        <v>-21050</v>
      </c>
      <c r="M114" s="40">
        <f t="shared" si="150"/>
        <v>-42100</v>
      </c>
      <c r="N114" s="143">
        <f>M114+(N113-N111)</f>
        <v>-42100</v>
      </c>
      <c r="O114" s="166"/>
      <c r="P114" s="166"/>
      <c r="Q114" s="166"/>
      <c r="R114" s="166"/>
      <c r="S114" s="166"/>
      <c r="T114" s="166"/>
      <c r="U114" s="166"/>
      <c r="V114" s="166"/>
      <c r="W114" s="40">
        <f>N114+(W113-W111)</f>
        <v>-42100</v>
      </c>
      <c r="X114" s="40">
        <f>W114+(X113-X111)</f>
        <v>-42100</v>
      </c>
      <c r="Y114" s="40">
        <f t="shared" ref="Y114:AA114" si="151">X114+(Y113-Y111)</f>
        <v>-42100</v>
      </c>
      <c r="Z114" s="40">
        <f t="shared" si="151"/>
        <v>-42100</v>
      </c>
      <c r="AA114" s="40">
        <f t="shared" si="151"/>
        <v>-63150</v>
      </c>
      <c r="AB114" s="143">
        <f>AA114+(AB113-AB111)</f>
        <v>-63150</v>
      </c>
      <c r="AC114" s="166"/>
      <c r="AD114" s="40">
        <f>AB114+(AD113-AD111)</f>
        <v>-63150</v>
      </c>
      <c r="AE114" s="40">
        <f>AD114+(AE113-AE111)</f>
        <v>-63150</v>
      </c>
      <c r="AF114" s="40">
        <f t="shared" ref="AF114:AH114" si="152">AE114+(AF113-AF111)</f>
        <v>-63150</v>
      </c>
      <c r="AG114" s="40">
        <f t="shared" si="152"/>
        <v>-63150</v>
      </c>
      <c r="AH114" s="40">
        <f t="shared" si="152"/>
        <v>-84200</v>
      </c>
      <c r="AI114" s="143">
        <f>AH114+(AI113-AI111)</f>
        <v>-84200</v>
      </c>
      <c r="AJ114" s="166"/>
      <c r="AK114" s="40">
        <f>AI114+(AK113-AK111)</f>
        <v>-84200</v>
      </c>
      <c r="AL114" s="40">
        <f>AK114+(AL113-AL111)</f>
        <v>-84200</v>
      </c>
      <c r="AM114" s="40"/>
      <c r="AN114" s="8"/>
      <c r="AO114" s="8"/>
      <c r="AP114" s="8"/>
      <c r="AQ114" s="8"/>
      <c r="AR114" s="8"/>
      <c r="AS114" s="8"/>
      <c r="AT114" s="8"/>
      <c r="AU114" s="8"/>
      <c r="AV114" s="7"/>
      <c r="AW114" s="7"/>
    </row>
    <row r="115" spans="1:49" ht="15" customHeight="1">
      <c r="A115" s="248"/>
      <c r="B115" s="240"/>
      <c r="C115" s="214"/>
      <c r="D115" s="225"/>
      <c r="E115" s="196"/>
      <c r="F115" s="203"/>
      <c r="G115" s="52" t="s">
        <v>14</v>
      </c>
      <c r="H115" s="51" t="s">
        <v>40</v>
      </c>
      <c r="I115" s="50"/>
      <c r="J115" s="50">
        <f>($M$123*$D$111)+($M$127*$D$121)</f>
        <v>21050</v>
      </c>
      <c r="K115" s="50"/>
      <c r="L115" s="50"/>
      <c r="M115" s="50"/>
      <c r="N115" s="143"/>
      <c r="O115" s="166"/>
      <c r="P115" s="166"/>
      <c r="Q115" s="166"/>
      <c r="R115" s="166"/>
      <c r="S115" s="166"/>
      <c r="T115" s="166"/>
      <c r="U115" s="166"/>
      <c r="V115" s="166"/>
      <c r="W115" s="50">
        <f>($M$123*$D$111)+($M$127*$D$121)</f>
        <v>21050</v>
      </c>
      <c r="X115" s="50"/>
      <c r="Y115" s="50"/>
      <c r="Z115" s="50"/>
      <c r="AA115" s="50"/>
      <c r="AB115" s="143"/>
      <c r="AC115" s="166"/>
      <c r="AD115" s="50">
        <f>($M$123*$D$111)+($M$127*$D$121)</f>
        <v>21050</v>
      </c>
      <c r="AE115" s="50"/>
      <c r="AF115" s="50"/>
      <c r="AG115" s="50"/>
      <c r="AH115" s="50"/>
      <c r="AI115" s="143"/>
      <c r="AJ115" s="166"/>
      <c r="AK115" s="50">
        <f>($M$123*$D$111)+($M$127*$D$121)</f>
        <v>21050</v>
      </c>
      <c r="AL115" s="50"/>
      <c r="AM115" s="50"/>
      <c r="AN115" s="57"/>
      <c r="AO115" s="57"/>
      <c r="AP115" s="57"/>
      <c r="AQ115" s="8"/>
      <c r="AR115" s="8"/>
      <c r="AS115" s="8"/>
      <c r="AT115" s="8"/>
      <c r="AU115" s="8"/>
      <c r="AV115" s="7"/>
      <c r="AW115" s="7"/>
    </row>
    <row r="116" spans="1:49">
      <c r="A116" s="248"/>
      <c r="B116" s="240"/>
      <c r="C116" s="214"/>
      <c r="D116" s="225"/>
      <c r="E116" s="196"/>
      <c r="F116" s="203"/>
      <c r="G116" s="52"/>
      <c r="H116" s="51" t="s">
        <v>7</v>
      </c>
      <c r="I116" s="50"/>
      <c r="J116" s="50"/>
      <c r="K116" s="50"/>
      <c r="L116" s="50"/>
      <c r="M116" s="50"/>
      <c r="N116" s="143"/>
      <c r="O116" s="166"/>
      <c r="P116" s="166"/>
      <c r="Q116" s="166"/>
      <c r="R116" s="166"/>
      <c r="S116" s="166"/>
      <c r="T116" s="166"/>
      <c r="U116" s="166"/>
      <c r="V116" s="166"/>
      <c r="W116" s="50"/>
      <c r="X116" s="50"/>
      <c r="Y116" s="50"/>
      <c r="Z116" s="50"/>
      <c r="AA116" s="50"/>
      <c r="AB116" s="143"/>
      <c r="AC116" s="166"/>
      <c r="AD116" s="50"/>
      <c r="AE116" s="50"/>
      <c r="AF116" s="50"/>
      <c r="AG116" s="50"/>
      <c r="AH116" s="50"/>
      <c r="AI116" s="143"/>
      <c r="AJ116" s="166"/>
      <c r="AK116" s="50"/>
      <c r="AL116" s="50"/>
      <c r="AM116" s="50"/>
      <c r="AN116" s="8"/>
      <c r="AO116" s="8"/>
      <c r="AP116" s="8"/>
      <c r="AQ116" s="8"/>
      <c r="AR116" s="8"/>
      <c r="AS116" s="8"/>
      <c r="AT116" s="8"/>
      <c r="AU116" s="8"/>
      <c r="AV116" s="7"/>
      <c r="AW116" s="7"/>
    </row>
    <row r="117" spans="1:49">
      <c r="A117" s="248"/>
      <c r="B117" s="240"/>
      <c r="C117" s="214"/>
      <c r="D117" s="225"/>
      <c r="E117" s="196"/>
      <c r="F117" s="203"/>
      <c r="G117" s="49"/>
      <c r="H117" s="48" t="s">
        <v>0</v>
      </c>
      <c r="I117" s="22"/>
      <c r="J117" s="22"/>
      <c r="K117" s="40"/>
      <c r="L117" s="22"/>
      <c r="M117" s="22"/>
      <c r="N117" s="21"/>
      <c r="O117" s="165"/>
      <c r="P117" s="165"/>
      <c r="Q117" s="165"/>
      <c r="R117" s="166"/>
      <c r="S117" s="166"/>
      <c r="T117" s="165"/>
      <c r="U117" s="165"/>
      <c r="V117" s="165"/>
      <c r="W117" s="22"/>
      <c r="X117" s="22"/>
      <c r="Y117" s="40"/>
      <c r="Z117" s="22"/>
      <c r="AA117" s="22"/>
      <c r="AB117" s="21"/>
      <c r="AC117" s="165"/>
      <c r="AD117" s="22"/>
      <c r="AE117" s="22"/>
      <c r="AF117" s="40"/>
      <c r="AG117" s="22"/>
      <c r="AH117" s="22"/>
      <c r="AI117" s="21"/>
      <c r="AJ117" s="165"/>
      <c r="AK117" s="110"/>
      <c r="AL117" s="22"/>
      <c r="AM117" s="113"/>
      <c r="AN117" s="8"/>
      <c r="AO117" s="8"/>
      <c r="AP117" s="8"/>
      <c r="AQ117" s="8"/>
      <c r="AR117" s="8"/>
      <c r="AS117" s="8"/>
      <c r="AT117" s="8"/>
      <c r="AU117" s="8"/>
      <c r="AV117" s="6"/>
      <c r="AW117" s="7"/>
    </row>
    <row r="118" spans="1:49">
      <c r="A118" s="248"/>
      <c r="B118" s="240"/>
      <c r="C118" s="214"/>
      <c r="D118" s="225"/>
      <c r="E118" s="196"/>
      <c r="F118" s="203"/>
      <c r="G118" s="49"/>
      <c r="H118" s="48" t="s">
        <v>87</v>
      </c>
      <c r="I118" s="40">
        <f>I117-I115</f>
        <v>0</v>
      </c>
      <c r="J118" s="40">
        <f>I118+(J117-J115)</f>
        <v>-21050</v>
      </c>
      <c r="K118" s="40">
        <f t="shared" ref="K118:M118" si="153">J118+(K117-K115)</f>
        <v>-21050</v>
      </c>
      <c r="L118" s="40">
        <f t="shared" si="153"/>
        <v>-21050</v>
      </c>
      <c r="M118" s="40">
        <f t="shared" si="153"/>
        <v>-21050</v>
      </c>
      <c r="N118" s="143">
        <f>M118+(N117-N115)</f>
        <v>-21050</v>
      </c>
      <c r="O118" s="166"/>
      <c r="P118" s="166"/>
      <c r="Q118" s="166"/>
      <c r="R118" s="166"/>
      <c r="S118" s="166"/>
      <c r="T118" s="166"/>
      <c r="U118" s="166"/>
      <c r="V118" s="166"/>
      <c r="W118" s="40">
        <f>N118+(W117-W115)</f>
        <v>-42100</v>
      </c>
      <c r="X118" s="40">
        <f>W118+(X117-X115)</f>
        <v>-42100</v>
      </c>
      <c r="Y118" s="40">
        <f t="shared" ref="Y118:AA118" si="154">X118+(Y117-Y115)</f>
        <v>-42100</v>
      </c>
      <c r="Z118" s="40">
        <f t="shared" si="154"/>
        <v>-42100</v>
      </c>
      <c r="AA118" s="40">
        <f t="shared" si="154"/>
        <v>-42100</v>
      </c>
      <c r="AB118" s="143">
        <f>AA118+(AB117-AB115)</f>
        <v>-42100</v>
      </c>
      <c r="AC118" s="166"/>
      <c r="AD118" s="40">
        <f>AB118+(AD117-AD115)</f>
        <v>-63150</v>
      </c>
      <c r="AE118" s="40">
        <f>AD118+(AE117-AE115)</f>
        <v>-63150</v>
      </c>
      <c r="AF118" s="40">
        <f t="shared" ref="AF118:AH118" si="155">AE118+(AF117-AF115)</f>
        <v>-63150</v>
      </c>
      <c r="AG118" s="40">
        <f t="shared" si="155"/>
        <v>-63150</v>
      </c>
      <c r="AH118" s="40">
        <f t="shared" si="155"/>
        <v>-63150</v>
      </c>
      <c r="AI118" s="143">
        <f>AH118+(AI117-AI115)</f>
        <v>-63150</v>
      </c>
      <c r="AJ118" s="166"/>
      <c r="AK118" s="40">
        <f>AI118+(AK117-AK115)</f>
        <v>-84200</v>
      </c>
      <c r="AL118" s="40">
        <f>AK118+(AL117-AL115)</f>
        <v>-84200</v>
      </c>
      <c r="AM118" s="40"/>
      <c r="AN118" s="8"/>
      <c r="AO118" s="8"/>
      <c r="AP118" s="8"/>
      <c r="AQ118" s="8"/>
      <c r="AR118" s="8"/>
      <c r="AS118" s="8"/>
      <c r="AT118" s="8"/>
      <c r="AU118" s="8"/>
      <c r="AV118" s="6"/>
      <c r="AW118" s="7"/>
    </row>
    <row r="119" spans="1:49">
      <c r="A119" s="248"/>
      <c r="B119" s="240"/>
      <c r="C119" s="214"/>
      <c r="D119" s="225"/>
      <c r="E119" s="196"/>
      <c r="F119" s="203"/>
      <c r="G119" s="52"/>
      <c r="H119" s="51" t="s">
        <v>75</v>
      </c>
      <c r="I119" s="50"/>
      <c r="J119" s="69"/>
      <c r="K119" s="69">
        <f t="shared" ref="K119" si="156">(($M$123*$D$111)/3)+(($M$127*$D$121)/3)</f>
        <v>7016.666666666667</v>
      </c>
      <c r="L119" s="69">
        <f>(($M$123*$D$111)/3)+(($M$127*$D$121)/3)</f>
        <v>7016.666666666667</v>
      </c>
      <c r="M119" s="69">
        <f>(($M$123*$D$111)/3)+(($M$127*$D$121)/3)</f>
        <v>7016.666666666667</v>
      </c>
      <c r="N119" s="151"/>
      <c r="O119" s="175"/>
      <c r="P119" s="175"/>
      <c r="Q119" s="175"/>
      <c r="R119" s="175"/>
      <c r="S119" s="175"/>
      <c r="T119" s="175"/>
      <c r="U119" s="175"/>
      <c r="V119" s="175"/>
      <c r="W119" s="69"/>
      <c r="X119" s="69">
        <f t="shared" ref="X119:Z119" si="157">(($M$123*$D$111)/3)+(($M$127*$D$121)/3)</f>
        <v>7016.666666666667</v>
      </c>
      <c r="Y119" s="69">
        <f t="shared" si="157"/>
        <v>7016.666666666667</v>
      </c>
      <c r="Z119" s="69">
        <f t="shared" si="157"/>
        <v>7016.666666666667</v>
      </c>
      <c r="AA119" s="69"/>
      <c r="AB119" s="151"/>
      <c r="AC119" s="175"/>
      <c r="AD119" s="50"/>
      <c r="AE119" s="69">
        <f t="shared" ref="AE119:AG119" si="158">(($M$123*$D$111)/3)+(($M$127*$D$121)/3)</f>
        <v>7016.666666666667</v>
      </c>
      <c r="AF119" s="69">
        <f t="shared" si="158"/>
        <v>7016.666666666667</v>
      </c>
      <c r="AG119" s="69">
        <f t="shared" si="158"/>
        <v>7016.666666666667</v>
      </c>
      <c r="AH119" s="69"/>
      <c r="AI119" s="151"/>
      <c r="AJ119" s="166"/>
      <c r="AK119" s="50"/>
      <c r="AL119" s="69">
        <f t="shared" ref="AL119:AM119" si="159">(($M$123*$D$111)/3)+(($M$127*$D$121)/3)</f>
        <v>7016.666666666667</v>
      </c>
      <c r="AM119" s="69"/>
      <c r="AN119" s="8"/>
      <c r="AO119" s="8"/>
      <c r="AP119" s="8"/>
      <c r="AQ119" s="8"/>
      <c r="AR119" s="8"/>
      <c r="AS119" s="8"/>
      <c r="AT119" s="8"/>
      <c r="AU119" s="8"/>
      <c r="AV119" s="6"/>
      <c r="AW119" s="7"/>
    </row>
    <row r="120" spans="1:49">
      <c r="A120" s="248"/>
      <c r="B120" s="240"/>
      <c r="C120" s="214"/>
      <c r="D120" s="225"/>
      <c r="E120" s="196"/>
      <c r="F120" s="206"/>
      <c r="G120" s="52"/>
      <c r="H120" s="51" t="s">
        <v>74</v>
      </c>
      <c r="I120" s="50"/>
      <c r="J120" s="50"/>
      <c r="K120" s="50"/>
      <c r="L120" s="50"/>
      <c r="M120" s="50"/>
      <c r="N120" s="143"/>
      <c r="O120" s="166"/>
      <c r="P120" s="166"/>
      <c r="Q120" s="166"/>
      <c r="R120" s="166"/>
      <c r="S120" s="166"/>
      <c r="T120" s="166"/>
      <c r="U120" s="166"/>
      <c r="V120" s="166"/>
      <c r="W120" s="50"/>
      <c r="X120" s="50"/>
      <c r="Y120" s="50"/>
      <c r="Z120" s="50"/>
      <c r="AA120" s="50"/>
      <c r="AB120" s="143"/>
      <c r="AC120" s="166"/>
      <c r="AD120" s="50"/>
      <c r="AE120" s="50"/>
      <c r="AF120" s="50"/>
      <c r="AG120" s="50"/>
      <c r="AH120" s="50"/>
      <c r="AI120" s="143"/>
      <c r="AJ120" s="166"/>
      <c r="AK120" s="50"/>
      <c r="AL120" s="50"/>
      <c r="AM120" s="50"/>
      <c r="AN120" s="8"/>
      <c r="AO120" s="8"/>
      <c r="AP120" s="8"/>
      <c r="AQ120" s="8"/>
      <c r="AR120" s="8"/>
      <c r="AS120" s="8"/>
      <c r="AT120" s="8"/>
      <c r="AU120" s="8"/>
      <c r="AV120" s="6"/>
      <c r="AW120" s="7"/>
    </row>
    <row r="121" spans="1:49">
      <c r="A121" s="248"/>
      <c r="B121" s="241" t="s">
        <v>91</v>
      </c>
      <c r="C121" s="207">
        <v>1000</v>
      </c>
      <c r="D121" s="226">
        <v>1.0900000000000001</v>
      </c>
      <c r="E121" s="196"/>
      <c r="F121" s="207" t="s">
        <v>90</v>
      </c>
      <c r="G121" s="49"/>
      <c r="H121" s="48" t="s">
        <v>0</v>
      </c>
      <c r="I121" s="22"/>
      <c r="J121" s="22"/>
      <c r="K121" s="49"/>
      <c r="L121" s="22"/>
      <c r="M121" s="22"/>
      <c r="N121" s="21"/>
      <c r="O121" s="165"/>
      <c r="P121" s="165"/>
      <c r="Q121" s="165"/>
      <c r="R121" s="166"/>
      <c r="S121" s="166"/>
      <c r="T121" s="165"/>
      <c r="U121" s="165"/>
      <c r="V121" s="165"/>
      <c r="W121" s="22"/>
      <c r="X121" s="22"/>
      <c r="Y121" s="40"/>
      <c r="Z121" s="22"/>
      <c r="AA121" s="22"/>
      <c r="AB121" s="21"/>
      <c r="AC121" s="165"/>
      <c r="AD121" s="22"/>
      <c r="AE121" s="22"/>
      <c r="AF121" s="40"/>
      <c r="AG121" s="22"/>
      <c r="AH121" s="22"/>
      <c r="AI121" s="21"/>
      <c r="AJ121" s="165"/>
      <c r="AK121" s="110"/>
      <c r="AL121" s="22"/>
      <c r="AM121" s="113"/>
      <c r="AN121" s="8"/>
      <c r="AO121" s="8"/>
      <c r="AP121" s="8"/>
      <c r="AQ121" s="8"/>
      <c r="AR121" s="8"/>
      <c r="AS121" s="8"/>
      <c r="AT121" s="8"/>
      <c r="AU121" s="8"/>
      <c r="AV121" s="6"/>
      <c r="AW121" s="7"/>
    </row>
    <row r="122" spans="1:49">
      <c r="A122" s="248"/>
      <c r="B122" s="242"/>
      <c r="C122" s="203"/>
      <c r="D122" s="227"/>
      <c r="E122" s="196"/>
      <c r="F122" s="203"/>
      <c r="G122" s="49"/>
      <c r="H122" s="48" t="s">
        <v>87</v>
      </c>
      <c r="I122" s="40">
        <f>I121-I119</f>
        <v>0</v>
      </c>
      <c r="J122" s="40">
        <f>I122+(J121-J119)</f>
        <v>0</v>
      </c>
      <c r="K122" s="40">
        <f t="shared" ref="K122:M122" si="160">J122+(K121-K119)</f>
        <v>-7016.666666666667</v>
      </c>
      <c r="L122" s="40">
        <f t="shared" si="160"/>
        <v>-14033.333333333334</v>
      </c>
      <c r="M122" s="40">
        <f t="shared" si="160"/>
        <v>-21050</v>
      </c>
      <c r="N122" s="151">
        <f>M122+(N121-N119)</f>
        <v>-21050</v>
      </c>
      <c r="O122" s="175"/>
      <c r="P122" s="175"/>
      <c r="Q122" s="175"/>
      <c r="R122" s="175"/>
      <c r="S122" s="175"/>
      <c r="T122" s="175"/>
      <c r="U122" s="175"/>
      <c r="V122" s="175"/>
      <c r="W122" s="68">
        <f>N122+(W121-W119)</f>
        <v>-21050</v>
      </c>
      <c r="X122" s="68">
        <f>W122+(X121-X119)</f>
        <v>-28066.666666666668</v>
      </c>
      <c r="Y122" s="68">
        <f t="shared" ref="Y122:AA122" si="161">X122+(Y121-Y119)</f>
        <v>-35083.333333333336</v>
      </c>
      <c r="Z122" s="68">
        <f t="shared" si="161"/>
        <v>-42100</v>
      </c>
      <c r="AA122" s="68">
        <f t="shared" si="161"/>
        <v>-42100</v>
      </c>
      <c r="AB122" s="151">
        <f>AA122+(AB121-AB119)</f>
        <v>-42100</v>
      </c>
      <c r="AC122" s="175"/>
      <c r="AD122" s="68">
        <f>AB122+(AD121-AD119)</f>
        <v>-42100</v>
      </c>
      <c r="AE122" s="68">
        <f>AD122+(AE121-AE119)</f>
        <v>-49116.666666666664</v>
      </c>
      <c r="AF122" s="68">
        <f t="shared" ref="AF122:AH122" si="162">AE122+(AF121-AF119)</f>
        <v>-56133.333333333328</v>
      </c>
      <c r="AG122" s="68">
        <f t="shared" si="162"/>
        <v>-63149.999999999993</v>
      </c>
      <c r="AH122" s="68">
        <f t="shared" si="162"/>
        <v>-63149.999999999993</v>
      </c>
      <c r="AI122" s="151">
        <f>AH122+(AI121-AI119)</f>
        <v>-63149.999999999993</v>
      </c>
      <c r="AJ122" s="175"/>
      <c r="AK122" s="68">
        <f>AI122+(AK121-AK119)</f>
        <v>-63149.999999999993</v>
      </c>
      <c r="AL122" s="68">
        <f>AK122+(AL121-AL119)</f>
        <v>-70166.666666666657</v>
      </c>
      <c r="AM122" s="68"/>
      <c r="AN122" s="8"/>
      <c r="AO122" s="8"/>
      <c r="AP122" s="8"/>
      <c r="AQ122" s="8"/>
      <c r="AR122" s="8"/>
      <c r="AS122" s="8"/>
      <c r="AT122" s="8"/>
      <c r="AU122" s="8"/>
      <c r="AV122" s="6"/>
      <c r="AW122" s="7"/>
    </row>
    <row r="123" spans="1:49">
      <c r="A123" s="248"/>
      <c r="B123" s="242"/>
      <c r="C123" s="203"/>
      <c r="D123" s="227"/>
      <c r="E123" s="196"/>
      <c r="F123" s="203"/>
      <c r="G123" s="52" t="s">
        <v>89</v>
      </c>
      <c r="H123" s="51" t="s">
        <v>2</v>
      </c>
      <c r="I123" s="50"/>
      <c r="J123" s="50"/>
      <c r="K123" s="50"/>
      <c r="L123" s="50"/>
      <c r="M123" s="50">
        <f>$C$111*5</f>
        <v>10000</v>
      </c>
      <c r="N123" s="143"/>
      <c r="O123" s="174"/>
      <c r="P123" s="166"/>
      <c r="Q123" s="166"/>
      <c r="R123" s="166"/>
      <c r="S123" s="166"/>
      <c r="T123" s="166"/>
      <c r="U123" s="166"/>
      <c r="V123" s="166"/>
      <c r="W123" s="50"/>
      <c r="X123" s="50"/>
      <c r="Y123" s="50"/>
      <c r="Z123" s="50"/>
      <c r="AA123" s="50">
        <f>$C$111*5</f>
        <v>10000</v>
      </c>
      <c r="AB123" s="143"/>
      <c r="AC123" s="166"/>
      <c r="AD123" s="50"/>
      <c r="AE123" s="50"/>
      <c r="AF123" s="50"/>
      <c r="AG123" s="50"/>
      <c r="AH123" s="50">
        <f>$C$111*5</f>
        <v>10000</v>
      </c>
      <c r="AI123" s="143"/>
      <c r="AJ123" s="166"/>
      <c r="AK123" s="50"/>
      <c r="AL123" s="50"/>
      <c r="AM123" s="50"/>
      <c r="AN123" s="8"/>
      <c r="AO123" s="8"/>
      <c r="AP123" s="8"/>
      <c r="AQ123" s="8"/>
      <c r="AR123" s="8"/>
      <c r="AS123" s="8"/>
      <c r="AT123" s="8"/>
      <c r="AU123" s="8"/>
      <c r="AV123" s="6"/>
      <c r="AW123" s="7"/>
    </row>
    <row r="124" spans="1:49">
      <c r="A124" s="248"/>
      <c r="B124" s="242"/>
      <c r="C124" s="203"/>
      <c r="D124" s="227"/>
      <c r="E124" s="196"/>
      <c r="F124" s="203"/>
      <c r="G124" s="52"/>
      <c r="H124" s="51" t="s">
        <v>54</v>
      </c>
      <c r="I124" s="50"/>
      <c r="J124" s="50"/>
      <c r="K124" s="50"/>
      <c r="L124" s="50"/>
      <c r="M124" s="50">
        <v>1</v>
      </c>
      <c r="N124" s="143"/>
      <c r="O124" s="166"/>
      <c r="P124" s="166"/>
      <c r="Q124" s="166"/>
      <c r="R124" s="166"/>
      <c r="S124" s="166"/>
      <c r="T124" s="166"/>
      <c r="U124" s="166"/>
      <c r="V124" s="166"/>
      <c r="W124" s="50"/>
      <c r="X124" s="50"/>
      <c r="Y124" s="50"/>
      <c r="Z124" s="50"/>
      <c r="AA124" s="50">
        <v>1</v>
      </c>
      <c r="AB124" s="143"/>
      <c r="AC124" s="166"/>
      <c r="AD124" s="50"/>
      <c r="AE124" s="50"/>
      <c r="AF124" s="50"/>
      <c r="AG124" s="50"/>
      <c r="AH124" s="50">
        <v>1</v>
      </c>
      <c r="AI124" s="143"/>
      <c r="AJ124" s="166"/>
      <c r="AK124" s="50"/>
      <c r="AL124" s="50"/>
      <c r="AM124" s="50"/>
      <c r="AN124" s="8"/>
      <c r="AO124" s="8"/>
      <c r="AP124" s="8"/>
      <c r="AQ124" s="8"/>
      <c r="AR124" s="8"/>
      <c r="AS124" s="8"/>
      <c r="AT124" s="8"/>
      <c r="AU124" s="8"/>
      <c r="AV124" s="6"/>
      <c r="AW124" s="7"/>
    </row>
    <row r="125" spans="1:49">
      <c r="A125" s="248"/>
      <c r="B125" s="242"/>
      <c r="C125" s="203"/>
      <c r="D125" s="227"/>
      <c r="E125" s="196"/>
      <c r="F125" s="203"/>
      <c r="G125" s="49"/>
      <c r="H125" s="48" t="s">
        <v>0</v>
      </c>
      <c r="I125" s="40"/>
      <c r="J125" s="40"/>
      <c r="K125" s="40"/>
      <c r="L125" s="40"/>
      <c r="M125" s="40"/>
      <c r="N125" s="143"/>
      <c r="O125" s="166"/>
      <c r="P125" s="166"/>
      <c r="Q125" s="166"/>
      <c r="R125" s="166"/>
      <c r="S125" s="166"/>
      <c r="T125" s="166"/>
      <c r="U125" s="166"/>
      <c r="V125" s="166"/>
      <c r="W125" s="40"/>
      <c r="X125" s="40"/>
      <c r="Y125" s="40"/>
      <c r="Z125" s="40"/>
      <c r="AA125" s="40"/>
      <c r="AB125" s="143"/>
      <c r="AC125" s="166"/>
      <c r="AD125" s="40"/>
      <c r="AE125" s="40"/>
      <c r="AF125" s="40"/>
      <c r="AG125" s="40"/>
      <c r="AH125" s="40"/>
      <c r="AI125" s="143"/>
      <c r="AJ125" s="166"/>
      <c r="AK125" s="110"/>
      <c r="AL125" s="22"/>
      <c r="AM125" s="113"/>
      <c r="AN125" s="8"/>
      <c r="AO125" s="8"/>
      <c r="AP125" s="8"/>
      <c r="AQ125" s="8"/>
      <c r="AR125" s="8"/>
      <c r="AS125" s="8"/>
      <c r="AT125" s="8"/>
      <c r="AU125" s="8"/>
      <c r="AV125" s="6"/>
      <c r="AW125" s="7"/>
    </row>
    <row r="126" spans="1:49">
      <c r="A126" s="248"/>
      <c r="B126" s="242"/>
      <c r="C126" s="203"/>
      <c r="D126" s="227"/>
      <c r="E126" s="196"/>
      <c r="F126" s="203"/>
      <c r="G126" s="49"/>
      <c r="H126" s="48" t="s">
        <v>87</v>
      </c>
      <c r="I126" s="68"/>
      <c r="J126" s="68"/>
      <c r="K126" s="68"/>
      <c r="L126" s="68"/>
      <c r="M126" s="68"/>
      <c r="N126" s="151"/>
      <c r="O126" s="175"/>
      <c r="P126" s="175"/>
      <c r="Q126" s="175"/>
      <c r="R126" s="175"/>
      <c r="S126" s="175"/>
      <c r="T126" s="175"/>
      <c r="U126" s="175"/>
      <c r="V126" s="175"/>
      <c r="W126" s="68"/>
      <c r="X126" s="68"/>
      <c r="Y126" s="68"/>
      <c r="Z126" s="68"/>
      <c r="AA126" s="68"/>
      <c r="AB126" s="151"/>
      <c r="AC126" s="175"/>
      <c r="AD126" s="40"/>
      <c r="AE126" s="40"/>
      <c r="AF126" s="40"/>
      <c r="AG126" s="68"/>
      <c r="AH126" s="68"/>
      <c r="AI126" s="151"/>
      <c r="AJ126" s="166"/>
      <c r="AK126" s="110"/>
      <c r="AL126" s="22"/>
      <c r="AM126" s="113"/>
      <c r="AN126" s="8"/>
      <c r="AO126" s="8"/>
      <c r="AP126" s="8"/>
      <c r="AQ126" s="8"/>
      <c r="AR126" s="8"/>
      <c r="AS126" s="8"/>
      <c r="AT126" s="8"/>
      <c r="AU126" s="8"/>
      <c r="AV126" s="6"/>
      <c r="AW126" s="7"/>
    </row>
    <row r="127" spans="1:49">
      <c r="A127" s="248"/>
      <c r="B127" s="242"/>
      <c r="C127" s="203"/>
      <c r="D127" s="227"/>
      <c r="E127" s="196"/>
      <c r="F127" s="203"/>
      <c r="G127" s="52" t="s">
        <v>88</v>
      </c>
      <c r="H127" s="51" t="s">
        <v>2</v>
      </c>
      <c r="I127" s="50"/>
      <c r="J127" s="50"/>
      <c r="K127" s="50"/>
      <c r="L127" s="50"/>
      <c r="M127" s="50">
        <f>$C$121*5</f>
        <v>5000</v>
      </c>
      <c r="N127" s="143"/>
      <c r="O127" s="174"/>
      <c r="P127" s="166"/>
      <c r="Q127" s="166"/>
      <c r="R127" s="166"/>
      <c r="S127" s="166"/>
      <c r="T127" s="166"/>
      <c r="U127" s="166"/>
      <c r="V127" s="166"/>
      <c r="W127" s="50"/>
      <c r="X127" s="50"/>
      <c r="Y127" s="50"/>
      <c r="Z127" s="50"/>
      <c r="AA127" s="50">
        <f>$C$121*5</f>
        <v>5000</v>
      </c>
      <c r="AB127" s="143"/>
      <c r="AC127" s="166"/>
      <c r="AD127" s="50"/>
      <c r="AE127" s="50"/>
      <c r="AF127" s="50"/>
      <c r="AG127" s="50"/>
      <c r="AH127" s="50">
        <f>$C$121*5</f>
        <v>5000</v>
      </c>
      <c r="AI127" s="143"/>
      <c r="AJ127" s="166"/>
      <c r="AK127" s="50"/>
      <c r="AL127" s="50"/>
      <c r="AM127" s="50"/>
      <c r="AN127" s="8"/>
      <c r="AO127" s="8"/>
      <c r="AP127" s="8"/>
      <c r="AQ127" s="8"/>
      <c r="AR127" s="8"/>
      <c r="AS127" s="8"/>
      <c r="AT127" s="8"/>
      <c r="AU127" s="8"/>
      <c r="AV127" s="6"/>
      <c r="AW127" s="7"/>
    </row>
    <row r="128" spans="1:49">
      <c r="A128" s="248"/>
      <c r="B128" s="242"/>
      <c r="C128" s="203"/>
      <c r="D128" s="227"/>
      <c r="E128" s="196"/>
      <c r="F128" s="203"/>
      <c r="G128" s="52"/>
      <c r="H128" s="51" t="s">
        <v>54</v>
      </c>
      <c r="I128" s="50"/>
      <c r="J128" s="50"/>
      <c r="K128" s="50"/>
      <c r="L128" s="50"/>
      <c r="M128" s="50">
        <v>1</v>
      </c>
      <c r="N128" s="143"/>
      <c r="O128" s="166"/>
      <c r="P128" s="166"/>
      <c r="Q128" s="166"/>
      <c r="R128" s="166"/>
      <c r="S128" s="166"/>
      <c r="T128" s="166"/>
      <c r="U128" s="166"/>
      <c r="V128" s="166"/>
      <c r="W128" s="50"/>
      <c r="X128" s="50"/>
      <c r="Y128" s="50"/>
      <c r="Z128" s="50"/>
      <c r="AA128" s="50">
        <v>1</v>
      </c>
      <c r="AB128" s="143"/>
      <c r="AC128" s="166"/>
      <c r="AD128" s="50"/>
      <c r="AE128" s="50"/>
      <c r="AF128" s="50"/>
      <c r="AG128" s="50"/>
      <c r="AH128" s="50">
        <v>1</v>
      </c>
      <c r="AI128" s="143"/>
      <c r="AJ128" s="166"/>
      <c r="AK128" s="50"/>
      <c r="AL128" s="50"/>
      <c r="AM128" s="50"/>
      <c r="AN128" s="8"/>
      <c r="AO128" s="8"/>
      <c r="AP128" s="8"/>
      <c r="AQ128" s="8"/>
      <c r="AR128" s="8"/>
      <c r="AS128" s="8"/>
      <c r="AT128" s="8"/>
      <c r="AU128" s="8"/>
      <c r="AV128" s="6"/>
      <c r="AW128" s="7"/>
    </row>
    <row r="129" spans="1:49" ht="15" customHeight="1">
      <c r="A129" s="248"/>
      <c r="B129" s="242"/>
      <c r="C129" s="203"/>
      <c r="D129" s="227"/>
      <c r="E129" s="196"/>
      <c r="F129" s="203"/>
      <c r="G129" s="49"/>
      <c r="H129" s="48" t="s">
        <v>0</v>
      </c>
      <c r="I129" s="40"/>
      <c r="J129" s="40"/>
      <c r="K129" s="40"/>
      <c r="L129" s="40"/>
      <c r="M129" s="40"/>
      <c r="N129" s="143"/>
      <c r="O129" s="166"/>
      <c r="P129" s="166"/>
      <c r="Q129" s="166"/>
      <c r="R129" s="166"/>
      <c r="S129" s="166"/>
      <c r="T129" s="166"/>
      <c r="U129" s="166"/>
      <c r="V129" s="166"/>
      <c r="W129" s="40"/>
      <c r="X129" s="40"/>
      <c r="Y129" s="40"/>
      <c r="Z129" s="40"/>
      <c r="AA129" s="40"/>
      <c r="AB129" s="143"/>
      <c r="AC129" s="166"/>
      <c r="AD129" s="40"/>
      <c r="AE129" s="40"/>
      <c r="AF129" s="40"/>
      <c r="AG129" s="40"/>
      <c r="AH129" s="40"/>
      <c r="AI129" s="143"/>
      <c r="AJ129" s="166"/>
      <c r="AK129" s="110"/>
      <c r="AL129" s="22"/>
      <c r="AM129" s="113"/>
      <c r="AN129" s="8"/>
      <c r="AO129" s="8"/>
      <c r="AP129" s="8"/>
      <c r="AQ129" s="8"/>
      <c r="AR129" s="8"/>
      <c r="AS129" s="8"/>
      <c r="AT129" s="8"/>
      <c r="AU129" s="8"/>
      <c r="AV129" s="7"/>
      <c r="AW129" s="7"/>
    </row>
    <row r="130" spans="1:49" ht="15" customHeight="1" thickBot="1">
      <c r="A130" s="249"/>
      <c r="B130" s="243"/>
      <c r="C130" s="204"/>
      <c r="D130" s="228"/>
      <c r="E130" s="197"/>
      <c r="F130" s="204"/>
      <c r="G130" s="47"/>
      <c r="H130" s="46" t="s">
        <v>87</v>
      </c>
      <c r="I130" s="67"/>
      <c r="J130" s="67"/>
      <c r="K130" s="67"/>
      <c r="L130" s="67"/>
      <c r="M130" s="67"/>
      <c r="N130" s="152"/>
      <c r="O130" s="175"/>
      <c r="P130" s="175"/>
      <c r="Q130" s="175"/>
      <c r="R130" s="175"/>
      <c r="S130" s="175"/>
      <c r="T130" s="175"/>
      <c r="U130" s="175"/>
      <c r="V130" s="175"/>
      <c r="W130" s="67"/>
      <c r="X130" s="67"/>
      <c r="Y130" s="67"/>
      <c r="Z130" s="67"/>
      <c r="AA130" s="67"/>
      <c r="AB130" s="152"/>
      <c r="AC130" s="176"/>
      <c r="AD130" s="45"/>
      <c r="AE130" s="45"/>
      <c r="AF130" s="45"/>
      <c r="AG130" s="45"/>
      <c r="AH130" s="45"/>
      <c r="AI130" s="154"/>
      <c r="AJ130" s="182"/>
      <c r="AK130" s="126"/>
      <c r="AL130" s="18"/>
      <c r="AM130" s="118"/>
      <c r="AN130" s="8"/>
      <c r="AO130" s="8"/>
      <c r="AP130" s="8"/>
      <c r="AQ130" s="8"/>
      <c r="AR130" s="8"/>
      <c r="AS130" s="8"/>
      <c r="AT130" s="8"/>
      <c r="AU130" s="8"/>
      <c r="AV130" s="7"/>
      <c r="AW130" s="7"/>
    </row>
    <row r="131" spans="1:49" ht="15" hidden="1" customHeight="1">
      <c r="A131" s="250" t="s">
        <v>86</v>
      </c>
      <c r="B131" s="247" t="s">
        <v>85</v>
      </c>
      <c r="C131" s="205">
        <v>13000</v>
      </c>
      <c r="D131" s="229">
        <v>1.56</v>
      </c>
      <c r="E131" s="195"/>
      <c r="F131" s="205" t="s">
        <v>84</v>
      </c>
      <c r="G131" s="33">
        <v>0.08</v>
      </c>
      <c r="H131" s="32" t="s">
        <v>31</v>
      </c>
      <c r="I131" s="44">
        <v>60.71</v>
      </c>
      <c r="J131" s="44"/>
      <c r="K131" s="44"/>
      <c r="L131" s="44">
        <v>60.71</v>
      </c>
      <c r="M131" s="44">
        <v>60.71</v>
      </c>
      <c r="N131" s="61">
        <v>60.71</v>
      </c>
      <c r="O131" s="165"/>
      <c r="P131" s="165"/>
      <c r="Q131" s="165"/>
      <c r="R131" s="165"/>
      <c r="S131" s="165"/>
      <c r="T131" s="165"/>
      <c r="U131" s="165"/>
      <c r="V131" s="165"/>
      <c r="W131" s="44">
        <v>60.71</v>
      </c>
      <c r="X131" s="44"/>
      <c r="Y131" s="44"/>
      <c r="Z131" s="44">
        <v>60.71</v>
      </c>
      <c r="AA131" s="44">
        <v>60.71</v>
      </c>
      <c r="AB131" s="61">
        <v>60.71</v>
      </c>
      <c r="AC131" s="177">
        <v>60.71</v>
      </c>
      <c r="AD131" s="44">
        <v>60.71</v>
      </c>
      <c r="AE131" s="44"/>
      <c r="AF131" s="44"/>
      <c r="AG131" s="44">
        <v>60.71</v>
      </c>
      <c r="AH131" s="44">
        <v>60.71</v>
      </c>
      <c r="AI131" s="61">
        <v>60.71</v>
      </c>
      <c r="AJ131" s="177">
        <v>60.71</v>
      </c>
      <c r="AK131" s="127"/>
      <c r="AL131" s="44"/>
      <c r="AM131" s="128"/>
      <c r="AN131" s="8"/>
      <c r="AO131" s="8"/>
      <c r="AP131" s="8"/>
      <c r="AQ131" s="8"/>
      <c r="AR131" s="8"/>
      <c r="AS131" s="8"/>
      <c r="AT131" s="8"/>
      <c r="AU131" s="8"/>
      <c r="AV131" s="7"/>
      <c r="AW131" s="7"/>
    </row>
    <row r="132" spans="1:49" ht="15" hidden="1" customHeight="1">
      <c r="A132" s="251"/>
      <c r="B132" s="248"/>
      <c r="C132" s="203"/>
      <c r="D132" s="227"/>
      <c r="E132" s="196"/>
      <c r="F132" s="203"/>
      <c r="G132" s="28"/>
      <c r="H132" s="23" t="s">
        <v>26</v>
      </c>
      <c r="I132" s="31">
        <v>1</v>
      </c>
      <c r="J132" s="31"/>
      <c r="K132" s="31"/>
      <c r="L132" s="31">
        <v>1</v>
      </c>
      <c r="M132" s="31">
        <v>1</v>
      </c>
      <c r="N132" s="30">
        <v>1</v>
      </c>
      <c r="O132" s="165"/>
      <c r="P132" s="165"/>
      <c r="Q132" s="165"/>
      <c r="R132" s="165"/>
      <c r="S132" s="165"/>
      <c r="T132" s="165"/>
      <c r="U132" s="165"/>
      <c r="V132" s="165"/>
      <c r="W132" s="31">
        <v>1</v>
      </c>
      <c r="X132" s="31"/>
      <c r="Y132" s="31"/>
      <c r="Z132" s="31">
        <v>1</v>
      </c>
      <c r="AA132" s="31">
        <v>1</v>
      </c>
      <c r="AB132" s="30">
        <v>1</v>
      </c>
      <c r="AC132" s="178">
        <v>1</v>
      </c>
      <c r="AD132" s="31">
        <v>1</v>
      </c>
      <c r="AE132" s="31"/>
      <c r="AF132" s="31"/>
      <c r="AG132" s="31">
        <v>1</v>
      </c>
      <c r="AH132" s="31">
        <v>1</v>
      </c>
      <c r="AI132" s="30">
        <v>1</v>
      </c>
      <c r="AJ132" s="178">
        <v>1</v>
      </c>
      <c r="AK132" s="121"/>
      <c r="AL132" s="22"/>
      <c r="AM132" s="113"/>
      <c r="AN132" s="8"/>
      <c r="AO132" s="8"/>
      <c r="AP132" s="8"/>
      <c r="AQ132" s="8"/>
      <c r="AR132" s="8"/>
      <c r="AS132" s="8"/>
      <c r="AT132" s="8"/>
      <c r="AU132" s="8"/>
      <c r="AV132" s="7"/>
      <c r="AW132" s="7"/>
    </row>
    <row r="133" spans="1:49" ht="15" hidden="1" customHeight="1">
      <c r="A133" s="251"/>
      <c r="B133" s="248"/>
      <c r="C133" s="203"/>
      <c r="D133" s="227"/>
      <c r="E133" s="196"/>
      <c r="F133" s="203"/>
      <c r="G133" s="60"/>
      <c r="H133" s="66" t="s">
        <v>0</v>
      </c>
      <c r="I133" s="22"/>
      <c r="J133" s="22"/>
      <c r="K133" s="22"/>
      <c r="L133" s="22"/>
      <c r="M133" s="22"/>
      <c r="N133" s="21"/>
      <c r="O133" s="165"/>
      <c r="P133" s="165"/>
      <c r="Q133" s="165"/>
      <c r="R133" s="165"/>
      <c r="S133" s="165"/>
      <c r="T133" s="165"/>
      <c r="U133" s="165"/>
      <c r="V133" s="165"/>
      <c r="W133" s="22"/>
      <c r="X133" s="22"/>
      <c r="Y133" s="22"/>
      <c r="Z133" s="22"/>
      <c r="AA133" s="22"/>
      <c r="AB133" s="21"/>
      <c r="AC133" s="165"/>
      <c r="AD133" s="22"/>
      <c r="AE133" s="22"/>
      <c r="AF133" s="22"/>
      <c r="AG133" s="22"/>
      <c r="AH133" s="22"/>
      <c r="AI133" s="21"/>
      <c r="AJ133" s="165"/>
      <c r="AK133" s="22"/>
      <c r="AL133" s="22"/>
      <c r="AM133" s="113"/>
      <c r="AN133" s="8"/>
      <c r="AO133" s="8"/>
      <c r="AP133" s="8"/>
      <c r="AQ133" s="8"/>
      <c r="AR133" s="8"/>
      <c r="AS133" s="8"/>
      <c r="AT133" s="8"/>
      <c r="AU133" s="8"/>
      <c r="AV133" s="7"/>
      <c r="AW133" s="7"/>
    </row>
    <row r="134" spans="1:49" ht="15" hidden="1" customHeight="1">
      <c r="A134" s="251"/>
      <c r="B134" s="248"/>
      <c r="C134" s="203"/>
      <c r="D134" s="227"/>
      <c r="E134" s="196"/>
      <c r="F134" s="203"/>
      <c r="G134" s="27" t="s">
        <v>83</v>
      </c>
      <c r="H134" s="23" t="s">
        <v>82</v>
      </c>
      <c r="I134" s="22">
        <v>60.71</v>
      </c>
      <c r="J134" s="22"/>
      <c r="K134" s="22"/>
      <c r="L134" s="22">
        <v>60.71</v>
      </c>
      <c r="M134" s="22">
        <v>60.71</v>
      </c>
      <c r="N134" s="21">
        <v>60.71</v>
      </c>
      <c r="O134" s="165"/>
      <c r="P134" s="165"/>
      <c r="Q134" s="165"/>
      <c r="R134" s="165"/>
      <c r="S134" s="165"/>
      <c r="T134" s="165"/>
      <c r="U134" s="165"/>
      <c r="V134" s="165"/>
      <c r="W134" s="22">
        <v>60.71</v>
      </c>
      <c r="X134" s="22"/>
      <c r="Y134" s="22"/>
      <c r="Z134" s="22">
        <v>60.71</v>
      </c>
      <c r="AA134" s="22">
        <v>60.71</v>
      </c>
      <c r="AB134" s="21">
        <v>60.71</v>
      </c>
      <c r="AC134" s="165">
        <v>60.71</v>
      </c>
      <c r="AD134" s="22">
        <v>60.71</v>
      </c>
      <c r="AE134" s="22"/>
      <c r="AF134" s="22"/>
      <c r="AG134" s="22">
        <v>60.71</v>
      </c>
      <c r="AH134" s="22">
        <v>60.71</v>
      </c>
      <c r="AI134" s="21">
        <v>60.71</v>
      </c>
      <c r="AJ134" s="165">
        <v>60.71</v>
      </c>
      <c r="AK134" s="22"/>
      <c r="AL134" s="22"/>
      <c r="AM134" s="113"/>
      <c r="AN134" s="8"/>
      <c r="AO134" s="8"/>
      <c r="AP134" s="8"/>
      <c r="AQ134" s="8"/>
      <c r="AR134" s="8"/>
      <c r="AS134" s="8"/>
      <c r="AT134" s="8"/>
      <c r="AU134" s="8"/>
      <c r="AV134" s="7"/>
      <c r="AW134" s="7"/>
    </row>
    <row r="135" spans="1:49" ht="15" hidden="1" customHeight="1">
      <c r="A135" s="251"/>
      <c r="B135" s="248"/>
      <c r="C135" s="203"/>
      <c r="D135" s="227"/>
      <c r="E135" s="196"/>
      <c r="F135" s="203"/>
      <c r="G135" s="28"/>
      <c r="H135" s="23" t="s">
        <v>26</v>
      </c>
      <c r="I135" s="31">
        <v>0.5</v>
      </c>
      <c r="J135" s="31"/>
      <c r="K135" s="31"/>
      <c r="L135" s="31">
        <v>0.5</v>
      </c>
      <c r="M135" s="31">
        <v>0.5</v>
      </c>
      <c r="N135" s="30">
        <v>0.5</v>
      </c>
      <c r="O135" s="165"/>
      <c r="P135" s="165"/>
      <c r="Q135" s="165"/>
      <c r="R135" s="165"/>
      <c r="S135" s="165"/>
      <c r="T135" s="165"/>
      <c r="U135" s="165"/>
      <c r="V135" s="165"/>
      <c r="W135" s="31">
        <v>0.5</v>
      </c>
      <c r="X135" s="31"/>
      <c r="Y135" s="31"/>
      <c r="Z135" s="31">
        <v>0.5</v>
      </c>
      <c r="AA135" s="31">
        <v>0.5</v>
      </c>
      <c r="AB135" s="30">
        <v>0.5</v>
      </c>
      <c r="AC135" s="178">
        <v>0.5</v>
      </c>
      <c r="AD135" s="31">
        <v>0.5</v>
      </c>
      <c r="AE135" s="31"/>
      <c r="AF135" s="31"/>
      <c r="AG135" s="31">
        <v>0.5</v>
      </c>
      <c r="AH135" s="31">
        <v>0.5</v>
      </c>
      <c r="AI135" s="30">
        <v>0.5</v>
      </c>
      <c r="AJ135" s="178">
        <v>0.5</v>
      </c>
      <c r="AK135" s="121"/>
      <c r="AL135" s="22"/>
      <c r="AM135" s="113"/>
      <c r="AN135" s="8"/>
      <c r="AO135" s="8"/>
      <c r="AP135" s="8"/>
      <c r="AQ135" s="8"/>
      <c r="AR135" s="8"/>
      <c r="AS135" s="8"/>
      <c r="AT135" s="8"/>
      <c r="AU135" s="8"/>
      <c r="AV135" s="7"/>
      <c r="AW135" s="7"/>
    </row>
    <row r="136" spans="1:49" ht="15" hidden="1" customHeight="1">
      <c r="A136" s="251"/>
      <c r="B136" s="248"/>
      <c r="C136" s="203"/>
      <c r="D136" s="227"/>
      <c r="E136" s="196"/>
      <c r="F136" s="203"/>
      <c r="G136" s="28"/>
      <c r="H136" s="26" t="s">
        <v>0</v>
      </c>
      <c r="I136" s="31"/>
      <c r="J136" s="31"/>
      <c r="K136" s="31"/>
      <c r="L136" s="31"/>
      <c r="M136" s="31"/>
      <c r="N136" s="30"/>
      <c r="O136" s="165"/>
      <c r="P136" s="165"/>
      <c r="Q136" s="165"/>
      <c r="R136" s="165"/>
      <c r="S136" s="165"/>
      <c r="T136" s="165"/>
      <c r="U136" s="165"/>
      <c r="V136" s="165"/>
      <c r="W136" s="31"/>
      <c r="X136" s="31"/>
      <c r="Y136" s="31"/>
      <c r="Z136" s="31"/>
      <c r="AA136" s="31"/>
      <c r="AB136" s="30"/>
      <c r="AC136" s="178"/>
      <c r="AD136" s="31"/>
      <c r="AE136" s="31"/>
      <c r="AF136" s="31"/>
      <c r="AG136" s="31"/>
      <c r="AH136" s="31"/>
      <c r="AI136" s="30"/>
      <c r="AJ136" s="178"/>
      <c r="AK136" s="121"/>
      <c r="AL136" s="22"/>
      <c r="AM136" s="113"/>
      <c r="AN136" s="8"/>
      <c r="AO136" s="8"/>
      <c r="AP136" s="8"/>
      <c r="AQ136" s="8"/>
      <c r="AR136" s="8"/>
      <c r="AS136" s="8"/>
      <c r="AT136" s="8"/>
      <c r="AU136" s="8"/>
      <c r="AV136" s="7"/>
      <c r="AW136" s="7"/>
    </row>
    <row r="137" spans="1:49">
      <c r="A137" s="251"/>
      <c r="B137" s="248"/>
      <c r="C137" s="203"/>
      <c r="D137" s="227"/>
      <c r="E137" s="196"/>
      <c r="F137" s="203"/>
      <c r="G137" s="28" t="s">
        <v>81</v>
      </c>
      <c r="H137" s="23" t="s">
        <v>76</v>
      </c>
      <c r="I137" s="41">
        <f t="shared" ref="I137:K137" si="163">$L$149*$D$131/2</f>
        <v>20280</v>
      </c>
      <c r="J137" s="41">
        <f t="shared" si="163"/>
        <v>20280</v>
      </c>
      <c r="K137" s="41">
        <f t="shared" si="163"/>
        <v>20280</v>
      </c>
      <c r="L137" s="41">
        <f>$L$149*$D$131/2</f>
        <v>20280</v>
      </c>
      <c r="M137" s="41">
        <f>$L$149*$D$131/2</f>
        <v>20280</v>
      </c>
      <c r="N137" s="30"/>
      <c r="O137" s="165"/>
      <c r="P137" s="165"/>
      <c r="Q137" s="165"/>
      <c r="R137" s="165"/>
      <c r="S137" s="165"/>
      <c r="T137" s="165"/>
      <c r="U137" s="165"/>
      <c r="V137" s="165"/>
      <c r="W137" s="41">
        <f>$L$149*$D$131/2</f>
        <v>20280</v>
      </c>
      <c r="X137" s="41">
        <f t="shared" ref="X137:Y137" si="164">$L$149*$D$131/2</f>
        <v>20280</v>
      </c>
      <c r="Y137" s="41">
        <f t="shared" si="164"/>
        <v>20280</v>
      </c>
      <c r="Z137" s="41">
        <f>$L$149*$D$131/2</f>
        <v>20280</v>
      </c>
      <c r="AA137" s="41">
        <f>$L$149*$D$131/2</f>
        <v>20280</v>
      </c>
      <c r="AB137" s="30"/>
      <c r="AC137" s="178"/>
      <c r="AD137" s="41">
        <f>$L$149*$D$131/2</f>
        <v>20280</v>
      </c>
      <c r="AE137" s="41">
        <f t="shared" ref="AE137:AF137" si="165">$L$149*$D$131/2</f>
        <v>20280</v>
      </c>
      <c r="AF137" s="41">
        <f t="shared" si="165"/>
        <v>20280</v>
      </c>
      <c r="AG137" s="41">
        <f>$L$149*$D$131/2</f>
        <v>20280</v>
      </c>
      <c r="AH137" s="41">
        <f>$L$149*$D$131/2</f>
        <v>20280</v>
      </c>
      <c r="AI137" s="30"/>
      <c r="AJ137" s="178"/>
      <c r="AK137" s="41">
        <f t="shared" ref="AK137:AM137" si="166">$L$149*$D$131/2</f>
        <v>20280</v>
      </c>
      <c r="AL137" s="41">
        <f t="shared" si="166"/>
        <v>20280</v>
      </c>
      <c r="AM137" s="41"/>
      <c r="AN137" s="8"/>
      <c r="AO137" s="8"/>
      <c r="AP137" s="8"/>
      <c r="AQ137" s="8"/>
      <c r="AR137" s="8"/>
      <c r="AS137" s="8"/>
      <c r="AT137" s="8"/>
      <c r="AU137" s="8"/>
      <c r="AV137" s="7"/>
      <c r="AW137" s="7"/>
    </row>
    <row r="138" spans="1:49">
      <c r="A138" s="251"/>
      <c r="B138" s="248"/>
      <c r="C138" s="203"/>
      <c r="D138" s="227"/>
      <c r="E138" s="196"/>
      <c r="F138" s="203"/>
      <c r="G138" s="28"/>
      <c r="H138" s="23" t="s">
        <v>66</v>
      </c>
      <c r="I138" s="41">
        <v>1</v>
      </c>
      <c r="J138" s="41">
        <v>1</v>
      </c>
      <c r="K138" s="41">
        <v>1</v>
      </c>
      <c r="L138" s="41">
        <v>1</v>
      </c>
      <c r="M138" s="41">
        <v>1</v>
      </c>
      <c r="N138" s="30"/>
      <c r="O138" s="165"/>
      <c r="P138" s="165"/>
      <c r="Q138" s="165"/>
      <c r="R138" s="165"/>
      <c r="S138" s="165"/>
      <c r="T138" s="165"/>
      <c r="U138" s="165"/>
      <c r="V138" s="165"/>
      <c r="W138" s="41">
        <v>1</v>
      </c>
      <c r="X138" s="41">
        <v>1</v>
      </c>
      <c r="Y138" s="41">
        <v>1</v>
      </c>
      <c r="Z138" s="41">
        <v>1</v>
      </c>
      <c r="AA138" s="41">
        <v>1</v>
      </c>
      <c r="AB138" s="30"/>
      <c r="AC138" s="178"/>
      <c r="AD138" s="41">
        <v>1</v>
      </c>
      <c r="AE138" s="41">
        <v>1</v>
      </c>
      <c r="AF138" s="41">
        <v>1</v>
      </c>
      <c r="AG138" s="41">
        <v>1</v>
      </c>
      <c r="AH138" s="41">
        <v>1</v>
      </c>
      <c r="AI138" s="30"/>
      <c r="AJ138" s="178"/>
      <c r="AK138" s="41">
        <v>1</v>
      </c>
      <c r="AL138" s="41">
        <v>1</v>
      </c>
      <c r="AM138" s="41"/>
      <c r="AN138" s="8"/>
      <c r="AO138" s="8"/>
      <c r="AP138" s="8"/>
      <c r="AQ138" s="8"/>
      <c r="AR138" s="8"/>
      <c r="AS138" s="8"/>
      <c r="AT138" s="8"/>
      <c r="AU138" s="8"/>
      <c r="AV138" s="7"/>
      <c r="AW138" s="7"/>
    </row>
    <row r="139" spans="1:49">
      <c r="A139" s="251"/>
      <c r="B139" s="248"/>
      <c r="C139" s="203"/>
      <c r="D139" s="227"/>
      <c r="E139" s="196"/>
      <c r="F139" s="203"/>
      <c r="G139" s="28"/>
      <c r="H139" s="26" t="s">
        <v>0</v>
      </c>
      <c r="I139" s="22"/>
      <c r="J139" s="22"/>
      <c r="K139" s="31"/>
      <c r="L139" s="22"/>
      <c r="M139" s="22"/>
      <c r="N139" s="21"/>
      <c r="O139" s="165"/>
      <c r="P139" s="165"/>
      <c r="Q139" s="165"/>
      <c r="R139" s="165"/>
      <c r="S139" s="165"/>
      <c r="T139" s="165"/>
      <c r="U139" s="165"/>
      <c r="V139" s="165"/>
      <c r="W139" s="22"/>
      <c r="X139" s="22"/>
      <c r="Y139" s="31"/>
      <c r="Z139" s="22"/>
      <c r="AA139" s="22"/>
      <c r="AB139" s="21"/>
      <c r="AC139" s="165"/>
      <c r="AD139" s="22"/>
      <c r="AE139" s="22"/>
      <c r="AF139" s="31"/>
      <c r="AG139" s="22"/>
      <c r="AH139" s="22"/>
      <c r="AI139" s="21"/>
      <c r="AJ139" s="165"/>
      <c r="AK139" s="121"/>
      <c r="AL139" s="22"/>
      <c r="AM139" s="113"/>
      <c r="AN139" s="8"/>
      <c r="AO139" s="8"/>
      <c r="AP139" s="8"/>
      <c r="AQ139" s="8"/>
      <c r="AR139" s="8"/>
      <c r="AS139" s="8"/>
      <c r="AT139" s="8"/>
      <c r="AU139" s="8"/>
      <c r="AV139" s="7"/>
      <c r="AW139" s="7"/>
    </row>
    <row r="140" spans="1:49">
      <c r="A140" s="251"/>
      <c r="B140" s="248"/>
      <c r="C140" s="203"/>
      <c r="D140" s="227"/>
      <c r="E140" s="196"/>
      <c r="F140" s="203"/>
      <c r="G140" s="28"/>
      <c r="H140" s="26" t="s">
        <v>34</v>
      </c>
      <c r="I140" s="40">
        <f>I139-I137</f>
        <v>-20280</v>
      </c>
      <c r="J140" s="40">
        <f>I140+(J139-J137)</f>
        <v>-40560</v>
      </c>
      <c r="K140" s="40">
        <f t="shared" ref="K140" si="167">J140+(K139-K137)</f>
        <v>-60840</v>
      </c>
      <c r="L140" s="40">
        <f t="shared" ref="L140" si="168">K140+(L139-L137)</f>
        <v>-81120</v>
      </c>
      <c r="M140" s="40">
        <f t="shared" ref="M140" si="169">L140+(M139-M137)</f>
        <v>-101400</v>
      </c>
      <c r="N140" s="151">
        <f>M140+(N139-N137)</f>
        <v>-101400</v>
      </c>
      <c r="O140" s="175"/>
      <c r="P140" s="175"/>
      <c r="Q140" s="175"/>
      <c r="R140" s="175"/>
      <c r="S140" s="175"/>
      <c r="T140" s="175"/>
      <c r="U140" s="175"/>
      <c r="V140" s="175"/>
      <c r="W140" s="68">
        <f>U140+(W139-W137)</f>
        <v>-20280</v>
      </c>
      <c r="X140" s="68">
        <f>W140+(X139-X137)</f>
        <v>-40560</v>
      </c>
      <c r="Y140" s="68">
        <f t="shared" ref="Y140" si="170">X140+(Y139-Y137)</f>
        <v>-60840</v>
      </c>
      <c r="Z140" s="68">
        <f t="shared" ref="Z140" si="171">Y140+(Z139-Z137)</f>
        <v>-81120</v>
      </c>
      <c r="AA140" s="68">
        <f t="shared" ref="AA140" si="172">Z140+(AA139-AA137)</f>
        <v>-101400</v>
      </c>
      <c r="AB140" s="151">
        <f>AA140+(AB139-AB137)</f>
        <v>-101400</v>
      </c>
      <c r="AC140" s="175"/>
      <c r="AD140" s="68">
        <f>AB140+(AD139-AD137)</f>
        <v>-121680</v>
      </c>
      <c r="AE140" s="68">
        <f>AD140+(AE139-AE137)</f>
        <v>-141960</v>
      </c>
      <c r="AF140" s="68">
        <f t="shared" ref="AF140" si="173">AE140+(AF139-AF137)</f>
        <v>-162240</v>
      </c>
      <c r="AG140" s="68">
        <f t="shared" ref="AG140" si="174">AF140+(AG139-AG137)</f>
        <v>-182520</v>
      </c>
      <c r="AH140" s="68">
        <f t="shared" ref="AH140" si="175">AG140+(AH139-AH137)</f>
        <v>-202800</v>
      </c>
      <c r="AI140" s="151">
        <f>AH140+(AI139-AI137)</f>
        <v>-202800</v>
      </c>
      <c r="AJ140" s="175"/>
      <c r="AK140" s="68">
        <f>AI140+(AK139-AK137)</f>
        <v>-223080</v>
      </c>
      <c r="AL140" s="68">
        <f>AK140+(AL139-AL137)</f>
        <v>-243360</v>
      </c>
      <c r="AM140" s="68"/>
      <c r="AN140" s="8"/>
      <c r="AO140" s="8"/>
      <c r="AP140" s="8"/>
      <c r="AQ140" s="8"/>
      <c r="AR140" s="8"/>
      <c r="AS140" s="8"/>
      <c r="AT140" s="8"/>
      <c r="AU140" s="8"/>
      <c r="AV140" s="7"/>
      <c r="AW140" s="7"/>
    </row>
    <row r="141" spans="1:49">
      <c r="A141" s="251"/>
      <c r="B141" s="248"/>
      <c r="C141" s="203"/>
      <c r="D141" s="227"/>
      <c r="E141" s="196"/>
      <c r="F141" s="203"/>
      <c r="G141" s="28" t="s">
        <v>14</v>
      </c>
      <c r="H141" s="23" t="s">
        <v>40</v>
      </c>
      <c r="I141" s="41">
        <f t="shared" ref="I141:K141" si="176">$L$149*$D$131/2</f>
        <v>20280</v>
      </c>
      <c r="J141" s="41">
        <f t="shared" si="176"/>
        <v>20280</v>
      </c>
      <c r="K141" s="41">
        <f t="shared" si="176"/>
        <v>20280</v>
      </c>
      <c r="L141" s="41">
        <f>$L$149*$D$131/2</f>
        <v>20280</v>
      </c>
      <c r="M141" s="41">
        <f>$L$149*$D$131/2</f>
        <v>20280</v>
      </c>
      <c r="N141" s="30"/>
      <c r="O141" s="165"/>
      <c r="P141" s="165"/>
      <c r="Q141" s="165"/>
      <c r="R141" s="165"/>
      <c r="S141" s="165"/>
      <c r="T141" s="165"/>
      <c r="U141" s="165"/>
      <c r="V141" s="165"/>
      <c r="W141" s="41">
        <f>$L$149*$D$131/2</f>
        <v>20280</v>
      </c>
      <c r="X141" s="41">
        <f t="shared" ref="X141:Y141" si="177">$L$149*$D$131/2</f>
        <v>20280</v>
      </c>
      <c r="Y141" s="41">
        <f t="shared" si="177"/>
        <v>20280</v>
      </c>
      <c r="Z141" s="41">
        <f>$L$149*$D$131/2</f>
        <v>20280</v>
      </c>
      <c r="AA141" s="41">
        <f>$L$149*$D$131/2</f>
        <v>20280</v>
      </c>
      <c r="AB141" s="30"/>
      <c r="AC141" s="178"/>
      <c r="AD141" s="41">
        <f>$L$149*$D$131/2</f>
        <v>20280</v>
      </c>
      <c r="AE141" s="41">
        <f t="shared" ref="AE141:AF141" si="178">$L$149*$D$131/2</f>
        <v>20280</v>
      </c>
      <c r="AF141" s="41">
        <f t="shared" si="178"/>
        <v>20280</v>
      </c>
      <c r="AG141" s="41">
        <f>$L$149*$D$131/2</f>
        <v>20280</v>
      </c>
      <c r="AH141" s="41">
        <f>$L$149*$D$131/2</f>
        <v>20280</v>
      </c>
      <c r="AI141" s="30"/>
      <c r="AJ141" s="178"/>
      <c r="AK141" s="41">
        <f t="shared" ref="AK141:AM141" si="179">$L$149*$D$131/2</f>
        <v>20280</v>
      </c>
      <c r="AL141" s="41">
        <f t="shared" si="179"/>
        <v>20280</v>
      </c>
      <c r="AM141" s="41"/>
      <c r="AN141" s="8"/>
      <c r="AO141" s="8"/>
      <c r="AP141" s="8"/>
      <c r="AQ141" s="8"/>
      <c r="AR141" s="8"/>
      <c r="AS141" s="8"/>
      <c r="AT141" s="8"/>
      <c r="AU141" s="8"/>
      <c r="AV141" s="7"/>
      <c r="AW141" s="7"/>
    </row>
    <row r="142" spans="1:49">
      <c r="A142" s="251"/>
      <c r="B142" s="248"/>
      <c r="C142" s="203"/>
      <c r="D142" s="227"/>
      <c r="E142" s="196"/>
      <c r="F142" s="203"/>
      <c r="G142" s="28"/>
      <c r="H142" s="23" t="s">
        <v>7</v>
      </c>
      <c r="I142" s="41">
        <v>1</v>
      </c>
      <c r="J142" s="41">
        <v>1</v>
      </c>
      <c r="K142" s="41">
        <v>1</v>
      </c>
      <c r="L142" s="41">
        <v>1</v>
      </c>
      <c r="M142" s="41">
        <v>1</v>
      </c>
      <c r="N142" s="30"/>
      <c r="O142" s="165"/>
      <c r="P142" s="165"/>
      <c r="Q142" s="165"/>
      <c r="R142" s="165"/>
      <c r="S142" s="165"/>
      <c r="T142" s="165"/>
      <c r="U142" s="165"/>
      <c r="V142" s="165"/>
      <c r="W142" s="41">
        <v>1</v>
      </c>
      <c r="X142" s="41">
        <v>1</v>
      </c>
      <c r="Y142" s="41">
        <v>1</v>
      </c>
      <c r="Z142" s="41">
        <v>1</v>
      </c>
      <c r="AA142" s="41">
        <v>1</v>
      </c>
      <c r="AB142" s="30"/>
      <c r="AC142" s="178"/>
      <c r="AD142" s="41">
        <v>1</v>
      </c>
      <c r="AE142" s="41">
        <v>1</v>
      </c>
      <c r="AF142" s="41">
        <v>1</v>
      </c>
      <c r="AG142" s="41">
        <v>1</v>
      </c>
      <c r="AH142" s="41">
        <v>1</v>
      </c>
      <c r="AI142" s="30"/>
      <c r="AJ142" s="178"/>
      <c r="AK142" s="41">
        <v>1</v>
      </c>
      <c r="AL142" s="41">
        <v>1</v>
      </c>
      <c r="AM142" s="41"/>
      <c r="AN142" s="8"/>
      <c r="AO142" s="8"/>
      <c r="AP142" s="8"/>
      <c r="AQ142" s="8"/>
      <c r="AR142" s="8"/>
      <c r="AS142" s="8"/>
      <c r="AT142" s="8"/>
      <c r="AU142" s="8"/>
      <c r="AV142" s="7"/>
      <c r="AW142" s="7"/>
    </row>
    <row r="143" spans="1:49">
      <c r="A143" s="251"/>
      <c r="B143" s="248"/>
      <c r="C143" s="203"/>
      <c r="D143" s="227"/>
      <c r="E143" s="196"/>
      <c r="F143" s="203"/>
      <c r="G143" s="28"/>
      <c r="H143" s="26" t="s">
        <v>0</v>
      </c>
      <c r="I143" s="31"/>
      <c r="J143" s="31"/>
      <c r="K143" s="31"/>
      <c r="L143" s="31"/>
      <c r="M143" s="31"/>
      <c r="N143" s="30"/>
      <c r="O143" s="165"/>
      <c r="P143" s="165"/>
      <c r="Q143" s="165"/>
      <c r="R143" s="165"/>
      <c r="S143" s="165"/>
      <c r="T143" s="165"/>
      <c r="U143" s="165"/>
      <c r="V143" s="165"/>
      <c r="W143" s="31"/>
      <c r="X143" s="31"/>
      <c r="Y143" s="31"/>
      <c r="Z143" s="31"/>
      <c r="AA143" s="31"/>
      <c r="AB143" s="30"/>
      <c r="AC143" s="178"/>
      <c r="AD143" s="31"/>
      <c r="AE143" s="31"/>
      <c r="AF143" s="31"/>
      <c r="AG143" s="31"/>
      <c r="AH143" s="31"/>
      <c r="AI143" s="30"/>
      <c r="AJ143" s="178"/>
      <c r="AK143" s="121"/>
      <c r="AL143" s="22"/>
      <c r="AM143" s="113"/>
      <c r="AN143" s="8"/>
      <c r="AO143" s="8"/>
      <c r="AP143" s="8"/>
      <c r="AQ143" s="8"/>
      <c r="AR143" s="8"/>
      <c r="AS143" s="8"/>
      <c r="AT143" s="8"/>
      <c r="AU143" s="8"/>
      <c r="AV143" s="7"/>
      <c r="AW143" s="7"/>
    </row>
    <row r="144" spans="1:49">
      <c r="A144" s="251"/>
      <c r="B144" s="248"/>
      <c r="C144" s="203"/>
      <c r="D144" s="227"/>
      <c r="E144" s="196"/>
      <c r="F144" s="203"/>
      <c r="G144" s="28"/>
      <c r="H144" s="26" t="s">
        <v>34</v>
      </c>
      <c r="I144" s="40">
        <f>I143-I141</f>
        <v>-20280</v>
      </c>
      <c r="J144" s="40">
        <f>I144+(J143-J141)</f>
        <v>-40560</v>
      </c>
      <c r="K144" s="40">
        <f t="shared" ref="K144" si="180">J144+(K143-K141)</f>
        <v>-60840</v>
      </c>
      <c r="L144" s="40">
        <f t="shared" ref="L144" si="181">K144+(L143-L141)</f>
        <v>-81120</v>
      </c>
      <c r="M144" s="40">
        <f t="shared" ref="M144" si="182">L144+(M143-M141)</f>
        <v>-101400</v>
      </c>
      <c r="N144" s="151">
        <f>M144+(N143-N141)</f>
        <v>-101400</v>
      </c>
      <c r="O144" s="175"/>
      <c r="P144" s="175"/>
      <c r="Q144" s="175"/>
      <c r="R144" s="175"/>
      <c r="S144" s="175"/>
      <c r="T144" s="175"/>
      <c r="U144" s="175"/>
      <c r="V144" s="175"/>
      <c r="W144" s="68">
        <f>U144+(W143-W141)</f>
        <v>-20280</v>
      </c>
      <c r="X144" s="68">
        <f>W144+(X143-X141)</f>
        <v>-40560</v>
      </c>
      <c r="Y144" s="68">
        <f t="shared" ref="Y144" si="183">X144+(Y143-Y141)</f>
        <v>-60840</v>
      </c>
      <c r="Z144" s="68">
        <f t="shared" ref="Z144" si="184">Y144+(Z143-Z141)</f>
        <v>-81120</v>
      </c>
      <c r="AA144" s="68">
        <f t="shared" ref="AA144" si="185">Z144+(AA143-AA141)</f>
        <v>-101400</v>
      </c>
      <c r="AB144" s="151">
        <f>AA144+(AB143-AB141)</f>
        <v>-101400</v>
      </c>
      <c r="AC144" s="175"/>
      <c r="AD144" s="68">
        <f>AB144+(AD143-AD141)</f>
        <v>-121680</v>
      </c>
      <c r="AE144" s="68">
        <f>AD144+(AE143-AE141)</f>
        <v>-141960</v>
      </c>
      <c r="AF144" s="68">
        <f t="shared" ref="AF144" si="186">AE144+(AF143-AF141)</f>
        <v>-162240</v>
      </c>
      <c r="AG144" s="68">
        <f t="shared" ref="AG144" si="187">AF144+(AG143-AG141)</f>
        <v>-182520</v>
      </c>
      <c r="AH144" s="68">
        <f t="shared" ref="AH144" si="188">AG144+(AH143-AH141)</f>
        <v>-202800</v>
      </c>
      <c r="AI144" s="151">
        <f>AH144+(AI143-AI141)</f>
        <v>-202800</v>
      </c>
      <c r="AJ144" s="175"/>
      <c r="AK144" s="68">
        <f>AI144+(AK143-AK141)</f>
        <v>-223080</v>
      </c>
      <c r="AL144" s="68">
        <f>AK144+(AL143-AL141)</f>
        <v>-243360</v>
      </c>
      <c r="AM144" s="68"/>
      <c r="AN144" s="8"/>
      <c r="AO144" s="8"/>
      <c r="AP144" s="8"/>
      <c r="AQ144" s="8"/>
      <c r="AR144" s="8"/>
      <c r="AS144" s="8"/>
      <c r="AT144" s="8"/>
      <c r="AU144" s="8"/>
      <c r="AV144" s="7"/>
      <c r="AW144" s="7"/>
    </row>
    <row r="145" spans="1:49">
      <c r="A145" s="251"/>
      <c r="B145" s="248"/>
      <c r="C145" s="203"/>
      <c r="D145" s="227"/>
      <c r="E145" s="196"/>
      <c r="F145" s="203"/>
      <c r="G145" s="28"/>
      <c r="H145" s="23" t="s">
        <v>75</v>
      </c>
      <c r="I145" s="41">
        <f>$L$149*$D$131/2</f>
        <v>20280</v>
      </c>
      <c r="J145" s="41">
        <f t="shared" ref="J145:K145" si="189">$L$149*$D$131/2</f>
        <v>20280</v>
      </c>
      <c r="K145" s="41">
        <f t="shared" si="189"/>
        <v>20280</v>
      </c>
      <c r="L145" s="41">
        <f>$L$149*$D$131/2</f>
        <v>20280</v>
      </c>
      <c r="M145" s="41">
        <f>$L$149*$D$131/2</f>
        <v>20280</v>
      </c>
      <c r="N145" s="30"/>
      <c r="O145" s="165"/>
      <c r="P145" s="165"/>
      <c r="Q145" s="165"/>
      <c r="R145" s="165"/>
      <c r="S145" s="165"/>
      <c r="T145" s="165"/>
      <c r="U145" s="165"/>
      <c r="V145" s="165"/>
      <c r="W145" s="41">
        <f>$L$149*$D$131/2</f>
        <v>20280</v>
      </c>
      <c r="X145" s="41">
        <f t="shared" ref="X145:Y145" si="190">$L$149*$D$131/2</f>
        <v>20280</v>
      </c>
      <c r="Y145" s="41">
        <f t="shared" si="190"/>
        <v>20280</v>
      </c>
      <c r="Z145" s="41">
        <f>$L$149*$D$131/2</f>
        <v>20280</v>
      </c>
      <c r="AA145" s="41">
        <f>$L$149*$D$131/2</f>
        <v>20280</v>
      </c>
      <c r="AB145" s="30"/>
      <c r="AC145" s="178"/>
      <c r="AD145" s="41">
        <f>$L$149*$D$131/2</f>
        <v>20280</v>
      </c>
      <c r="AE145" s="41">
        <f t="shared" ref="AE145:AF145" si="191">$L$149*$D$131/2</f>
        <v>20280</v>
      </c>
      <c r="AF145" s="41">
        <f t="shared" si="191"/>
        <v>20280</v>
      </c>
      <c r="AG145" s="41">
        <f>$L$149*$D$131/2</f>
        <v>20280</v>
      </c>
      <c r="AH145" s="41">
        <f>$L$149*$D$131/2</f>
        <v>20280</v>
      </c>
      <c r="AI145" s="30"/>
      <c r="AJ145" s="178"/>
      <c r="AK145" s="41">
        <f t="shared" ref="AK145:AM145" si="192">$L$149*$D$131/2</f>
        <v>20280</v>
      </c>
      <c r="AL145" s="41">
        <f t="shared" si="192"/>
        <v>20280</v>
      </c>
      <c r="AM145" s="41"/>
      <c r="AN145" s="8"/>
      <c r="AO145" s="8"/>
      <c r="AP145" s="8"/>
      <c r="AQ145" s="8"/>
      <c r="AR145" s="8"/>
      <c r="AS145" s="8"/>
      <c r="AT145" s="8"/>
      <c r="AU145" s="8"/>
      <c r="AV145" s="7"/>
      <c r="AW145" s="7"/>
    </row>
    <row r="146" spans="1:49">
      <c r="A146" s="251"/>
      <c r="B146" s="248"/>
      <c r="C146" s="203"/>
      <c r="D146" s="227"/>
      <c r="E146" s="196"/>
      <c r="F146" s="203"/>
      <c r="G146" s="28"/>
      <c r="H146" s="23" t="s">
        <v>74</v>
      </c>
      <c r="I146" s="41">
        <v>2</v>
      </c>
      <c r="J146" s="41">
        <v>2</v>
      </c>
      <c r="K146" s="41">
        <v>2</v>
      </c>
      <c r="L146" s="41">
        <v>2</v>
      </c>
      <c r="M146" s="41">
        <v>2</v>
      </c>
      <c r="N146" s="30"/>
      <c r="O146" s="165"/>
      <c r="P146" s="165"/>
      <c r="Q146" s="165"/>
      <c r="R146" s="165"/>
      <c r="S146" s="165"/>
      <c r="T146" s="165"/>
      <c r="U146" s="165"/>
      <c r="V146" s="165"/>
      <c r="W146" s="41">
        <v>2</v>
      </c>
      <c r="X146" s="41">
        <v>2</v>
      </c>
      <c r="Y146" s="41">
        <v>2</v>
      </c>
      <c r="Z146" s="41">
        <v>2</v>
      </c>
      <c r="AA146" s="41">
        <v>2</v>
      </c>
      <c r="AB146" s="30"/>
      <c r="AC146" s="178"/>
      <c r="AD146" s="41">
        <v>2</v>
      </c>
      <c r="AE146" s="41">
        <v>2</v>
      </c>
      <c r="AF146" s="41">
        <v>2</v>
      </c>
      <c r="AG146" s="41">
        <v>2</v>
      </c>
      <c r="AH146" s="41">
        <v>2</v>
      </c>
      <c r="AI146" s="30"/>
      <c r="AJ146" s="178"/>
      <c r="AK146" s="41">
        <v>2</v>
      </c>
      <c r="AL146" s="41">
        <v>2</v>
      </c>
      <c r="AM146" s="41"/>
      <c r="AN146" s="8"/>
      <c r="AO146" s="8"/>
      <c r="AP146" s="8"/>
      <c r="AQ146" s="8"/>
      <c r="AR146" s="8"/>
      <c r="AS146" s="8"/>
      <c r="AT146" s="8"/>
      <c r="AU146" s="8"/>
      <c r="AV146" s="7"/>
      <c r="AW146" s="7"/>
    </row>
    <row r="147" spans="1:49">
      <c r="A147" s="251"/>
      <c r="B147" s="248"/>
      <c r="C147" s="203"/>
      <c r="D147" s="227"/>
      <c r="E147" s="196"/>
      <c r="F147" s="203"/>
      <c r="G147" s="28"/>
      <c r="H147" s="26" t="s">
        <v>0</v>
      </c>
      <c r="I147" s="22"/>
      <c r="J147" s="22"/>
      <c r="K147" s="31"/>
      <c r="L147" s="22"/>
      <c r="M147" s="22"/>
      <c r="N147" s="21"/>
      <c r="O147" s="165"/>
      <c r="P147" s="165"/>
      <c r="Q147" s="165"/>
      <c r="R147" s="165"/>
      <c r="S147" s="165"/>
      <c r="T147" s="165"/>
      <c r="U147" s="165"/>
      <c r="V147" s="165"/>
      <c r="W147" s="22"/>
      <c r="X147" s="22"/>
      <c r="Y147" s="31"/>
      <c r="Z147" s="22"/>
      <c r="AA147" s="22"/>
      <c r="AB147" s="21"/>
      <c r="AC147" s="165"/>
      <c r="AD147" s="22"/>
      <c r="AE147" s="22"/>
      <c r="AF147" s="31"/>
      <c r="AG147" s="22"/>
      <c r="AH147" s="22"/>
      <c r="AI147" s="21"/>
      <c r="AJ147" s="165"/>
      <c r="AK147" s="121"/>
      <c r="AL147" s="22"/>
      <c r="AM147" s="113"/>
      <c r="AN147" s="8"/>
      <c r="AO147" s="8"/>
      <c r="AP147" s="8"/>
      <c r="AQ147" s="8"/>
      <c r="AR147" s="8"/>
      <c r="AS147" s="8"/>
      <c r="AT147" s="8"/>
      <c r="AU147" s="8"/>
      <c r="AV147" s="7"/>
      <c r="AW147" s="7"/>
    </row>
    <row r="148" spans="1:49">
      <c r="A148" s="251"/>
      <c r="B148" s="248"/>
      <c r="C148" s="203"/>
      <c r="D148" s="227"/>
      <c r="E148" s="196"/>
      <c r="F148" s="203"/>
      <c r="G148" s="28"/>
      <c r="H148" s="26" t="s">
        <v>34</v>
      </c>
      <c r="I148" s="40">
        <f>I147-I145</f>
        <v>-20280</v>
      </c>
      <c r="J148" s="40">
        <f>I148+(J147-J145)</f>
        <v>-40560</v>
      </c>
      <c r="K148" s="40">
        <f t="shared" ref="K148" si="193">J148+(K147-K145)</f>
        <v>-60840</v>
      </c>
      <c r="L148" s="40">
        <f t="shared" ref="L148" si="194">K148+(L147-L145)</f>
        <v>-81120</v>
      </c>
      <c r="M148" s="40">
        <f t="shared" ref="M148" si="195">L148+(M147-M145)</f>
        <v>-101400</v>
      </c>
      <c r="N148" s="151">
        <f>M148+(N147-N145)</f>
        <v>-101400</v>
      </c>
      <c r="O148" s="175"/>
      <c r="P148" s="175"/>
      <c r="Q148" s="175"/>
      <c r="R148" s="175"/>
      <c r="S148" s="175"/>
      <c r="T148" s="175"/>
      <c r="U148" s="175"/>
      <c r="V148" s="175"/>
      <c r="W148" s="68">
        <f>U148+(W147-W145)</f>
        <v>-20280</v>
      </c>
      <c r="X148" s="68">
        <f>W148+(X147-X145)</f>
        <v>-40560</v>
      </c>
      <c r="Y148" s="68">
        <f t="shared" ref="Y148" si="196">X148+(Y147-Y145)</f>
        <v>-60840</v>
      </c>
      <c r="Z148" s="68">
        <f t="shared" ref="Z148" si="197">Y148+(Z147-Z145)</f>
        <v>-81120</v>
      </c>
      <c r="AA148" s="68">
        <f t="shared" ref="AA148" si="198">Z148+(AA147-AA145)</f>
        <v>-101400</v>
      </c>
      <c r="AB148" s="151">
        <f>AA148+(AB147-AB145)</f>
        <v>-101400</v>
      </c>
      <c r="AC148" s="175"/>
      <c r="AD148" s="68">
        <f>AB148+(AD147-AD145)</f>
        <v>-121680</v>
      </c>
      <c r="AE148" s="68">
        <f>AD148+(AE147-AE145)</f>
        <v>-141960</v>
      </c>
      <c r="AF148" s="68">
        <f t="shared" ref="AF148" si="199">AE148+(AF147-AF145)</f>
        <v>-162240</v>
      </c>
      <c r="AG148" s="68">
        <f t="shared" ref="AG148" si="200">AF148+(AG147-AG145)</f>
        <v>-182520</v>
      </c>
      <c r="AH148" s="68">
        <f t="shared" ref="AH148" si="201">AG148+(AH147-AH145)</f>
        <v>-202800</v>
      </c>
      <c r="AI148" s="151">
        <f>AH148+(AI147-AI145)</f>
        <v>-202800</v>
      </c>
      <c r="AJ148" s="175"/>
      <c r="AK148" s="68">
        <f>AI148+(AK147-AK145)</f>
        <v>-223080</v>
      </c>
      <c r="AL148" s="68">
        <f>AK148+(AL147-AL145)</f>
        <v>-243360</v>
      </c>
      <c r="AM148" s="68"/>
      <c r="AN148" s="8"/>
      <c r="AO148" s="8"/>
      <c r="AP148" s="8"/>
      <c r="AQ148" s="8"/>
      <c r="AR148" s="8"/>
      <c r="AS148" s="8"/>
      <c r="AT148" s="8"/>
      <c r="AU148" s="8"/>
      <c r="AV148" s="7"/>
      <c r="AW148" s="7"/>
    </row>
    <row r="149" spans="1:49">
      <c r="A149" s="251"/>
      <c r="B149" s="248"/>
      <c r="C149" s="203"/>
      <c r="D149" s="227"/>
      <c r="E149" s="196"/>
      <c r="F149" s="203"/>
      <c r="G149" s="28"/>
      <c r="H149" s="23" t="s">
        <v>2</v>
      </c>
      <c r="I149" s="41"/>
      <c r="J149" s="41">
        <f>($C$131*2)</f>
        <v>26000</v>
      </c>
      <c r="K149" s="41"/>
      <c r="L149" s="41">
        <f>($C$131*2)</f>
        <v>26000</v>
      </c>
      <c r="M149" s="41"/>
      <c r="N149" s="87"/>
      <c r="O149" s="165"/>
      <c r="P149" s="165"/>
      <c r="Q149" s="165"/>
      <c r="R149" s="165"/>
      <c r="S149" s="165"/>
      <c r="T149" s="165"/>
      <c r="U149" s="165"/>
      <c r="V149" s="165"/>
      <c r="W149" s="41"/>
      <c r="X149" s="41">
        <f>($C$131*2)</f>
        <v>26000</v>
      </c>
      <c r="Y149" s="41"/>
      <c r="Z149" s="41">
        <f>($C$131*2)</f>
        <v>26000</v>
      </c>
      <c r="AA149" s="41"/>
      <c r="AB149" s="30"/>
      <c r="AC149" s="178"/>
      <c r="AD149" s="41">
        <f>($C$131*2)</f>
        <v>26000</v>
      </c>
      <c r="AE149" s="41"/>
      <c r="AF149" s="41">
        <f>($C$131*2)</f>
        <v>26000</v>
      </c>
      <c r="AG149" s="41"/>
      <c r="AH149" s="41">
        <f>($C$131*2)</f>
        <v>26000</v>
      </c>
      <c r="AI149" s="30"/>
      <c r="AJ149" s="178"/>
      <c r="AK149" s="189"/>
      <c r="AL149" s="41">
        <f>($C$131*2)</f>
        <v>26000</v>
      </c>
      <c r="AM149" s="190"/>
      <c r="AN149" s="8"/>
      <c r="AO149" s="8"/>
      <c r="AP149" s="8"/>
      <c r="AQ149" s="8"/>
      <c r="AR149" s="8"/>
      <c r="AS149" s="8"/>
      <c r="AT149" s="8"/>
      <c r="AU149" s="8"/>
      <c r="AV149" s="7"/>
      <c r="AW149" s="7"/>
    </row>
    <row r="150" spans="1:49">
      <c r="A150" s="251"/>
      <c r="B150" s="248"/>
      <c r="C150" s="203"/>
      <c r="D150" s="227"/>
      <c r="E150" s="196"/>
      <c r="F150" s="203"/>
      <c r="G150" s="28"/>
      <c r="H150" s="23" t="s">
        <v>54</v>
      </c>
      <c r="I150" s="41"/>
      <c r="J150" s="41">
        <v>1</v>
      </c>
      <c r="K150" s="41"/>
      <c r="L150" s="41">
        <v>1</v>
      </c>
      <c r="M150" s="41"/>
      <c r="N150" s="87"/>
      <c r="O150" s="165"/>
      <c r="P150" s="165"/>
      <c r="Q150" s="165"/>
      <c r="R150" s="165"/>
      <c r="S150" s="165"/>
      <c r="T150" s="165"/>
      <c r="U150" s="165"/>
      <c r="V150" s="165"/>
      <c r="W150" s="41"/>
      <c r="X150" s="41">
        <v>1</v>
      </c>
      <c r="Y150" s="41"/>
      <c r="Z150" s="41">
        <v>1</v>
      </c>
      <c r="AA150" s="41"/>
      <c r="AB150" s="30"/>
      <c r="AC150" s="178"/>
      <c r="AD150" s="41">
        <v>1</v>
      </c>
      <c r="AE150" s="41"/>
      <c r="AF150" s="41">
        <v>1</v>
      </c>
      <c r="AG150" s="41"/>
      <c r="AH150" s="41">
        <v>1</v>
      </c>
      <c r="AI150" s="30"/>
      <c r="AJ150" s="178"/>
      <c r="AK150" s="189"/>
      <c r="AL150" s="41">
        <v>1</v>
      </c>
      <c r="AM150" s="190"/>
      <c r="AN150" s="8"/>
      <c r="AO150" s="8"/>
      <c r="AP150" s="8"/>
      <c r="AQ150" s="8"/>
      <c r="AR150" s="8"/>
      <c r="AS150" s="8"/>
      <c r="AT150" s="8"/>
      <c r="AU150" s="8"/>
      <c r="AV150" s="7"/>
      <c r="AW150" s="7"/>
    </row>
    <row r="151" spans="1:49">
      <c r="A151" s="244"/>
      <c r="B151" s="248"/>
      <c r="C151" s="203"/>
      <c r="D151" s="227"/>
      <c r="E151" s="196"/>
      <c r="F151" s="203"/>
      <c r="G151" s="27"/>
      <c r="H151" s="26" t="s">
        <v>0</v>
      </c>
      <c r="I151" s="22"/>
      <c r="J151" s="22"/>
      <c r="K151" s="22"/>
      <c r="L151" s="22"/>
      <c r="M151" s="22"/>
      <c r="N151" s="21"/>
      <c r="O151" s="165"/>
      <c r="P151" s="165"/>
      <c r="Q151" s="165"/>
      <c r="R151" s="165"/>
      <c r="S151" s="165"/>
      <c r="T151" s="165"/>
      <c r="U151" s="165"/>
      <c r="V151" s="165"/>
      <c r="W151" s="22"/>
      <c r="X151" s="22"/>
      <c r="Y151" s="22"/>
      <c r="Z151" s="22"/>
      <c r="AA151" s="22"/>
      <c r="AB151" s="21"/>
      <c r="AC151" s="165"/>
      <c r="AD151" s="22"/>
      <c r="AE151" s="22"/>
      <c r="AF151" s="22"/>
      <c r="AG151" s="22"/>
      <c r="AH151" s="22"/>
      <c r="AI151" s="21"/>
      <c r="AJ151" s="165"/>
      <c r="AK151" s="22"/>
      <c r="AL151" s="22"/>
      <c r="AM151" s="129"/>
      <c r="AN151" s="8"/>
      <c r="AO151" s="8"/>
      <c r="AP151" s="8"/>
      <c r="AQ151" s="8"/>
      <c r="AR151" s="8"/>
      <c r="AS151" s="8"/>
      <c r="AT151" s="8"/>
      <c r="AU151" s="8"/>
      <c r="AV151" s="7"/>
      <c r="AW151" s="7"/>
    </row>
    <row r="152" spans="1:49" ht="15.75" thickBot="1">
      <c r="A152" s="245"/>
      <c r="B152" s="249"/>
      <c r="C152" s="204"/>
      <c r="D152" s="228"/>
      <c r="E152" s="197"/>
      <c r="F152" s="204"/>
      <c r="G152" s="65"/>
      <c r="H152" s="19" t="s">
        <v>34</v>
      </c>
      <c r="I152" s="64"/>
      <c r="J152" s="64"/>
      <c r="K152" s="64"/>
      <c r="L152" s="64"/>
      <c r="M152" s="64"/>
      <c r="N152" s="63"/>
      <c r="O152" s="165"/>
      <c r="P152" s="165"/>
      <c r="Q152" s="165"/>
      <c r="R152" s="165"/>
      <c r="S152" s="165"/>
      <c r="T152" s="165"/>
      <c r="U152" s="165"/>
      <c r="V152" s="165"/>
      <c r="W152" s="64"/>
      <c r="X152" s="64"/>
      <c r="Y152" s="64"/>
      <c r="Z152" s="64"/>
      <c r="AA152" s="64"/>
      <c r="AB152" s="63"/>
      <c r="AC152" s="179"/>
      <c r="AD152" s="64"/>
      <c r="AE152" s="64"/>
      <c r="AF152" s="64"/>
      <c r="AG152" s="64"/>
      <c r="AH152" s="64"/>
      <c r="AI152" s="63"/>
      <c r="AJ152" s="179"/>
      <c r="AK152" s="130"/>
      <c r="AL152" s="64"/>
      <c r="AM152" s="131"/>
      <c r="AN152" s="8"/>
      <c r="AO152" s="8"/>
      <c r="AP152" s="8"/>
      <c r="AQ152" s="8"/>
      <c r="AR152" s="8"/>
      <c r="AS152" s="8"/>
      <c r="AT152" s="8"/>
      <c r="AU152" s="8"/>
      <c r="AV152" s="7"/>
      <c r="AW152" s="7"/>
    </row>
    <row r="153" spans="1:49" ht="15" hidden="1" customHeight="1">
      <c r="A153" s="250" t="s">
        <v>80</v>
      </c>
      <c r="B153" s="258" t="s">
        <v>79</v>
      </c>
      <c r="C153" s="205">
        <v>1500</v>
      </c>
      <c r="D153" s="221">
        <v>1.5249999999999999</v>
      </c>
      <c r="E153" s="62"/>
      <c r="F153" s="205" t="s">
        <v>78</v>
      </c>
      <c r="G153" s="33">
        <v>0.16</v>
      </c>
      <c r="H153" s="32" t="s">
        <v>31</v>
      </c>
      <c r="I153" s="44">
        <v>55</v>
      </c>
      <c r="J153" s="44"/>
      <c r="K153" s="44"/>
      <c r="L153" s="44">
        <v>55</v>
      </c>
      <c r="M153" s="44">
        <v>55</v>
      </c>
      <c r="N153" s="61">
        <v>55</v>
      </c>
      <c r="O153" s="165"/>
      <c r="P153" s="165"/>
      <c r="Q153" s="165"/>
      <c r="R153" s="165"/>
      <c r="S153" s="165"/>
      <c r="T153" s="165"/>
      <c r="U153" s="165"/>
      <c r="V153" s="165"/>
      <c r="W153" s="44">
        <v>55</v>
      </c>
      <c r="X153" s="44"/>
      <c r="Y153" s="44"/>
      <c r="Z153" s="44">
        <v>55</v>
      </c>
      <c r="AA153" s="44">
        <v>55</v>
      </c>
      <c r="AB153" s="61">
        <v>55</v>
      </c>
      <c r="AC153" s="177">
        <v>55</v>
      </c>
      <c r="AD153" s="44">
        <v>55</v>
      </c>
      <c r="AE153" s="44"/>
      <c r="AF153" s="44"/>
      <c r="AG153" s="44">
        <v>55</v>
      </c>
      <c r="AH153" s="44">
        <v>55</v>
      </c>
      <c r="AI153" s="61">
        <v>55</v>
      </c>
      <c r="AJ153" s="177">
        <v>55</v>
      </c>
      <c r="AK153" s="127"/>
      <c r="AL153" s="44"/>
      <c r="AM153" s="128"/>
      <c r="AN153" s="8"/>
      <c r="AO153" s="8"/>
      <c r="AP153" s="8"/>
      <c r="AQ153" s="8"/>
      <c r="AR153" s="8"/>
      <c r="AS153" s="8"/>
      <c r="AT153" s="8"/>
      <c r="AU153" s="8"/>
      <c r="AV153" s="7"/>
      <c r="AW153" s="7"/>
    </row>
    <row r="154" spans="1:49" ht="15" hidden="1" customHeight="1">
      <c r="A154" s="251"/>
      <c r="B154" s="259"/>
      <c r="C154" s="203"/>
      <c r="D154" s="222"/>
      <c r="E154" s="59"/>
      <c r="F154" s="203"/>
      <c r="G154" s="28"/>
      <c r="H154" s="23" t="s">
        <v>26</v>
      </c>
      <c r="I154" s="31">
        <v>0.5</v>
      </c>
      <c r="J154" s="31"/>
      <c r="K154" s="31"/>
      <c r="L154" s="31">
        <v>0.5</v>
      </c>
      <c r="M154" s="31">
        <v>0.5</v>
      </c>
      <c r="N154" s="30">
        <v>0.5</v>
      </c>
      <c r="O154" s="165"/>
      <c r="P154" s="165"/>
      <c r="Q154" s="165"/>
      <c r="R154" s="165"/>
      <c r="S154" s="165"/>
      <c r="T154" s="165"/>
      <c r="U154" s="165"/>
      <c r="V154" s="165"/>
      <c r="W154" s="31">
        <v>0.5</v>
      </c>
      <c r="X154" s="31"/>
      <c r="Y154" s="31"/>
      <c r="Z154" s="31">
        <v>0.5</v>
      </c>
      <c r="AA154" s="31">
        <v>0.5</v>
      </c>
      <c r="AB154" s="30">
        <v>0.5</v>
      </c>
      <c r="AC154" s="178">
        <v>0.5</v>
      </c>
      <c r="AD154" s="31">
        <v>0.5</v>
      </c>
      <c r="AE154" s="31"/>
      <c r="AF154" s="31"/>
      <c r="AG154" s="31">
        <v>0.5</v>
      </c>
      <c r="AH154" s="31">
        <v>0.5</v>
      </c>
      <c r="AI154" s="30">
        <v>0.5</v>
      </c>
      <c r="AJ154" s="178">
        <v>0.5</v>
      </c>
      <c r="AK154" s="121"/>
      <c r="AL154" s="22"/>
      <c r="AM154" s="113"/>
      <c r="AN154" s="8"/>
      <c r="AO154" s="8"/>
      <c r="AP154" s="8"/>
      <c r="AQ154" s="8"/>
      <c r="AR154" s="8"/>
      <c r="AS154" s="8"/>
      <c r="AT154" s="8"/>
      <c r="AU154" s="8"/>
      <c r="AV154" s="7"/>
      <c r="AW154" s="7"/>
    </row>
    <row r="155" spans="1:49" ht="15" hidden="1" customHeight="1">
      <c r="A155" s="251"/>
      <c r="B155" s="259"/>
      <c r="C155" s="203"/>
      <c r="D155" s="222"/>
      <c r="E155" s="59"/>
      <c r="F155" s="203"/>
      <c r="G155" s="60"/>
      <c r="H155" s="26" t="s">
        <v>0</v>
      </c>
      <c r="I155" s="31"/>
      <c r="J155" s="31"/>
      <c r="K155" s="31"/>
      <c r="L155" s="31"/>
      <c r="M155" s="31"/>
      <c r="N155" s="30"/>
      <c r="O155" s="165"/>
      <c r="P155" s="165"/>
      <c r="Q155" s="165"/>
      <c r="R155" s="165"/>
      <c r="S155" s="165"/>
      <c r="T155" s="165"/>
      <c r="U155" s="165"/>
      <c r="V155" s="165"/>
      <c r="W155" s="31"/>
      <c r="X155" s="31"/>
      <c r="Y155" s="31"/>
      <c r="Z155" s="31"/>
      <c r="AA155" s="31"/>
      <c r="AB155" s="30"/>
      <c r="AC155" s="178"/>
      <c r="AD155" s="31"/>
      <c r="AE155" s="31"/>
      <c r="AF155" s="31"/>
      <c r="AG155" s="31"/>
      <c r="AH155" s="31"/>
      <c r="AI155" s="30"/>
      <c r="AJ155" s="178"/>
      <c r="AK155" s="121"/>
      <c r="AL155" s="22"/>
      <c r="AM155" s="113"/>
      <c r="AN155" s="8"/>
      <c r="AO155" s="8"/>
      <c r="AP155" s="8"/>
      <c r="AQ155" s="8"/>
      <c r="AR155" s="8"/>
      <c r="AS155" s="8"/>
      <c r="AT155" s="8"/>
      <c r="AU155" s="8"/>
      <c r="AV155" s="7"/>
      <c r="AW155" s="7"/>
    </row>
    <row r="156" spans="1:49">
      <c r="A156" s="251"/>
      <c r="B156" s="259"/>
      <c r="C156" s="203"/>
      <c r="D156" s="222"/>
      <c r="E156" s="59"/>
      <c r="F156" s="203"/>
      <c r="G156" s="27" t="s">
        <v>77</v>
      </c>
      <c r="H156" s="23" t="s">
        <v>76</v>
      </c>
      <c r="I156" s="41">
        <f>$L$168*$D$153</f>
        <v>9150</v>
      </c>
      <c r="J156" s="41"/>
      <c r="K156" s="41"/>
      <c r="L156" s="41"/>
      <c r="M156" s="41">
        <f>$L$168*$D$153</f>
        <v>9150</v>
      </c>
      <c r="N156" s="30"/>
      <c r="O156" s="165"/>
      <c r="P156" s="165"/>
      <c r="Q156" s="165"/>
      <c r="R156" s="165"/>
      <c r="S156" s="165"/>
      <c r="T156" s="165"/>
      <c r="U156" s="165"/>
      <c r="V156" s="165"/>
      <c r="W156" s="41"/>
      <c r="X156" s="41"/>
      <c r="Y156" s="41">
        <f>$L$168*$D$153</f>
        <v>9150</v>
      </c>
      <c r="Z156" s="41"/>
      <c r="AA156" s="41"/>
      <c r="AB156" s="30"/>
      <c r="AC156" s="178"/>
      <c r="AD156" s="41"/>
      <c r="AE156" s="41">
        <f>$L$168*$D$153</f>
        <v>9150</v>
      </c>
      <c r="AF156" s="41"/>
      <c r="AG156" s="41"/>
      <c r="AH156" s="41"/>
      <c r="AI156" s="30"/>
      <c r="AJ156" s="178"/>
      <c r="AK156" s="41">
        <f>$L$168*$D$153</f>
        <v>9150</v>
      </c>
      <c r="AL156" s="71"/>
      <c r="AM156" s="190"/>
      <c r="AN156" s="8"/>
      <c r="AO156" s="8"/>
      <c r="AP156" s="8"/>
      <c r="AQ156" s="8"/>
      <c r="AR156" s="8"/>
      <c r="AS156" s="8"/>
      <c r="AT156" s="8"/>
      <c r="AU156" s="8"/>
      <c r="AV156" s="7"/>
      <c r="AW156" s="7"/>
    </row>
    <row r="157" spans="1:49">
      <c r="A157" s="251"/>
      <c r="B157" s="259"/>
      <c r="C157" s="203"/>
      <c r="D157" s="222"/>
      <c r="E157" s="59"/>
      <c r="F157" s="203"/>
      <c r="G157" s="28"/>
      <c r="H157" s="23" t="s">
        <v>66</v>
      </c>
      <c r="I157" s="41">
        <v>1</v>
      </c>
      <c r="J157" s="41"/>
      <c r="K157" s="41"/>
      <c r="L157" s="41"/>
      <c r="M157" s="41">
        <v>1</v>
      </c>
      <c r="N157" s="30"/>
      <c r="O157" s="165"/>
      <c r="P157" s="165"/>
      <c r="Q157" s="165"/>
      <c r="R157" s="165"/>
      <c r="S157" s="165"/>
      <c r="T157" s="165"/>
      <c r="U157" s="165"/>
      <c r="V157" s="165"/>
      <c r="W157" s="41"/>
      <c r="X157" s="41"/>
      <c r="Y157" s="41">
        <v>1</v>
      </c>
      <c r="Z157" s="41"/>
      <c r="AA157" s="41"/>
      <c r="AB157" s="30"/>
      <c r="AC157" s="178"/>
      <c r="AD157" s="41"/>
      <c r="AE157" s="41">
        <v>1</v>
      </c>
      <c r="AF157" s="41"/>
      <c r="AG157" s="41"/>
      <c r="AH157" s="41"/>
      <c r="AI157" s="30"/>
      <c r="AJ157" s="178"/>
      <c r="AK157" s="41">
        <v>1</v>
      </c>
      <c r="AL157" s="71"/>
      <c r="AM157" s="190"/>
      <c r="AN157" s="8"/>
      <c r="AO157" s="8"/>
      <c r="AP157" s="8"/>
      <c r="AQ157" s="8"/>
      <c r="AR157" s="8"/>
      <c r="AS157" s="8"/>
      <c r="AT157" s="8"/>
      <c r="AU157" s="8"/>
      <c r="AV157" s="7"/>
      <c r="AW157" s="7"/>
    </row>
    <row r="158" spans="1:49">
      <c r="A158" s="251"/>
      <c r="B158" s="259"/>
      <c r="C158" s="203"/>
      <c r="D158" s="222"/>
      <c r="E158" s="59"/>
      <c r="F158" s="203"/>
      <c r="G158" s="28"/>
      <c r="H158" s="26" t="s">
        <v>0</v>
      </c>
      <c r="I158" s="22"/>
      <c r="J158" s="22"/>
      <c r="K158" s="31"/>
      <c r="L158" s="22"/>
      <c r="M158" s="22"/>
      <c r="N158" s="21"/>
      <c r="O158" s="165"/>
      <c r="P158" s="165"/>
      <c r="Q158" s="165"/>
      <c r="R158" s="165"/>
      <c r="S158" s="165"/>
      <c r="T158" s="165"/>
      <c r="U158" s="165"/>
      <c r="V158" s="165"/>
      <c r="W158" s="22"/>
      <c r="X158" s="22"/>
      <c r="Y158" s="31"/>
      <c r="Z158" s="22"/>
      <c r="AA158" s="22"/>
      <c r="AB158" s="21"/>
      <c r="AC158" s="165"/>
      <c r="AD158" s="22"/>
      <c r="AE158" s="22"/>
      <c r="AF158" s="31"/>
      <c r="AG158" s="22"/>
      <c r="AH158" s="22"/>
      <c r="AI158" s="21"/>
      <c r="AJ158" s="165"/>
      <c r="AK158" s="121"/>
      <c r="AL158" s="22"/>
      <c r="AM158" s="113"/>
      <c r="AN158" s="8"/>
      <c r="AO158" s="8"/>
      <c r="AP158" s="8"/>
      <c r="AQ158" s="8"/>
      <c r="AR158" s="8"/>
      <c r="AS158" s="8"/>
      <c r="AT158" s="8"/>
      <c r="AU158" s="8"/>
      <c r="AV158" s="7"/>
      <c r="AW158" s="7"/>
    </row>
    <row r="159" spans="1:49">
      <c r="A159" s="251"/>
      <c r="B159" s="259"/>
      <c r="C159" s="203"/>
      <c r="D159" s="222"/>
      <c r="E159" s="59"/>
      <c r="F159" s="203"/>
      <c r="G159" s="28"/>
      <c r="H159" s="26" t="s">
        <v>34</v>
      </c>
      <c r="I159" s="40">
        <f>I158-I156</f>
        <v>-9150</v>
      </c>
      <c r="J159" s="40">
        <f>I159+(J158-J156)</f>
        <v>-9150</v>
      </c>
      <c r="K159" s="40">
        <f t="shared" ref="K159" si="202">J159+(K158-K156)</f>
        <v>-9150</v>
      </c>
      <c r="L159" s="40">
        <f t="shared" ref="L159" si="203">K159+(L158-L156)</f>
        <v>-9150</v>
      </c>
      <c r="M159" s="40">
        <f t="shared" ref="M159" si="204">L159+(M158-M156)</f>
        <v>-18300</v>
      </c>
      <c r="N159" s="151">
        <f>M159+(N158-N156)</f>
        <v>-18300</v>
      </c>
      <c r="O159" s="175"/>
      <c r="P159" s="175"/>
      <c r="Q159" s="175"/>
      <c r="R159" s="175"/>
      <c r="S159" s="175"/>
      <c r="T159" s="175"/>
      <c r="U159" s="175"/>
      <c r="V159" s="175"/>
      <c r="W159" s="68">
        <f>U159+(W158-W156)</f>
        <v>0</v>
      </c>
      <c r="X159" s="68">
        <f>W159+(X158-X156)</f>
        <v>0</v>
      </c>
      <c r="Y159" s="68">
        <f t="shared" ref="Y159" si="205">X159+(Y158-Y156)</f>
        <v>-9150</v>
      </c>
      <c r="Z159" s="68">
        <f t="shared" ref="Z159" si="206">Y159+(Z158-Z156)</f>
        <v>-9150</v>
      </c>
      <c r="AA159" s="68">
        <f t="shared" ref="AA159" si="207">Z159+(AA158-AA156)</f>
        <v>-9150</v>
      </c>
      <c r="AB159" s="151">
        <f>AA159+(AB158-AB156)</f>
        <v>-9150</v>
      </c>
      <c r="AC159" s="175"/>
      <c r="AD159" s="68">
        <f>AB159+(AD158-AD156)</f>
        <v>-9150</v>
      </c>
      <c r="AE159" s="68">
        <f>AD159+(AE158-AE156)</f>
        <v>-18300</v>
      </c>
      <c r="AF159" s="68">
        <f t="shared" ref="AF159" si="208">AE159+(AF158-AF156)</f>
        <v>-18300</v>
      </c>
      <c r="AG159" s="68">
        <f t="shared" ref="AG159" si="209">AF159+(AG158-AG156)</f>
        <v>-18300</v>
      </c>
      <c r="AH159" s="68">
        <f t="shared" ref="AH159" si="210">AG159+(AH158-AH156)</f>
        <v>-18300</v>
      </c>
      <c r="AI159" s="151">
        <f>AH159+(AI158-AI156)</f>
        <v>-18300</v>
      </c>
      <c r="AJ159" s="175"/>
      <c r="AK159" s="68">
        <f>AI159+(AK158-AK156)</f>
        <v>-27450</v>
      </c>
      <c r="AL159" s="68">
        <f>AK159+(AL158-AL156)</f>
        <v>-27450</v>
      </c>
      <c r="AM159" s="68"/>
      <c r="AN159" s="8"/>
      <c r="AO159" s="8"/>
      <c r="AP159" s="8"/>
      <c r="AQ159" s="8"/>
      <c r="AR159" s="8"/>
      <c r="AS159" s="8"/>
      <c r="AT159" s="8"/>
      <c r="AU159" s="8"/>
      <c r="AV159" s="7"/>
      <c r="AW159" s="7"/>
    </row>
    <row r="160" spans="1:49">
      <c r="A160" s="251"/>
      <c r="B160" s="259"/>
      <c r="C160" s="203"/>
      <c r="D160" s="222"/>
      <c r="E160" s="59"/>
      <c r="F160" s="203"/>
      <c r="G160" s="27" t="s">
        <v>14</v>
      </c>
      <c r="H160" s="23" t="s">
        <v>40</v>
      </c>
      <c r="I160" s="41"/>
      <c r="J160" s="41">
        <f>$L$168*$D$153</f>
        <v>9150</v>
      </c>
      <c r="K160" s="41"/>
      <c r="L160" s="41"/>
      <c r="M160" s="41"/>
      <c r="N160" s="30"/>
      <c r="O160" s="165"/>
      <c r="P160" s="165"/>
      <c r="Q160" s="165"/>
      <c r="R160" s="165"/>
      <c r="S160" s="165"/>
      <c r="T160" s="165"/>
      <c r="U160" s="165"/>
      <c r="V160" s="165"/>
      <c r="W160" s="41"/>
      <c r="X160" s="41"/>
      <c r="Y160" s="41"/>
      <c r="Z160" s="41">
        <f>$L$168*$D$153</f>
        <v>9150</v>
      </c>
      <c r="AA160" s="41"/>
      <c r="AB160" s="30"/>
      <c r="AC160" s="178"/>
      <c r="AD160" s="41"/>
      <c r="AE160" s="41"/>
      <c r="AF160" s="41">
        <f>$L$168*$D$153</f>
        <v>9150</v>
      </c>
      <c r="AG160" s="41"/>
      <c r="AH160" s="41"/>
      <c r="AI160" s="30"/>
      <c r="AJ160" s="178"/>
      <c r="AK160" s="189"/>
      <c r="AL160" s="41">
        <f>$L$168*$D$153</f>
        <v>9150</v>
      </c>
      <c r="AM160" s="190"/>
      <c r="AN160" s="8"/>
      <c r="AO160" s="8"/>
      <c r="AP160" s="8"/>
      <c r="AQ160" s="8"/>
      <c r="AR160" s="8"/>
      <c r="AS160" s="8"/>
      <c r="AT160" s="8"/>
      <c r="AU160" s="8"/>
      <c r="AV160" s="7"/>
      <c r="AW160" s="7"/>
    </row>
    <row r="161" spans="1:49">
      <c r="A161" s="251"/>
      <c r="B161" s="259"/>
      <c r="C161" s="203"/>
      <c r="D161" s="222"/>
      <c r="E161" s="59"/>
      <c r="F161" s="203"/>
      <c r="G161" s="28"/>
      <c r="H161" s="23" t="s">
        <v>7</v>
      </c>
      <c r="I161" s="41"/>
      <c r="J161" s="41">
        <v>1</v>
      </c>
      <c r="K161" s="41"/>
      <c r="L161" s="41"/>
      <c r="M161" s="41"/>
      <c r="N161" s="30"/>
      <c r="O161" s="165"/>
      <c r="P161" s="165"/>
      <c r="Q161" s="165"/>
      <c r="R161" s="165"/>
      <c r="S161" s="165"/>
      <c r="T161" s="165"/>
      <c r="U161" s="165"/>
      <c r="V161" s="165"/>
      <c r="W161" s="41"/>
      <c r="X161" s="41"/>
      <c r="Y161" s="41"/>
      <c r="Z161" s="41">
        <v>1</v>
      </c>
      <c r="AA161" s="41"/>
      <c r="AB161" s="30"/>
      <c r="AC161" s="178"/>
      <c r="AD161" s="41"/>
      <c r="AE161" s="41"/>
      <c r="AF161" s="41">
        <v>1</v>
      </c>
      <c r="AG161" s="41"/>
      <c r="AH161" s="41"/>
      <c r="AI161" s="30"/>
      <c r="AJ161" s="178"/>
      <c r="AK161" s="189"/>
      <c r="AL161" s="41">
        <v>1</v>
      </c>
      <c r="AM161" s="190"/>
      <c r="AN161" s="8"/>
      <c r="AO161" s="8"/>
      <c r="AP161" s="8"/>
      <c r="AQ161" s="8"/>
      <c r="AR161" s="8"/>
      <c r="AS161" s="8"/>
      <c r="AT161" s="8"/>
      <c r="AU161" s="8"/>
      <c r="AV161" s="7"/>
      <c r="AW161" s="7"/>
    </row>
    <row r="162" spans="1:49">
      <c r="A162" s="251"/>
      <c r="B162" s="259"/>
      <c r="C162" s="203"/>
      <c r="D162" s="222"/>
      <c r="E162" s="59"/>
      <c r="F162" s="203"/>
      <c r="G162" s="28"/>
      <c r="H162" s="26" t="s">
        <v>0</v>
      </c>
      <c r="I162" s="31"/>
      <c r="J162" s="31"/>
      <c r="K162" s="31"/>
      <c r="L162" s="31"/>
      <c r="M162" s="31"/>
      <c r="N162" s="30"/>
      <c r="O162" s="165"/>
      <c r="P162" s="165"/>
      <c r="Q162" s="165"/>
      <c r="R162" s="165"/>
      <c r="S162" s="165"/>
      <c r="T162" s="165"/>
      <c r="U162" s="165"/>
      <c r="V162" s="165"/>
      <c r="W162" s="31"/>
      <c r="X162" s="31"/>
      <c r="Y162" s="31"/>
      <c r="Z162" s="31"/>
      <c r="AA162" s="31"/>
      <c r="AB162" s="30"/>
      <c r="AC162" s="178"/>
      <c r="AD162" s="31"/>
      <c r="AE162" s="31"/>
      <c r="AF162" s="31"/>
      <c r="AG162" s="31"/>
      <c r="AH162" s="31"/>
      <c r="AI162" s="30"/>
      <c r="AJ162" s="178"/>
      <c r="AK162" s="121"/>
      <c r="AL162" s="22"/>
      <c r="AM162" s="113"/>
      <c r="AN162" s="8"/>
      <c r="AO162" s="8"/>
      <c r="AP162" s="8"/>
      <c r="AQ162" s="8"/>
      <c r="AR162" s="8"/>
      <c r="AS162" s="8"/>
      <c r="AT162" s="8"/>
      <c r="AU162" s="8"/>
      <c r="AV162" s="7"/>
      <c r="AW162" s="7"/>
    </row>
    <row r="163" spans="1:49">
      <c r="A163" s="251"/>
      <c r="B163" s="259"/>
      <c r="C163" s="203"/>
      <c r="D163" s="222"/>
      <c r="E163" s="59"/>
      <c r="F163" s="203"/>
      <c r="G163" s="28"/>
      <c r="H163" s="26" t="s">
        <v>34</v>
      </c>
      <c r="I163" s="40">
        <f>I162-I160</f>
        <v>0</v>
      </c>
      <c r="J163" s="40">
        <f>I163+(J162-J160)</f>
        <v>-9150</v>
      </c>
      <c r="K163" s="40">
        <f t="shared" ref="K163" si="211">J163+(K162-K160)</f>
        <v>-9150</v>
      </c>
      <c r="L163" s="40">
        <f t="shared" ref="L163" si="212">K163+(L162-L160)</f>
        <v>-9150</v>
      </c>
      <c r="M163" s="40">
        <f t="shared" ref="M163" si="213">L163+(M162-M160)</f>
        <v>-9150</v>
      </c>
      <c r="N163" s="151">
        <f>M163+(N162-N160)</f>
        <v>-9150</v>
      </c>
      <c r="O163" s="175"/>
      <c r="P163" s="175"/>
      <c r="Q163" s="175"/>
      <c r="R163" s="175"/>
      <c r="S163" s="175"/>
      <c r="T163" s="175"/>
      <c r="U163" s="175"/>
      <c r="V163" s="175"/>
      <c r="W163" s="68">
        <f>U163+(W162-W160)</f>
        <v>0</v>
      </c>
      <c r="X163" s="68">
        <f>W163+(X162-X160)</f>
        <v>0</v>
      </c>
      <c r="Y163" s="68">
        <f t="shared" ref="Y163" si="214">X163+(Y162-Y160)</f>
        <v>0</v>
      </c>
      <c r="Z163" s="68">
        <f t="shared" ref="Z163" si="215">Y163+(Z162-Z160)</f>
        <v>-9150</v>
      </c>
      <c r="AA163" s="68">
        <f t="shared" ref="AA163" si="216">Z163+(AA162-AA160)</f>
        <v>-9150</v>
      </c>
      <c r="AB163" s="151">
        <f>AA163+(AB162-AB160)</f>
        <v>-9150</v>
      </c>
      <c r="AC163" s="175"/>
      <c r="AD163" s="68">
        <f>AB163+(AD162-AD160)</f>
        <v>-9150</v>
      </c>
      <c r="AE163" s="68">
        <f>AD163+(AE162-AE160)</f>
        <v>-9150</v>
      </c>
      <c r="AF163" s="68">
        <f t="shared" ref="AF163" si="217">AE163+(AF162-AF160)</f>
        <v>-18300</v>
      </c>
      <c r="AG163" s="68">
        <f t="shared" ref="AG163" si="218">AF163+(AG162-AG160)</f>
        <v>-18300</v>
      </c>
      <c r="AH163" s="68">
        <f t="shared" ref="AH163" si="219">AG163+(AH162-AH160)</f>
        <v>-18300</v>
      </c>
      <c r="AI163" s="151">
        <f>AH163+(AI162-AI160)</f>
        <v>-18300</v>
      </c>
      <c r="AJ163" s="175"/>
      <c r="AK163" s="68">
        <f>AI163+(AK162-AK160)</f>
        <v>-18300</v>
      </c>
      <c r="AL163" s="68">
        <f>AK163+(AL162-AL160)</f>
        <v>-27450</v>
      </c>
      <c r="AM163" s="68"/>
      <c r="AN163" s="8"/>
      <c r="AO163" s="8"/>
      <c r="AP163" s="8"/>
      <c r="AQ163" s="8"/>
      <c r="AR163" s="8"/>
      <c r="AS163" s="8"/>
      <c r="AT163" s="8"/>
      <c r="AU163" s="8"/>
      <c r="AV163" s="7"/>
      <c r="AW163" s="7"/>
    </row>
    <row r="164" spans="1:49">
      <c r="A164" s="251"/>
      <c r="B164" s="259"/>
      <c r="C164" s="203"/>
      <c r="D164" s="222"/>
      <c r="E164" s="59"/>
      <c r="F164" s="203"/>
      <c r="G164" s="28"/>
      <c r="H164" s="23" t="s">
        <v>75</v>
      </c>
      <c r="I164" s="41">
        <f>$L$168*$D$153/4</f>
        <v>2287.5</v>
      </c>
      <c r="J164" s="41">
        <f t="shared" ref="J164:K164" si="220">$L$168*$D$153/4</f>
        <v>2287.5</v>
      </c>
      <c r="K164" s="41">
        <f t="shared" si="220"/>
        <v>2287.5</v>
      </c>
      <c r="L164" s="41">
        <f>$L$168*$D$153/4</f>
        <v>2287.5</v>
      </c>
      <c r="M164" s="41">
        <f>$L$168*$D$153/4</f>
        <v>2287.5</v>
      </c>
      <c r="N164" s="30"/>
      <c r="O164" s="165"/>
      <c r="P164" s="165"/>
      <c r="Q164" s="165"/>
      <c r="R164" s="165"/>
      <c r="S164" s="165"/>
      <c r="T164" s="165"/>
      <c r="U164" s="165"/>
      <c r="V164" s="165"/>
      <c r="W164" s="41">
        <f>$L$168*$D$153/4</f>
        <v>2287.5</v>
      </c>
      <c r="X164" s="41">
        <f t="shared" ref="X164:Y164" si="221">$L$168*$D$153/4</f>
        <v>2287.5</v>
      </c>
      <c r="Y164" s="41">
        <f t="shared" si="221"/>
        <v>2287.5</v>
      </c>
      <c r="Z164" s="41">
        <f>$L$168*$D$153/4</f>
        <v>2287.5</v>
      </c>
      <c r="AA164" s="41">
        <f>$L$168*$D$153/4</f>
        <v>2287.5</v>
      </c>
      <c r="AB164" s="30"/>
      <c r="AC164" s="178"/>
      <c r="AD164" s="41">
        <f>$L$168*$D$153/4</f>
        <v>2287.5</v>
      </c>
      <c r="AE164" s="41">
        <f t="shared" ref="AE164:AF164" si="222">$L$168*$D$153/4</f>
        <v>2287.5</v>
      </c>
      <c r="AF164" s="41">
        <f t="shared" si="222"/>
        <v>2287.5</v>
      </c>
      <c r="AG164" s="41">
        <f>$L$168*$D$153/4</f>
        <v>2287.5</v>
      </c>
      <c r="AH164" s="41">
        <f>$L$168*$D$153/4</f>
        <v>2287.5</v>
      </c>
      <c r="AI164" s="30"/>
      <c r="AJ164" s="178"/>
      <c r="AK164" s="41">
        <f t="shared" ref="AK164:AM164" si="223">$L$168*$D$153/4</f>
        <v>2287.5</v>
      </c>
      <c r="AL164" s="41">
        <f t="shared" si="223"/>
        <v>2287.5</v>
      </c>
      <c r="AM164" s="41"/>
      <c r="AN164" s="8"/>
      <c r="AO164" s="8"/>
      <c r="AP164" s="8"/>
      <c r="AQ164" s="8"/>
      <c r="AR164" s="8"/>
      <c r="AS164" s="8"/>
      <c r="AT164" s="8"/>
      <c r="AU164" s="8"/>
      <c r="AV164" s="7"/>
      <c r="AW164" s="7"/>
    </row>
    <row r="165" spans="1:49">
      <c r="A165" s="251"/>
      <c r="B165" s="259"/>
      <c r="C165" s="203"/>
      <c r="D165" s="222"/>
      <c r="E165" s="59"/>
      <c r="F165" s="203"/>
      <c r="G165" s="28"/>
      <c r="H165" s="23" t="s">
        <v>74</v>
      </c>
      <c r="I165" s="41">
        <v>1</v>
      </c>
      <c r="J165" s="41">
        <v>1</v>
      </c>
      <c r="K165" s="41">
        <v>1</v>
      </c>
      <c r="L165" s="41">
        <v>1</v>
      </c>
      <c r="M165" s="41">
        <v>1</v>
      </c>
      <c r="N165" s="30"/>
      <c r="O165" s="165"/>
      <c r="P165" s="165"/>
      <c r="Q165" s="165"/>
      <c r="R165" s="165"/>
      <c r="S165" s="165"/>
      <c r="T165" s="165"/>
      <c r="U165" s="165"/>
      <c r="V165" s="165"/>
      <c r="W165" s="41">
        <v>1</v>
      </c>
      <c r="X165" s="41">
        <v>1</v>
      </c>
      <c r="Y165" s="41">
        <v>1</v>
      </c>
      <c r="Z165" s="41">
        <v>1</v>
      </c>
      <c r="AA165" s="41">
        <v>1</v>
      </c>
      <c r="AB165" s="30"/>
      <c r="AC165" s="178"/>
      <c r="AD165" s="41">
        <v>1</v>
      </c>
      <c r="AE165" s="41">
        <v>1</v>
      </c>
      <c r="AF165" s="41">
        <v>1</v>
      </c>
      <c r="AG165" s="41">
        <v>1</v>
      </c>
      <c r="AH165" s="41">
        <v>1</v>
      </c>
      <c r="AI165" s="30"/>
      <c r="AJ165" s="178"/>
      <c r="AK165" s="41">
        <v>1</v>
      </c>
      <c r="AL165" s="41">
        <v>1</v>
      </c>
      <c r="AM165" s="41"/>
      <c r="AN165" s="8"/>
      <c r="AO165" s="8"/>
      <c r="AP165" s="8"/>
      <c r="AQ165" s="8"/>
      <c r="AR165" s="8"/>
      <c r="AS165" s="8"/>
      <c r="AT165" s="8"/>
      <c r="AU165" s="8"/>
      <c r="AV165" s="7"/>
      <c r="AW165" s="7"/>
    </row>
    <row r="166" spans="1:49">
      <c r="A166" s="251"/>
      <c r="B166" s="259"/>
      <c r="C166" s="203"/>
      <c r="D166" s="222"/>
      <c r="E166" s="59"/>
      <c r="F166" s="203"/>
      <c r="G166" s="28"/>
      <c r="H166" s="26" t="s">
        <v>0</v>
      </c>
      <c r="I166" s="22"/>
      <c r="J166" s="22"/>
      <c r="K166" s="31"/>
      <c r="L166" s="22"/>
      <c r="M166" s="22"/>
      <c r="N166" s="21"/>
      <c r="O166" s="165"/>
      <c r="P166" s="165"/>
      <c r="Q166" s="165"/>
      <c r="R166" s="165"/>
      <c r="S166" s="165"/>
      <c r="T166" s="165"/>
      <c r="U166" s="165"/>
      <c r="V166" s="165"/>
      <c r="W166" s="22"/>
      <c r="X166" s="22"/>
      <c r="Y166" s="31"/>
      <c r="Z166" s="22"/>
      <c r="AA166" s="22"/>
      <c r="AB166" s="21"/>
      <c r="AC166" s="165"/>
      <c r="AD166" s="22"/>
      <c r="AE166" s="22"/>
      <c r="AF166" s="31"/>
      <c r="AG166" s="22"/>
      <c r="AH166" s="22"/>
      <c r="AI166" s="21"/>
      <c r="AJ166" s="165"/>
      <c r="AK166" s="121"/>
      <c r="AL166" s="22"/>
      <c r="AM166" s="113"/>
      <c r="AN166" s="8"/>
      <c r="AO166" s="8"/>
      <c r="AP166" s="8"/>
      <c r="AQ166" s="8"/>
      <c r="AR166" s="8"/>
      <c r="AS166" s="8"/>
      <c r="AT166" s="8"/>
      <c r="AU166" s="8"/>
      <c r="AV166" s="7"/>
      <c r="AW166" s="7"/>
    </row>
    <row r="167" spans="1:49">
      <c r="A167" s="251"/>
      <c r="B167" s="259"/>
      <c r="C167" s="203"/>
      <c r="D167" s="222"/>
      <c r="E167" s="59"/>
      <c r="F167" s="203"/>
      <c r="G167" s="28"/>
      <c r="H167" s="26" t="s">
        <v>34</v>
      </c>
      <c r="I167" s="40">
        <f>I166-I164</f>
        <v>-2287.5</v>
      </c>
      <c r="J167" s="40">
        <f>I167+(J166-J164)</f>
        <v>-4575</v>
      </c>
      <c r="K167" s="40">
        <f t="shared" ref="K167" si="224">J167+(K166-K164)</f>
        <v>-6862.5</v>
      </c>
      <c r="L167" s="40">
        <f t="shared" ref="L167" si="225">K167+(L166-L164)</f>
        <v>-9150</v>
      </c>
      <c r="M167" s="40">
        <f t="shared" ref="M167" si="226">L167+(M166-M164)</f>
        <v>-11437.5</v>
      </c>
      <c r="N167" s="151">
        <f>M167+(N166-N164)</f>
        <v>-11437.5</v>
      </c>
      <c r="O167" s="175"/>
      <c r="P167" s="175"/>
      <c r="Q167" s="175"/>
      <c r="R167" s="175"/>
      <c r="S167" s="175"/>
      <c r="T167" s="175"/>
      <c r="U167" s="175"/>
      <c r="V167" s="175"/>
      <c r="W167" s="68">
        <f>U167+(W166-W164)</f>
        <v>-2287.5</v>
      </c>
      <c r="X167" s="68">
        <f>W167+(X166-X164)</f>
        <v>-4575</v>
      </c>
      <c r="Y167" s="68">
        <f t="shared" ref="Y167" si="227">X167+(Y166-Y164)</f>
        <v>-6862.5</v>
      </c>
      <c r="Z167" s="68">
        <f t="shared" ref="Z167" si="228">Y167+(Z166-Z164)</f>
        <v>-9150</v>
      </c>
      <c r="AA167" s="68">
        <f t="shared" ref="AA167" si="229">Z167+(AA166-AA164)</f>
        <v>-11437.5</v>
      </c>
      <c r="AB167" s="151">
        <f>AA167+(AB166-AB164)</f>
        <v>-11437.5</v>
      </c>
      <c r="AC167" s="175"/>
      <c r="AD167" s="68">
        <f>AB167+(AD166-AD164)</f>
        <v>-13725</v>
      </c>
      <c r="AE167" s="68">
        <f>AD167+(AE166-AE164)</f>
        <v>-16012.5</v>
      </c>
      <c r="AF167" s="68">
        <f t="shared" ref="AF167" si="230">AE167+(AF166-AF164)</f>
        <v>-18300</v>
      </c>
      <c r="AG167" s="68">
        <f t="shared" ref="AG167" si="231">AF167+(AG166-AG164)</f>
        <v>-20587.5</v>
      </c>
      <c r="AH167" s="68">
        <f t="shared" ref="AH167" si="232">AG167+(AH166-AH164)</f>
        <v>-22875</v>
      </c>
      <c r="AI167" s="151">
        <f>AH167+(AI166-AI164)</f>
        <v>-22875</v>
      </c>
      <c r="AJ167" s="175"/>
      <c r="AK167" s="68">
        <f>AI167+(AK166-AK164)</f>
        <v>-25162.5</v>
      </c>
      <c r="AL167" s="68">
        <f>AK167+(AL166-AL164)</f>
        <v>-27450</v>
      </c>
      <c r="AM167" s="68"/>
      <c r="AN167" s="8"/>
      <c r="AO167" s="8"/>
      <c r="AP167" s="8"/>
      <c r="AQ167" s="8"/>
      <c r="AR167" s="8"/>
      <c r="AS167" s="8"/>
      <c r="AT167" s="8"/>
      <c r="AU167" s="8"/>
      <c r="AV167" s="7"/>
      <c r="AW167" s="7"/>
    </row>
    <row r="168" spans="1:49">
      <c r="A168" s="251"/>
      <c r="B168" s="259"/>
      <c r="C168" s="203"/>
      <c r="D168" s="222"/>
      <c r="E168" s="59"/>
      <c r="F168" s="203"/>
      <c r="G168" s="28"/>
      <c r="H168" s="23" t="s">
        <v>2</v>
      </c>
      <c r="I168" s="41"/>
      <c r="J168" s="41"/>
      <c r="K168" s="41"/>
      <c r="L168" s="41">
        <f>($C$153*4)</f>
        <v>6000</v>
      </c>
      <c r="M168" s="72"/>
      <c r="N168" s="30"/>
      <c r="O168" s="165"/>
      <c r="P168" s="165"/>
      <c r="Q168" s="165"/>
      <c r="R168" s="165"/>
      <c r="S168" s="165"/>
      <c r="T168" s="165"/>
      <c r="U168" s="165"/>
      <c r="V168" s="165"/>
      <c r="W168" s="41"/>
      <c r="X168" s="41">
        <f>($C$153*4)</f>
        <v>6000</v>
      </c>
      <c r="Y168" s="41"/>
      <c r="Z168" s="41"/>
      <c r="AA168" s="41"/>
      <c r="AB168" s="30"/>
      <c r="AC168" s="178"/>
      <c r="AD168" s="41">
        <f>($C$153*4)</f>
        <v>6000</v>
      </c>
      <c r="AE168" s="41"/>
      <c r="AF168" s="41"/>
      <c r="AG168" s="41"/>
      <c r="AH168" s="41">
        <f>($C$153*4)</f>
        <v>6000</v>
      </c>
      <c r="AI168" s="30"/>
      <c r="AJ168" s="178"/>
      <c r="AK168" s="189"/>
      <c r="AL168" s="71"/>
      <c r="AM168" s="190"/>
      <c r="AN168" s="8"/>
      <c r="AO168" s="8"/>
      <c r="AP168" s="8"/>
      <c r="AQ168" s="8"/>
      <c r="AR168" s="8"/>
      <c r="AS168" s="8"/>
      <c r="AT168" s="8"/>
      <c r="AU168" s="8"/>
      <c r="AV168" s="7"/>
      <c r="AW168" s="7"/>
    </row>
    <row r="169" spans="1:49">
      <c r="A169" s="252"/>
      <c r="B169" s="260"/>
      <c r="C169" s="203"/>
      <c r="D169" s="222"/>
      <c r="E169" s="59"/>
      <c r="F169" s="203"/>
      <c r="G169" s="27"/>
      <c r="H169" s="23" t="s">
        <v>54</v>
      </c>
      <c r="I169" s="71"/>
      <c r="J169" s="71"/>
      <c r="K169" s="71"/>
      <c r="L169" s="71">
        <v>1</v>
      </c>
      <c r="M169" s="72"/>
      <c r="N169" s="21"/>
      <c r="O169" s="165"/>
      <c r="P169" s="165"/>
      <c r="Q169" s="165"/>
      <c r="R169" s="165"/>
      <c r="S169" s="165"/>
      <c r="T169" s="165"/>
      <c r="U169" s="165"/>
      <c r="V169" s="165"/>
      <c r="W169" s="71"/>
      <c r="X169" s="71">
        <v>1</v>
      </c>
      <c r="Y169" s="71"/>
      <c r="Z169" s="71"/>
      <c r="AA169" s="71"/>
      <c r="AB169" s="21"/>
      <c r="AC169" s="165"/>
      <c r="AD169" s="71">
        <v>1</v>
      </c>
      <c r="AE169" s="41"/>
      <c r="AF169" s="71"/>
      <c r="AG169" s="71"/>
      <c r="AH169" s="71">
        <v>1</v>
      </c>
      <c r="AI169" s="21"/>
      <c r="AJ169" s="165"/>
      <c r="AK169" s="191"/>
      <c r="AL169" s="71"/>
      <c r="AM169" s="190"/>
      <c r="AN169" s="57"/>
      <c r="AO169" s="57"/>
      <c r="AP169" s="57"/>
      <c r="AQ169" s="8"/>
      <c r="AR169" s="8"/>
      <c r="AS169" s="8"/>
      <c r="AT169" s="8"/>
      <c r="AU169" s="8"/>
      <c r="AV169" s="7"/>
      <c r="AW169" s="7"/>
    </row>
    <row r="170" spans="1:49">
      <c r="A170" s="253"/>
      <c r="B170" s="261"/>
      <c r="C170" s="203"/>
      <c r="D170" s="222"/>
      <c r="E170" s="59"/>
      <c r="F170" s="203"/>
      <c r="G170" s="24"/>
      <c r="H170" s="26" t="s">
        <v>0</v>
      </c>
      <c r="I170" s="36"/>
      <c r="J170" s="36"/>
      <c r="K170" s="36"/>
      <c r="L170" s="36"/>
      <c r="M170" s="36"/>
      <c r="N170" s="35"/>
      <c r="O170" s="165"/>
      <c r="P170" s="165"/>
      <c r="Q170" s="165"/>
      <c r="R170" s="165"/>
      <c r="S170" s="165"/>
      <c r="T170" s="165"/>
      <c r="U170" s="165"/>
      <c r="V170" s="165"/>
      <c r="W170" s="36"/>
      <c r="X170" s="77"/>
      <c r="Y170" s="36"/>
      <c r="Z170" s="36"/>
      <c r="AA170" s="36"/>
      <c r="AB170" s="35"/>
      <c r="AC170" s="167"/>
      <c r="AD170" s="36"/>
      <c r="AE170" s="77"/>
      <c r="AF170" s="36"/>
      <c r="AG170" s="36"/>
      <c r="AH170" s="36"/>
      <c r="AI170" s="35"/>
      <c r="AJ170" s="167"/>
      <c r="AK170" s="125"/>
      <c r="AL170" s="36"/>
      <c r="AM170" s="132"/>
      <c r="AN170" s="57"/>
      <c r="AO170" s="57"/>
      <c r="AP170" s="57"/>
      <c r="AQ170" s="8"/>
      <c r="AR170" s="8"/>
      <c r="AS170" s="8"/>
      <c r="AT170" s="8"/>
      <c r="AU170" s="8"/>
      <c r="AV170" s="7"/>
      <c r="AW170" s="7"/>
    </row>
    <row r="171" spans="1:49" ht="15.75" thickBot="1">
      <c r="A171" s="254"/>
      <c r="B171" s="262"/>
      <c r="C171" s="204"/>
      <c r="D171" s="223"/>
      <c r="E171" s="58"/>
      <c r="F171" s="204"/>
      <c r="G171" s="20"/>
      <c r="H171" s="34" t="s">
        <v>34</v>
      </c>
      <c r="I171" s="18"/>
      <c r="J171" s="18"/>
      <c r="K171" s="18"/>
      <c r="L171" s="18"/>
      <c r="M171" s="18"/>
      <c r="N171" s="17"/>
      <c r="O171" s="165"/>
      <c r="P171" s="165"/>
      <c r="Q171" s="165"/>
      <c r="R171" s="165"/>
      <c r="S171" s="165"/>
      <c r="T171" s="165"/>
      <c r="U171" s="165"/>
      <c r="V171" s="165"/>
      <c r="W171" s="18"/>
      <c r="X171" s="18"/>
      <c r="Y171" s="18"/>
      <c r="Z171" s="18"/>
      <c r="AA171" s="18"/>
      <c r="AB171" s="17"/>
      <c r="AC171" s="171"/>
      <c r="AD171" s="18"/>
      <c r="AE171" s="18"/>
      <c r="AF171" s="18"/>
      <c r="AG171" s="18"/>
      <c r="AH171" s="18"/>
      <c r="AI171" s="17"/>
      <c r="AJ171" s="171"/>
      <c r="AK171" s="123"/>
      <c r="AL171" s="18"/>
      <c r="AM171" s="118"/>
      <c r="AN171" s="57"/>
      <c r="AO171" s="57"/>
      <c r="AP171" s="57"/>
      <c r="AQ171" s="8"/>
      <c r="AR171" s="8"/>
      <c r="AS171" s="8"/>
      <c r="AT171" s="8"/>
      <c r="AU171" s="8"/>
      <c r="AV171" s="7"/>
      <c r="AW171" s="7"/>
    </row>
    <row r="172" spans="1:49">
      <c r="A172" s="255" t="s">
        <v>73</v>
      </c>
      <c r="B172" s="238"/>
      <c r="C172" s="211"/>
      <c r="D172" s="211"/>
      <c r="E172" s="211"/>
      <c r="F172" s="211"/>
      <c r="G172" s="56" t="s">
        <v>72</v>
      </c>
      <c r="H172" s="55" t="s">
        <v>71</v>
      </c>
      <c r="I172" s="54">
        <f>($L$221*2)/4</f>
        <v>6700</v>
      </c>
      <c r="J172" s="54">
        <f t="shared" ref="J172:K172" si="233">($L$221*2)/4</f>
        <v>6700</v>
      </c>
      <c r="K172" s="54">
        <f t="shared" si="233"/>
        <v>6700</v>
      </c>
      <c r="L172" s="54">
        <f>($L$221*2)/4</f>
        <v>6700</v>
      </c>
      <c r="M172" s="54">
        <f>($L$221*2)/4</f>
        <v>6700</v>
      </c>
      <c r="N172" s="150"/>
      <c r="O172" s="166"/>
      <c r="P172" s="166"/>
      <c r="Q172" s="166"/>
      <c r="R172" s="166"/>
      <c r="S172" s="166"/>
      <c r="T172" s="166"/>
      <c r="U172" s="166"/>
      <c r="V172" s="166"/>
      <c r="W172" s="54">
        <f>($L$221*2)/4</f>
        <v>6700</v>
      </c>
      <c r="X172" s="54">
        <f t="shared" ref="X172:Y172" si="234">($L$221*2)/4</f>
        <v>6700</v>
      </c>
      <c r="Y172" s="54">
        <f t="shared" si="234"/>
        <v>6700</v>
      </c>
      <c r="Z172" s="54">
        <f>($L$221*2)/4</f>
        <v>6700</v>
      </c>
      <c r="AA172" s="54">
        <f>($L$221*2)/4</f>
        <v>6700</v>
      </c>
      <c r="AB172" s="150"/>
      <c r="AC172" s="180"/>
      <c r="AD172" s="54">
        <f>($L$221*2)/4</f>
        <v>6700</v>
      </c>
      <c r="AE172" s="54">
        <f t="shared" ref="AE172:AF172" si="235">($L$221*2)/4</f>
        <v>6700</v>
      </c>
      <c r="AF172" s="54">
        <f t="shared" si="235"/>
        <v>6700</v>
      </c>
      <c r="AG172" s="54">
        <f>($L$221*2)/4</f>
        <v>6700</v>
      </c>
      <c r="AH172" s="54">
        <f>($L$221*2)/4</f>
        <v>6700</v>
      </c>
      <c r="AI172" s="150"/>
      <c r="AJ172" s="180"/>
      <c r="AK172" s="54">
        <f t="shared" ref="AK172:AM172" si="236">($L$221*2)/4</f>
        <v>6700</v>
      </c>
      <c r="AL172" s="54">
        <f t="shared" si="236"/>
        <v>6700</v>
      </c>
      <c r="AM172" s="54"/>
      <c r="AN172" s="8"/>
      <c r="AO172" s="8"/>
      <c r="AP172" s="8"/>
      <c r="AQ172" s="8"/>
      <c r="AR172" s="8"/>
      <c r="AS172" s="8"/>
      <c r="AT172" s="7"/>
      <c r="AU172" s="7"/>
      <c r="AV172" s="7"/>
      <c r="AW172" s="7"/>
    </row>
    <row r="173" spans="1:49">
      <c r="A173" s="256"/>
      <c r="B173" s="236"/>
      <c r="C173" s="212"/>
      <c r="D173" s="212"/>
      <c r="E173" s="212"/>
      <c r="F173" s="212"/>
      <c r="G173" s="49"/>
      <c r="H173" s="51" t="s">
        <v>66</v>
      </c>
      <c r="I173" s="50">
        <v>1</v>
      </c>
      <c r="J173" s="50">
        <v>1</v>
      </c>
      <c r="K173" s="50">
        <v>1</v>
      </c>
      <c r="L173" s="50">
        <v>1</v>
      </c>
      <c r="M173" s="50">
        <v>1</v>
      </c>
      <c r="N173" s="143"/>
      <c r="O173" s="166"/>
      <c r="P173" s="166"/>
      <c r="Q173" s="166"/>
      <c r="R173" s="166"/>
      <c r="S173" s="166"/>
      <c r="T173" s="166"/>
      <c r="U173" s="166"/>
      <c r="V173" s="166"/>
      <c r="W173" s="50">
        <v>1</v>
      </c>
      <c r="X173" s="50">
        <v>1</v>
      </c>
      <c r="Y173" s="50">
        <v>1</v>
      </c>
      <c r="Z173" s="50">
        <v>1</v>
      </c>
      <c r="AA173" s="50">
        <v>1</v>
      </c>
      <c r="AB173" s="143"/>
      <c r="AC173" s="166"/>
      <c r="AD173" s="50">
        <v>1</v>
      </c>
      <c r="AE173" s="50">
        <v>1</v>
      </c>
      <c r="AF173" s="50">
        <v>1</v>
      </c>
      <c r="AG173" s="50">
        <v>1</v>
      </c>
      <c r="AH173" s="50">
        <v>1</v>
      </c>
      <c r="AI173" s="143"/>
      <c r="AJ173" s="166"/>
      <c r="AK173" s="50">
        <v>1</v>
      </c>
      <c r="AL173" s="50">
        <v>1</v>
      </c>
      <c r="AM173" s="50"/>
      <c r="AN173" s="8"/>
      <c r="AO173" s="8"/>
      <c r="AP173" s="8"/>
      <c r="AQ173" s="8"/>
      <c r="AR173" s="8"/>
      <c r="AS173" s="8"/>
      <c r="AT173" s="7"/>
      <c r="AU173" s="7"/>
      <c r="AV173" s="7"/>
      <c r="AW173" s="7"/>
    </row>
    <row r="174" spans="1:49">
      <c r="A174" s="256"/>
      <c r="B174" s="236"/>
      <c r="C174" s="212"/>
      <c r="D174" s="212"/>
      <c r="E174" s="212"/>
      <c r="F174" s="212"/>
      <c r="G174" s="49"/>
      <c r="H174" s="48" t="s">
        <v>0</v>
      </c>
      <c r="I174" s="22"/>
      <c r="J174" s="22"/>
      <c r="K174" s="40"/>
      <c r="L174" s="22"/>
      <c r="M174" s="22"/>
      <c r="N174" s="21"/>
      <c r="O174" s="165"/>
      <c r="P174" s="165"/>
      <c r="Q174" s="165"/>
      <c r="R174" s="166"/>
      <c r="S174" s="166"/>
      <c r="T174" s="165"/>
      <c r="U174" s="165"/>
      <c r="V174" s="165"/>
      <c r="W174" s="22"/>
      <c r="X174" s="22"/>
      <c r="Y174" s="40"/>
      <c r="Z174" s="22"/>
      <c r="AA174" s="22"/>
      <c r="AB174" s="21"/>
      <c r="AC174" s="165"/>
      <c r="AD174" s="22"/>
      <c r="AE174" s="22"/>
      <c r="AF174" s="40"/>
      <c r="AG174" s="22"/>
      <c r="AH174" s="22"/>
      <c r="AI174" s="21"/>
      <c r="AJ174" s="165"/>
      <c r="AK174" s="40"/>
      <c r="AL174" s="134"/>
      <c r="AM174" s="129"/>
      <c r="AN174" s="8"/>
      <c r="AO174" s="8"/>
      <c r="AP174" s="8"/>
      <c r="AQ174" s="8"/>
      <c r="AR174" s="8"/>
      <c r="AS174" s="8"/>
      <c r="AT174" s="7"/>
      <c r="AU174" s="7"/>
      <c r="AV174" s="7"/>
      <c r="AW174" s="7"/>
    </row>
    <row r="175" spans="1:49">
      <c r="A175" s="256"/>
      <c r="B175" s="236"/>
      <c r="C175" s="212"/>
      <c r="D175" s="212"/>
      <c r="E175" s="212"/>
      <c r="F175" s="212"/>
      <c r="G175" s="49"/>
      <c r="H175" s="48" t="s">
        <v>34</v>
      </c>
      <c r="I175" s="40">
        <f>I174-I172</f>
        <v>-6700</v>
      </c>
      <c r="J175" s="40">
        <f>I175+(J174-J172)</f>
        <v>-13400</v>
      </c>
      <c r="K175" s="40">
        <f t="shared" ref="K175" si="237">J175+(K174-K172)</f>
        <v>-20100</v>
      </c>
      <c r="L175" s="40">
        <f t="shared" ref="L175" si="238">K175+(L174-L172)</f>
        <v>-26800</v>
      </c>
      <c r="M175" s="40">
        <f t="shared" ref="M175" si="239">L175+(M174-M172)</f>
        <v>-33500</v>
      </c>
      <c r="N175" s="151">
        <f>M175+(N174-N172)</f>
        <v>-33500</v>
      </c>
      <c r="O175" s="175"/>
      <c r="P175" s="175"/>
      <c r="Q175" s="175"/>
      <c r="R175" s="175"/>
      <c r="S175" s="175"/>
      <c r="T175" s="175"/>
      <c r="U175" s="175"/>
      <c r="V175" s="175"/>
      <c r="W175" s="68">
        <f>U175+(W174-W172)</f>
        <v>-6700</v>
      </c>
      <c r="X175" s="68">
        <f>W175+(X174-X172)</f>
        <v>-13400</v>
      </c>
      <c r="Y175" s="68">
        <f t="shared" ref="Y175" si="240">X175+(Y174-Y172)</f>
        <v>-20100</v>
      </c>
      <c r="Z175" s="68">
        <f t="shared" ref="Z175" si="241">Y175+(Z174-Z172)</f>
        <v>-26800</v>
      </c>
      <c r="AA175" s="68">
        <f t="shared" ref="AA175" si="242">Z175+(AA174-AA172)</f>
        <v>-33500</v>
      </c>
      <c r="AB175" s="151"/>
      <c r="AC175" s="175"/>
      <c r="AD175" s="68">
        <f>AB175+(AD174-AD172)</f>
        <v>-6700</v>
      </c>
      <c r="AE175" s="68">
        <f>AD175+(AE174-AE172)</f>
        <v>-13400</v>
      </c>
      <c r="AF175" s="68">
        <f t="shared" ref="AF175" si="243">AE175+(AF174-AF172)</f>
        <v>-20100</v>
      </c>
      <c r="AG175" s="68">
        <f t="shared" ref="AG175" si="244">AF175+(AG174-AG172)</f>
        <v>-26800</v>
      </c>
      <c r="AH175" s="68">
        <f t="shared" ref="AH175" si="245">AG175+(AH174-AH172)</f>
        <v>-33500</v>
      </c>
      <c r="AI175" s="151"/>
      <c r="AJ175" s="175"/>
      <c r="AK175" s="68">
        <f>AI175+(AK174-AK172)</f>
        <v>-6700</v>
      </c>
      <c r="AL175" s="68">
        <f>AK175+(AL174-AL172)</f>
        <v>-13400</v>
      </c>
      <c r="AM175" s="68"/>
      <c r="AN175" s="8"/>
      <c r="AO175" s="8"/>
      <c r="AP175" s="8"/>
      <c r="AQ175" s="8"/>
      <c r="AR175" s="8"/>
      <c r="AS175" s="8"/>
      <c r="AT175" s="7"/>
      <c r="AU175" s="7"/>
      <c r="AV175" s="7"/>
      <c r="AW175" s="7"/>
    </row>
    <row r="176" spans="1:49">
      <c r="A176" s="256"/>
      <c r="B176" s="236"/>
      <c r="C176" s="212"/>
      <c r="D176" s="212"/>
      <c r="E176" s="212"/>
      <c r="F176" s="212"/>
      <c r="G176" s="49" t="s">
        <v>70</v>
      </c>
      <c r="H176" s="51" t="s">
        <v>69</v>
      </c>
      <c r="I176" s="53">
        <f>(($L$221)/4)*2</f>
        <v>6700</v>
      </c>
      <c r="J176" s="53">
        <f t="shared" ref="J176:K176" si="246">(($L$221)/4)*2</f>
        <v>6700</v>
      </c>
      <c r="K176" s="53">
        <f t="shared" si="246"/>
        <v>6700</v>
      </c>
      <c r="L176" s="53">
        <f>(($L$221)/4)*2</f>
        <v>6700</v>
      </c>
      <c r="M176" s="53">
        <f>(($L$221)/4)*2</f>
        <v>6700</v>
      </c>
      <c r="N176" s="153"/>
      <c r="O176" s="166"/>
      <c r="P176" s="166"/>
      <c r="Q176" s="166"/>
      <c r="R176" s="166"/>
      <c r="S176" s="166"/>
      <c r="T176" s="166"/>
      <c r="U176" s="166"/>
      <c r="V176" s="166"/>
      <c r="W176" s="53">
        <f>(($L$221)/4)*2</f>
        <v>6700</v>
      </c>
      <c r="X176" s="53">
        <f t="shared" ref="X176:Y176" si="247">(($L$221)/4)*2</f>
        <v>6700</v>
      </c>
      <c r="Y176" s="53">
        <f t="shared" si="247"/>
        <v>6700</v>
      </c>
      <c r="Z176" s="53">
        <f>(($L$221)/4)*2</f>
        <v>6700</v>
      </c>
      <c r="AA176" s="53">
        <f>(($L$221)/4)*2</f>
        <v>6700</v>
      </c>
      <c r="AB176" s="153"/>
      <c r="AC176" s="181"/>
      <c r="AD176" s="53">
        <f>(($L$221)/4)*2</f>
        <v>6700</v>
      </c>
      <c r="AE176" s="53">
        <f t="shared" ref="AE176:AF176" si="248">(($L$221)/4)*2</f>
        <v>6700</v>
      </c>
      <c r="AF176" s="53">
        <f t="shared" si="248"/>
        <v>6700</v>
      </c>
      <c r="AG176" s="53">
        <f>(($L$221)/4)*2</f>
        <v>6700</v>
      </c>
      <c r="AH176" s="53">
        <f>(($L$221)/4)*2</f>
        <v>6700</v>
      </c>
      <c r="AI176" s="153"/>
      <c r="AJ176" s="181"/>
      <c r="AK176" s="53">
        <f t="shared" ref="AK176:AM176" si="249">(($L$221)/4)*2</f>
        <v>6700</v>
      </c>
      <c r="AL176" s="53">
        <f t="shared" si="249"/>
        <v>6700</v>
      </c>
      <c r="AM176" s="53"/>
      <c r="AN176" s="8"/>
      <c r="AO176" s="8"/>
      <c r="AP176" s="8"/>
      <c r="AQ176" s="8"/>
      <c r="AR176" s="8"/>
      <c r="AS176" s="8"/>
      <c r="AT176" s="7"/>
      <c r="AU176" s="7"/>
      <c r="AV176" s="7"/>
      <c r="AW176" s="7"/>
    </row>
    <row r="177" spans="1:49">
      <c r="A177" s="256"/>
      <c r="B177" s="236"/>
      <c r="C177" s="212"/>
      <c r="D177" s="212"/>
      <c r="E177" s="212"/>
      <c r="F177" s="212"/>
      <c r="G177" s="49"/>
      <c r="H177" s="51" t="s">
        <v>66</v>
      </c>
      <c r="I177" s="50">
        <v>1</v>
      </c>
      <c r="J177" s="50">
        <v>1</v>
      </c>
      <c r="K177" s="50">
        <v>1</v>
      </c>
      <c r="L177" s="50">
        <v>1</v>
      </c>
      <c r="M177" s="50">
        <v>1</v>
      </c>
      <c r="N177" s="143"/>
      <c r="O177" s="166"/>
      <c r="P177" s="166"/>
      <c r="Q177" s="166"/>
      <c r="R177" s="166"/>
      <c r="S177" s="166"/>
      <c r="T177" s="166"/>
      <c r="U177" s="166"/>
      <c r="V177" s="166"/>
      <c r="W177" s="50">
        <v>1</v>
      </c>
      <c r="X177" s="50">
        <v>1</v>
      </c>
      <c r="Y177" s="50">
        <v>1</v>
      </c>
      <c r="Z177" s="50">
        <v>1</v>
      </c>
      <c r="AA177" s="50">
        <v>1</v>
      </c>
      <c r="AB177" s="143"/>
      <c r="AC177" s="166"/>
      <c r="AD177" s="50">
        <v>1</v>
      </c>
      <c r="AE177" s="50">
        <v>1</v>
      </c>
      <c r="AF177" s="50">
        <v>1</v>
      </c>
      <c r="AG177" s="50">
        <v>1</v>
      </c>
      <c r="AH177" s="50">
        <v>1</v>
      </c>
      <c r="AI177" s="143"/>
      <c r="AJ177" s="166"/>
      <c r="AK177" s="50">
        <v>1</v>
      </c>
      <c r="AL177" s="50">
        <v>1</v>
      </c>
      <c r="AM177" s="50"/>
      <c r="AN177" s="8"/>
      <c r="AO177" s="8"/>
      <c r="AP177" s="8"/>
      <c r="AQ177" s="8"/>
      <c r="AR177" s="8"/>
      <c r="AS177" s="8"/>
      <c r="AT177" s="7"/>
      <c r="AU177" s="7"/>
      <c r="AV177" s="7"/>
      <c r="AW177" s="7"/>
    </row>
    <row r="178" spans="1:49">
      <c r="A178" s="256"/>
      <c r="B178" s="236"/>
      <c r="C178" s="212"/>
      <c r="D178" s="212"/>
      <c r="E178" s="212"/>
      <c r="F178" s="212"/>
      <c r="G178" s="49"/>
      <c r="H178" s="48" t="s">
        <v>0</v>
      </c>
      <c r="I178" s="22"/>
      <c r="J178" s="22"/>
      <c r="K178" s="40"/>
      <c r="L178" s="22"/>
      <c r="M178" s="22"/>
      <c r="N178" s="21"/>
      <c r="O178" s="165"/>
      <c r="P178" s="165"/>
      <c r="Q178" s="165"/>
      <c r="R178" s="166"/>
      <c r="S178" s="166"/>
      <c r="T178" s="165"/>
      <c r="U178" s="165"/>
      <c r="V178" s="165"/>
      <c r="W178" s="22"/>
      <c r="X178" s="22"/>
      <c r="Y178" s="40"/>
      <c r="Z178" s="22"/>
      <c r="AA178" s="22"/>
      <c r="AB178" s="21"/>
      <c r="AC178" s="165"/>
      <c r="AD178" s="22"/>
      <c r="AE178" s="22"/>
      <c r="AF178" s="40"/>
      <c r="AG178" s="22"/>
      <c r="AH178" s="22"/>
      <c r="AI178" s="21"/>
      <c r="AJ178" s="165"/>
      <c r="AK178" s="40"/>
      <c r="AL178" s="134"/>
      <c r="AM178" s="129"/>
      <c r="AN178" s="8"/>
      <c r="AO178" s="8"/>
      <c r="AP178" s="8"/>
      <c r="AQ178" s="8"/>
      <c r="AR178" s="8"/>
      <c r="AS178" s="8"/>
      <c r="AT178" s="7"/>
      <c r="AU178" s="7"/>
      <c r="AV178" s="7"/>
      <c r="AW178" s="7"/>
    </row>
    <row r="179" spans="1:49">
      <c r="A179" s="256"/>
      <c r="B179" s="236"/>
      <c r="C179" s="212"/>
      <c r="D179" s="212"/>
      <c r="E179" s="212"/>
      <c r="F179" s="212"/>
      <c r="G179" s="49"/>
      <c r="H179" s="48" t="s">
        <v>34</v>
      </c>
      <c r="I179" s="40">
        <f>I178-I176</f>
        <v>-6700</v>
      </c>
      <c r="J179" s="40">
        <f>I179+(J178-J176)</f>
        <v>-13400</v>
      </c>
      <c r="K179" s="40">
        <f t="shared" ref="K179" si="250">J179+(K178-K176)</f>
        <v>-20100</v>
      </c>
      <c r="L179" s="40">
        <f t="shared" ref="L179" si="251">K179+(L178-L176)</f>
        <v>-26800</v>
      </c>
      <c r="M179" s="40">
        <f t="shared" ref="M179" si="252">L179+(M178-M176)</f>
        <v>-33500</v>
      </c>
      <c r="N179" s="151">
        <f>M179+(N178-N176)</f>
        <v>-33500</v>
      </c>
      <c r="O179" s="175"/>
      <c r="P179" s="175"/>
      <c r="Q179" s="175"/>
      <c r="R179" s="175"/>
      <c r="S179" s="175"/>
      <c r="T179" s="175"/>
      <c r="U179" s="175"/>
      <c r="V179" s="175"/>
      <c r="W179" s="68">
        <f>U179+(W178-W176)</f>
        <v>-6700</v>
      </c>
      <c r="X179" s="68">
        <f>W179+(X178-X176)</f>
        <v>-13400</v>
      </c>
      <c r="Y179" s="68">
        <f t="shared" ref="Y179" si="253">X179+(Y178-Y176)</f>
        <v>-20100</v>
      </c>
      <c r="Z179" s="68">
        <f t="shared" ref="Z179" si="254">Y179+(Z178-Z176)</f>
        <v>-26800</v>
      </c>
      <c r="AA179" s="68">
        <f t="shared" ref="AA179" si="255">Z179+(AA178-AA176)</f>
        <v>-33500</v>
      </c>
      <c r="AB179" s="151"/>
      <c r="AC179" s="175"/>
      <c r="AD179" s="68">
        <f>AB179+(AD178-AD176)</f>
        <v>-6700</v>
      </c>
      <c r="AE179" s="68">
        <f>AD179+(AE178-AE176)</f>
        <v>-13400</v>
      </c>
      <c r="AF179" s="68">
        <f t="shared" ref="AF179" si="256">AE179+(AF178-AF176)</f>
        <v>-20100</v>
      </c>
      <c r="AG179" s="68">
        <f t="shared" ref="AG179" si="257">AF179+(AG178-AG176)</f>
        <v>-26800</v>
      </c>
      <c r="AH179" s="68">
        <f t="shared" ref="AH179" si="258">AG179+(AH178-AH176)</f>
        <v>-33500</v>
      </c>
      <c r="AI179" s="151"/>
      <c r="AJ179" s="175"/>
      <c r="AK179" s="68">
        <f>AI179+(AK178-AK176)</f>
        <v>-6700</v>
      </c>
      <c r="AL179" s="68">
        <f>AK179+(AL178-AL176)</f>
        <v>-13400</v>
      </c>
      <c r="AM179" s="68"/>
      <c r="AN179" s="8"/>
      <c r="AO179" s="8"/>
      <c r="AP179" s="8"/>
      <c r="AQ179" s="8"/>
      <c r="AR179" s="8"/>
      <c r="AS179" s="8"/>
      <c r="AT179" s="7"/>
      <c r="AU179" s="7"/>
      <c r="AV179" s="7"/>
      <c r="AW179" s="7"/>
    </row>
    <row r="180" spans="1:49">
      <c r="A180" s="256"/>
      <c r="B180" s="236"/>
      <c r="C180" s="212"/>
      <c r="D180" s="212"/>
      <c r="E180" s="212"/>
      <c r="F180" s="212"/>
      <c r="G180" s="49" t="s">
        <v>68</v>
      </c>
      <c r="H180" s="51" t="s">
        <v>67</v>
      </c>
      <c r="I180" s="50">
        <f>(($L$221*2)/4)+$L$225</f>
        <v>20100</v>
      </c>
      <c r="J180" s="50">
        <f t="shared" ref="J180:K180" si="259">(($L$221*2)/4)+$L$225</f>
        <v>20100</v>
      </c>
      <c r="K180" s="50">
        <f t="shared" si="259"/>
        <v>20100</v>
      </c>
      <c r="L180" s="50">
        <f>(($L$221*2)/4)+$L$225</f>
        <v>20100</v>
      </c>
      <c r="M180" s="50">
        <f>(($L$221*2)/4)+$L$225</f>
        <v>20100</v>
      </c>
      <c r="N180" s="143"/>
      <c r="O180" s="166"/>
      <c r="P180" s="166"/>
      <c r="Q180" s="166"/>
      <c r="R180" s="166"/>
      <c r="S180" s="166"/>
      <c r="T180" s="166"/>
      <c r="U180" s="166"/>
      <c r="V180" s="166"/>
      <c r="W180" s="50">
        <f>(($L$221*2)/4)+$L$225</f>
        <v>20100</v>
      </c>
      <c r="X180" s="50">
        <f t="shared" ref="X180:Y180" si="260">(($L$221*2)/4)+$L$225</f>
        <v>20100</v>
      </c>
      <c r="Y180" s="50">
        <f t="shared" si="260"/>
        <v>20100</v>
      </c>
      <c r="Z180" s="50">
        <f>(($L$221*2)/4)+$L$225</f>
        <v>20100</v>
      </c>
      <c r="AA180" s="50">
        <f>(($L$221*2)/4)+$L$225</f>
        <v>20100</v>
      </c>
      <c r="AB180" s="143"/>
      <c r="AC180" s="166"/>
      <c r="AD180" s="50">
        <f>(($L$221*2)/4)+$L$225</f>
        <v>20100</v>
      </c>
      <c r="AE180" s="50">
        <f t="shared" ref="AE180:AG180" si="261">(($L$221*2)/4)+$L$225</f>
        <v>20100</v>
      </c>
      <c r="AF180" s="50">
        <f t="shared" si="261"/>
        <v>20100</v>
      </c>
      <c r="AG180" s="50">
        <f t="shared" si="261"/>
        <v>20100</v>
      </c>
      <c r="AH180" s="50">
        <f>(($L$221*2)/4)+$L$225</f>
        <v>20100</v>
      </c>
      <c r="AI180" s="143"/>
      <c r="AJ180" s="166"/>
      <c r="AK180" s="50">
        <f t="shared" ref="AK180:AM180" si="262">(($L$221*2)/4)+$L$225</f>
        <v>20100</v>
      </c>
      <c r="AL180" s="50">
        <f t="shared" si="262"/>
        <v>20100</v>
      </c>
      <c r="AM180" s="50"/>
      <c r="AN180" s="8"/>
      <c r="AO180" s="8"/>
      <c r="AP180" s="8"/>
      <c r="AQ180" s="8"/>
      <c r="AR180" s="8"/>
      <c r="AS180" s="8"/>
      <c r="AT180" s="7"/>
      <c r="AU180" s="7"/>
      <c r="AV180" s="7"/>
      <c r="AW180" s="7"/>
    </row>
    <row r="181" spans="1:49">
      <c r="A181" s="256"/>
      <c r="B181" s="236"/>
      <c r="C181" s="212"/>
      <c r="D181" s="212"/>
      <c r="E181" s="212"/>
      <c r="F181" s="212"/>
      <c r="G181" s="49"/>
      <c r="H181" s="51" t="s">
        <v>66</v>
      </c>
      <c r="I181" s="50">
        <v>2</v>
      </c>
      <c r="J181" s="50">
        <v>2</v>
      </c>
      <c r="K181" s="50">
        <v>2</v>
      </c>
      <c r="L181" s="50">
        <v>2</v>
      </c>
      <c r="M181" s="50">
        <v>2</v>
      </c>
      <c r="N181" s="143"/>
      <c r="O181" s="166"/>
      <c r="P181" s="166"/>
      <c r="Q181" s="166"/>
      <c r="R181" s="166"/>
      <c r="S181" s="166"/>
      <c r="T181" s="166"/>
      <c r="U181" s="166"/>
      <c r="V181" s="166"/>
      <c r="W181" s="50">
        <v>2</v>
      </c>
      <c r="X181" s="50">
        <v>2</v>
      </c>
      <c r="Y181" s="50">
        <v>2</v>
      </c>
      <c r="Z181" s="50">
        <v>2</v>
      </c>
      <c r="AA181" s="50">
        <v>2</v>
      </c>
      <c r="AB181" s="143"/>
      <c r="AC181" s="166"/>
      <c r="AD181" s="50">
        <v>2</v>
      </c>
      <c r="AE181" s="50">
        <v>2</v>
      </c>
      <c r="AF181" s="50">
        <v>2</v>
      </c>
      <c r="AG181" s="50">
        <v>2</v>
      </c>
      <c r="AH181" s="50">
        <v>2</v>
      </c>
      <c r="AI181" s="143"/>
      <c r="AJ181" s="166"/>
      <c r="AK181" s="50">
        <v>2</v>
      </c>
      <c r="AL181" s="50">
        <v>2</v>
      </c>
      <c r="AM181" s="50"/>
      <c r="AN181" s="8"/>
      <c r="AO181" s="8"/>
      <c r="AP181" s="8"/>
      <c r="AQ181" s="8"/>
      <c r="AR181" s="8"/>
      <c r="AS181" s="8"/>
      <c r="AT181" s="7"/>
      <c r="AU181" s="7"/>
      <c r="AV181" s="7"/>
      <c r="AW181" s="7"/>
    </row>
    <row r="182" spans="1:49">
      <c r="A182" s="256"/>
      <c r="B182" s="236"/>
      <c r="C182" s="212"/>
      <c r="D182" s="212"/>
      <c r="E182" s="212"/>
      <c r="F182" s="212"/>
      <c r="G182" s="49"/>
      <c r="H182" s="48" t="s">
        <v>0</v>
      </c>
      <c r="I182" s="22"/>
      <c r="J182" s="22"/>
      <c r="K182" s="40"/>
      <c r="L182" s="22"/>
      <c r="M182" s="22"/>
      <c r="N182" s="21"/>
      <c r="O182" s="165"/>
      <c r="P182" s="165"/>
      <c r="Q182" s="165"/>
      <c r="R182" s="166"/>
      <c r="S182" s="166"/>
      <c r="T182" s="165"/>
      <c r="U182" s="165"/>
      <c r="V182" s="165"/>
      <c r="W182" s="22"/>
      <c r="X182" s="22"/>
      <c r="Y182" s="40"/>
      <c r="Z182" s="22"/>
      <c r="AA182" s="22"/>
      <c r="AB182" s="21"/>
      <c r="AC182" s="165"/>
      <c r="AD182" s="22"/>
      <c r="AE182" s="22"/>
      <c r="AF182" s="40"/>
      <c r="AG182" s="22"/>
      <c r="AH182" s="22"/>
      <c r="AI182" s="21"/>
      <c r="AJ182" s="165"/>
      <c r="AK182" s="40"/>
      <c r="AL182" s="134"/>
      <c r="AM182" s="129"/>
      <c r="AN182" s="8"/>
      <c r="AO182" s="8"/>
      <c r="AP182" s="8"/>
      <c r="AQ182" s="8"/>
      <c r="AR182" s="8"/>
      <c r="AS182" s="8"/>
      <c r="AT182" s="7"/>
      <c r="AU182" s="7"/>
      <c r="AV182" s="7"/>
      <c r="AW182" s="7"/>
    </row>
    <row r="183" spans="1:49">
      <c r="A183" s="256"/>
      <c r="B183" s="236"/>
      <c r="C183" s="212"/>
      <c r="D183" s="212"/>
      <c r="E183" s="212"/>
      <c r="F183" s="212"/>
      <c r="G183" s="49"/>
      <c r="H183" s="48" t="s">
        <v>34</v>
      </c>
      <c r="I183" s="40">
        <f>I182-I180</f>
        <v>-20100</v>
      </c>
      <c r="J183" s="40">
        <f>I183+(J182-J180)</f>
        <v>-40200</v>
      </c>
      <c r="K183" s="40">
        <f t="shared" ref="K183" si="263">J183+(K182-K180)</f>
        <v>-60300</v>
      </c>
      <c r="L183" s="40">
        <f t="shared" ref="L183" si="264">K183+(L182-L180)</f>
        <v>-80400</v>
      </c>
      <c r="M183" s="40">
        <f t="shared" ref="M183" si="265">L183+(M182-M180)</f>
        <v>-100500</v>
      </c>
      <c r="N183" s="151">
        <f>M183+(N182-N180)</f>
        <v>-100500</v>
      </c>
      <c r="O183" s="175"/>
      <c r="P183" s="175"/>
      <c r="Q183" s="175"/>
      <c r="R183" s="175"/>
      <c r="S183" s="175"/>
      <c r="T183" s="175"/>
      <c r="U183" s="175"/>
      <c r="V183" s="175"/>
      <c r="W183" s="68">
        <f>U183+(W182-W180)</f>
        <v>-20100</v>
      </c>
      <c r="X183" s="68">
        <f>W183+(X182-X180)</f>
        <v>-40200</v>
      </c>
      <c r="Y183" s="68">
        <f t="shared" ref="Y183" si="266">X183+(Y182-Y180)</f>
        <v>-60300</v>
      </c>
      <c r="Z183" s="68">
        <f t="shared" ref="Z183" si="267">Y183+(Z182-Z180)</f>
        <v>-80400</v>
      </c>
      <c r="AA183" s="68">
        <f t="shared" ref="AA183" si="268">Z183+(AA182-AA180)</f>
        <v>-100500</v>
      </c>
      <c r="AB183" s="151"/>
      <c r="AC183" s="175"/>
      <c r="AD183" s="68">
        <f>AB183+(AD182-AD180)</f>
        <v>-20100</v>
      </c>
      <c r="AE183" s="68">
        <f>AD183+(AE182-AE180)</f>
        <v>-40200</v>
      </c>
      <c r="AF183" s="68">
        <f t="shared" ref="AF183" si="269">AE183+(AF182-AF180)</f>
        <v>-60300</v>
      </c>
      <c r="AG183" s="68">
        <f t="shared" ref="AG183" si="270">AF183+(AG182-AG180)</f>
        <v>-80400</v>
      </c>
      <c r="AH183" s="68">
        <f t="shared" ref="AH183" si="271">AG183+(AH182-AH180)</f>
        <v>-100500</v>
      </c>
      <c r="AI183" s="151"/>
      <c r="AJ183" s="175"/>
      <c r="AK183" s="68">
        <f>AI183+(AK182-AK180)</f>
        <v>-20100</v>
      </c>
      <c r="AL183" s="68">
        <f>AK183+(AL182-AL180)</f>
        <v>-40200</v>
      </c>
      <c r="AM183" s="68"/>
      <c r="AN183" s="8"/>
      <c r="AO183" s="8"/>
      <c r="AP183" s="8"/>
      <c r="AQ183" s="8"/>
      <c r="AR183" s="8"/>
      <c r="AS183" s="8"/>
      <c r="AT183" s="7"/>
      <c r="AU183" s="7"/>
      <c r="AV183" s="7"/>
      <c r="AW183" s="7"/>
    </row>
    <row r="184" spans="1:49">
      <c r="A184" s="256"/>
      <c r="B184" s="236"/>
      <c r="C184" s="212"/>
      <c r="D184" s="212"/>
      <c r="E184" s="212"/>
      <c r="F184" s="212"/>
      <c r="G184" s="52" t="s">
        <v>9</v>
      </c>
      <c r="H184" s="51" t="s">
        <v>65</v>
      </c>
      <c r="I184" s="50">
        <f>$L$221</f>
        <v>13400</v>
      </c>
      <c r="J184" s="50">
        <f t="shared" ref="J184:K184" si="272">$L$221</f>
        <v>13400</v>
      </c>
      <c r="K184" s="50">
        <f t="shared" si="272"/>
        <v>13400</v>
      </c>
      <c r="L184" s="50">
        <f>$L$221</f>
        <v>13400</v>
      </c>
      <c r="M184" s="50">
        <f>$L$221</f>
        <v>13400</v>
      </c>
      <c r="N184" s="143"/>
      <c r="O184" s="166"/>
      <c r="P184" s="166"/>
      <c r="Q184" s="166"/>
      <c r="R184" s="166"/>
      <c r="S184" s="166"/>
      <c r="T184" s="166"/>
      <c r="U184" s="166"/>
      <c r="V184" s="166"/>
      <c r="W184" s="50">
        <f>$L$221</f>
        <v>13400</v>
      </c>
      <c r="X184" s="50">
        <f t="shared" ref="X184:Y184" si="273">$L$221</f>
        <v>13400</v>
      </c>
      <c r="Y184" s="50">
        <f t="shared" si="273"/>
        <v>13400</v>
      </c>
      <c r="Z184" s="50">
        <f>$L$221</f>
        <v>13400</v>
      </c>
      <c r="AA184" s="50">
        <f>$L$221</f>
        <v>13400</v>
      </c>
      <c r="AB184" s="143"/>
      <c r="AC184" s="166"/>
      <c r="AD184" s="50">
        <f>$L$221</f>
        <v>13400</v>
      </c>
      <c r="AE184" s="50">
        <f t="shared" ref="AE184:AF184" si="274">$L$221</f>
        <v>13400</v>
      </c>
      <c r="AF184" s="50">
        <f t="shared" si="274"/>
        <v>13400</v>
      </c>
      <c r="AG184" s="50">
        <f>$L$221</f>
        <v>13400</v>
      </c>
      <c r="AH184" s="50">
        <f>$L$221</f>
        <v>13400</v>
      </c>
      <c r="AI184" s="143"/>
      <c r="AJ184" s="166"/>
      <c r="AK184" s="50">
        <f t="shared" ref="AK184:AM184" si="275">$L$221</f>
        <v>13400</v>
      </c>
      <c r="AL184" s="50">
        <f t="shared" si="275"/>
        <v>13400</v>
      </c>
      <c r="AM184" s="50"/>
      <c r="AN184" s="8"/>
      <c r="AO184" s="8"/>
      <c r="AP184" s="8"/>
      <c r="AQ184" s="8"/>
      <c r="AR184" s="8"/>
      <c r="AS184" s="8"/>
      <c r="AT184" s="7"/>
      <c r="AU184" s="7"/>
      <c r="AV184" s="7"/>
      <c r="AW184" s="7"/>
    </row>
    <row r="185" spans="1:49">
      <c r="A185" s="256"/>
      <c r="B185" s="236"/>
      <c r="C185" s="212"/>
      <c r="D185" s="212"/>
      <c r="E185" s="212"/>
      <c r="F185" s="212"/>
      <c r="G185" s="49"/>
      <c r="H185" s="48" t="s">
        <v>0</v>
      </c>
      <c r="I185" s="40"/>
      <c r="J185" s="40"/>
      <c r="K185" s="40"/>
      <c r="L185" s="40"/>
      <c r="M185" s="40"/>
      <c r="N185" s="143"/>
      <c r="O185" s="166"/>
      <c r="P185" s="166"/>
      <c r="Q185" s="166"/>
      <c r="R185" s="166"/>
      <c r="S185" s="166"/>
      <c r="T185" s="166"/>
      <c r="U185" s="166"/>
      <c r="V185" s="166"/>
      <c r="W185" s="40"/>
      <c r="X185" s="40"/>
      <c r="Y185" s="40"/>
      <c r="Z185" s="40"/>
      <c r="AA185" s="40"/>
      <c r="AB185" s="143"/>
      <c r="AC185" s="166"/>
      <c r="AD185" s="40"/>
      <c r="AE185" s="40"/>
      <c r="AF185" s="40"/>
      <c r="AG185" s="40"/>
      <c r="AH185" s="40"/>
      <c r="AI185" s="143"/>
      <c r="AJ185" s="166"/>
      <c r="AK185" s="40"/>
      <c r="AL185" s="134"/>
      <c r="AM185" s="129"/>
      <c r="AN185" s="8"/>
      <c r="AO185" s="8"/>
      <c r="AP185" s="8"/>
      <c r="AQ185" s="8"/>
      <c r="AR185" s="8"/>
      <c r="AS185" s="8"/>
      <c r="AT185" s="7"/>
      <c r="AU185" s="7"/>
      <c r="AV185" s="7"/>
      <c r="AW185" s="7"/>
    </row>
    <row r="186" spans="1:49">
      <c r="A186" s="256"/>
      <c r="B186" s="236"/>
      <c r="C186" s="212"/>
      <c r="D186" s="212"/>
      <c r="E186" s="212"/>
      <c r="F186" s="212"/>
      <c r="G186" s="49"/>
      <c r="H186" s="48" t="s">
        <v>34</v>
      </c>
      <c r="I186" s="40">
        <f>I185-I184</f>
        <v>-13400</v>
      </c>
      <c r="J186" s="40">
        <f>I186+(J185-J184)</f>
        <v>-26800</v>
      </c>
      <c r="K186" s="40">
        <f t="shared" ref="K186" si="276">J186+(K185-K184)</f>
        <v>-40200</v>
      </c>
      <c r="L186" s="40">
        <f t="shared" ref="L186" si="277">K186+(L185-L184)</f>
        <v>-53600</v>
      </c>
      <c r="M186" s="40">
        <f t="shared" ref="M186" si="278">L186+(M185-M184)</f>
        <v>-67000</v>
      </c>
      <c r="N186" s="143">
        <f>M186+(N185-N184)</f>
        <v>-67000</v>
      </c>
      <c r="O186" s="166"/>
      <c r="P186" s="166"/>
      <c r="Q186" s="166"/>
      <c r="R186" s="166"/>
      <c r="S186" s="166"/>
      <c r="T186" s="166"/>
      <c r="U186" s="166"/>
      <c r="V186" s="166"/>
      <c r="W186" s="40">
        <f>U186+(W185-W184)</f>
        <v>-13400</v>
      </c>
      <c r="X186" s="40">
        <f>W186+(X185-X184)</f>
        <v>-26800</v>
      </c>
      <c r="Y186" s="40">
        <f t="shared" ref="Y186" si="279">X186+(Y185-Y184)</f>
        <v>-40200</v>
      </c>
      <c r="Z186" s="40">
        <f t="shared" ref="Z186" si="280">Y186+(Z185-Z184)</f>
        <v>-53600</v>
      </c>
      <c r="AA186" s="40">
        <f t="shared" ref="AA186" si="281">Z186+(AA185-AA184)</f>
        <v>-67000</v>
      </c>
      <c r="AB186" s="143">
        <f>AA186+(AB185-AB184)</f>
        <v>-67000</v>
      </c>
      <c r="AC186" s="166"/>
      <c r="AD186" s="40">
        <f>AB186+(AD185-AD184)</f>
        <v>-80400</v>
      </c>
      <c r="AE186" s="40">
        <f>AD186+(AE185-AE184)</f>
        <v>-93800</v>
      </c>
      <c r="AF186" s="40">
        <f t="shared" ref="AF186" si="282">AE186+(AF185-AF184)</f>
        <v>-107200</v>
      </c>
      <c r="AG186" s="40">
        <f t="shared" ref="AG186" si="283">AF186+(AG185-AG184)</f>
        <v>-120600</v>
      </c>
      <c r="AH186" s="40">
        <f t="shared" ref="AH186" si="284">AG186+(AH185-AH184)</f>
        <v>-134000</v>
      </c>
      <c r="AI186" s="143">
        <f>AH186+(AI185-AI184)</f>
        <v>-134000</v>
      </c>
      <c r="AJ186" s="166"/>
      <c r="AK186" s="40">
        <f>AI186+(AK185-AK184)</f>
        <v>-147400</v>
      </c>
      <c r="AL186" s="40">
        <f>AK186+(AL185-AL184)</f>
        <v>-160800</v>
      </c>
      <c r="AM186" s="40"/>
      <c r="AN186" s="8"/>
      <c r="AO186" s="8"/>
      <c r="AP186" s="8"/>
      <c r="AQ186" s="8"/>
      <c r="AR186" s="8"/>
      <c r="AS186" s="8"/>
      <c r="AT186" s="7"/>
      <c r="AU186" s="7"/>
      <c r="AV186" s="7"/>
      <c r="AW186" s="7"/>
    </row>
    <row r="187" spans="1:49">
      <c r="A187" s="256"/>
      <c r="B187" s="236"/>
      <c r="C187" s="212"/>
      <c r="D187" s="212"/>
      <c r="E187" s="212"/>
      <c r="F187" s="212"/>
      <c r="G187" s="52" t="s">
        <v>16</v>
      </c>
      <c r="H187" s="51" t="s">
        <v>64</v>
      </c>
      <c r="I187" s="50">
        <f>$L$221</f>
        <v>13400</v>
      </c>
      <c r="J187" s="50">
        <f t="shared" ref="J187:K187" si="285">$L$221</f>
        <v>13400</v>
      </c>
      <c r="K187" s="50">
        <f t="shared" si="285"/>
        <v>13400</v>
      </c>
      <c r="L187" s="50">
        <f>$L$221</f>
        <v>13400</v>
      </c>
      <c r="M187" s="50">
        <f>$L$221</f>
        <v>13400</v>
      </c>
      <c r="N187" s="143"/>
      <c r="O187" s="166"/>
      <c r="P187" s="166"/>
      <c r="Q187" s="166"/>
      <c r="R187" s="166"/>
      <c r="S187" s="166"/>
      <c r="T187" s="166"/>
      <c r="U187" s="166"/>
      <c r="V187" s="166"/>
      <c r="W187" s="50">
        <f>$L$221</f>
        <v>13400</v>
      </c>
      <c r="X187" s="50">
        <f t="shared" ref="X187:Y187" si="286">$L$221</f>
        <v>13400</v>
      </c>
      <c r="Y187" s="50">
        <f t="shared" si="286"/>
        <v>13400</v>
      </c>
      <c r="Z187" s="50">
        <f>$L$221</f>
        <v>13400</v>
      </c>
      <c r="AA187" s="50">
        <f>$L$221</f>
        <v>13400</v>
      </c>
      <c r="AB187" s="143"/>
      <c r="AC187" s="166"/>
      <c r="AD187" s="50">
        <f>$L$221</f>
        <v>13400</v>
      </c>
      <c r="AE187" s="50">
        <f t="shared" ref="AE187:AF187" si="287">$L$221</f>
        <v>13400</v>
      </c>
      <c r="AF187" s="50">
        <f t="shared" si="287"/>
        <v>13400</v>
      </c>
      <c r="AG187" s="50">
        <f>$L$221</f>
        <v>13400</v>
      </c>
      <c r="AH187" s="50">
        <f>$L$221</f>
        <v>13400</v>
      </c>
      <c r="AI187" s="143"/>
      <c r="AJ187" s="166"/>
      <c r="AK187" s="50">
        <f t="shared" ref="AK187:AM187" si="288">$L$221</f>
        <v>13400</v>
      </c>
      <c r="AL187" s="50">
        <f t="shared" si="288"/>
        <v>13400</v>
      </c>
      <c r="AM187" s="50"/>
      <c r="AN187" s="8"/>
      <c r="AO187" s="8"/>
      <c r="AP187" s="8"/>
      <c r="AQ187" s="8"/>
      <c r="AR187" s="8"/>
      <c r="AS187" s="8"/>
      <c r="AT187" s="7"/>
      <c r="AU187" s="7"/>
      <c r="AV187" s="7"/>
      <c r="AW187" s="7"/>
    </row>
    <row r="188" spans="1:49">
      <c r="A188" s="256"/>
      <c r="B188" s="236"/>
      <c r="C188" s="212"/>
      <c r="D188" s="212"/>
      <c r="E188" s="212"/>
      <c r="F188" s="212"/>
      <c r="G188" s="52"/>
      <c r="H188" s="51" t="s">
        <v>7</v>
      </c>
      <c r="I188" s="50">
        <v>1</v>
      </c>
      <c r="J188" s="50">
        <v>1</v>
      </c>
      <c r="K188" s="50">
        <v>1</v>
      </c>
      <c r="L188" s="50">
        <v>1</v>
      </c>
      <c r="M188" s="50">
        <v>1</v>
      </c>
      <c r="N188" s="143"/>
      <c r="O188" s="166"/>
      <c r="P188" s="166"/>
      <c r="Q188" s="166"/>
      <c r="R188" s="166"/>
      <c r="S188" s="166"/>
      <c r="T188" s="166"/>
      <c r="U188" s="166"/>
      <c r="V188" s="166"/>
      <c r="W188" s="50">
        <v>1</v>
      </c>
      <c r="X188" s="50">
        <v>1</v>
      </c>
      <c r="Y188" s="50">
        <v>1</v>
      </c>
      <c r="Z188" s="50">
        <v>1</v>
      </c>
      <c r="AA188" s="50">
        <v>1</v>
      </c>
      <c r="AB188" s="143"/>
      <c r="AC188" s="166"/>
      <c r="AD188" s="50">
        <v>1</v>
      </c>
      <c r="AE188" s="50">
        <v>1</v>
      </c>
      <c r="AF188" s="50">
        <v>1</v>
      </c>
      <c r="AG188" s="50">
        <v>1</v>
      </c>
      <c r="AH188" s="50">
        <v>1</v>
      </c>
      <c r="AI188" s="143"/>
      <c r="AJ188" s="166"/>
      <c r="AK188" s="50">
        <v>1</v>
      </c>
      <c r="AL188" s="50">
        <v>1</v>
      </c>
      <c r="AM188" s="50"/>
      <c r="AN188" s="8"/>
      <c r="AO188" s="8"/>
      <c r="AP188" s="8"/>
      <c r="AQ188" s="8"/>
      <c r="AR188" s="8"/>
      <c r="AS188" s="8"/>
      <c r="AT188" s="7"/>
      <c r="AU188" s="7"/>
      <c r="AV188" s="7"/>
      <c r="AW188" s="7"/>
    </row>
    <row r="189" spans="1:49">
      <c r="A189" s="256"/>
      <c r="B189" s="236"/>
      <c r="C189" s="212"/>
      <c r="D189" s="212"/>
      <c r="E189" s="212"/>
      <c r="F189" s="212"/>
      <c r="G189" s="49"/>
      <c r="H189" s="48" t="s">
        <v>0</v>
      </c>
      <c r="I189" s="40"/>
      <c r="J189" s="40"/>
      <c r="K189" s="40"/>
      <c r="L189" s="40"/>
      <c r="M189" s="40"/>
      <c r="N189" s="143"/>
      <c r="O189" s="166"/>
      <c r="P189" s="166"/>
      <c r="Q189" s="166"/>
      <c r="R189" s="166"/>
      <c r="S189" s="166"/>
      <c r="T189" s="166"/>
      <c r="U189" s="166"/>
      <c r="V189" s="166"/>
      <c r="W189" s="40"/>
      <c r="X189" s="40"/>
      <c r="Y189" s="40"/>
      <c r="Z189" s="40"/>
      <c r="AA189" s="40"/>
      <c r="AB189" s="143"/>
      <c r="AC189" s="166"/>
      <c r="AD189" s="40"/>
      <c r="AE189" s="40"/>
      <c r="AF189" s="40"/>
      <c r="AG189" s="40"/>
      <c r="AH189" s="40"/>
      <c r="AI189" s="143"/>
      <c r="AJ189" s="166"/>
      <c r="AK189" s="40"/>
      <c r="AL189" s="134"/>
      <c r="AM189" s="129"/>
      <c r="AN189" s="8"/>
      <c r="AO189" s="8"/>
      <c r="AP189" s="8"/>
      <c r="AQ189" s="8"/>
      <c r="AR189" s="8"/>
      <c r="AS189" s="8"/>
      <c r="AT189" s="7"/>
      <c r="AU189" s="7"/>
      <c r="AV189" s="7"/>
      <c r="AW189" s="7"/>
    </row>
    <row r="190" spans="1:49">
      <c r="A190" s="256"/>
      <c r="B190" s="236"/>
      <c r="C190" s="212"/>
      <c r="D190" s="212"/>
      <c r="E190" s="212"/>
      <c r="F190" s="212"/>
      <c r="G190" s="49"/>
      <c r="H190" s="48" t="s">
        <v>34</v>
      </c>
      <c r="I190" s="40">
        <f>I189-I187</f>
        <v>-13400</v>
      </c>
      <c r="J190" s="40">
        <f>I190+(J189-J187)</f>
        <v>-26800</v>
      </c>
      <c r="K190" s="40">
        <f t="shared" ref="K190" si="289">J190+(K189-K187)</f>
        <v>-40200</v>
      </c>
      <c r="L190" s="40">
        <f t="shared" ref="L190" si="290">K190+(L189-L187)</f>
        <v>-53600</v>
      </c>
      <c r="M190" s="40">
        <f t="shared" ref="M190" si="291">L190+(M189-M187)</f>
        <v>-67000</v>
      </c>
      <c r="N190" s="151">
        <f>M190+(N189-N187)</f>
        <v>-67000</v>
      </c>
      <c r="O190" s="175"/>
      <c r="P190" s="175"/>
      <c r="Q190" s="175"/>
      <c r="R190" s="175"/>
      <c r="S190" s="175"/>
      <c r="T190" s="175"/>
      <c r="U190" s="175"/>
      <c r="V190" s="175"/>
      <c r="W190" s="68">
        <f>U190+(W189-W187)</f>
        <v>-13400</v>
      </c>
      <c r="X190" s="68">
        <f>W190+(X189-X187)</f>
        <v>-26800</v>
      </c>
      <c r="Y190" s="68">
        <f t="shared" ref="Y190" si="292">X190+(Y189-Y187)</f>
        <v>-40200</v>
      </c>
      <c r="Z190" s="68">
        <f t="shared" ref="Z190" si="293">Y190+(Z189-Z187)</f>
        <v>-53600</v>
      </c>
      <c r="AA190" s="68">
        <f t="shared" ref="AA190" si="294">Z190+(AA189-AA187)</f>
        <v>-67000</v>
      </c>
      <c r="AB190" s="151"/>
      <c r="AC190" s="175"/>
      <c r="AD190" s="68">
        <f>AB190+(AD189-AD187)</f>
        <v>-13400</v>
      </c>
      <c r="AE190" s="68">
        <f>AD190+(AE189-AE187)</f>
        <v>-26800</v>
      </c>
      <c r="AF190" s="68">
        <f t="shared" ref="AF190" si="295">AE190+(AF189-AF187)</f>
        <v>-40200</v>
      </c>
      <c r="AG190" s="68">
        <f t="shared" ref="AG190" si="296">AF190+(AG189-AG187)</f>
        <v>-53600</v>
      </c>
      <c r="AH190" s="68">
        <f t="shared" ref="AH190" si="297">AG190+(AH189-AH187)</f>
        <v>-67000</v>
      </c>
      <c r="AI190" s="151"/>
      <c r="AJ190" s="175"/>
      <c r="AK190" s="68">
        <f>AI190+(AK189-AK187)</f>
        <v>-13400</v>
      </c>
      <c r="AL190" s="68">
        <f>AK190+(AL189-AL187)</f>
        <v>-26800</v>
      </c>
      <c r="AM190" s="68"/>
      <c r="AN190" s="8"/>
      <c r="AO190" s="8"/>
      <c r="AP190" s="8"/>
      <c r="AQ190" s="8"/>
      <c r="AR190" s="8"/>
      <c r="AS190" s="8"/>
      <c r="AT190" s="7"/>
      <c r="AU190" s="7"/>
      <c r="AV190" s="7"/>
      <c r="AW190" s="7"/>
    </row>
    <row r="191" spans="1:49">
      <c r="A191" s="256"/>
      <c r="B191" s="236"/>
      <c r="C191" s="212"/>
      <c r="D191" s="212"/>
      <c r="E191" s="212"/>
      <c r="F191" s="212"/>
      <c r="G191" s="52" t="s">
        <v>9</v>
      </c>
      <c r="H191" s="51" t="s">
        <v>63</v>
      </c>
      <c r="I191" s="50">
        <f>$L$225</f>
        <v>13400</v>
      </c>
      <c r="J191" s="50">
        <f t="shared" ref="J191:K191" si="298">$L$225</f>
        <v>13400</v>
      </c>
      <c r="K191" s="50">
        <f t="shared" si="298"/>
        <v>13400</v>
      </c>
      <c r="L191" s="50">
        <f>$L$225</f>
        <v>13400</v>
      </c>
      <c r="M191" s="50">
        <f>$L$225</f>
        <v>13400</v>
      </c>
      <c r="N191" s="143"/>
      <c r="O191" s="166"/>
      <c r="P191" s="166"/>
      <c r="Q191" s="166"/>
      <c r="R191" s="166"/>
      <c r="S191" s="166"/>
      <c r="T191" s="166"/>
      <c r="U191" s="166"/>
      <c r="V191" s="166"/>
      <c r="W191" s="50">
        <f>$L$225</f>
        <v>13400</v>
      </c>
      <c r="X191" s="50">
        <f t="shared" ref="X191:Y191" si="299">$L$225</f>
        <v>13400</v>
      </c>
      <c r="Y191" s="50">
        <f t="shared" si="299"/>
        <v>13400</v>
      </c>
      <c r="Z191" s="50">
        <f>$L$225</f>
        <v>13400</v>
      </c>
      <c r="AA191" s="50">
        <f>$L$225</f>
        <v>13400</v>
      </c>
      <c r="AB191" s="143"/>
      <c r="AC191" s="166"/>
      <c r="AD191" s="50">
        <f>$L$225</f>
        <v>13400</v>
      </c>
      <c r="AE191" s="50">
        <f t="shared" ref="AE191:AF191" si="300">$L$225</f>
        <v>13400</v>
      </c>
      <c r="AF191" s="50">
        <f t="shared" si="300"/>
        <v>13400</v>
      </c>
      <c r="AG191" s="50">
        <f>$L$225</f>
        <v>13400</v>
      </c>
      <c r="AH191" s="50">
        <f>$L$225</f>
        <v>13400</v>
      </c>
      <c r="AI191" s="143"/>
      <c r="AJ191" s="166"/>
      <c r="AK191" s="50">
        <f t="shared" ref="AK191:AM191" si="301">$L$225</f>
        <v>13400</v>
      </c>
      <c r="AL191" s="50">
        <f t="shared" si="301"/>
        <v>13400</v>
      </c>
      <c r="AM191" s="50"/>
      <c r="AN191" s="8"/>
      <c r="AO191" s="8"/>
      <c r="AP191" s="8"/>
      <c r="AQ191" s="8"/>
      <c r="AR191" s="8"/>
      <c r="AS191" s="8"/>
      <c r="AT191" s="7"/>
      <c r="AU191" s="7"/>
      <c r="AV191" s="7"/>
      <c r="AW191" s="7"/>
    </row>
    <row r="192" spans="1:49">
      <c r="A192" s="256"/>
      <c r="B192" s="236"/>
      <c r="C192" s="212"/>
      <c r="D192" s="212"/>
      <c r="E192" s="212"/>
      <c r="F192" s="212"/>
      <c r="G192" s="49"/>
      <c r="H192" s="48" t="s">
        <v>0</v>
      </c>
      <c r="I192" s="40"/>
      <c r="J192" s="40"/>
      <c r="K192" s="40"/>
      <c r="L192" s="40"/>
      <c r="M192" s="40"/>
      <c r="N192" s="143"/>
      <c r="O192" s="166"/>
      <c r="P192" s="166"/>
      <c r="Q192" s="166"/>
      <c r="R192" s="166"/>
      <c r="S192" s="166"/>
      <c r="T192" s="166"/>
      <c r="U192" s="166"/>
      <c r="V192" s="166"/>
      <c r="W192" s="40"/>
      <c r="X192" s="40"/>
      <c r="Y192" s="40"/>
      <c r="Z192" s="40"/>
      <c r="AA192" s="40"/>
      <c r="AB192" s="143"/>
      <c r="AC192" s="166"/>
      <c r="AD192" s="40"/>
      <c r="AE192" s="40"/>
      <c r="AF192" s="40"/>
      <c r="AG192" s="40"/>
      <c r="AH192" s="40"/>
      <c r="AI192" s="143"/>
      <c r="AJ192" s="166"/>
      <c r="AK192" s="40"/>
      <c r="AL192" s="134"/>
      <c r="AM192" s="129"/>
      <c r="AN192" s="8"/>
      <c r="AO192" s="8"/>
      <c r="AP192" s="8"/>
      <c r="AQ192" s="8"/>
      <c r="AR192" s="8"/>
      <c r="AS192" s="8"/>
      <c r="AT192" s="7"/>
      <c r="AU192" s="7"/>
      <c r="AV192" s="7"/>
      <c r="AW192" s="7"/>
    </row>
    <row r="193" spans="1:49">
      <c r="A193" s="256"/>
      <c r="B193" s="236"/>
      <c r="C193" s="212"/>
      <c r="D193" s="212"/>
      <c r="E193" s="212"/>
      <c r="F193" s="212"/>
      <c r="G193" s="49"/>
      <c r="H193" s="48" t="s">
        <v>34</v>
      </c>
      <c r="I193" s="40">
        <f>I192-I191</f>
        <v>-13400</v>
      </c>
      <c r="J193" s="40">
        <f>I193+(J192-J191)</f>
        <v>-26800</v>
      </c>
      <c r="K193" s="40">
        <f t="shared" ref="K193" si="302">J193+(K192-K191)</f>
        <v>-40200</v>
      </c>
      <c r="L193" s="40">
        <f t="shared" ref="L193" si="303">K193+(L192-L191)</f>
        <v>-53600</v>
      </c>
      <c r="M193" s="40">
        <f t="shared" ref="M193" si="304">L193+(M192-M191)</f>
        <v>-67000</v>
      </c>
      <c r="N193" s="143">
        <f>M193+(N192-N191)</f>
        <v>-67000</v>
      </c>
      <c r="O193" s="166"/>
      <c r="P193" s="166"/>
      <c r="Q193" s="166"/>
      <c r="R193" s="166"/>
      <c r="S193" s="166"/>
      <c r="T193" s="166"/>
      <c r="U193" s="166"/>
      <c r="V193" s="166"/>
      <c r="W193" s="40">
        <f>U193+(W192-W191)</f>
        <v>-13400</v>
      </c>
      <c r="X193" s="40">
        <f>W193+(X192-X191)</f>
        <v>-26800</v>
      </c>
      <c r="Y193" s="40">
        <f t="shared" ref="Y193" si="305">X193+(Y192-Y191)</f>
        <v>-40200</v>
      </c>
      <c r="Z193" s="40">
        <f t="shared" ref="Z193" si="306">Y193+(Z192-Z191)</f>
        <v>-53600</v>
      </c>
      <c r="AA193" s="40">
        <f t="shared" ref="AA193" si="307">Z193+(AA192-AA191)</f>
        <v>-67000</v>
      </c>
      <c r="AB193" s="143">
        <f>AA193+(AB192-AB191)</f>
        <v>-67000</v>
      </c>
      <c r="AC193" s="166"/>
      <c r="AD193" s="40">
        <f>AB193+(AD192-AD191)</f>
        <v>-80400</v>
      </c>
      <c r="AE193" s="40">
        <f>AD193+(AE192-AE191)</f>
        <v>-93800</v>
      </c>
      <c r="AF193" s="40">
        <f t="shared" ref="AF193" si="308">AE193+(AF192-AF191)</f>
        <v>-107200</v>
      </c>
      <c r="AG193" s="40">
        <f t="shared" ref="AG193" si="309">AF193+(AG192-AG191)</f>
        <v>-120600</v>
      </c>
      <c r="AH193" s="40">
        <f t="shared" ref="AH193" si="310">AG193+(AH192-AH191)</f>
        <v>-134000</v>
      </c>
      <c r="AI193" s="143">
        <f>AH193+(AI192-AI191)</f>
        <v>-134000</v>
      </c>
      <c r="AJ193" s="166"/>
      <c r="AK193" s="40">
        <f>AI193+(AK192-AK191)</f>
        <v>-147400</v>
      </c>
      <c r="AL193" s="40">
        <f>AK193+(AL192-AL191)</f>
        <v>-160800</v>
      </c>
      <c r="AM193" s="40"/>
      <c r="AN193" s="8"/>
      <c r="AO193" s="8"/>
      <c r="AP193" s="8"/>
      <c r="AQ193" s="8"/>
      <c r="AR193" s="8"/>
      <c r="AS193" s="8"/>
      <c r="AT193" s="7"/>
      <c r="AU193" s="7"/>
      <c r="AV193" s="7"/>
      <c r="AW193" s="7"/>
    </row>
    <row r="194" spans="1:49">
      <c r="A194" s="256"/>
      <c r="B194" s="236"/>
      <c r="C194" s="212"/>
      <c r="D194" s="212"/>
      <c r="E194" s="212"/>
      <c r="F194" s="212"/>
      <c r="G194" s="52" t="s">
        <v>16</v>
      </c>
      <c r="H194" s="51" t="s">
        <v>62</v>
      </c>
      <c r="I194" s="50">
        <f>$L$225</f>
        <v>13400</v>
      </c>
      <c r="J194" s="50">
        <f t="shared" ref="J194:K194" si="311">$L$225</f>
        <v>13400</v>
      </c>
      <c r="K194" s="50">
        <f t="shared" si="311"/>
        <v>13400</v>
      </c>
      <c r="L194" s="50">
        <f>$L$225</f>
        <v>13400</v>
      </c>
      <c r="M194" s="50">
        <f>$L$225</f>
        <v>13400</v>
      </c>
      <c r="N194" s="143"/>
      <c r="O194" s="166"/>
      <c r="P194" s="166"/>
      <c r="Q194" s="166"/>
      <c r="R194" s="166"/>
      <c r="S194" s="166"/>
      <c r="T194" s="166"/>
      <c r="U194" s="166"/>
      <c r="V194" s="166"/>
      <c r="W194" s="50">
        <f>$L$225</f>
        <v>13400</v>
      </c>
      <c r="X194" s="50">
        <f t="shared" ref="X194:Y194" si="312">$L$225</f>
        <v>13400</v>
      </c>
      <c r="Y194" s="50">
        <f t="shared" si="312"/>
        <v>13400</v>
      </c>
      <c r="Z194" s="50">
        <f>$L$225</f>
        <v>13400</v>
      </c>
      <c r="AA194" s="50">
        <f>$L$225</f>
        <v>13400</v>
      </c>
      <c r="AB194" s="143"/>
      <c r="AC194" s="166"/>
      <c r="AD194" s="50">
        <f>$L$225</f>
        <v>13400</v>
      </c>
      <c r="AE194" s="50">
        <f t="shared" ref="AE194:AF194" si="313">$L$225</f>
        <v>13400</v>
      </c>
      <c r="AF194" s="50">
        <f t="shared" si="313"/>
        <v>13400</v>
      </c>
      <c r="AG194" s="50">
        <f>$L$225</f>
        <v>13400</v>
      </c>
      <c r="AH194" s="50">
        <f>$L$225</f>
        <v>13400</v>
      </c>
      <c r="AI194" s="143"/>
      <c r="AJ194" s="166"/>
      <c r="AK194" s="50">
        <f t="shared" ref="AK194:AM194" si="314">$L$225</f>
        <v>13400</v>
      </c>
      <c r="AL194" s="50">
        <f t="shared" si="314"/>
        <v>13400</v>
      </c>
      <c r="AM194" s="50"/>
      <c r="AN194" s="8"/>
      <c r="AO194" s="8"/>
      <c r="AP194" s="8"/>
      <c r="AQ194" s="8"/>
      <c r="AR194" s="8"/>
      <c r="AS194" s="8"/>
      <c r="AT194" s="7"/>
      <c r="AU194" s="7"/>
      <c r="AV194" s="7"/>
      <c r="AW194" s="7"/>
    </row>
    <row r="195" spans="1:49">
      <c r="A195" s="256"/>
      <c r="B195" s="236"/>
      <c r="C195" s="212"/>
      <c r="D195" s="212"/>
      <c r="E195" s="212"/>
      <c r="F195" s="212"/>
      <c r="G195" s="52"/>
      <c r="H195" s="51" t="s">
        <v>7</v>
      </c>
      <c r="I195" s="50">
        <v>1</v>
      </c>
      <c r="J195" s="50">
        <v>1</v>
      </c>
      <c r="K195" s="50">
        <v>1</v>
      </c>
      <c r="L195" s="50">
        <v>1</v>
      </c>
      <c r="M195" s="50">
        <v>1</v>
      </c>
      <c r="N195" s="143"/>
      <c r="O195" s="166"/>
      <c r="P195" s="166"/>
      <c r="Q195" s="166"/>
      <c r="R195" s="166"/>
      <c r="S195" s="166"/>
      <c r="T195" s="166"/>
      <c r="U195" s="166"/>
      <c r="V195" s="166"/>
      <c r="W195" s="50">
        <v>1</v>
      </c>
      <c r="X195" s="50">
        <v>1</v>
      </c>
      <c r="Y195" s="50">
        <v>1</v>
      </c>
      <c r="Z195" s="50">
        <v>1</v>
      </c>
      <c r="AA195" s="50">
        <v>1</v>
      </c>
      <c r="AB195" s="143"/>
      <c r="AC195" s="166"/>
      <c r="AD195" s="50">
        <v>1</v>
      </c>
      <c r="AE195" s="50">
        <v>1</v>
      </c>
      <c r="AF195" s="50">
        <v>1</v>
      </c>
      <c r="AG195" s="50">
        <v>1</v>
      </c>
      <c r="AH195" s="50">
        <v>1</v>
      </c>
      <c r="AI195" s="143"/>
      <c r="AJ195" s="166"/>
      <c r="AK195" s="50">
        <v>1</v>
      </c>
      <c r="AL195" s="50">
        <v>1</v>
      </c>
      <c r="AM195" s="50"/>
      <c r="AN195" s="8"/>
      <c r="AO195" s="8"/>
      <c r="AP195" s="8"/>
      <c r="AQ195" s="8"/>
      <c r="AR195" s="8"/>
      <c r="AS195" s="8"/>
      <c r="AT195" s="7"/>
      <c r="AU195" s="7"/>
      <c r="AV195" s="7"/>
      <c r="AW195" s="7"/>
    </row>
    <row r="196" spans="1:49">
      <c r="A196" s="256"/>
      <c r="B196" s="236"/>
      <c r="C196" s="212"/>
      <c r="D196" s="212"/>
      <c r="E196" s="212"/>
      <c r="F196" s="212"/>
      <c r="G196" s="49"/>
      <c r="H196" s="48" t="s">
        <v>0</v>
      </c>
      <c r="I196" s="40"/>
      <c r="J196" s="40"/>
      <c r="K196" s="40"/>
      <c r="L196" s="40"/>
      <c r="M196" s="40"/>
      <c r="N196" s="143"/>
      <c r="O196" s="166"/>
      <c r="P196" s="166"/>
      <c r="Q196" s="166"/>
      <c r="R196" s="166"/>
      <c r="S196" s="166"/>
      <c r="T196" s="166"/>
      <c r="U196" s="166"/>
      <c r="V196" s="166"/>
      <c r="W196" s="40"/>
      <c r="X196" s="40"/>
      <c r="Y196" s="40"/>
      <c r="Z196" s="40"/>
      <c r="AA196" s="40"/>
      <c r="AB196" s="143"/>
      <c r="AC196" s="166"/>
      <c r="AD196" s="40"/>
      <c r="AE196" s="40"/>
      <c r="AF196" s="40"/>
      <c r="AG196" s="40"/>
      <c r="AH196" s="40"/>
      <c r="AI196" s="143"/>
      <c r="AJ196" s="166"/>
      <c r="AK196" s="40"/>
      <c r="AL196" s="134"/>
      <c r="AM196" s="129"/>
      <c r="AN196" s="8"/>
      <c r="AO196" s="8"/>
      <c r="AP196" s="8"/>
      <c r="AQ196" s="8"/>
      <c r="AR196" s="8"/>
      <c r="AS196" s="8"/>
      <c r="AT196" s="7"/>
      <c r="AU196" s="7"/>
      <c r="AV196" s="7"/>
      <c r="AW196" s="7"/>
    </row>
    <row r="197" spans="1:49">
      <c r="A197" s="256"/>
      <c r="B197" s="236"/>
      <c r="C197" s="212"/>
      <c r="D197" s="212"/>
      <c r="E197" s="212"/>
      <c r="F197" s="212"/>
      <c r="G197" s="49"/>
      <c r="H197" s="48" t="s">
        <v>34</v>
      </c>
      <c r="I197" s="40">
        <f>I196-I194</f>
        <v>-13400</v>
      </c>
      <c r="J197" s="40">
        <f>I197+(J196-J194)</f>
        <v>-26800</v>
      </c>
      <c r="K197" s="40">
        <f t="shared" ref="K197" si="315">J197+(K196-K194)</f>
        <v>-40200</v>
      </c>
      <c r="L197" s="40">
        <f t="shared" ref="L197" si="316">K197+(L196-L194)</f>
        <v>-53600</v>
      </c>
      <c r="M197" s="40">
        <f t="shared" ref="M197" si="317">L197+(M196-M194)</f>
        <v>-67000</v>
      </c>
      <c r="N197" s="151">
        <f>M197+(N196-N194)</f>
        <v>-67000</v>
      </c>
      <c r="O197" s="175"/>
      <c r="P197" s="175"/>
      <c r="Q197" s="175"/>
      <c r="R197" s="175"/>
      <c r="S197" s="175"/>
      <c r="T197" s="175"/>
      <c r="U197" s="175"/>
      <c r="V197" s="175"/>
      <c r="W197" s="68">
        <f>U197+(W196-W194)</f>
        <v>-13400</v>
      </c>
      <c r="X197" s="68">
        <f>W197+(X196-X194)</f>
        <v>-26800</v>
      </c>
      <c r="Y197" s="68">
        <f t="shared" ref="Y197" si="318">X197+(Y196-Y194)</f>
        <v>-40200</v>
      </c>
      <c r="Z197" s="68">
        <f t="shared" ref="Z197" si="319">Y197+(Z196-Z194)</f>
        <v>-53600</v>
      </c>
      <c r="AA197" s="68">
        <f t="shared" ref="AA197" si="320">Z197+(AA196-AA194)</f>
        <v>-67000</v>
      </c>
      <c r="AB197" s="151"/>
      <c r="AC197" s="175"/>
      <c r="AD197" s="68">
        <f>AB197+(AD196-AD194)</f>
        <v>-13400</v>
      </c>
      <c r="AE197" s="68">
        <f>AD197+(AE196-AE194)</f>
        <v>-26800</v>
      </c>
      <c r="AF197" s="68">
        <f t="shared" ref="AF197" si="321">AE197+(AF196-AF194)</f>
        <v>-40200</v>
      </c>
      <c r="AG197" s="68">
        <f t="shared" ref="AG197" si="322">AF197+(AG196-AG194)</f>
        <v>-53600</v>
      </c>
      <c r="AH197" s="68">
        <f t="shared" ref="AH197" si="323">AG197+(AH196-AH194)</f>
        <v>-67000</v>
      </c>
      <c r="AI197" s="151"/>
      <c r="AJ197" s="175"/>
      <c r="AK197" s="68">
        <f>AI197+(AK196-AK194)</f>
        <v>-13400</v>
      </c>
      <c r="AL197" s="68">
        <f>AK197+(AL196-AL194)</f>
        <v>-26800</v>
      </c>
      <c r="AM197" s="68"/>
      <c r="AN197" s="8"/>
      <c r="AO197" s="8"/>
      <c r="AP197" s="8"/>
      <c r="AQ197" s="8"/>
      <c r="AR197" s="8"/>
      <c r="AS197" s="8"/>
      <c r="AT197" s="7"/>
      <c r="AU197" s="7"/>
      <c r="AV197" s="7"/>
      <c r="AW197" s="7"/>
    </row>
    <row r="198" spans="1:49">
      <c r="A198" s="256"/>
      <c r="B198" s="236"/>
      <c r="C198" s="212"/>
      <c r="D198" s="212"/>
      <c r="E198" s="212"/>
      <c r="F198" s="212"/>
      <c r="G198" s="52" t="s">
        <v>14</v>
      </c>
      <c r="H198" s="51" t="s">
        <v>40</v>
      </c>
      <c r="I198" s="50">
        <f>$L$221+$L$225</f>
        <v>26800</v>
      </c>
      <c r="J198" s="50">
        <f t="shared" ref="J198:K198" si="324">$L$221+$L$225</f>
        <v>26800</v>
      </c>
      <c r="K198" s="50">
        <f t="shared" si="324"/>
        <v>26800</v>
      </c>
      <c r="L198" s="50">
        <f>$L$221+$L$225</f>
        <v>26800</v>
      </c>
      <c r="M198" s="50">
        <f>$L$221+$L$225</f>
        <v>26800</v>
      </c>
      <c r="N198" s="143"/>
      <c r="O198" s="166"/>
      <c r="P198" s="166"/>
      <c r="Q198" s="166"/>
      <c r="R198" s="166"/>
      <c r="S198" s="166"/>
      <c r="T198" s="166"/>
      <c r="U198" s="166"/>
      <c r="V198" s="166"/>
      <c r="W198" s="50">
        <f>$L$221+$L$225</f>
        <v>26800</v>
      </c>
      <c r="X198" s="50">
        <f>$L$221+$L$225</f>
        <v>26800</v>
      </c>
      <c r="Y198" s="50">
        <f>$L$221+$L$225</f>
        <v>26800</v>
      </c>
      <c r="Z198" s="50">
        <f>$L$221+$L$225</f>
        <v>26800</v>
      </c>
      <c r="AA198" s="50">
        <f>$L$221+$L$225</f>
        <v>26800</v>
      </c>
      <c r="AB198" s="143"/>
      <c r="AC198" s="166"/>
      <c r="AD198" s="50">
        <f>$L$221+$L$225</f>
        <v>26800</v>
      </c>
      <c r="AE198" s="50">
        <f t="shared" ref="AE198:AF198" si="325">$L$221+$L$225</f>
        <v>26800</v>
      </c>
      <c r="AF198" s="50">
        <f t="shared" si="325"/>
        <v>26800</v>
      </c>
      <c r="AG198" s="50">
        <f>$L$221+$L$225</f>
        <v>26800</v>
      </c>
      <c r="AH198" s="50">
        <f>$L$221+$L$225</f>
        <v>26800</v>
      </c>
      <c r="AI198" s="143"/>
      <c r="AJ198" s="166"/>
      <c r="AK198" s="50">
        <f t="shared" ref="AK198:AM198" si="326">$L$221+$L$225</f>
        <v>26800</v>
      </c>
      <c r="AL198" s="50">
        <f t="shared" si="326"/>
        <v>26800</v>
      </c>
      <c r="AM198" s="50"/>
      <c r="AN198" s="8"/>
      <c r="AO198" s="8"/>
      <c r="AP198" s="8"/>
      <c r="AQ198" s="8"/>
      <c r="AR198" s="8"/>
      <c r="AS198" s="8"/>
      <c r="AT198" s="7"/>
      <c r="AU198" s="7"/>
      <c r="AV198" s="7"/>
      <c r="AW198" s="7"/>
    </row>
    <row r="199" spans="1:49">
      <c r="A199" s="256"/>
      <c r="B199" s="236"/>
      <c r="C199" s="212"/>
      <c r="D199" s="212"/>
      <c r="E199" s="212"/>
      <c r="F199" s="212"/>
      <c r="G199" s="49"/>
      <c r="H199" s="48" t="s">
        <v>0</v>
      </c>
      <c r="I199" s="40"/>
      <c r="J199" s="40"/>
      <c r="K199" s="40"/>
      <c r="L199" s="40"/>
      <c r="M199" s="40"/>
      <c r="N199" s="143"/>
      <c r="O199" s="166"/>
      <c r="P199" s="166"/>
      <c r="Q199" s="166"/>
      <c r="R199" s="166"/>
      <c r="S199" s="166"/>
      <c r="T199" s="166"/>
      <c r="U199" s="166"/>
      <c r="V199" s="166"/>
      <c r="W199" s="40"/>
      <c r="X199" s="40"/>
      <c r="Y199" s="40"/>
      <c r="Z199" s="40"/>
      <c r="AA199" s="40"/>
      <c r="AB199" s="143"/>
      <c r="AC199" s="166"/>
      <c r="AD199" s="40"/>
      <c r="AE199" s="40"/>
      <c r="AF199" s="40"/>
      <c r="AG199" s="40"/>
      <c r="AH199" s="40"/>
      <c r="AI199" s="143"/>
      <c r="AJ199" s="166"/>
      <c r="AK199" s="40"/>
      <c r="AL199" s="134"/>
      <c r="AM199" s="129"/>
      <c r="AN199" s="8"/>
      <c r="AO199" s="8"/>
      <c r="AP199" s="8"/>
      <c r="AQ199" s="8"/>
      <c r="AR199" s="8"/>
      <c r="AS199" s="8"/>
      <c r="AT199" s="7"/>
      <c r="AU199" s="7"/>
      <c r="AV199" s="7"/>
      <c r="AW199" s="7"/>
    </row>
    <row r="200" spans="1:49">
      <c r="A200" s="256"/>
      <c r="B200" s="236"/>
      <c r="C200" s="212"/>
      <c r="D200" s="212"/>
      <c r="E200" s="212"/>
      <c r="F200" s="212"/>
      <c r="G200" s="49"/>
      <c r="H200" s="48" t="s">
        <v>34</v>
      </c>
      <c r="I200" s="40">
        <f>I199-I198</f>
        <v>-26800</v>
      </c>
      <c r="J200" s="40">
        <f>I200+(J199-J198)</f>
        <v>-53600</v>
      </c>
      <c r="K200" s="40">
        <f t="shared" ref="K200" si="327">J200+(K199-K198)</f>
        <v>-80400</v>
      </c>
      <c r="L200" s="40">
        <f t="shared" ref="L200" si="328">K200+(L199-L198)</f>
        <v>-107200</v>
      </c>
      <c r="M200" s="40">
        <f t="shared" ref="M200" si="329">L200+(M199-M198)</f>
        <v>-134000</v>
      </c>
      <c r="N200" s="143">
        <f>M200+(N199-N198)</f>
        <v>-134000</v>
      </c>
      <c r="O200" s="166"/>
      <c r="P200" s="166"/>
      <c r="Q200" s="166"/>
      <c r="R200" s="166"/>
      <c r="S200" s="166"/>
      <c r="T200" s="166"/>
      <c r="U200" s="166"/>
      <c r="V200" s="166"/>
      <c r="W200" s="40">
        <f>U200+(W199-W198)</f>
        <v>-26800</v>
      </c>
      <c r="X200" s="40">
        <f>W200+(X199-X198)</f>
        <v>-53600</v>
      </c>
      <c r="Y200" s="40">
        <f t="shared" ref="Y200" si="330">X200+(Y199-Y198)</f>
        <v>-80400</v>
      </c>
      <c r="Z200" s="40">
        <f t="shared" ref="Z200" si="331">Y200+(Z199-Z198)</f>
        <v>-107200</v>
      </c>
      <c r="AA200" s="40">
        <f t="shared" ref="AA200" si="332">Z200+(AA199-AA198)</f>
        <v>-134000</v>
      </c>
      <c r="AB200" s="143">
        <f>AA200+(AB199-AB198)</f>
        <v>-134000</v>
      </c>
      <c r="AC200" s="166"/>
      <c r="AD200" s="40">
        <f>AB200+(AD199-AD198)</f>
        <v>-160800</v>
      </c>
      <c r="AE200" s="40">
        <f>AD200+(AE199-AE198)</f>
        <v>-187600</v>
      </c>
      <c r="AF200" s="40">
        <f t="shared" ref="AF200" si="333">AE200+(AF199-AF198)</f>
        <v>-214400</v>
      </c>
      <c r="AG200" s="40">
        <f t="shared" ref="AG200" si="334">AF200+(AG199-AG198)</f>
        <v>-241200</v>
      </c>
      <c r="AH200" s="40">
        <f t="shared" ref="AH200" si="335">AG200+(AH199-AH198)</f>
        <v>-268000</v>
      </c>
      <c r="AI200" s="143">
        <f>AH200+(AI199-AI198)</f>
        <v>-268000</v>
      </c>
      <c r="AJ200" s="166"/>
      <c r="AK200" s="40">
        <f>AI200+(AK199-AK198)</f>
        <v>-294800</v>
      </c>
      <c r="AL200" s="40">
        <f>AK200+(AL199-AL198)</f>
        <v>-321600</v>
      </c>
      <c r="AM200" s="40"/>
      <c r="AN200" s="8"/>
      <c r="AO200" s="8"/>
      <c r="AP200" s="8"/>
      <c r="AQ200" s="8"/>
      <c r="AR200" s="8"/>
      <c r="AS200" s="8"/>
      <c r="AT200" s="7"/>
      <c r="AU200" s="7"/>
      <c r="AV200" s="7"/>
      <c r="AW200" s="7"/>
    </row>
    <row r="201" spans="1:49">
      <c r="A201" s="256"/>
      <c r="B201" s="236"/>
      <c r="C201" s="212"/>
      <c r="D201" s="212"/>
      <c r="E201" s="212"/>
      <c r="F201" s="212"/>
      <c r="G201" s="52" t="s">
        <v>12</v>
      </c>
      <c r="H201" s="51" t="s">
        <v>61</v>
      </c>
      <c r="I201" s="50">
        <f>$L$221+$L$225</f>
        <v>26800</v>
      </c>
      <c r="J201" s="50">
        <f t="shared" ref="J201:K201" si="336">$L$221+$L$225</f>
        <v>26800</v>
      </c>
      <c r="K201" s="50">
        <f t="shared" si="336"/>
        <v>26800</v>
      </c>
      <c r="L201" s="50">
        <f>$L$221+$L$225</f>
        <v>26800</v>
      </c>
      <c r="M201" s="50">
        <f>$L$221+$L$225</f>
        <v>26800</v>
      </c>
      <c r="N201" s="143"/>
      <c r="O201" s="166"/>
      <c r="P201" s="166"/>
      <c r="Q201" s="166"/>
      <c r="R201" s="166"/>
      <c r="S201" s="166"/>
      <c r="T201" s="166"/>
      <c r="U201" s="166"/>
      <c r="V201" s="166"/>
      <c r="W201" s="50">
        <f>$L$221+$L$225</f>
        <v>26800</v>
      </c>
      <c r="X201" s="50">
        <f t="shared" ref="X201:Y201" si="337">$L$221+$L$225</f>
        <v>26800</v>
      </c>
      <c r="Y201" s="50">
        <f t="shared" si="337"/>
        <v>26800</v>
      </c>
      <c r="Z201" s="50">
        <f>$L$221+$L$225</f>
        <v>26800</v>
      </c>
      <c r="AA201" s="50">
        <f>$L$221+$L$225</f>
        <v>26800</v>
      </c>
      <c r="AB201" s="143"/>
      <c r="AC201" s="166"/>
      <c r="AD201" s="50">
        <f>$L$221+$L$225</f>
        <v>26800</v>
      </c>
      <c r="AE201" s="50">
        <f t="shared" ref="AE201:AF201" si="338">$L$221+$L$225</f>
        <v>26800</v>
      </c>
      <c r="AF201" s="50">
        <f t="shared" si="338"/>
        <v>26800</v>
      </c>
      <c r="AG201" s="50">
        <f>$L$221+$L$225</f>
        <v>26800</v>
      </c>
      <c r="AH201" s="50">
        <f>$L$221+$L$225</f>
        <v>26800</v>
      </c>
      <c r="AI201" s="143"/>
      <c r="AJ201" s="166"/>
      <c r="AK201" s="50">
        <f t="shared" ref="AK201:AM201" si="339">$L$221+$L$225</f>
        <v>26800</v>
      </c>
      <c r="AL201" s="50">
        <f t="shared" si="339"/>
        <v>26800</v>
      </c>
      <c r="AM201" s="50"/>
      <c r="AN201" s="8"/>
      <c r="AO201" s="8"/>
      <c r="AP201" s="8"/>
      <c r="AQ201" s="8"/>
      <c r="AR201" s="8"/>
      <c r="AS201" s="8"/>
      <c r="AT201" s="7"/>
      <c r="AU201" s="7"/>
      <c r="AV201" s="7"/>
      <c r="AW201" s="7"/>
    </row>
    <row r="202" spans="1:49">
      <c r="A202" s="256"/>
      <c r="B202" s="236"/>
      <c r="C202" s="212"/>
      <c r="D202" s="212"/>
      <c r="E202" s="212"/>
      <c r="F202" s="212"/>
      <c r="G202" s="52"/>
      <c r="H202" s="51" t="s">
        <v>7</v>
      </c>
      <c r="I202" s="50">
        <v>1</v>
      </c>
      <c r="J202" s="50">
        <v>1</v>
      </c>
      <c r="K202" s="50">
        <v>1</v>
      </c>
      <c r="L202" s="50">
        <v>1</v>
      </c>
      <c r="M202" s="50">
        <v>1</v>
      </c>
      <c r="N202" s="143"/>
      <c r="O202" s="166"/>
      <c r="P202" s="166"/>
      <c r="Q202" s="166"/>
      <c r="R202" s="166"/>
      <c r="S202" s="166"/>
      <c r="T202" s="166"/>
      <c r="U202" s="166"/>
      <c r="V202" s="166"/>
      <c r="W202" s="50">
        <v>1</v>
      </c>
      <c r="X202" s="50">
        <v>1</v>
      </c>
      <c r="Y202" s="50">
        <v>1</v>
      </c>
      <c r="Z202" s="50">
        <v>1</v>
      </c>
      <c r="AA202" s="50">
        <v>1</v>
      </c>
      <c r="AB202" s="143"/>
      <c r="AC202" s="166"/>
      <c r="AD202" s="50">
        <v>1</v>
      </c>
      <c r="AE202" s="50">
        <v>1</v>
      </c>
      <c r="AF202" s="50">
        <v>1</v>
      </c>
      <c r="AG202" s="50">
        <v>1</v>
      </c>
      <c r="AH202" s="50">
        <v>1</v>
      </c>
      <c r="AI202" s="143"/>
      <c r="AJ202" s="166"/>
      <c r="AK202" s="50">
        <v>1</v>
      </c>
      <c r="AL202" s="50">
        <v>1</v>
      </c>
      <c r="AM202" s="50"/>
      <c r="AN202" s="8"/>
      <c r="AO202" s="8"/>
      <c r="AP202" s="8"/>
      <c r="AQ202" s="7"/>
      <c r="AR202" s="8"/>
      <c r="AS202" s="8"/>
      <c r="AT202" s="7"/>
      <c r="AU202" s="7"/>
      <c r="AV202" s="7"/>
      <c r="AW202" s="7"/>
    </row>
    <row r="203" spans="1:49">
      <c r="A203" s="256"/>
      <c r="B203" s="236"/>
      <c r="C203" s="212"/>
      <c r="D203" s="212"/>
      <c r="E203" s="212"/>
      <c r="F203" s="212"/>
      <c r="G203" s="49"/>
      <c r="H203" s="48" t="s">
        <v>0</v>
      </c>
      <c r="I203" s="40"/>
      <c r="J203" s="40"/>
      <c r="K203" s="40"/>
      <c r="L203" s="40"/>
      <c r="M203" s="40"/>
      <c r="N203" s="143"/>
      <c r="O203" s="166"/>
      <c r="P203" s="166"/>
      <c r="Q203" s="166"/>
      <c r="R203" s="166"/>
      <c r="S203" s="166"/>
      <c r="T203" s="166"/>
      <c r="U203" s="166"/>
      <c r="V203" s="166"/>
      <c r="W203" s="40"/>
      <c r="X203" s="40"/>
      <c r="Y203" s="40"/>
      <c r="Z203" s="40"/>
      <c r="AA203" s="40"/>
      <c r="AB203" s="143"/>
      <c r="AC203" s="166"/>
      <c r="AD203" s="40"/>
      <c r="AE203" s="40"/>
      <c r="AF203" s="40"/>
      <c r="AG203" s="40"/>
      <c r="AH203" s="40"/>
      <c r="AI203" s="143"/>
      <c r="AJ203" s="166"/>
      <c r="AK203" s="40"/>
      <c r="AL203" s="134"/>
      <c r="AM203" s="129"/>
      <c r="AN203" s="8"/>
      <c r="AO203" s="8"/>
      <c r="AP203" s="8"/>
      <c r="AQ203" s="7"/>
      <c r="AR203" s="8"/>
      <c r="AS203" s="8"/>
      <c r="AT203" s="7"/>
      <c r="AU203" s="7"/>
      <c r="AV203" s="7"/>
      <c r="AW203" s="7"/>
    </row>
    <row r="204" spans="1:49">
      <c r="A204" s="256"/>
      <c r="B204" s="236"/>
      <c r="C204" s="212"/>
      <c r="D204" s="212"/>
      <c r="E204" s="212"/>
      <c r="F204" s="212"/>
      <c r="G204" s="49"/>
      <c r="H204" s="48" t="s">
        <v>34</v>
      </c>
      <c r="I204" s="40">
        <f>I203-I201</f>
        <v>-26800</v>
      </c>
      <c r="J204" s="40">
        <f>I204+(J203-J201)</f>
        <v>-53600</v>
      </c>
      <c r="K204" s="40">
        <f t="shared" ref="K204" si="340">J204+(K203-K201)</f>
        <v>-80400</v>
      </c>
      <c r="L204" s="40">
        <f t="shared" ref="L204" si="341">K204+(L203-L201)</f>
        <v>-107200</v>
      </c>
      <c r="M204" s="40">
        <f t="shared" ref="M204" si="342">L204+(M203-M201)</f>
        <v>-134000</v>
      </c>
      <c r="N204" s="151">
        <f>M204+(N203-N201)</f>
        <v>-134000</v>
      </c>
      <c r="O204" s="175"/>
      <c r="P204" s="175"/>
      <c r="Q204" s="175"/>
      <c r="R204" s="175"/>
      <c r="S204" s="175"/>
      <c r="T204" s="175"/>
      <c r="U204" s="175"/>
      <c r="V204" s="175"/>
      <c r="W204" s="68">
        <f>U204+(W203-W201)</f>
        <v>-26800</v>
      </c>
      <c r="X204" s="68">
        <f>W204+(X203-X201)</f>
        <v>-53600</v>
      </c>
      <c r="Y204" s="68">
        <f t="shared" ref="Y204" si="343">X204+(Y203-Y201)</f>
        <v>-80400</v>
      </c>
      <c r="Z204" s="68">
        <f t="shared" ref="Z204" si="344">Y204+(Z203-Z201)</f>
        <v>-107200</v>
      </c>
      <c r="AA204" s="68">
        <f t="shared" ref="AA204" si="345">Z204+(AA203-AA201)</f>
        <v>-134000</v>
      </c>
      <c r="AB204" s="151"/>
      <c r="AC204" s="175"/>
      <c r="AD204" s="68">
        <f>AB204+(AD203-AD201)</f>
        <v>-26800</v>
      </c>
      <c r="AE204" s="68">
        <f>AD204+(AE203-AE201)</f>
        <v>-53600</v>
      </c>
      <c r="AF204" s="68">
        <f t="shared" ref="AF204" si="346">AE204+(AF203-AF201)</f>
        <v>-80400</v>
      </c>
      <c r="AG204" s="68">
        <f t="shared" ref="AG204" si="347">AF204+(AG203-AG201)</f>
        <v>-107200</v>
      </c>
      <c r="AH204" s="68">
        <f t="shared" ref="AH204" si="348">AG204+(AH203-AH201)</f>
        <v>-134000</v>
      </c>
      <c r="AI204" s="151"/>
      <c r="AJ204" s="175"/>
      <c r="AK204" s="68">
        <f>AI204+(AK203-AK201)</f>
        <v>-26800</v>
      </c>
      <c r="AL204" s="68">
        <f>AK204+(AL203-AL201)</f>
        <v>-53600</v>
      </c>
      <c r="AM204" s="68"/>
      <c r="AN204" s="8"/>
      <c r="AO204" s="8"/>
      <c r="AP204" s="8"/>
      <c r="AQ204" s="7"/>
      <c r="AR204" s="8"/>
      <c r="AS204" s="8"/>
      <c r="AT204" s="7"/>
      <c r="AU204" s="7"/>
      <c r="AV204" s="7"/>
      <c r="AW204" s="7"/>
    </row>
    <row r="205" spans="1:49">
      <c r="A205" s="256"/>
      <c r="B205" s="236"/>
      <c r="C205" s="212"/>
      <c r="D205" s="212"/>
      <c r="E205" s="212"/>
      <c r="F205" s="212"/>
      <c r="G205" s="49"/>
      <c r="H205" s="51" t="s">
        <v>60</v>
      </c>
      <c r="I205" s="50">
        <f>$L$221/4</f>
        <v>3350</v>
      </c>
      <c r="J205" s="50">
        <f t="shared" ref="J205:K205" si="349">$L$221/4</f>
        <v>3350</v>
      </c>
      <c r="K205" s="50">
        <f t="shared" si="349"/>
        <v>3350</v>
      </c>
      <c r="L205" s="50">
        <f>$L$221/4</f>
        <v>3350</v>
      </c>
      <c r="M205" s="50">
        <f>$L$221/4</f>
        <v>3350</v>
      </c>
      <c r="N205" s="143"/>
      <c r="O205" s="166"/>
      <c r="P205" s="166"/>
      <c r="Q205" s="166"/>
      <c r="R205" s="166"/>
      <c r="S205" s="166"/>
      <c r="T205" s="166"/>
      <c r="U205" s="166"/>
      <c r="V205" s="166"/>
      <c r="W205" s="50">
        <f>$L$221/4</f>
        <v>3350</v>
      </c>
      <c r="X205" s="50">
        <f t="shared" ref="X205:Y205" si="350">$L$221/4</f>
        <v>3350</v>
      </c>
      <c r="Y205" s="50">
        <f t="shared" si="350"/>
        <v>3350</v>
      </c>
      <c r="Z205" s="50">
        <f>$L$221/4</f>
        <v>3350</v>
      </c>
      <c r="AA205" s="50">
        <f>$L$221/4</f>
        <v>3350</v>
      </c>
      <c r="AB205" s="143"/>
      <c r="AC205" s="166"/>
      <c r="AD205" s="50">
        <f>$L$221/4</f>
        <v>3350</v>
      </c>
      <c r="AE205" s="50">
        <f t="shared" ref="AE205:AF205" si="351">$L$221/4</f>
        <v>3350</v>
      </c>
      <c r="AF205" s="50">
        <f t="shared" si="351"/>
        <v>3350</v>
      </c>
      <c r="AG205" s="50">
        <f>$L$221/4</f>
        <v>3350</v>
      </c>
      <c r="AH205" s="50">
        <f>$L$221/4</f>
        <v>3350</v>
      </c>
      <c r="AI205" s="143"/>
      <c r="AJ205" s="166"/>
      <c r="AK205" s="50">
        <f t="shared" ref="AK205:AM205" si="352">$L$221/4</f>
        <v>3350</v>
      </c>
      <c r="AL205" s="50">
        <f t="shared" si="352"/>
        <v>3350</v>
      </c>
      <c r="AM205" s="50"/>
      <c r="AN205" s="8"/>
      <c r="AO205" s="8"/>
      <c r="AP205" s="8"/>
      <c r="AQ205" s="7"/>
      <c r="AR205" s="8"/>
      <c r="AS205" s="8"/>
      <c r="AT205" s="7"/>
      <c r="AU205" s="7"/>
      <c r="AV205" s="7"/>
      <c r="AW205" s="7"/>
    </row>
    <row r="206" spans="1:49">
      <c r="A206" s="256"/>
      <c r="B206" s="236"/>
      <c r="C206" s="212"/>
      <c r="D206" s="212"/>
      <c r="E206" s="212"/>
      <c r="F206" s="212"/>
      <c r="G206" s="49"/>
      <c r="H206" s="51" t="s">
        <v>5</v>
      </c>
      <c r="I206" s="50">
        <v>1</v>
      </c>
      <c r="J206" s="50">
        <v>1</v>
      </c>
      <c r="K206" s="50">
        <v>1</v>
      </c>
      <c r="L206" s="50">
        <v>1</v>
      </c>
      <c r="M206" s="50">
        <v>1</v>
      </c>
      <c r="N206" s="143"/>
      <c r="O206" s="166"/>
      <c r="P206" s="166"/>
      <c r="Q206" s="166"/>
      <c r="R206" s="166"/>
      <c r="S206" s="166"/>
      <c r="T206" s="166"/>
      <c r="U206" s="166"/>
      <c r="V206" s="166"/>
      <c r="W206" s="50">
        <v>1</v>
      </c>
      <c r="X206" s="50">
        <v>1</v>
      </c>
      <c r="Y206" s="50">
        <v>1</v>
      </c>
      <c r="Z206" s="50">
        <v>1</v>
      </c>
      <c r="AA206" s="50">
        <v>1</v>
      </c>
      <c r="AB206" s="143"/>
      <c r="AC206" s="166"/>
      <c r="AD206" s="50">
        <v>1</v>
      </c>
      <c r="AE206" s="50">
        <v>1</v>
      </c>
      <c r="AF206" s="50">
        <v>1</v>
      </c>
      <c r="AG206" s="50">
        <v>1</v>
      </c>
      <c r="AH206" s="50">
        <v>1</v>
      </c>
      <c r="AI206" s="143"/>
      <c r="AJ206" s="166"/>
      <c r="AK206" s="50">
        <v>1</v>
      </c>
      <c r="AL206" s="50">
        <v>1</v>
      </c>
      <c r="AM206" s="50"/>
      <c r="AN206" s="8"/>
      <c r="AO206" s="8"/>
      <c r="AP206" s="8"/>
      <c r="AQ206" s="8"/>
      <c r="AR206" s="8"/>
      <c r="AS206" s="8"/>
      <c r="AT206" s="7"/>
      <c r="AU206" s="7"/>
      <c r="AV206" s="7"/>
      <c r="AW206" s="7"/>
    </row>
    <row r="207" spans="1:49">
      <c r="A207" s="256"/>
      <c r="B207" s="236"/>
      <c r="C207" s="212"/>
      <c r="D207" s="212"/>
      <c r="E207" s="212"/>
      <c r="F207" s="212"/>
      <c r="G207" s="49"/>
      <c r="H207" s="48" t="s">
        <v>0</v>
      </c>
      <c r="I207" s="22"/>
      <c r="J207" s="22"/>
      <c r="K207" s="40"/>
      <c r="L207" s="22"/>
      <c r="M207" s="22"/>
      <c r="N207" s="21"/>
      <c r="O207" s="165"/>
      <c r="P207" s="165"/>
      <c r="Q207" s="165"/>
      <c r="R207" s="166"/>
      <c r="S207" s="166"/>
      <c r="T207" s="165"/>
      <c r="U207" s="165"/>
      <c r="V207" s="165"/>
      <c r="W207" s="22"/>
      <c r="X207" s="22"/>
      <c r="Y207" s="40"/>
      <c r="Z207" s="22"/>
      <c r="AA207" s="22"/>
      <c r="AB207" s="21"/>
      <c r="AC207" s="165"/>
      <c r="AD207" s="22"/>
      <c r="AE207" s="22"/>
      <c r="AF207" s="40"/>
      <c r="AG207" s="22"/>
      <c r="AH207" s="22"/>
      <c r="AI207" s="21"/>
      <c r="AJ207" s="165"/>
      <c r="AK207" s="40"/>
      <c r="AL207" s="134"/>
      <c r="AM207" s="129"/>
      <c r="AN207" s="8"/>
      <c r="AO207" s="8"/>
      <c r="AP207" s="8"/>
      <c r="AQ207" s="8"/>
      <c r="AR207" s="8"/>
      <c r="AS207" s="8"/>
      <c r="AT207" s="7"/>
      <c r="AU207" s="7"/>
      <c r="AV207" s="7"/>
      <c r="AW207" s="7"/>
    </row>
    <row r="208" spans="1:49">
      <c r="A208" s="256"/>
      <c r="B208" s="236"/>
      <c r="C208" s="212"/>
      <c r="D208" s="212"/>
      <c r="E208" s="212"/>
      <c r="F208" s="212"/>
      <c r="G208" s="49"/>
      <c r="H208" s="48" t="s">
        <v>34</v>
      </c>
      <c r="I208" s="40">
        <f>I207-I205</f>
        <v>-3350</v>
      </c>
      <c r="J208" s="40">
        <f>I208+(J207-J205)</f>
        <v>-6700</v>
      </c>
      <c r="K208" s="40">
        <f t="shared" ref="K208" si="353">J208+(K207-K205)</f>
        <v>-10050</v>
      </c>
      <c r="L208" s="40">
        <f t="shared" ref="L208" si="354">K208+(L207-L205)</f>
        <v>-13400</v>
      </c>
      <c r="M208" s="40">
        <f t="shared" ref="M208" si="355">L208+(M207-M205)</f>
        <v>-16750</v>
      </c>
      <c r="N208" s="151">
        <f>M208+(N207-N205)</f>
        <v>-16750</v>
      </c>
      <c r="O208" s="175"/>
      <c r="P208" s="175"/>
      <c r="Q208" s="175"/>
      <c r="R208" s="175"/>
      <c r="S208" s="175"/>
      <c r="T208" s="175"/>
      <c r="U208" s="175"/>
      <c r="V208" s="175"/>
      <c r="W208" s="68">
        <f>U208+(W207-W205)</f>
        <v>-3350</v>
      </c>
      <c r="X208" s="68">
        <f>W208+(X207-X205)</f>
        <v>-6700</v>
      </c>
      <c r="Y208" s="68">
        <f t="shared" ref="Y208" si="356">X208+(Y207-Y205)</f>
        <v>-10050</v>
      </c>
      <c r="Z208" s="68">
        <f t="shared" ref="Z208" si="357">Y208+(Z207-Z205)</f>
        <v>-13400</v>
      </c>
      <c r="AA208" s="68">
        <f t="shared" ref="AA208" si="358">Z208+(AA207-AA205)</f>
        <v>-16750</v>
      </c>
      <c r="AB208" s="151"/>
      <c r="AC208" s="175"/>
      <c r="AD208" s="68">
        <f>AB208+(AD207-AD205)</f>
        <v>-3350</v>
      </c>
      <c r="AE208" s="68">
        <f>AD208+(AE207-AE205)</f>
        <v>-6700</v>
      </c>
      <c r="AF208" s="68">
        <f t="shared" ref="AF208" si="359">AE208+(AF207-AF205)</f>
        <v>-10050</v>
      </c>
      <c r="AG208" s="68">
        <f t="shared" ref="AG208" si="360">AF208+(AG207-AG205)</f>
        <v>-13400</v>
      </c>
      <c r="AH208" s="68">
        <f t="shared" ref="AH208" si="361">AG208+(AH207-AH205)</f>
        <v>-16750</v>
      </c>
      <c r="AI208" s="151"/>
      <c r="AJ208" s="175"/>
      <c r="AK208" s="68">
        <f>AI208+(AK207-AK205)</f>
        <v>-3350</v>
      </c>
      <c r="AL208" s="68">
        <f>AK208+(AL207-AL205)</f>
        <v>-6700</v>
      </c>
      <c r="AM208" s="68"/>
      <c r="AN208" s="8"/>
      <c r="AO208" s="8"/>
      <c r="AP208" s="8"/>
      <c r="AQ208" s="8"/>
      <c r="AR208" s="8"/>
      <c r="AS208" s="8"/>
      <c r="AT208" s="7"/>
      <c r="AU208" s="7"/>
      <c r="AV208" s="7"/>
      <c r="AW208" s="7"/>
    </row>
    <row r="209" spans="1:49">
      <c r="A209" s="256"/>
      <c r="B209" s="236"/>
      <c r="C209" s="212"/>
      <c r="D209" s="212"/>
      <c r="E209" s="212"/>
      <c r="F209" s="212"/>
      <c r="G209" s="49"/>
      <c r="H209" s="51" t="s">
        <v>59</v>
      </c>
      <c r="I209" s="50">
        <f>$L$225/4</f>
        <v>3350</v>
      </c>
      <c r="J209" s="50">
        <f t="shared" ref="J209:L209" si="362">$L$225/4</f>
        <v>3350</v>
      </c>
      <c r="K209" s="50">
        <f t="shared" si="362"/>
        <v>3350</v>
      </c>
      <c r="L209" s="50">
        <f t="shared" si="362"/>
        <v>3350</v>
      </c>
      <c r="M209" s="50">
        <f>$L$225/4</f>
        <v>3350</v>
      </c>
      <c r="N209" s="143"/>
      <c r="O209" s="166"/>
      <c r="P209" s="166"/>
      <c r="Q209" s="166"/>
      <c r="R209" s="166"/>
      <c r="S209" s="166"/>
      <c r="T209" s="166"/>
      <c r="U209" s="166"/>
      <c r="V209" s="166"/>
      <c r="W209" s="50">
        <f>$L$225/4</f>
        <v>3350</v>
      </c>
      <c r="X209" s="50">
        <f t="shared" ref="X209:Y209" si="363">$L$225/4</f>
        <v>3350</v>
      </c>
      <c r="Y209" s="50">
        <f t="shared" si="363"/>
        <v>3350</v>
      </c>
      <c r="Z209" s="50">
        <f>$L$225/4</f>
        <v>3350</v>
      </c>
      <c r="AA209" s="50">
        <f>$L$225/4</f>
        <v>3350</v>
      </c>
      <c r="AB209" s="143"/>
      <c r="AC209" s="166"/>
      <c r="AD209" s="50">
        <f>$L$225/4</f>
        <v>3350</v>
      </c>
      <c r="AE209" s="50">
        <f t="shared" ref="AE209:AF209" si="364">$L$225/4</f>
        <v>3350</v>
      </c>
      <c r="AF209" s="50">
        <f t="shared" si="364"/>
        <v>3350</v>
      </c>
      <c r="AG209" s="50">
        <f>$L$225/4</f>
        <v>3350</v>
      </c>
      <c r="AH209" s="50">
        <f>$L$225/4</f>
        <v>3350</v>
      </c>
      <c r="AI209" s="143"/>
      <c r="AJ209" s="166"/>
      <c r="AK209" s="50">
        <f t="shared" ref="AK209:AM209" si="365">$L$225/4</f>
        <v>3350</v>
      </c>
      <c r="AL209" s="50">
        <f t="shared" si="365"/>
        <v>3350</v>
      </c>
      <c r="AM209" s="50"/>
      <c r="AN209" s="8"/>
      <c r="AO209" s="8"/>
      <c r="AP209" s="8"/>
      <c r="AQ209" s="8"/>
      <c r="AR209" s="8"/>
      <c r="AS209" s="8"/>
      <c r="AT209" s="7"/>
      <c r="AU209" s="7"/>
      <c r="AV209" s="7"/>
      <c r="AW209" s="7"/>
    </row>
    <row r="210" spans="1:49">
      <c r="A210" s="256"/>
      <c r="B210" s="236"/>
      <c r="C210" s="212"/>
      <c r="D210" s="212"/>
      <c r="E210" s="212"/>
      <c r="F210" s="212"/>
      <c r="G210" s="49"/>
      <c r="H210" s="51" t="s">
        <v>5</v>
      </c>
      <c r="I210" s="50">
        <v>1</v>
      </c>
      <c r="J210" s="50">
        <v>1</v>
      </c>
      <c r="K210" s="50">
        <v>1</v>
      </c>
      <c r="L210" s="50">
        <v>1</v>
      </c>
      <c r="M210" s="50">
        <v>1</v>
      </c>
      <c r="N210" s="143"/>
      <c r="O210" s="166"/>
      <c r="P210" s="166"/>
      <c r="Q210" s="166"/>
      <c r="R210" s="166"/>
      <c r="S210" s="166"/>
      <c r="T210" s="166"/>
      <c r="U210" s="166"/>
      <c r="V210" s="166"/>
      <c r="W210" s="50">
        <v>1</v>
      </c>
      <c r="X210" s="50">
        <v>1</v>
      </c>
      <c r="Y210" s="50">
        <v>1</v>
      </c>
      <c r="Z210" s="50">
        <v>1</v>
      </c>
      <c r="AA210" s="50">
        <v>1</v>
      </c>
      <c r="AB210" s="143"/>
      <c r="AC210" s="166"/>
      <c r="AD210" s="50">
        <v>1</v>
      </c>
      <c r="AE210" s="50">
        <v>1</v>
      </c>
      <c r="AF210" s="50">
        <v>1</v>
      </c>
      <c r="AG210" s="50">
        <v>1</v>
      </c>
      <c r="AH210" s="50">
        <v>1</v>
      </c>
      <c r="AI210" s="143"/>
      <c r="AJ210" s="166"/>
      <c r="AK210" s="50">
        <v>1</v>
      </c>
      <c r="AL210" s="50">
        <v>1</v>
      </c>
      <c r="AM210" s="50"/>
      <c r="AN210" s="8"/>
      <c r="AO210" s="8"/>
      <c r="AP210" s="8"/>
      <c r="AQ210" s="8"/>
      <c r="AR210" s="8"/>
      <c r="AS210" s="8"/>
      <c r="AT210" s="7"/>
      <c r="AU210" s="7"/>
      <c r="AV210" s="7"/>
      <c r="AW210" s="7"/>
    </row>
    <row r="211" spans="1:49">
      <c r="A211" s="256"/>
      <c r="B211" s="236"/>
      <c r="C211" s="212"/>
      <c r="D211" s="212"/>
      <c r="E211" s="212"/>
      <c r="F211" s="212"/>
      <c r="G211" s="49"/>
      <c r="H211" s="48" t="s">
        <v>0</v>
      </c>
      <c r="I211" s="22"/>
      <c r="J211" s="22"/>
      <c r="K211" s="40"/>
      <c r="L211" s="22"/>
      <c r="M211" s="22"/>
      <c r="N211" s="21"/>
      <c r="O211" s="165"/>
      <c r="P211" s="165"/>
      <c r="Q211" s="165"/>
      <c r="R211" s="166"/>
      <c r="S211" s="166"/>
      <c r="T211" s="165"/>
      <c r="U211" s="165"/>
      <c r="V211" s="165"/>
      <c r="W211" s="22"/>
      <c r="X211" s="22"/>
      <c r="Y211" s="40"/>
      <c r="Z211" s="22"/>
      <c r="AA211" s="22"/>
      <c r="AB211" s="21"/>
      <c r="AC211" s="165"/>
      <c r="AD211" s="22"/>
      <c r="AE211" s="22"/>
      <c r="AF211" s="40"/>
      <c r="AG211" s="22"/>
      <c r="AH211" s="22"/>
      <c r="AI211" s="21"/>
      <c r="AJ211" s="165"/>
      <c r="AK211" s="40"/>
      <c r="AL211" s="134"/>
      <c r="AM211" s="129"/>
      <c r="AN211" s="8"/>
      <c r="AO211" s="8"/>
      <c r="AP211" s="8"/>
      <c r="AQ211" s="8"/>
      <c r="AR211" s="8"/>
      <c r="AS211" s="8"/>
      <c r="AT211" s="7"/>
      <c r="AU211" s="7"/>
      <c r="AV211" s="7"/>
      <c r="AW211" s="7"/>
    </row>
    <row r="212" spans="1:49">
      <c r="A212" s="256"/>
      <c r="B212" s="236"/>
      <c r="C212" s="212"/>
      <c r="D212" s="212"/>
      <c r="E212" s="212"/>
      <c r="F212" s="212"/>
      <c r="G212" s="49"/>
      <c r="H212" s="48" t="s">
        <v>34</v>
      </c>
      <c r="I212" s="40">
        <f>I211-I209</f>
        <v>-3350</v>
      </c>
      <c r="J212" s="40">
        <f>I212+(J211-J209)</f>
        <v>-6700</v>
      </c>
      <c r="K212" s="40">
        <f t="shared" ref="K212" si="366">J212+(K211-K209)</f>
        <v>-10050</v>
      </c>
      <c r="L212" s="40">
        <f t="shared" ref="L212" si="367">K212+(L211-L209)</f>
        <v>-13400</v>
      </c>
      <c r="M212" s="40">
        <f t="shared" ref="M212" si="368">L212+(M211-M209)</f>
        <v>-16750</v>
      </c>
      <c r="N212" s="151">
        <f>M212+(N211-N209)</f>
        <v>-16750</v>
      </c>
      <c r="O212" s="175"/>
      <c r="P212" s="175"/>
      <c r="Q212" s="175"/>
      <c r="R212" s="175"/>
      <c r="S212" s="175"/>
      <c r="T212" s="175"/>
      <c r="U212" s="175"/>
      <c r="V212" s="175"/>
      <c r="W212" s="68">
        <f>U212+(W211-W209)</f>
        <v>-3350</v>
      </c>
      <c r="X212" s="68">
        <f>W212+(X211-X209)</f>
        <v>-6700</v>
      </c>
      <c r="Y212" s="68">
        <f t="shared" ref="Y212" si="369">X212+(Y211-Y209)</f>
        <v>-10050</v>
      </c>
      <c r="Z212" s="68">
        <f t="shared" ref="Z212" si="370">Y212+(Z211-Z209)</f>
        <v>-13400</v>
      </c>
      <c r="AA212" s="68">
        <f t="shared" ref="AA212" si="371">Z212+(AA211-AA209)</f>
        <v>-16750</v>
      </c>
      <c r="AB212" s="151"/>
      <c r="AC212" s="175"/>
      <c r="AD212" s="68">
        <f>AB212+(AD211-AD209)</f>
        <v>-3350</v>
      </c>
      <c r="AE212" s="68">
        <f>AD212+(AE211-AE209)</f>
        <v>-6700</v>
      </c>
      <c r="AF212" s="68">
        <f t="shared" ref="AF212" si="372">AE212+(AF211-AF209)</f>
        <v>-10050</v>
      </c>
      <c r="AG212" s="68">
        <f t="shared" ref="AG212" si="373">AF212+(AG211-AG209)</f>
        <v>-13400</v>
      </c>
      <c r="AH212" s="68">
        <f t="shared" ref="AH212" si="374">AG212+(AH211-AH209)</f>
        <v>-16750</v>
      </c>
      <c r="AI212" s="151"/>
      <c r="AJ212" s="175"/>
      <c r="AK212" s="68">
        <f>AI212+(AK211-AK209)</f>
        <v>-3350</v>
      </c>
      <c r="AL212" s="68">
        <f>AK212+(AL211-AL209)</f>
        <v>-6700</v>
      </c>
      <c r="AM212" s="68"/>
      <c r="AN212" s="8"/>
      <c r="AO212" s="8"/>
      <c r="AP212" s="8"/>
      <c r="AQ212" s="8"/>
      <c r="AR212" s="8"/>
      <c r="AS212" s="8"/>
      <c r="AT212" s="7"/>
      <c r="AU212" s="7"/>
      <c r="AV212" s="7"/>
      <c r="AW212" s="7"/>
    </row>
    <row r="213" spans="1:49">
      <c r="A213" s="256"/>
      <c r="B213" s="236"/>
      <c r="C213" s="212"/>
      <c r="D213" s="212"/>
      <c r="E213" s="212"/>
      <c r="F213" s="212"/>
      <c r="G213" s="49"/>
      <c r="H213" s="51" t="s">
        <v>58</v>
      </c>
      <c r="I213" s="50">
        <f>$L$221/4</f>
        <v>3350</v>
      </c>
      <c r="J213" s="50">
        <f t="shared" ref="J213:K213" si="375">$L$221/4</f>
        <v>3350</v>
      </c>
      <c r="K213" s="50">
        <f t="shared" si="375"/>
        <v>3350</v>
      </c>
      <c r="L213" s="50">
        <f>$L$221/4</f>
        <v>3350</v>
      </c>
      <c r="M213" s="50">
        <f>$L$221/4</f>
        <v>3350</v>
      </c>
      <c r="N213" s="143"/>
      <c r="O213" s="166"/>
      <c r="P213" s="166"/>
      <c r="Q213" s="166"/>
      <c r="R213" s="166"/>
      <c r="S213" s="166"/>
      <c r="T213" s="166"/>
      <c r="U213" s="166"/>
      <c r="V213" s="166"/>
      <c r="W213" s="50">
        <f>$L$221/4</f>
        <v>3350</v>
      </c>
      <c r="X213" s="50">
        <f t="shared" ref="X213:Y213" si="376">$L$221/4</f>
        <v>3350</v>
      </c>
      <c r="Y213" s="50">
        <f t="shared" si="376"/>
        <v>3350</v>
      </c>
      <c r="Z213" s="50">
        <f>$L$221/4</f>
        <v>3350</v>
      </c>
      <c r="AA213" s="50">
        <f>$L$221/4</f>
        <v>3350</v>
      </c>
      <c r="AB213" s="143"/>
      <c r="AC213" s="166"/>
      <c r="AD213" s="50">
        <f>$L$221/4</f>
        <v>3350</v>
      </c>
      <c r="AE213" s="50">
        <f t="shared" ref="AE213:AF213" si="377">$L$221/4</f>
        <v>3350</v>
      </c>
      <c r="AF213" s="50">
        <f t="shared" si="377"/>
        <v>3350</v>
      </c>
      <c r="AG213" s="50">
        <f>$L$221/4</f>
        <v>3350</v>
      </c>
      <c r="AH213" s="50">
        <f>$L$221/4</f>
        <v>3350</v>
      </c>
      <c r="AI213" s="143"/>
      <c r="AJ213" s="166"/>
      <c r="AK213" s="50">
        <f t="shared" ref="AK213:AM213" si="378">$L$221/4</f>
        <v>3350</v>
      </c>
      <c r="AL213" s="50">
        <f t="shared" si="378"/>
        <v>3350</v>
      </c>
      <c r="AM213" s="50"/>
      <c r="AN213" s="8"/>
      <c r="AO213" s="8"/>
      <c r="AP213" s="8"/>
      <c r="AQ213" s="8"/>
      <c r="AR213" s="8"/>
      <c r="AS213" s="8"/>
      <c r="AT213" s="7"/>
      <c r="AU213" s="7"/>
      <c r="AV213" s="7"/>
      <c r="AW213" s="7"/>
    </row>
    <row r="214" spans="1:49">
      <c r="A214" s="256"/>
      <c r="B214" s="236"/>
      <c r="C214" s="212"/>
      <c r="D214" s="212"/>
      <c r="E214" s="212"/>
      <c r="F214" s="212"/>
      <c r="G214" s="49"/>
      <c r="H214" s="51" t="s">
        <v>3</v>
      </c>
      <c r="I214" s="50">
        <v>3</v>
      </c>
      <c r="J214" s="50">
        <v>3</v>
      </c>
      <c r="K214" s="50">
        <v>3</v>
      </c>
      <c r="L214" s="50">
        <v>3</v>
      </c>
      <c r="M214" s="50">
        <v>3</v>
      </c>
      <c r="N214" s="143"/>
      <c r="O214" s="166"/>
      <c r="P214" s="166"/>
      <c r="Q214" s="166"/>
      <c r="R214" s="166"/>
      <c r="S214" s="166"/>
      <c r="T214" s="166"/>
      <c r="U214" s="166"/>
      <c r="V214" s="166"/>
      <c r="W214" s="50">
        <v>3</v>
      </c>
      <c r="X214" s="50">
        <v>3</v>
      </c>
      <c r="Y214" s="50">
        <v>3</v>
      </c>
      <c r="Z214" s="50">
        <v>3</v>
      </c>
      <c r="AA214" s="50">
        <v>3</v>
      </c>
      <c r="AB214" s="143"/>
      <c r="AC214" s="166"/>
      <c r="AD214" s="50">
        <v>3</v>
      </c>
      <c r="AE214" s="50">
        <v>3</v>
      </c>
      <c r="AF214" s="50">
        <v>3</v>
      </c>
      <c r="AG214" s="50">
        <v>3</v>
      </c>
      <c r="AH214" s="50">
        <v>3</v>
      </c>
      <c r="AI214" s="143"/>
      <c r="AJ214" s="166"/>
      <c r="AK214" s="50">
        <v>3</v>
      </c>
      <c r="AL214" s="50">
        <v>3</v>
      </c>
      <c r="AM214" s="50"/>
      <c r="AN214" s="8"/>
      <c r="AO214" s="8"/>
      <c r="AP214" s="8"/>
      <c r="AQ214" s="8"/>
      <c r="AR214" s="8"/>
      <c r="AS214" s="8"/>
      <c r="AT214" s="7"/>
      <c r="AU214" s="7"/>
      <c r="AV214" s="7"/>
      <c r="AW214" s="7"/>
    </row>
    <row r="215" spans="1:49">
      <c r="A215" s="256"/>
      <c r="B215" s="236"/>
      <c r="C215" s="212"/>
      <c r="D215" s="212"/>
      <c r="E215" s="212"/>
      <c r="F215" s="212"/>
      <c r="G215" s="49"/>
      <c r="H215" s="48" t="s">
        <v>0</v>
      </c>
      <c r="I215" s="22"/>
      <c r="J215" s="22"/>
      <c r="K215" s="40"/>
      <c r="L215" s="22"/>
      <c r="M215" s="22"/>
      <c r="N215" s="21"/>
      <c r="O215" s="165"/>
      <c r="P215" s="165"/>
      <c r="Q215" s="165"/>
      <c r="R215" s="166"/>
      <c r="S215" s="166"/>
      <c r="T215" s="165"/>
      <c r="U215" s="165"/>
      <c r="V215" s="165"/>
      <c r="W215" s="22"/>
      <c r="X215" s="22"/>
      <c r="Y215" s="40"/>
      <c r="Z215" s="22"/>
      <c r="AA215" s="22"/>
      <c r="AB215" s="21"/>
      <c r="AC215" s="165"/>
      <c r="AD215" s="22"/>
      <c r="AE215" s="22"/>
      <c r="AF215" s="40"/>
      <c r="AG215" s="22"/>
      <c r="AH215" s="22"/>
      <c r="AI215" s="21"/>
      <c r="AJ215" s="165"/>
      <c r="AK215" s="40"/>
      <c r="AL215" s="134"/>
      <c r="AM215" s="129"/>
      <c r="AN215" s="8"/>
      <c r="AO215" s="8"/>
      <c r="AP215" s="8"/>
      <c r="AQ215" s="8"/>
      <c r="AR215" s="8"/>
      <c r="AS215" s="8"/>
      <c r="AT215" s="7"/>
      <c r="AU215" s="7"/>
      <c r="AV215" s="7"/>
      <c r="AW215" s="7"/>
    </row>
    <row r="216" spans="1:49">
      <c r="A216" s="256"/>
      <c r="B216" s="236"/>
      <c r="C216" s="212"/>
      <c r="D216" s="212"/>
      <c r="E216" s="212"/>
      <c r="F216" s="212"/>
      <c r="G216" s="49"/>
      <c r="H216" s="48" t="s">
        <v>34</v>
      </c>
      <c r="I216" s="40">
        <f>I215-I213</f>
        <v>-3350</v>
      </c>
      <c r="J216" s="40">
        <f>I216+(J215-J213)</f>
        <v>-6700</v>
      </c>
      <c r="K216" s="40">
        <f t="shared" ref="K216" si="379">J216+(K215-K213)</f>
        <v>-10050</v>
      </c>
      <c r="L216" s="40">
        <f t="shared" ref="L216" si="380">K216+(L215-L213)</f>
        <v>-13400</v>
      </c>
      <c r="M216" s="40">
        <f t="shared" ref="M216" si="381">L216+(M215-M213)</f>
        <v>-16750</v>
      </c>
      <c r="N216" s="151">
        <f>M216+(N215-N213)</f>
        <v>-16750</v>
      </c>
      <c r="O216" s="175"/>
      <c r="P216" s="175"/>
      <c r="Q216" s="175"/>
      <c r="R216" s="175"/>
      <c r="S216" s="175"/>
      <c r="T216" s="175"/>
      <c r="U216" s="175"/>
      <c r="V216" s="175"/>
      <c r="W216" s="68">
        <f>U216+(W215-W213)</f>
        <v>-3350</v>
      </c>
      <c r="X216" s="68">
        <f>W216+(X215-X213)</f>
        <v>-6700</v>
      </c>
      <c r="Y216" s="68">
        <f t="shared" ref="Y216" si="382">X216+(Y215-Y213)</f>
        <v>-10050</v>
      </c>
      <c r="Z216" s="68">
        <f t="shared" ref="Z216" si="383">Y216+(Z215-Z213)</f>
        <v>-13400</v>
      </c>
      <c r="AA216" s="68">
        <f t="shared" ref="AA216" si="384">Z216+(AA215-AA213)</f>
        <v>-16750</v>
      </c>
      <c r="AB216" s="151"/>
      <c r="AC216" s="175"/>
      <c r="AD216" s="68">
        <f>AB216+(AD215-AD213)</f>
        <v>-3350</v>
      </c>
      <c r="AE216" s="68">
        <f>AD216+(AE215-AE213)</f>
        <v>-6700</v>
      </c>
      <c r="AF216" s="68">
        <f t="shared" ref="AF216" si="385">AE216+(AF215-AF213)</f>
        <v>-10050</v>
      </c>
      <c r="AG216" s="68">
        <f t="shared" ref="AG216" si="386">AF216+(AG215-AG213)</f>
        <v>-13400</v>
      </c>
      <c r="AH216" s="68">
        <f t="shared" ref="AH216" si="387">AG216+(AH215-AH213)</f>
        <v>-16750</v>
      </c>
      <c r="AI216" s="151"/>
      <c r="AJ216" s="175"/>
      <c r="AK216" s="68">
        <f>AI216+(AK215-AK213)</f>
        <v>-3350</v>
      </c>
      <c r="AL216" s="68">
        <f>AK216+(AL215-AL213)</f>
        <v>-6700</v>
      </c>
      <c r="AM216" s="68"/>
      <c r="AN216" s="8"/>
      <c r="AO216" s="8"/>
      <c r="AP216" s="8"/>
      <c r="AQ216" s="8"/>
      <c r="AR216" s="8"/>
      <c r="AS216" s="8"/>
      <c r="AT216" s="7"/>
      <c r="AU216" s="7"/>
      <c r="AV216" s="7"/>
      <c r="AW216" s="7"/>
    </row>
    <row r="217" spans="1:49">
      <c r="A217" s="256"/>
      <c r="B217" s="236"/>
      <c r="C217" s="212"/>
      <c r="D217" s="212"/>
      <c r="E217" s="212"/>
      <c r="F217" s="212"/>
      <c r="G217" s="49"/>
      <c r="H217" s="51" t="s">
        <v>57</v>
      </c>
      <c r="I217" s="50">
        <f>$L$225/4</f>
        <v>3350</v>
      </c>
      <c r="J217" s="50">
        <f t="shared" ref="J217:K217" si="388">$L$225/4</f>
        <v>3350</v>
      </c>
      <c r="K217" s="50">
        <f t="shared" si="388"/>
        <v>3350</v>
      </c>
      <c r="L217" s="50">
        <f>$L$225/4</f>
        <v>3350</v>
      </c>
      <c r="M217" s="50">
        <f>$L$225/4</f>
        <v>3350</v>
      </c>
      <c r="N217" s="143"/>
      <c r="O217" s="166"/>
      <c r="P217" s="166"/>
      <c r="Q217" s="166"/>
      <c r="R217" s="166"/>
      <c r="S217" s="166"/>
      <c r="T217" s="166"/>
      <c r="U217" s="166"/>
      <c r="V217" s="166"/>
      <c r="W217" s="50">
        <f>$L$225/4</f>
        <v>3350</v>
      </c>
      <c r="X217" s="50">
        <f t="shared" ref="X217:Y217" si="389">$L$225/4</f>
        <v>3350</v>
      </c>
      <c r="Y217" s="50">
        <f t="shared" si="389"/>
        <v>3350</v>
      </c>
      <c r="Z217" s="50">
        <f>$L$225/4</f>
        <v>3350</v>
      </c>
      <c r="AA217" s="50">
        <f>$L$225/4</f>
        <v>3350</v>
      </c>
      <c r="AB217" s="143"/>
      <c r="AC217" s="166"/>
      <c r="AD217" s="50">
        <f>$L$225/4</f>
        <v>3350</v>
      </c>
      <c r="AE217" s="50">
        <f t="shared" ref="AE217:AF217" si="390">$L$225/4</f>
        <v>3350</v>
      </c>
      <c r="AF217" s="50">
        <f t="shared" si="390"/>
        <v>3350</v>
      </c>
      <c r="AG217" s="50">
        <f>$L$225/4</f>
        <v>3350</v>
      </c>
      <c r="AH217" s="50">
        <f>$L$225/4</f>
        <v>3350</v>
      </c>
      <c r="AI217" s="143"/>
      <c r="AJ217" s="166"/>
      <c r="AK217" s="50">
        <f t="shared" ref="AK217:AM217" si="391">$L$225/4</f>
        <v>3350</v>
      </c>
      <c r="AL217" s="50">
        <f t="shared" si="391"/>
        <v>3350</v>
      </c>
      <c r="AM217" s="50"/>
      <c r="AN217" s="8"/>
      <c r="AO217" s="8"/>
      <c r="AP217" s="8"/>
      <c r="AQ217" s="8"/>
      <c r="AR217" s="8"/>
      <c r="AS217" s="8"/>
      <c r="AT217" s="7"/>
      <c r="AU217" s="7"/>
      <c r="AV217" s="7"/>
      <c r="AW217" s="7"/>
    </row>
    <row r="218" spans="1:49">
      <c r="A218" s="256"/>
      <c r="B218" s="236"/>
      <c r="C218" s="212"/>
      <c r="D218" s="212"/>
      <c r="E218" s="212"/>
      <c r="F218" s="212"/>
      <c r="G218" s="49"/>
      <c r="H218" s="51" t="s">
        <v>3</v>
      </c>
      <c r="I218" s="50">
        <v>3</v>
      </c>
      <c r="J218" s="50">
        <v>3</v>
      </c>
      <c r="K218" s="50">
        <v>3</v>
      </c>
      <c r="L218" s="50">
        <v>3</v>
      </c>
      <c r="M218" s="50">
        <v>3</v>
      </c>
      <c r="N218" s="143"/>
      <c r="O218" s="166"/>
      <c r="P218" s="166"/>
      <c r="Q218" s="166"/>
      <c r="R218" s="166"/>
      <c r="S218" s="166"/>
      <c r="T218" s="166"/>
      <c r="U218" s="166"/>
      <c r="V218" s="166"/>
      <c r="W218" s="50">
        <v>3</v>
      </c>
      <c r="X218" s="50">
        <v>3</v>
      </c>
      <c r="Y218" s="50">
        <v>3</v>
      </c>
      <c r="Z218" s="50">
        <v>3</v>
      </c>
      <c r="AA218" s="50">
        <v>3</v>
      </c>
      <c r="AB218" s="143"/>
      <c r="AC218" s="166"/>
      <c r="AD218" s="50">
        <v>3</v>
      </c>
      <c r="AE218" s="50">
        <v>3</v>
      </c>
      <c r="AF218" s="50">
        <v>3</v>
      </c>
      <c r="AG218" s="50">
        <v>3</v>
      </c>
      <c r="AH218" s="50">
        <v>3</v>
      </c>
      <c r="AI218" s="143"/>
      <c r="AJ218" s="166"/>
      <c r="AK218" s="50">
        <v>3</v>
      </c>
      <c r="AL218" s="50">
        <v>3</v>
      </c>
      <c r="AM218" s="50"/>
      <c r="AN218" s="8"/>
      <c r="AO218" s="8"/>
      <c r="AP218" s="8"/>
      <c r="AQ218" s="8"/>
      <c r="AR218" s="8"/>
      <c r="AS218" s="8"/>
      <c r="AT218" s="7"/>
      <c r="AU218" s="7"/>
      <c r="AV218" s="7"/>
      <c r="AW218" s="7"/>
    </row>
    <row r="219" spans="1:49">
      <c r="A219" s="256"/>
      <c r="B219" s="236"/>
      <c r="C219" s="212"/>
      <c r="D219" s="212"/>
      <c r="E219" s="212"/>
      <c r="F219" s="212"/>
      <c r="G219" s="49"/>
      <c r="H219" s="48" t="s">
        <v>0</v>
      </c>
      <c r="I219" s="22"/>
      <c r="J219" s="22"/>
      <c r="K219" s="40"/>
      <c r="L219" s="22"/>
      <c r="M219" s="22"/>
      <c r="N219" s="21"/>
      <c r="O219" s="165"/>
      <c r="P219" s="165"/>
      <c r="Q219" s="165"/>
      <c r="R219" s="166"/>
      <c r="S219" s="166"/>
      <c r="T219" s="165"/>
      <c r="U219" s="165"/>
      <c r="V219" s="165"/>
      <c r="W219" s="22"/>
      <c r="X219" s="22"/>
      <c r="Y219" s="40"/>
      <c r="Z219" s="22"/>
      <c r="AA219" s="22"/>
      <c r="AB219" s="21"/>
      <c r="AC219" s="165"/>
      <c r="AD219" s="22"/>
      <c r="AE219" s="22"/>
      <c r="AF219" s="40"/>
      <c r="AG219" s="22"/>
      <c r="AH219" s="22"/>
      <c r="AI219" s="21"/>
      <c r="AJ219" s="165"/>
      <c r="AK219" s="40"/>
      <c r="AL219" s="134"/>
      <c r="AM219" s="129"/>
      <c r="AN219" s="8"/>
      <c r="AO219" s="8"/>
      <c r="AP219" s="8"/>
      <c r="AQ219" s="8"/>
      <c r="AR219" s="8"/>
      <c r="AS219" s="8"/>
      <c r="AT219" s="7"/>
      <c r="AU219" s="7"/>
      <c r="AV219" s="7"/>
      <c r="AW219" s="7"/>
    </row>
    <row r="220" spans="1:49">
      <c r="A220" s="256"/>
      <c r="B220" s="236"/>
      <c r="C220" s="212"/>
      <c r="D220" s="212"/>
      <c r="E220" s="212"/>
      <c r="F220" s="212"/>
      <c r="G220" s="49"/>
      <c r="H220" s="48" t="s">
        <v>34</v>
      </c>
      <c r="I220" s="40">
        <f>I219-I217</f>
        <v>-3350</v>
      </c>
      <c r="J220" s="40">
        <f>I220+(J219-J217)</f>
        <v>-6700</v>
      </c>
      <c r="K220" s="40">
        <f t="shared" ref="K220" si="392">J220+(K219-K217)</f>
        <v>-10050</v>
      </c>
      <c r="L220" s="40">
        <f t="shared" ref="L220" si="393">K220+(L219-L217)</f>
        <v>-13400</v>
      </c>
      <c r="M220" s="40">
        <f t="shared" ref="M220" si="394">L220+(M219-M217)</f>
        <v>-16750</v>
      </c>
      <c r="N220" s="151">
        <f>M220+(N219-N217)</f>
        <v>-16750</v>
      </c>
      <c r="O220" s="175"/>
      <c r="P220" s="175"/>
      <c r="Q220" s="175"/>
      <c r="R220" s="175"/>
      <c r="S220" s="175"/>
      <c r="T220" s="175"/>
      <c r="U220" s="175"/>
      <c r="V220" s="175"/>
      <c r="W220" s="68">
        <f>U220+(W219-W217)</f>
        <v>-3350</v>
      </c>
      <c r="X220" s="68">
        <f>W220+(X219-X217)</f>
        <v>-6700</v>
      </c>
      <c r="Y220" s="68">
        <f t="shared" ref="Y220" si="395">X220+(Y219-Y217)</f>
        <v>-10050</v>
      </c>
      <c r="Z220" s="68">
        <f t="shared" ref="Z220" si="396">Y220+(Z219-Z217)</f>
        <v>-13400</v>
      </c>
      <c r="AA220" s="68">
        <f t="shared" ref="AA220" si="397">Z220+(AA219-AA217)</f>
        <v>-16750</v>
      </c>
      <c r="AB220" s="151"/>
      <c r="AC220" s="175"/>
      <c r="AD220" s="68">
        <f>AB220+(AD219-AD217)</f>
        <v>-3350</v>
      </c>
      <c r="AE220" s="68">
        <f>AD220+(AE219-AE217)</f>
        <v>-6700</v>
      </c>
      <c r="AF220" s="68">
        <f t="shared" ref="AF220" si="398">AE220+(AF219-AF217)</f>
        <v>-10050</v>
      </c>
      <c r="AG220" s="68">
        <f t="shared" ref="AG220" si="399">AF220+(AG219-AG217)</f>
        <v>-13400</v>
      </c>
      <c r="AH220" s="68">
        <f t="shared" ref="AH220" si="400">AG220+(AH219-AH217)</f>
        <v>-16750</v>
      </c>
      <c r="AI220" s="151"/>
      <c r="AJ220" s="175"/>
      <c r="AK220" s="68">
        <f>AI220+(AK219-AK217)</f>
        <v>-3350</v>
      </c>
      <c r="AL220" s="68">
        <f>AK220+(AL219-AL217)</f>
        <v>-6700</v>
      </c>
      <c r="AM220" s="68"/>
      <c r="AN220" s="8"/>
      <c r="AO220" s="8"/>
      <c r="AP220" s="8"/>
      <c r="AQ220" s="8"/>
      <c r="AR220" s="8"/>
      <c r="AS220" s="8"/>
      <c r="AT220" s="7"/>
      <c r="AU220" s="7"/>
      <c r="AV220" s="7"/>
      <c r="AW220" s="7"/>
    </row>
    <row r="221" spans="1:49">
      <c r="A221" s="256"/>
      <c r="B221" s="236"/>
      <c r="C221" s="212"/>
      <c r="D221" s="212"/>
      <c r="E221" s="212"/>
      <c r="F221" s="212"/>
      <c r="G221" s="49" t="s">
        <v>56</v>
      </c>
      <c r="H221" s="51" t="s">
        <v>2</v>
      </c>
      <c r="I221" s="50"/>
      <c r="J221" s="50"/>
      <c r="K221" s="50"/>
      <c r="L221" s="50">
        <f>3350*4</f>
        <v>13400</v>
      </c>
      <c r="M221" s="50"/>
      <c r="N221" s="87"/>
      <c r="O221" s="166"/>
      <c r="P221" s="166"/>
      <c r="Q221" s="166"/>
      <c r="R221" s="166"/>
      <c r="S221" s="166"/>
      <c r="T221" s="166"/>
      <c r="U221" s="166"/>
      <c r="V221" s="166"/>
      <c r="W221" s="50"/>
      <c r="X221" s="50">
        <f>3350*4</f>
        <v>13400</v>
      </c>
      <c r="Y221" s="50"/>
      <c r="Z221" s="50"/>
      <c r="AA221" s="50"/>
      <c r="AB221" s="143"/>
      <c r="AC221" s="166"/>
      <c r="AD221" s="50">
        <f>3350*4</f>
        <v>13400</v>
      </c>
      <c r="AE221" s="50"/>
      <c r="AF221" s="50"/>
      <c r="AG221" s="50"/>
      <c r="AH221" s="50">
        <f>3350*4</f>
        <v>13400</v>
      </c>
      <c r="AI221" s="143"/>
      <c r="AJ221" s="166"/>
      <c r="AK221" s="50"/>
      <c r="AL221" s="192"/>
      <c r="AM221" s="193"/>
      <c r="AN221" s="8"/>
      <c r="AO221" s="8"/>
      <c r="AP221" s="8"/>
      <c r="AQ221" s="8"/>
      <c r="AR221" s="8"/>
      <c r="AS221" s="8"/>
      <c r="AT221" s="7"/>
      <c r="AU221" s="7"/>
      <c r="AV221" s="7"/>
      <c r="AW221" s="7"/>
    </row>
    <row r="222" spans="1:49">
      <c r="A222" s="256"/>
      <c r="B222" s="236"/>
      <c r="C222" s="212"/>
      <c r="D222" s="212"/>
      <c r="E222" s="212"/>
      <c r="F222" s="212"/>
      <c r="G222" s="49"/>
      <c r="H222" s="51" t="s">
        <v>54</v>
      </c>
      <c r="I222" s="50"/>
      <c r="J222" s="50"/>
      <c r="K222" s="50"/>
      <c r="L222" s="50">
        <v>1</v>
      </c>
      <c r="M222" s="50"/>
      <c r="N222" s="87"/>
      <c r="O222" s="166"/>
      <c r="P222" s="166"/>
      <c r="Q222" s="166"/>
      <c r="R222" s="166"/>
      <c r="S222" s="166"/>
      <c r="T222" s="166"/>
      <c r="U222" s="166"/>
      <c r="V222" s="166"/>
      <c r="W222" s="50"/>
      <c r="X222" s="50">
        <v>1</v>
      </c>
      <c r="Y222" s="50"/>
      <c r="Z222" s="50"/>
      <c r="AA222" s="50"/>
      <c r="AB222" s="143"/>
      <c r="AC222" s="166"/>
      <c r="AD222" s="50">
        <v>1</v>
      </c>
      <c r="AE222" s="50"/>
      <c r="AF222" s="50"/>
      <c r="AG222" s="50"/>
      <c r="AH222" s="50">
        <v>1</v>
      </c>
      <c r="AI222" s="143"/>
      <c r="AJ222" s="166"/>
      <c r="AK222" s="50"/>
      <c r="AL222" s="192"/>
      <c r="AM222" s="193"/>
      <c r="AN222" s="8"/>
      <c r="AO222" s="8"/>
      <c r="AP222" s="8"/>
      <c r="AQ222" s="8"/>
      <c r="AR222" s="8"/>
      <c r="AS222" s="8"/>
      <c r="AT222" s="7"/>
      <c r="AU222" s="7"/>
      <c r="AV222" s="7"/>
      <c r="AW222" s="7"/>
    </row>
    <row r="223" spans="1:49">
      <c r="A223" s="256"/>
      <c r="B223" s="236"/>
      <c r="C223" s="212"/>
      <c r="D223" s="212"/>
      <c r="E223" s="212"/>
      <c r="F223" s="212"/>
      <c r="G223" s="49"/>
      <c r="H223" s="48" t="s">
        <v>0</v>
      </c>
      <c r="I223" s="40"/>
      <c r="J223" s="40"/>
      <c r="K223" s="40"/>
      <c r="L223" s="40"/>
      <c r="M223" s="40"/>
      <c r="N223" s="143"/>
      <c r="O223" s="166"/>
      <c r="P223" s="166"/>
      <c r="Q223" s="166"/>
      <c r="R223" s="166"/>
      <c r="S223" s="166"/>
      <c r="T223" s="166"/>
      <c r="U223" s="166"/>
      <c r="V223" s="166"/>
      <c r="W223" s="40"/>
      <c r="X223" s="40"/>
      <c r="Y223" s="40"/>
      <c r="Z223" s="40"/>
      <c r="AA223" s="40"/>
      <c r="AB223" s="143"/>
      <c r="AC223" s="166"/>
      <c r="AD223" s="40"/>
      <c r="AE223" s="40"/>
      <c r="AF223" s="40"/>
      <c r="AG223" s="40"/>
      <c r="AH223" s="40"/>
      <c r="AI223" s="143"/>
      <c r="AJ223" s="166"/>
      <c r="AK223" s="40"/>
      <c r="AL223" s="134"/>
      <c r="AM223" s="129"/>
      <c r="AN223" s="8"/>
      <c r="AO223" s="8"/>
      <c r="AP223" s="8"/>
      <c r="AQ223" s="8"/>
      <c r="AR223" s="8"/>
      <c r="AS223" s="8"/>
      <c r="AT223" s="7"/>
      <c r="AU223" s="7"/>
      <c r="AV223" s="7"/>
      <c r="AW223" s="7"/>
    </row>
    <row r="224" spans="1:49">
      <c r="A224" s="256"/>
      <c r="B224" s="236"/>
      <c r="C224" s="212"/>
      <c r="D224" s="212"/>
      <c r="E224" s="212"/>
      <c r="F224" s="212"/>
      <c r="G224" s="49"/>
      <c r="H224" s="48" t="s">
        <v>34</v>
      </c>
      <c r="I224" s="40"/>
      <c r="J224" s="40"/>
      <c r="K224" s="40"/>
      <c r="L224" s="40"/>
      <c r="M224" s="40"/>
      <c r="N224" s="143"/>
      <c r="O224" s="166"/>
      <c r="P224" s="166"/>
      <c r="Q224" s="166"/>
      <c r="R224" s="166"/>
      <c r="S224" s="166"/>
      <c r="T224" s="166"/>
      <c r="U224" s="166"/>
      <c r="V224" s="166"/>
      <c r="W224" s="40"/>
      <c r="X224" s="40"/>
      <c r="Y224" s="40"/>
      <c r="Z224" s="40"/>
      <c r="AA224" s="40"/>
      <c r="AB224" s="143"/>
      <c r="AC224" s="166"/>
      <c r="AD224" s="40"/>
      <c r="AE224" s="40"/>
      <c r="AF224" s="40"/>
      <c r="AG224" s="40"/>
      <c r="AH224" s="40"/>
      <c r="AI224" s="143"/>
      <c r="AJ224" s="166"/>
      <c r="AK224" s="40"/>
      <c r="AL224" s="134"/>
      <c r="AM224" s="129"/>
      <c r="AN224" s="8"/>
      <c r="AO224" s="8"/>
      <c r="AP224" s="8"/>
      <c r="AQ224" s="8"/>
      <c r="AR224" s="8"/>
      <c r="AS224" s="8"/>
      <c r="AT224" s="7"/>
      <c r="AU224" s="7"/>
      <c r="AV224" s="7"/>
      <c r="AW224" s="7"/>
    </row>
    <row r="225" spans="1:49">
      <c r="A225" s="256"/>
      <c r="B225" s="236"/>
      <c r="C225" s="212"/>
      <c r="D225" s="212"/>
      <c r="E225" s="212"/>
      <c r="F225" s="212"/>
      <c r="G225" s="49" t="s">
        <v>55</v>
      </c>
      <c r="H225" s="51" t="s">
        <v>2</v>
      </c>
      <c r="I225" s="50"/>
      <c r="J225" s="50"/>
      <c r="K225" s="50"/>
      <c r="L225" s="50">
        <f>3350*4</f>
        <v>13400</v>
      </c>
      <c r="M225" s="50"/>
      <c r="N225" s="87"/>
      <c r="O225" s="166"/>
      <c r="P225" s="166"/>
      <c r="Q225" s="166"/>
      <c r="R225" s="166"/>
      <c r="S225" s="166"/>
      <c r="T225" s="166"/>
      <c r="U225" s="166"/>
      <c r="V225" s="166"/>
      <c r="W225" s="50"/>
      <c r="X225" s="50">
        <f>3350*4</f>
        <v>13400</v>
      </c>
      <c r="Y225" s="50"/>
      <c r="Z225" s="50"/>
      <c r="AA225" s="50"/>
      <c r="AB225" s="143"/>
      <c r="AC225" s="166"/>
      <c r="AD225" s="50">
        <f>3350*4</f>
        <v>13400</v>
      </c>
      <c r="AE225" s="50"/>
      <c r="AF225" s="50"/>
      <c r="AG225" s="50"/>
      <c r="AH225" s="50">
        <f>3350*4</f>
        <v>13400</v>
      </c>
      <c r="AI225" s="143"/>
      <c r="AJ225" s="166"/>
      <c r="AK225" s="50"/>
      <c r="AL225" s="192"/>
      <c r="AM225" s="193"/>
      <c r="AN225" s="8"/>
      <c r="AO225" s="8"/>
      <c r="AP225" s="8"/>
      <c r="AQ225" s="8"/>
      <c r="AR225" s="8"/>
      <c r="AS225" s="8"/>
      <c r="AT225" s="7"/>
      <c r="AU225" s="7"/>
      <c r="AV225" s="7"/>
      <c r="AW225" s="7"/>
    </row>
    <row r="226" spans="1:49">
      <c r="A226" s="256"/>
      <c r="B226" s="236"/>
      <c r="C226" s="212"/>
      <c r="D226" s="212"/>
      <c r="E226" s="212"/>
      <c r="F226" s="212"/>
      <c r="G226" s="49"/>
      <c r="H226" s="51" t="s">
        <v>54</v>
      </c>
      <c r="I226" s="50"/>
      <c r="J226" s="50"/>
      <c r="K226" s="50"/>
      <c r="L226" s="50">
        <v>1</v>
      </c>
      <c r="M226" s="50"/>
      <c r="N226" s="87"/>
      <c r="O226" s="166"/>
      <c r="P226" s="166"/>
      <c r="Q226" s="166"/>
      <c r="R226" s="166"/>
      <c r="S226" s="166"/>
      <c r="T226" s="166"/>
      <c r="U226" s="166"/>
      <c r="V226" s="166"/>
      <c r="W226" s="50"/>
      <c r="X226" s="50">
        <v>1</v>
      </c>
      <c r="Y226" s="50"/>
      <c r="Z226" s="50"/>
      <c r="AA226" s="50"/>
      <c r="AB226" s="143"/>
      <c r="AC226" s="166"/>
      <c r="AD226" s="50">
        <v>1</v>
      </c>
      <c r="AE226" s="50"/>
      <c r="AF226" s="50"/>
      <c r="AG226" s="50"/>
      <c r="AH226" s="50">
        <v>1</v>
      </c>
      <c r="AI226" s="143"/>
      <c r="AJ226" s="166"/>
      <c r="AK226" s="50"/>
      <c r="AL226" s="192"/>
      <c r="AM226" s="193"/>
      <c r="AN226" s="8"/>
      <c r="AO226" s="8"/>
      <c r="AP226" s="8"/>
      <c r="AQ226" s="8"/>
      <c r="AR226" s="8"/>
      <c r="AS226" s="8"/>
      <c r="AT226" s="7"/>
      <c r="AU226" s="7"/>
      <c r="AV226" s="7"/>
      <c r="AW226" s="7"/>
    </row>
    <row r="227" spans="1:49">
      <c r="A227" s="256"/>
      <c r="B227" s="236"/>
      <c r="C227" s="212"/>
      <c r="D227" s="212"/>
      <c r="E227" s="212"/>
      <c r="F227" s="212"/>
      <c r="G227" s="49"/>
      <c r="H227" s="48" t="s">
        <v>0</v>
      </c>
      <c r="I227" s="40"/>
      <c r="J227" s="40"/>
      <c r="K227" s="40"/>
      <c r="L227" s="40"/>
      <c r="M227" s="40"/>
      <c r="N227" s="143"/>
      <c r="O227" s="166"/>
      <c r="P227" s="166"/>
      <c r="Q227" s="166"/>
      <c r="R227" s="166"/>
      <c r="S227" s="166"/>
      <c r="T227" s="166"/>
      <c r="U227" s="166"/>
      <c r="V227" s="166"/>
      <c r="W227" s="40"/>
      <c r="X227" s="40"/>
      <c r="Y227" s="40"/>
      <c r="Z227" s="40"/>
      <c r="AA227" s="40"/>
      <c r="AB227" s="143"/>
      <c r="AC227" s="166"/>
      <c r="AD227" s="40"/>
      <c r="AE227" s="40"/>
      <c r="AF227" s="40"/>
      <c r="AG227" s="40"/>
      <c r="AH227" s="40"/>
      <c r="AI227" s="143"/>
      <c r="AJ227" s="166"/>
      <c r="AK227" s="40"/>
      <c r="AL227" s="134"/>
      <c r="AM227" s="129"/>
      <c r="AN227" s="8"/>
      <c r="AO227" s="8"/>
      <c r="AP227" s="8"/>
      <c r="AQ227" s="8"/>
      <c r="AR227" s="8"/>
      <c r="AS227" s="8"/>
      <c r="AT227" s="7"/>
      <c r="AU227" s="7"/>
      <c r="AV227" s="7"/>
      <c r="AW227" s="7"/>
    </row>
    <row r="228" spans="1:49" ht="15.75" thickBot="1">
      <c r="A228" s="257"/>
      <c r="B228" s="237"/>
      <c r="C228" s="213"/>
      <c r="D228" s="213"/>
      <c r="E228" s="213"/>
      <c r="F228" s="213"/>
      <c r="G228" s="47"/>
      <c r="H228" s="46" t="s">
        <v>34</v>
      </c>
      <c r="I228" s="45"/>
      <c r="J228" s="45"/>
      <c r="K228" s="45"/>
      <c r="L228" s="45"/>
      <c r="M228" s="45"/>
      <c r="N228" s="154"/>
      <c r="O228" s="166"/>
      <c r="P228" s="166"/>
      <c r="Q228" s="166"/>
      <c r="R228" s="166"/>
      <c r="S228" s="166"/>
      <c r="T228" s="166"/>
      <c r="U228" s="166"/>
      <c r="V228" s="166"/>
      <c r="W228" s="45"/>
      <c r="X228" s="45"/>
      <c r="Y228" s="45"/>
      <c r="Z228" s="45"/>
      <c r="AA228" s="45"/>
      <c r="AB228" s="154"/>
      <c r="AC228" s="182"/>
      <c r="AD228" s="45"/>
      <c r="AE228" s="45"/>
      <c r="AF228" s="45"/>
      <c r="AG228" s="45"/>
      <c r="AH228" s="45"/>
      <c r="AI228" s="154"/>
      <c r="AJ228" s="182"/>
      <c r="AK228" s="85"/>
      <c r="AL228" s="135"/>
      <c r="AM228" s="136"/>
      <c r="AN228" s="8"/>
      <c r="AO228" s="8"/>
      <c r="AP228" s="8"/>
      <c r="AQ228" s="8"/>
      <c r="AR228" s="8"/>
      <c r="AS228" s="8"/>
      <c r="AT228" s="7"/>
      <c r="AU228" s="7"/>
      <c r="AV228" s="7"/>
      <c r="AW228" s="7"/>
    </row>
    <row r="229" spans="1:49" ht="15" hidden="1" customHeight="1">
      <c r="A229" s="246" t="s">
        <v>33</v>
      </c>
      <c r="B229" s="238" t="s">
        <v>53</v>
      </c>
      <c r="C229" s="195">
        <v>10000</v>
      </c>
      <c r="D229" s="230">
        <v>1.4750000000000001</v>
      </c>
      <c r="E229" s="195"/>
      <c r="F229" s="205" t="s">
        <v>52</v>
      </c>
      <c r="G229" s="33">
        <v>0.08</v>
      </c>
      <c r="H229" s="32" t="s">
        <v>31</v>
      </c>
      <c r="I229" s="44"/>
      <c r="J229" s="44"/>
      <c r="K229" s="44"/>
      <c r="L229" s="44"/>
      <c r="M229" s="44"/>
      <c r="N229" s="61"/>
      <c r="O229" s="165"/>
      <c r="P229" s="165"/>
      <c r="Q229" s="165"/>
      <c r="R229" s="165"/>
      <c r="S229" s="165"/>
      <c r="T229" s="165"/>
      <c r="U229" s="165"/>
      <c r="V229" s="165"/>
      <c r="W229" s="44"/>
      <c r="X229" s="12"/>
      <c r="Y229" s="44"/>
      <c r="Z229" s="44"/>
      <c r="AA229" s="44"/>
      <c r="AB229" s="158"/>
      <c r="AC229" s="177"/>
      <c r="AD229" s="44"/>
      <c r="AE229" s="12"/>
      <c r="AF229" s="44"/>
      <c r="AG229" s="44"/>
      <c r="AH229" s="44"/>
      <c r="AI229" s="87"/>
      <c r="AJ229" s="177"/>
      <c r="AK229" s="31"/>
      <c r="AL229" s="31"/>
      <c r="AM229" s="133"/>
      <c r="AN229" s="8"/>
      <c r="AO229" s="8"/>
      <c r="AP229" s="8"/>
      <c r="AQ229" s="8"/>
      <c r="AR229" s="8"/>
      <c r="AS229" s="8"/>
      <c r="AT229" s="7"/>
      <c r="AU229" s="7"/>
      <c r="AV229" s="7"/>
      <c r="AW229" s="7"/>
    </row>
    <row r="230" spans="1:49" ht="15" hidden="1" customHeight="1">
      <c r="A230" s="244"/>
      <c r="B230" s="236"/>
      <c r="C230" s="196"/>
      <c r="D230" s="219"/>
      <c r="E230" s="196"/>
      <c r="F230" s="203"/>
      <c r="G230" s="28"/>
      <c r="H230" s="23" t="s">
        <v>26</v>
      </c>
      <c r="I230" s="31"/>
      <c r="J230" s="31"/>
      <c r="K230" s="31"/>
      <c r="L230" s="31"/>
      <c r="M230" s="31"/>
      <c r="N230" s="30"/>
      <c r="O230" s="165"/>
      <c r="P230" s="165"/>
      <c r="Q230" s="165"/>
      <c r="R230" s="165"/>
      <c r="S230" s="165"/>
      <c r="T230" s="165"/>
      <c r="U230" s="165"/>
      <c r="V230" s="165"/>
      <c r="W230" s="31"/>
      <c r="X230" s="27"/>
      <c r="Y230" s="31"/>
      <c r="Z230" s="31"/>
      <c r="AA230" s="31"/>
      <c r="AB230" s="87"/>
      <c r="AC230" s="178"/>
      <c r="AD230" s="31"/>
      <c r="AE230" s="27"/>
      <c r="AF230" s="31"/>
      <c r="AG230" s="31"/>
      <c r="AH230" s="31"/>
      <c r="AI230" s="87"/>
      <c r="AJ230" s="178"/>
      <c r="AK230" s="22"/>
      <c r="AL230" s="22"/>
      <c r="AM230" s="129"/>
      <c r="AN230" s="8"/>
      <c r="AO230" s="8"/>
      <c r="AP230" s="8"/>
      <c r="AQ230" s="8"/>
      <c r="AR230" s="8"/>
      <c r="AS230" s="8"/>
      <c r="AT230" s="7"/>
      <c r="AU230" s="7"/>
      <c r="AV230" s="7"/>
      <c r="AW230" s="7"/>
    </row>
    <row r="231" spans="1:49" ht="15" hidden="1" customHeight="1">
      <c r="A231" s="244"/>
      <c r="B231" s="236"/>
      <c r="C231" s="196"/>
      <c r="D231" s="219"/>
      <c r="E231" s="196"/>
      <c r="F231" s="203"/>
      <c r="G231" s="28"/>
      <c r="H231" s="26" t="s">
        <v>0</v>
      </c>
      <c r="I231" s="31"/>
      <c r="J231" s="31"/>
      <c r="K231" s="31"/>
      <c r="L231" s="31"/>
      <c r="M231" s="31"/>
      <c r="N231" s="30"/>
      <c r="O231" s="165"/>
      <c r="P231" s="165"/>
      <c r="Q231" s="165"/>
      <c r="R231" s="165"/>
      <c r="S231" s="165"/>
      <c r="T231" s="165"/>
      <c r="U231" s="165"/>
      <c r="V231" s="165"/>
      <c r="W231" s="31"/>
      <c r="X231" s="22"/>
      <c r="Y231" s="31"/>
      <c r="Z231" s="31"/>
      <c r="AA231" s="31"/>
      <c r="AB231" s="21"/>
      <c r="AC231" s="178"/>
      <c r="AD231" s="31"/>
      <c r="AE231" s="22"/>
      <c r="AF231" s="31"/>
      <c r="AG231" s="31"/>
      <c r="AH231" s="31"/>
      <c r="AI231" s="21"/>
      <c r="AJ231" s="178"/>
      <c r="AK231" s="22"/>
      <c r="AL231" s="22"/>
      <c r="AM231" s="129"/>
      <c r="AN231" s="8"/>
      <c r="AO231" s="8"/>
      <c r="AP231" s="8"/>
      <c r="AQ231" s="8"/>
      <c r="AR231" s="8"/>
      <c r="AS231" s="8"/>
      <c r="AT231" s="7"/>
      <c r="AU231" s="7"/>
      <c r="AV231" s="7"/>
      <c r="AW231" s="7"/>
    </row>
    <row r="232" spans="1:49" ht="15" hidden="1" customHeight="1">
      <c r="A232" s="244"/>
      <c r="B232" s="236"/>
      <c r="C232" s="196"/>
      <c r="D232" s="219"/>
      <c r="E232" s="196"/>
      <c r="F232" s="203"/>
      <c r="G232" s="28">
        <v>0.254</v>
      </c>
      <c r="H232" s="29" t="s">
        <v>31</v>
      </c>
      <c r="I232" s="31"/>
      <c r="J232" s="31"/>
      <c r="K232" s="31"/>
      <c r="L232" s="31"/>
      <c r="M232" s="31"/>
      <c r="N232" s="30"/>
      <c r="O232" s="165"/>
      <c r="P232" s="165"/>
      <c r="Q232" s="165"/>
      <c r="R232" s="165"/>
      <c r="S232" s="165"/>
      <c r="T232" s="165"/>
      <c r="U232" s="165"/>
      <c r="V232" s="165"/>
      <c r="W232" s="31"/>
      <c r="X232" s="31"/>
      <c r="Y232" s="31"/>
      <c r="Z232" s="31"/>
      <c r="AA232" s="31"/>
      <c r="AB232" s="30"/>
      <c r="AC232" s="178"/>
      <c r="AD232" s="31"/>
      <c r="AE232" s="31"/>
      <c r="AF232" s="31"/>
      <c r="AG232" s="31"/>
      <c r="AH232" s="31"/>
      <c r="AI232" s="30"/>
      <c r="AJ232" s="178"/>
      <c r="AK232" s="22"/>
      <c r="AL232" s="22"/>
      <c r="AM232" s="129"/>
      <c r="AN232" s="8"/>
      <c r="AO232" s="8"/>
      <c r="AP232" s="8"/>
      <c r="AQ232" s="8"/>
      <c r="AR232" s="8"/>
      <c r="AS232" s="8"/>
      <c r="AT232" s="7"/>
      <c r="AU232" s="7"/>
      <c r="AV232" s="7"/>
      <c r="AW232" s="7"/>
    </row>
    <row r="233" spans="1:49" ht="15" hidden="1" customHeight="1">
      <c r="A233" s="244"/>
      <c r="B233" s="236"/>
      <c r="C233" s="196"/>
      <c r="D233" s="219"/>
      <c r="E233" s="196"/>
      <c r="F233" s="203"/>
      <c r="G233" s="28"/>
      <c r="H233" s="23" t="s">
        <v>26</v>
      </c>
      <c r="I233" s="31"/>
      <c r="J233" s="31"/>
      <c r="K233" s="31"/>
      <c r="L233" s="31"/>
      <c r="M233" s="31"/>
      <c r="N233" s="30"/>
      <c r="O233" s="165"/>
      <c r="P233" s="165"/>
      <c r="Q233" s="165"/>
      <c r="R233" s="165"/>
      <c r="S233" s="165"/>
      <c r="T233" s="165"/>
      <c r="U233" s="165"/>
      <c r="V233" s="165"/>
      <c r="W233" s="31"/>
      <c r="X233" s="31"/>
      <c r="Y233" s="31"/>
      <c r="Z233" s="31"/>
      <c r="AA233" s="31"/>
      <c r="AB233" s="30"/>
      <c r="AC233" s="178"/>
      <c r="AD233" s="31"/>
      <c r="AE233" s="31"/>
      <c r="AF233" s="31"/>
      <c r="AG233" s="31"/>
      <c r="AH233" s="31"/>
      <c r="AI233" s="30"/>
      <c r="AJ233" s="178"/>
      <c r="AK233" s="22"/>
      <c r="AL233" s="22"/>
      <c r="AM233" s="129"/>
      <c r="AN233" s="8"/>
      <c r="AO233" s="8"/>
      <c r="AP233" s="8"/>
      <c r="AQ233" s="8"/>
      <c r="AR233" s="8"/>
      <c r="AS233" s="8"/>
      <c r="AT233" s="7"/>
      <c r="AU233" s="7"/>
      <c r="AV233" s="7"/>
      <c r="AW233" s="7"/>
    </row>
    <row r="234" spans="1:49" ht="15" hidden="1" customHeight="1">
      <c r="A234" s="244"/>
      <c r="B234" s="236"/>
      <c r="C234" s="196"/>
      <c r="D234" s="219"/>
      <c r="E234" s="196"/>
      <c r="F234" s="203"/>
      <c r="G234" s="28"/>
      <c r="H234" s="26" t="s">
        <v>0</v>
      </c>
      <c r="I234" s="22"/>
      <c r="J234" s="31"/>
      <c r="K234" s="31"/>
      <c r="L234" s="31"/>
      <c r="M234" s="31"/>
      <c r="N234" s="30"/>
      <c r="O234" s="165"/>
      <c r="P234" s="165"/>
      <c r="Q234" s="165"/>
      <c r="R234" s="165"/>
      <c r="S234" s="165"/>
      <c r="T234" s="165"/>
      <c r="U234" s="165"/>
      <c r="V234" s="165"/>
      <c r="W234" s="31"/>
      <c r="X234" s="31"/>
      <c r="Y234" s="31"/>
      <c r="Z234" s="31"/>
      <c r="AA234" s="31"/>
      <c r="AB234" s="30"/>
      <c r="AC234" s="178"/>
      <c r="AD234" s="31"/>
      <c r="AE234" s="31"/>
      <c r="AF234" s="31"/>
      <c r="AG234" s="31"/>
      <c r="AH234" s="31"/>
      <c r="AI234" s="30"/>
      <c r="AJ234" s="178"/>
      <c r="AK234" s="22"/>
      <c r="AL234" s="22"/>
      <c r="AM234" s="129"/>
      <c r="AN234" s="8"/>
      <c r="AO234" s="8"/>
      <c r="AP234" s="8"/>
      <c r="AQ234" s="8"/>
      <c r="AR234" s="8"/>
      <c r="AS234" s="8"/>
      <c r="AT234" s="7"/>
      <c r="AU234" s="7"/>
      <c r="AV234" s="7"/>
      <c r="AW234" s="7"/>
    </row>
    <row r="235" spans="1:49" ht="15" hidden="1" customHeight="1">
      <c r="A235" s="244"/>
      <c r="B235" s="236"/>
      <c r="C235" s="196"/>
      <c r="D235" s="219"/>
      <c r="E235" s="196"/>
      <c r="F235" s="203"/>
      <c r="G235" s="28" t="s">
        <v>30</v>
      </c>
      <c r="H235" s="29" t="s">
        <v>27</v>
      </c>
      <c r="I235" s="31"/>
      <c r="J235" s="31"/>
      <c r="K235" s="31"/>
      <c r="L235" s="31"/>
      <c r="M235" s="31"/>
      <c r="N235" s="30"/>
      <c r="O235" s="174"/>
      <c r="P235" s="165"/>
      <c r="Q235" s="165"/>
      <c r="R235" s="165"/>
      <c r="S235" s="165"/>
      <c r="T235" s="165"/>
      <c r="U235" s="165"/>
      <c r="V235" s="165"/>
      <c r="W235" s="31"/>
      <c r="X235" s="31"/>
      <c r="Y235" s="31"/>
      <c r="Z235" s="31"/>
      <c r="AA235" s="31"/>
      <c r="AB235" s="30"/>
      <c r="AC235" s="178"/>
      <c r="AD235" s="31"/>
      <c r="AE235" s="31"/>
      <c r="AF235" s="31"/>
      <c r="AG235" s="31"/>
      <c r="AH235" s="31"/>
      <c r="AI235" s="30"/>
      <c r="AJ235" s="178"/>
      <c r="AK235" s="22"/>
      <c r="AL235" s="22"/>
      <c r="AM235" s="129"/>
      <c r="AN235" s="8"/>
      <c r="AO235" s="8"/>
      <c r="AP235" s="8"/>
      <c r="AQ235" s="8"/>
      <c r="AR235" s="8"/>
      <c r="AS235" s="8"/>
      <c r="AT235" s="7"/>
      <c r="AU235" s="7"/>
      <c r="AV235" s="7"/>
      <c r="AW235" s="7"/>
    </row>
    <row r="236" spans="1:49" ht="15" hidden="1" customHeight="1">
      <c r="A236" s="244"/>
      <c r="B236" s="236"/>
      <c r="C236" s="196"/>
      <c r="D236" s="219"/>
      <c r="E236" s="196"/>
      <c r="F236" s="203"/>
      <c r="G236" s="28"/>
      <c r="H236" s="23" t="s">
        <v>26</v>
      </c>
      <c r="I236" s="31"/>
      <c r="J236" s="31"/>
      <c r="K236" s="31"/>
      <c r="L236" s="31"/>
      <c r="M236" s="31"/>
      <c r="N236" s="30"/>
      <c r="O236" s="174"/>
      <c r="P236" s="165"/>
      <c r="Q236" s="165"/>
      <c r="R236" s="165"/>
      <c r="S236" s="165"/>
      <c r="T236" s="165"/>
      <c r="U236" s="165"/>
      <c r="V236" s="165"/>
      <c r="W236" s="31"/>
      <c r="X236" s="31"/>
      <c r="Y236" s="31"/>
      <c r="Z236" s="31"/>
      <c r="AA236" s="31"/>
      <c r="AB236" s="30"/>
      <c r="AC236" s="178"/>
      <c r="AD236" s="31"/>
      <c r="AE236" s="31"/>
      <c r="AF236" s="31"/>
      <c r="AG236" s="31"/>
      <c r="AH236" s="31"/>
      <c r="AI236" s="30"/>
      <c r="AJ236" s="178"/>
      <c r="AK236" s="22"/>
      <c r="AL236" s="22"/>
      <c r="AM236" s="129"/>
      <c r="AN236" s="8"/>
      <c r="AO236" s="8"/>
      <c r="AP236" s="8"/>
      <c r="AQ236" s="8"/>
      <c r="AR236" s="8"/>
      <c r="AS236" s="8"/>
      <c r="AT236" s="7"/>
      <c r="AU236" s="7"/>
      <c r="AV236" s="7"/>
      <c r="AW236" s="7"/>
    </row>
    <row r="237" spans="1:49" ht="15" hidden="1" customHeight="1">
      <c r="A237" s="244"/>
      <c r="B237" s="236"/>
      <c r="C237" s="196"/>
      <c r="D237" s="219"/>
      <c r="E237" s="196"/>
      <c r="F237" s="203"/>
      <c r="G237" s="28"/>
      <c r="H237" s="26" t="s">
        <v>0</v>
      </c>
      <c r="I237" s="31"/>
      <c r="J237" s="31"/>
      <c r="K237" s="31"/>
      <c r="L237" s="31"/>
      <c r="M237" s="31"/>
      <c r="N237" s="30"/>
      <c r="O237" s="165"/>
      <c r="P237" s="165"/>
      <c r="Q237" s="165"/>
      <c r="R237" s="165"/>
      <c r="S237" s="165"/>
      <c r="T237" s="165"/>
      <c r="U237" s="165"/>
      <c r="V237" s="165"/>
      <c r="W237" s="31"/>
      <c r="X237" s="31"/>
      <c r="Y237" s="31"/>
      <c r="Z237" s="31"/>
      <c r="AA237" s="31"/>
      <c r="AB237" s="30"/>
      <c r="AC237" s="178"/>
      <c r="AD237" s="31"/>
      <c r="AE237" s="31"/>
      <c r="AF237" s="31"/>
      <c r="AG237" s="31"/>
      <c r="AH237" s="31"/>
      <c r="AI237" s="30"/>
      <c r="AJ237" s="178"/>
      <c r="AK237" s="22"/>
      <c r="AL237" s="22"/>
      <c r="AM237" s="129"/>
      <c r="AN237" s="8"/>
      <c r="AO237" s="8"/>
      <c r="AP237" s="8"/>
      <c r="AQ237" s="8"/>
      <c r="AR237" s="8"/>
      <c r="AS237" s="8"/>
      <c r="AT237" s="7"/>
      <c r="AU237" s="7"/>
      <c r="AV237" s="7"/>
      <c r="AW237" s="7"/>
    </row>
    <row r="238" spans="1:49" ht="15" hidden="1" customHeight="1">
      <c r="A238" s="244"/>
      <c r="B238" s="236"/>
      <c r="C238" s="196"/>
      <c r="D238" s="219"/>
      <c r="E238" s="196"/>
      <c r="F238" s="203"/>
      <c r="G238" s="28" t="s">
        <v>51</v>
      </c>
      <c r="H238" s="29" t="s">
        <v>27</v>
      </c>
      <c r="I238" s="31"/>
      <c r="J238" s="31"/>
      <c r="K238" s="31"/>
      <c r="L238" s="31"/>
      <c r="M238" s="31"/>
      <c r="N238" s="30"/>
      <c r="O238" s="174"/>
      <c r="P238" s="165"/>
      <c r="Q238" s="165"/>
      <c r="R238" s="165"/>
      <c r="S238" s="165"/>
      <c r="T238" s="174"/>
      <c r="U238" s="174"/>
      <c r="V238" s="165"/>
      <c r="W238" s="31"/>
      <c r="X238" s="31"/>
      <c r="Y238" s="31"/>
      <c r="Z238" s="31"/>
      <c r="AA238" s="31"/>
      <c r="AB238" s="30"/>
      <c r="AC238" s="178"/>
      <c r="AD238" s="31"/>
      <c r="AE238" s="31"/>
      <c r="AF238" s="31"/>
      <c r="AG238" s="31"/>
      <c r="AH238" s="31"/>
      <c r="AI238" s="30"/>
      <c r="AJ238" s="178"/>
      <c r="AK238" s="22"/>
      <c r="AL238" s="22"/>
      <c r="AM238" s="129"/>
      <c r="AN238" s="8"/>
      <c r="AO238" s="8"/>
      <c r="AP238" s="8"/>
      <c r="AQ238" s="8"/>
      <c r="AR238" s="8"/>
      <c r="AS238" s="8"/>
      <c r="AT238" s="7"/>
      <c r="AU238" s="7"/>
      <c r="AV238" s="7"/>
      <c r="AW238" s="7"/>
    </row>
    <row r="239" spans="1:49" ht="15" hidden="1" customHeight="1">
      <c r="A239" s="244"/>
      <c r="B239" s="236"/>
      <c r="C239" s="196"/>
      <c r="D239" s="219"/>
      <c r="E239" s="196"/>
      <c r="F239" s="203"/>
      <c r="G239" s="28"/>
      <c r="H239" s="23" t="s">
        <v>26</v>
      </c>
      <c r="I239" s="31"/>
      <c r="J239" s="31"/>
      <c r="K239" s="31"/>
      <c r="L239" s="31"/>
      <c r="M239" s="31"/>
      <c r="N239" s="30"/>
      <c r="O239" s="174"/>
      <c r="P239" s="165"/>
      <c r="Q239" s="165"/>
      <c r="R239" s="165"/>
      <c r="S239" s="165"/>
      <c r="T239" s="174"/>
      <c r="U239" s="174"/>
      <c r="V239" s="165"/>
      <c r="W239" s="31"/>
      <c r="X239" s="31"/>
      <c r="Y239" s="31"/>
      <c r="Z239" s="31"/>
      <c r="AA239" s="31"/>
      <c r="AB239" s="30"/>
      <c r="AC239" s="178"/>
      <c r="AD239" s="31"/>
      <c r="AE239" s="31"/>
      <c r="AF239" s="31"/>
      <c r="AG239" s="31"/>
      <c r="AH239" s="31"/>
      <c r="AI239" s="30"/>
      <c r="AJ239" s="178"/>
      <c r="AK239" s="22"/>
      <c r="AL239" s="22"/>
      <c r="AM239" s="129"/>
      <c r="AN239" s="8"/>
      <c r="AO239" s="8"/>
      <c r="AP239" s="8"/>
      <c r="AQ239" s="8"/>
      <c r="AR239" s="8"/>
      <c r="AS239" s="8"/>
      <c r="AT239" s="7"/>
      <c r="AU239" s="7"/>
      <c r="AV239" s="7"/>
      <c r="AW239" s="7"/>
    </row>
    <row r="240" spans="1:49" ht="15" hidden="1" customHeight="1">
      <c r="A240" s="244"/>
      <c r="B240" s="236"/>
      <c r="C240" s="196"/>
      <c r="D240" s="219"/>
      <c r="E240" s="196"/>
      <c r="F240" s="203"/>
      <c r="G240" s="28"/>
      <c r="H240" s="26" t="s">
        <v>0</v>
      </c>
      <c r="I240" s="31"/>
      <c r="J240" s="31"/>
      <c r="K240" s="31"/>
      <c r="L240" s="31"/>
      <c r="M240" s="31"/>
      <c r="N240" s="30"/>
      <c r="O240" s="165"/>
      <c r="P240" s="165"/>
      <c r="Q240" s="165"/>
      <c r="R240" s="165"/>
      <c r="S240" s="165"/>
      <c r="T240" s="165"/>
      <c r="U240" s="165"/>
      <c r="V240" s="165"/>
      <c r="W240" s="31"/>
      <c r="X240" s="31"/>
      <c r="Y240" s="31"/>
      <c r="Z240" s="31"/>
      <c r="AA240" s="31"/>
      <c r="AB240" s="30"/>
      <c r="AC240" s="178"/>
      <c r="AD240" s="31"/>
      <c r="AE240" s="31"/>
      <c r="AF240" s="31"/>
      <c r="AG240" s="31"/>
      <c r="AH240" s="31"/>
      <c r="AI240" s="30"/>
      <c r="AJ240" s="178"/>
      <c r="AK240" s="22"/>
      <c r="AL240" s="22"/>
      <c r="AM240" s="129"/>
      <c r="AN240" s="8"/>
      <c r="AO240" s="8"/>
      <c r="AP240" s="8"/>
      <c r="AQ240" s="8"/>
      <c r="AR240" s="8"/>
      <c r="AS240" s="8"/>
      <c r="AT240" s="7"/>
      <c r="AU240" s="7"/>
      <c r="AV240" s="7"/>
      <c r="AW240" s="7"/>
    </row>
    <row r="241" spans="1:49">
      <c r="A241" s="244"/>
      <c r="B241" s="236"/>
      <c r="C241" s="196"/>
      <c r="D241" s="219"/>
      <c r="E241" s="196"/>
      <c r="F241" s="203"/>
      <c r="G241" s="28" t="s">
        <v>50</v>
      </c>
      <c r="H241" s="23" t="s">
        <v>49</v>
      </c>
      <c r="I241" s="42">
        <f>($M$281*$D$229/5)*14</f>
        <v>206500</v>
      </c>
      <c r="J241" s="42">
        <f>($M$281*$D$229/5)*14</f>
        <v>206500</v>
      </c>
      <c r="K241" s="42">
        <f>($M$281*$D$229/5)*14</f>
        <v>206500</v>
      </c>
      <c r="L241" s="42">
        <f>($M$281*$D$229/5)*14</f>
        <v>206500</v>
      </c>
      <c r="M241" s="42">
        <f>($M$281*$D$229/5)*14</f>
        <v>206500</v>
      </c>
      <c r="N241" s="155"/>
      <c r="O241" s="173"/>
      <c r="P241" s="173"/>
      <c r="Q241" s="173"/>
      <c r="R241" s="173"/>
      <c r="S241" s="173"/>
      <c r="T241" s="173"/>
      <c r="U241" s="173"/>
      <c r="V241" s="173"/>
      <c r="W241" s="42">
        <f>($M$281*$D$229/5)*14</f>
        <v>206500</v>
      </c>
      <c r="X241" s="42">
        <f>($M$281*$D$229/5)*14</f>
        <v>206500</v>
      </c>
      <c r="Y241" s="42">
        <f>($M$281*$D$229/5)*14</f>
        <v>206500</v>
      </c>
      <c r="Z241" s="42">
        <f>($M$281*$D$229/5)*14</f>
        <v>206500</v>
      </c>
      <c r="AA241" s="42">
        <f>($M$281*$D$229/5)*14</f>
        <v>206500</v>
      </c>
      <c r="AB241" s="155"/>
      <c r="AC241" s="183"/>
      <c r="AD241" s="42">
        <f>($M$281*$D$229/5)*14</f>
        <v>206500</v>
      </c>
      <c r="AE241" s="42">
        <f>($M$281*$D$229/5)*14</f>
        <v>206500</v>
      </c>
      <c r="AF241" s="42">
        <f>($M$281*$D$229/5)*14</f>
        <v>206500</v>
      </c>
      <c r="AG241" s="42">
        <f>($M$281*$D$229/5)*14</f>
        <v>206500</v>
      </c>
      <c r="AH241" s="42">
        <f>($M$281*$D$229/5)*14</f>
        <v>206500</v>
      </c>
      <c r="AI241" s="155"/>
      <c r="AJ241" s="183"/>
      <c r="AK241" s="42">
        <f>($M$281*$D$229/5)*14</f>
        <v>206500</v>
      </c>
      <c r="AL241" s="42">
        <f>($M$281*$D$229/5)*14</f>
        <v>206500</v>
      </c>
      <c r="AM241" s="42"/>
      <c r="AN241" s="8"/>
      <c r="AO241" s="8"/>
      <c r="AP241" s="8"/>
      <c r="AQ241" s="8"/>
      <c r="AR241" s="8"/>
      <c r="AS241" s="8"/>
      <c r="AT241" s="7"/>
      <c r="AU241" s="7"/>
      <c r="AV241" s="7"/>
      <c r="AW241" s="7"/>
    </row>
    <row r="242" spans="1:49">
      <c r="A242" s="244"/>
      <c r="B242" s="236"/>
      <c r="C242" s="196"/>
      <c r="D242" s="219"/>
      <c r="E242" s="196"/>
      <c r="F242" s="203"/>
      <c r="G242" s="28"/>
      <c r="H242" s="23" t="s">
        <v>17</v>
      </c>
      <c r="I242" s="41">
        <v>6</v>
      </c>
      <c r="J242" s="41">
        <v>6</v>
      </c>
      <c r="K242" s="41">
        <v>6</v>
      </c>
      <c r="L242" s="41">
        <v>6</v>
      </c>
      <c r="M242" s="41">
        <v>6</v>
      </c>
      <c r="N242" s="30"/>
      <c r="O242" s="165"/>
      <c r="P242" s="165"/>
      <c r="Q242" s="165"/>
      <c r="R242" s="165"/>
      <c r="S242" s="165"/>
      <c r="T242" s="165"/>
      <c r="U242" s="165"/>
      <c r="V242" s="165"/>
      <c r="W242" s="41">
        <v>6</v>
      </c>
      <c r="X242" s="41">
        <v>6</v>
      </c>
      <c r="Y242" s="41">
        <v>6</v>
      </c>
      <c r="Z242" s="41">
        <v>6</v>
      </c>
      <c r="AA242" s="41">
        <v>6</v>
      </c>
      <c r="AB242" s="30"/>
      <c r="AC242" s="178"/>
      <c r="AD242" s="41">
        <v>6</v>
      </c>
      <c r="AE242" s="41">
        <v>6</v>
      </c>
      <c r="AF242" s="41">
        <v>6</v>
      </c>
      <c r="AG242" s="41">
        <v>6</v>
      </c>
      <c r="AH242" s="41">
        <v>6</v>
      </c>
      <c r="AI242" s="30"/>
      <c r="AJ242" s="178"/>
      <c r="AK242" s="41">
        <v>6</v>
      </c>
      <c r="AL242" s="41">
        <v>6</v>
      </c>
      <c r="AM242" s="41"/>
      <c r="AN242" s="8"/>
      <c r="AO242" s="8"/>
      <c r="AP242" s="8"/>
      <c r="AQ242" s="8"/>
      <c r="AR242" s="8"/>
      <c r="AS242" s="8"/>
      <c r="AT242" s="7"/>
      <c r="AU242" s="7"/>
      <c r="AV242" s="7"/>
      <c r="AW242" s="7"/>
    </row>
    <row r="243" spans="1:49">
      <c r="A243" s="244"/>
      <c r="B243" s="236"/>
      <c r="C243" s="196"/>
      <c r="D243" s="219"/>
      <c r="E243" s="196"/>
      <c r="F243" s="203"/>
      <c r="G243" s="28"/>
      <c r="H243" s="26" t="s">
        <v>0</v>
      </c>
      <c r="I243" s="22"/>
      <c r="J243" s="22"/>
      <c r="K243" s="31"/>
      <c r="L243" s="22"/>
      <c r="M243" s="22"/>
      <c r="N243" s="21"/>
      <c r="O243" s="165"/>
      <c r="P243" s="165"/>
      <c r="Q243" s="165"/>
      <c r="R243" s="165"/>
      <c r="S243" s="165"/>
      <c r="T243" s="165"/>
      <c r="U243" s="165"/>
      <c r="V243" s="165"/>
      <c r="W243" s="22"/>
      <c r="X243" s="22"/>
      <c r="Y243" s="31"/>
      <c r="Z243" s="22"/>
      <c r="AA243" s="22"/>
      <c r="AB243" s="21"/>
      <c r="AC243" s="165"/>
      <c r="AD243" s="22"/>
      <c r="AE243" s="22"/>
      <c r="AF243" s="31"/>
      <c r="AG243" s="22"/>
      <c r="AH243" s="22"/>
      <c r="AI243" s="21"/>
      <c r="AJ243" s="165"/>
      <c r="AK243" s="22"/>
      <c r="AL243" s="22"/>
      <c r="AM243" s="129"/>
      <c r="AN243" s="8"/>
      <c r="AO243" s="8"/>
      <c r="AP243" s="8"/>
      <c r="AQ243" s="8"/>
      <c r="AR243" s="8"/>
      <c r="AS243" s="8"/>
      <c r="AT243" s="7"/>
      <c r="AU243" s="7"/>
      <c r="AV243" s="7"/>
      <c r="AW243" s="7"/>
    </row>
    <row r="244" spans="1:49">
      <c r="A244" s="244"/>
      <c r="B244" s="236"/>
      <c r="C244" s="196"/>
      <c r="D244" s="219"/>
      <c r="E244" s="196"/>
      <c r="F244" s="203"/>
      <c r="G244" s="28"/>
      <c r="H244" s="26" t="s">
        <v>34</v>
      </c>
      <c r="I244" s="40">
        <f>I243-I241</f>
        <v>-206500</v>
      </c>
      <c r="J244" s="31"/>
      <c r="K244" s="31"/>
      <c r="L244" s="31"/>
      <c r="M244" s="31"/>
      <c r="N244" s="30"/>
      <c r="O244" s="165"/>
      <c r="P244" s="165"/>
      <c r="Q244" s="165"/>
      <c r="R244" s="165"/>
      <c r="S244" s="165"/>
      <c r="T244" s="165"/>
      <c r="U244" s="165"/>
      <c r="V244" s="165"/>
      <c r="W244" s="31"/>
      <c r="X244" s="31"/>
      <c r="Y244" s="31"/>
      <c r="Z244" s="31"/>
      <c r="AA244" s="31"/>
      <c r="AB244" s="30"/>
      <c r="AC244" s="178"/>
      <c r="AD244" s="31"/>
      <c r="AE244" s="31"/>
      <c r="AF244" s="31"/>
      <c r="AG244" s="31"/>
      <c r="AH244" s="31"/>
      <c r="AI244" s="30"/>
      <c r="AJ244" s="178"/>
      <c r="AK244" s="22"/>
      <c r="AL244" s="22"/>
      <c r="AM244" s="129"/>
      <c r="AN244" s="8"/>
      <c r="AO244" s="8"/>
      <c r="AP244" s="8"/>
      <c r="AQ244" s="8"/>
      <c r="AR244" s="8"/>
      <c r="AS244" s="8"/>
      <c r="AT244" s="7"/>
      <c r="AU244" s="7"/>
      <c r="AV244" s="7"/>
      <c r="AW244" s="7"/>
    </row>
    <row r="245" spans="1:49">
      <c r="A245" s="244"/>
      <c r="B245" s="236"/>
      <c r="C245" s="196"/>
      <c r="D245" s="219"/>
      <c r="E245" s="196"/>
      <c r="F245" s="203"/>
      <c r="G245" s="27" t="s">
        <v>48</v>
      </c>
      <c r="H245" s="23" t="s">
        <v>47</v>
      </c>
      <c r="I245" s="39">
        <f>($M$281*$D$229/5)*5</f>
        <v>73750</v>
      </c>
      <c r="J245" s="39">
        <f>($M$281*$D$229/5)*5</f>
        <v>73750</v>
      </c>
      <c r="K245" s="39">
        <f>($M$281*$D$229/5)*5</f>
        <v>73750</v>
      </c>
      <c r="L245" s="39">
        <f>($M$281*$D$229/5)*5</f>
        <v>73750</v>
      </c>
      <c r="M245" s="39">
        <f>($M$281*$D$229/5)*5</f>
        <v>73750</v>
      </c>
      <c r="N245" s="149"/>
      <c r="O245" s="173"/>
      <c r="P245" s="173"/>
      <c r="Q245" s="173"/>
      <c r="R245" s="173"/>
      <c r="S245" s="173"/>
      <c r="T245" s="173"/>
      <c r="U245" s="173"/>
      <c r="V245" s="173"/>
      <c r="W245" s="39">
        <f>($M$281*$D$229/5)*5</f>
        <v>73750</v>
      </c>
      <c r="X245" s="39">
        <f>($M$281*$D$229/5)*5</f>
        <v>73750</v>
      </c>
      <c r="Y245" s="39">
        <f>($M$281*$D$229/5)*5</f>
        <v>73750</v>
      </c>
      <c r="Z245" s="39">
        <f>($M$281*$D$229/5)*5</f>
        <v>73750</v>
      </c>
      <c r="AA245" s="39">
        <f>($M$281*$D$229/5)*5</f>
        <v>73750</v>
      </c>
      <c r="AB245" s="149"/>
      <c r="AC245" s="173"/>
      <c r="AD245" s="39">
        <f>($M$281*$D$229/5)*5</f>
        <v>73750</v>
      </c>
      <c r="AE245" s="39">
        <f>($M$281*$D$229/5)*5</f>
        <v>73750</v>
      </c>
      <c r="AF245" s="39">
        <f>($M$281*$D$229/5)*5</f>
        <v>73750</v>
      </c>
      <c r="AG245" s="39">
        <f>($M$281*$D$229/5)*5</f>
        <v>73750</v>
      </c>
      <c r="AH245" s="39">
        <f>($M$281*$D$229/5)*5</f>
        <v>73750</v>
      </c>
      <c r="AI245" s="149"/>
      <c r="AJ245" s="173"/>
      <c r="AK245" s="39">
        <f>($M$281*$D$229/5)*5</f>
        <v>73750</v>
      </c>
      <c r="AL245" s="39">
        <f>($M$281*$D$229/5)*5</f>
        <v>73750</v>
      </c>
      <c r="AM245" s="39"/>
      <c r="AN245" s="8"/>
      <c r="AO245" s="8"/>
      <c r="AP245" s="8"/>
      <c r="AQ245" s="8"/>
      <c r="AR245" s="7"/>
      <c r="AS245" s="7"/>
      <c r="AT245" s="7"/>
      <c r="AU245" s="7"/>
      <c r="AV245" s="7"/>
      <c r="AW245" s="7"/>
    </row>
    <row r="246" spans="1:49">
      <c r="A246" s="244"/>
      <c r="B246" s="236"/>
      <c r="C246" s="196"/>
      <c r="D246" s="219"/>
      <c r="E246" s="196"/>
      <c r="F246" s="203"/>
      <c r="G246" s="27"/>
      <c r="H246" s="26" t="s">
        <v>0</v>
      </c>
      <c r="I246" s="38"/>
      <c r="J246" s="38"/>
      <c r="K246" s="38"/>
      <c r="L246" s="38"/>
      <c r="M246" s="38"/>
      <c r="N246" s="149"/>
      <c r="O246" s="173"/>
      <c r="P246" s="173"/>
      <c r="Q246" s="165"/>
      <c r="R246" s="165"/>
      <c r="S246" s="165"/>
      <c r="T246" s="173"/>
      <c r="U246" s="173"/>
      <c r="V246" s="173"/>
      <c r="W246" s="38"/>
      <c r="X246" s="38"/>
      <c r="Y246" s="38"/>
      <c r="Z246" s="38"/>
      <c r="AA246" s="38"/>
      <c r="AB246" s="149"/>
      <c r="AC246" s="173"/>
      <c r="AD246" s="38"/>
      <c r="AE246" s="38"/>
      <c r="AF246" s="38"/>
      <c r="AG246" s="38"/>
      <c r="AH246" s="38"/>
      <c r="AI246" s="149"/>
      <c r="AJ246" s="173"/>
      <c r="AK246" s="38"/>
      <c r="AL246" s="22"/>
      <c r="AM246" s="129"/>
      <c r="AN246" s="8"/>
      <c r="AO246" s="8"/>
      <c r="AP246" s="8"/>
      <c r="AQ246" s="8"/>
      <c r="AR246" s="7"/>
      <c r="AS246" s="7"/>
      <c r="AT246" s="7"/>
      <c r="AU246" s="7"/>
      <c r="AV246" s="7"/>
      <c r="AW246" s="7"/>
    </row>
    <row r="247" spans="1:49">
      <c r="A247" s="244"/>
      <c r="B247" s="236"/>
      <c r="C247" s="196"/>
      <c r="D247" s="219"/>
      <c r="E247" s="196"/>
      <c r="F247" s="203"/>
      <c r="G247" s="27"/>
      <c r="H247" s="26" t="s">
        <v>34</v>
      </c>
      <c r="I247" s="38"/>
      <c r="J247" s="38"/>
      <c r="K247" s="38"/>
      <c r="L247" s="38"/>
      <c r="M247" s="38"/>
      <c r="N247" s="149"/>
      <c r="O247" s="173"/>
      <c r="P247" s="173"/>
      <c r="Q247" s="165"/>
      <c r="R247" s="165"/>
      <c r="S247" s="165"/>
      <c r="T247" s="173"/>
      <c r="U247" s="173"/>
      <c r="V247" s="173"/>
      <c r="W247" s="38"/>
      <c r="X247" s="38"/>
      <c r="Y247" s="38"/>
      <c r="Z247" s="38"/>
      <c r="AA247" s="38"/>
      <c r="AB247" s="149"/>
      <c r="AC247" s="173"/>
      <c r="AD247" s="38"/>
      <c r="AE247" s="38"/>
      <c r="AF247" s="38"/>
      <c r="AG247" s="38"/>
      <c r="AH247" s="38"/>
      <c r="AI247" s="149"/>
      <c r="AJ247" s="173"/>
      <c r="AK247" s="38"/>
      <c r="AL247" s="22"/>
      <c r="AM247" s="129"/>
      <c r="AN247" s="8"/>
      <c r="AO247" s="8"/>
      <c r="AP247" s="8"/>
      <c r="AQ247" s="8"/>
      <c r="AR247" s="7"/>
      <c r="AS247" s="7"/>
      <c r="AT247" s="7"/>
      <c r="AU247" s="7"/>
      <c r="AV247" s="7"/>
      <c r="AW247" s="7"/>
    </row>
    <row r="248" spans="1:49">
      <c r="A248" s="244"/>
      <c r="B248" s="236"/>
      <c r="C248" s="196"/>
      <c r="D248" s="219"/>
      <c r="E248" s="196"/>
      <c r="F248" s="203"/>
      <c r="G248" s="27" t="s">
        <v>46</v>
      </c>
      <c r="H248" s="23" t="s">
        <v>45</v>
      </c>
      <c r="I248" s="39">
        <f>($M$281*$D$229/5)*5</f>
        <v>73750</v>
      </c>
      <c r="J248" s="39">
        <f>($M$281*$D$229/5)*5</f>
        <v>73750</v>
      </c>
      <c r="K248" s="39">
        <f>($M$281*$D$229/5)*5</f>
        <v>73750</v>
      </c>
      <c r="L248" s="39">
        <f>($M$281*$D$229/5)*5</f>
        <v>73750</v>
      </c>
      <c r="M248" s="39">
        <f>($M$281*$D$229/5)*5</f>
        <v>73750</v>
      </c>
      <c r="N248" s="149"/>
      <c r="O248" s="173"/>
      <c r="P248" s="173"/>
      <c r="Q248" s="173"/>
      <c r="R248" s="173"/>
      <c r="S248" s="173"/>
      <c r="T248" s="173"/>
      <c r="U248" s="173"/>
      <c r="V248" s="173"/>
      <c r="W248" s="39">
        <f>($M$281*$D$229/5)*5</f>
        <v>73750</v>
      </c>
      <c r="X248" s="39">
        <f>($M$281*$D$229/5)*5</f>
        <v>73750</v>
      </c>
      <c r="Y248" s="39">
        <f>($M$281*$D$229/5)*5</f>
        <v>73750</v>
      </c>
      <c r="Z248" s="39">
        <f>($M$281*$D$229/5)*5</f>
        <v>73750</v>
      </c>
      <c r="AA248" s="39">
        <f>($M$281*$D$229/5)*5</f>
        <v>73750</v>
      </c>
      <c r="AB248" s="149"/>
      <c r="AC248" s="173"/>
      <c r="AD248" s="39">
        <f>($M$281*$D$229/5)*5</f>
        <v>73750</v>
      </c>
      <c r="AE248" s="39">
        <f>($M$281*$D$229/5)*5</f>
        <v>73750</v>
      </c>
      <c r="AF248" s="39">
        <f>($M$281*$D$229/5)*5</f>
        <v>73750</v>
      </c>
      <c r="AG248" s="39">
        <f>($M$281*$D$229/5)*5</f>
        <v>73750</v>
      </c>
      <c r="AH248" s="39">
        <f>($M$281*$D$229/5)*5</f>
        <v>73750</v>
      </c>
      <c r="AI248" s="149"/>
      <c r="AJ248" s="173"/>
      <c r="AK248" s="39">
        <f>($M$281*$D$229/5)*5</f>
        <v>73750</v>
      </c>
      <c r="AL248" s="39">
        <f>($M$281*$D$229/5)*5</f>
        <v>73750</v>
      </c>
      <c r="AM248" s="39"/>
      <c r="AN248" s="8"/>
      <c r="AO248" s="8"/>
      <c r="AP248" s="8"/>
      <c r="AQ248" s="8"/>
      <c r="AR248" s="7"/>
      <c r="AS248" s="7"/>
      <c r="AT248" s="7"/>
      <c r="AU248" s="7"/>
      <c r="AV248" s="7"/>
      <c r="AW248" s="7"/>
    </row>
    <row r="249" spans="1:49">
      <c r="A249" s="244"/>
      <c r="B249" s="236"/>
      <c r="C249" s="196"/>
      <c r="D249" s="219"/>
      <c r="E249" s="196"/>
      <c r="F249" s="203"/>
      <c r="G249" s="27"/>
      <c r="H249" s="23" t="s">
        <v>10</v>
      </c>
      <c r="I249" s="71">
        <v>1</v>
      </c>
      <c r="J249" s="71">
        <v>1</v>
      </c>
      <c r="K249" s="71">
        <v>1</v>
      </c>
      <c r="L249" s="71">
        <v>1</v>
      </c>
      <c r="M249" s="71">
        <v>1</v>
      </c>
      <c r="N249" s="21"/>
      <c r="O249" s="165"/>
      <c r="P249" s="165"/>
      <c r="Q249" s="165"/>
      <c r="R249" s="165"/>
      <c r="S249" s="165"/>
      <c r="T249" s="165"/>
      <c r="U249" s="165"/>
      <c r="V249" s="165"/>
      <c r="W249" s="71">
        <v>1</v>
      </c>
      <c r="X249" s="71">
        <v>1</v>
      </c>
      <c r="Y249" s="71">
        <v>1</v>
      </c>
      <c r="Z249" s="71">
        <v>1</v>
      </c>
      <c r="AA249" s="71">
        <v>1</v>
      </c>
      <c r="AB249" s="21"/>
      <c r="AC249" s="165"/>
      <c r="AD249" s="71">
        <v>1</v>
      </c>
      <c r="AE249" s="71">
        <v>1</v>
      </c>
      <c r="AF249" s="71">
        <v>1</v>
      </c>
      <c r="AG249" s="71">
        <v>1</v>
      </c>
      <c r="AH249" s="71">
        <v>1</v>
      </c>
      <c r="AI249" s="21"/>
      <c r="AJ249" s="165"/>
      <c r="AK249" s="71">
        <v>1</v>
      </c>
      <c r="AL249" s="71">
        <v>1</v>
      </c>
      <c r="AM249" s="71"/>
      <c r="AN249" s="8"/>
      <c r="AO249" s="8"/>
      <c r="AP249" s="8"/>
      <c r="AQ249" s="8"/>
      <c r="AR249" s="7"/>
      <c r="AS249" s="7"/>
      <c r="AT249" s="7"/>
      <c r="AU249" s="7"/>
      <c r="AV249" s="7"/>
      <c r="AW249" s="7"/>
    </row>
    <row r="250" spans="1:49">
      <c r="A250" s="244"/>
      <c r="B250" s="236"/>
      <c r="C250" s="196"/>
      <c r="D250" s="219"/>
      <c r="E250" s="196"/>
      <c r="F250" s="203"/>
      <c r="G250" s="27"/>
      <c r="H250" s="26" t="s">
        <v>0</v>
      </c>
      <c r="I250" s="22"/>
      <c r="J250" s="22"/>
      <c r="K250" s="22"/>
      <c r="L250" s="22"/>
      <c r="M250" s="22"/>
      <c r="N250" s="21"/>
      <c r="O250" s="165"/>
      <c r="P250" s="165"/>
      <c r="Q250" s="165"/>
      <c r="R250" s="165"/>
      <c r="S250" s="165"/>
      <c r="T250" s="165"/>
      <c r="U250" s="165"/>
      <c r="V250" s="165"/>
      <c r="W250" s="22"/>
      <c r="X250" s="22"/>
      <c r="Y250" s="22"/>
      <c r="Z250" s="22"/>
      <c r="AA250" s="22"/>
      <c r="AB250" s="21"/>
      <c r="AC250" s="165"/>
      <c r="AD250" s="22"/>
      <c r="AE250" s="22"/>
      <c r="AF250" s="22"/>
      <c r="AG250" s="22"/>
      <c r="AH250" s="22"/>
      <c r="AI250" s="21"/>
      <c r="AJ250" s="165"/>
      <c r="AK250" s="22"/>
      <c r="AL250" s="22"/>
      <c r="AM250" s="129"/>
      <c r="AN250" s="8"/>
      <c r="AO250" s="8"/>
      <c r="AP250" s="8"/>
      <c r="AQ250" s="7"/>
      <c r="AR250" s="7"/>
      <c r="AS250" s="7"/>
      <c r="AT250" s="7"/>
      <c r="AU250" s="7"/>
      <c r="AV250" s="7"/>
      <c r="AW250" s="7"/>
    </row>
    <row r="251" spans="1:49">
      <c r="A251" s="244"/>
      <c r="B251" s="236"/>
      <c r="C251" s="196"/>
      <c r="D251" s="219"/>
      <c r="E251" s="196"/>
      <c r="F251" s="203"/>
      <c r="G251" s="27"/>
      <c r="H251" s="26" t="s">
        <v>34</v>
      </c>
      <c r="I251" s="22"/>
      <c r="J251" s="22"/>
      <c r="K251" s="22"/>
      <c r="L251" s="22"/>
      <c r="M251" s="22"/>
      <c r="N251" s="21"/>
      <c r="O251" s="165"/>
      <c r="P251" s="165"/>
      <c r="Q251" s="165"/>
      <c r="R251" s="165"/>
      <c r="S251" s="165"/>
      <c r="T251" s="165"/>
      <c r="U251" s="165"/>
      <c r="V251" s="165"/>
      <c r="W251" s="22"/>
      <c r="X251" s="22"/>
      <c r="Y251" s="22"/>
      <c r="Z251" s="22"/>
      <c r="AA251" s="22"/>
      <c r="AB251" s="21"/>
      <c r="AC251" s="165"/>
      <c r="AD251" s="22"/>
      <c r="AE251" s="22"/>
      <c r="AF251" s="22"/>
      <c r="AG251" s="22"/>
      <c r="AH251" s="22"/>
      <c r="AI251" s="21"/>
      <c r="AJ251" s="165"/>
      <c r="AK251" s="115"/>
      <c r="AL251" s="22"/>
      <c r="AM251" s="129"/>
      <c r="AN251" s="8"/>
      <c r="AO251" s="8"/>
      <c r="AP251" s="8"/>
      <c r="AQ251" s="7"/>
      <c r="AR251" s="7"/>
      <c r="AS251" s="7"/>
      <c r="AT251" s="7"/>
      <c r="AU251" s="7"/>
      <c r="AV251" s="7"/>
      <c r="AW251" s="7"/>
    </row>
    <row r="252" spans="1:49">
      <c r="A252" s="244"/>
      <c r="B252" s="236"/>
      <c r="C252" s="196"/>
      <c r="D252" s="219"/>
      <c r="E252" s="196"/>
      <c r="F252" s="203"/>
      <c r="G252" s="27" t="s">
        <v>9</v>
      </c>
      <c r="H252" s="23" t="s">
        <v>8</v>
      </c>
      <c r="I252" s="38">
        <f>$M$281*$D$229/5</f>
        <v>14750</v>
      </c>
      <c r="J252" s="38"/>
      <c r="K252" s="38"/>
      <c r="L252" s="38">
        <f>$M$281*$D$229/5</f>
        <v>14750</v>
      </c>
      <c r="M252" s="38">
        <f>$M$281*$D$229/5</f>
        <v>14750</v>
      </c>
      <c r="N252" s="149">
        <f>$M$281*$D$229/5</f>
        <v>14750</v>
      </c>
      <c r="O252" s="173"/>
      <c r="P252" s="173"/>
      <c r="Q252" s="165"/>
      <c r="R252" s="165"/>
      <c r="S252" s="165"/>
      <c r="T252" s="173"/>
      <c r="U252" s="173"/>
      <c r="V252" s="173"/>
      <c r="W252" s="38">
        <f>$M$281*$D$229/5</f>
        <v>14750</v>
      </c>
      <c r="X252" s="38"/>
      <c r="Y252" s="38"/>
      <c r="Z252" s="38">
        <f>$M$281*$D$229/5</f>
        <v>14750</v>
      </c>
      <c r="AA252" s="38">
        <f>$M$281*$D$229/5</f>
        <v>14750</v>
      </c>
      <c r="AB252" s="149">
        <f>$M$281*$D$229/5</f>
        <v>14750</v>
      </c>
      <c r="AC252" s="173">
        <f>$M$281*$D$229/5</f>
        <v>14750</v>
      </c>
      <c r="AD252" s="38">
        <f>$M$281*$D$229/5</f>
        <v>14750</v>
      </c>
      <c r="AE252" s="38"/>
      <c r="AF252" s="38"/>
      <c r="AG252" s="38">
        <f>$M$281*$D$229/5</f>
        <v>14750</v>
      </c>
      <c r="AH252" s="38">
        <f>$M$281*$D$229/5</f>
        <v>14750</v>
      </c>
      <c r="AI252" s="149">
        <f>$M$281*$D$229/5</f>
        <v>14750</v>
      </c>
      <c r="AJ252" s="173">
        <f>$M$281*$D$229/5</f>
        <v>14750</v>
      </c>
      <c r="AK252" s="124"/>
      <c r="AL252" s="22"/>
      <c r="AM252" s="113"/>
      <c r="AN252" s="8"/>
      <c r="AO252" s="8"/>
      <c r="AP252" s="8"/>
      <c r="AQ252" s="7"/>
      <c r="AR252" s="7"/>
      <c r="AS252" s="7"/>
      <c r="AT252" s="7"/>
      <c r="AU252" s="7"/>
      <c r="AV252" s="7"/>
      <c r="AW252" s="7"/>
    </row>
    <row r="253" spans="1:49">
      <c r="A253" s="244"/>
      <c r="B253" s="236"/>
      <c r="C253" s="196"/>
      <c r="D253" s="219"/>
      <c r="E253" s="196"/>
      <c r="F253" s="203"/>
      <c r="G253" s="27"/>
      <c r="H253" s="26" t="s">
        <v>0</v>
      </c>
      <c r="I253" s="38"/>
      <c r="J253" s="38"/>
      <c r="K253" s="38"/>
      <c r="L253" s="38"/>
      <c r="M253" s="38"/>
      <c r="N253" s="149"/>
      <c r="O253" s="173"/>
      <c r="P253" s="173"/>
      <c r="Q253" s="165"/>
      <c r="R253" s="165"/>
      <c r="S253" s="165"/>
      <c r="T253" s="173"/>
      <c r="U253" s="173"/>
      <c r="V253" s="173"/>
      <c r="W253" s="38"/>
      <c r="X253" s="38"/>
      <c r="Y253" s="38"/>
      <c r="Z253" s="38"/>
      <c r="AA253" s="38"/>
      <c r="AB253" s="149"/>
      <c r="AC253" s="173"/>
      <c r="AD253" s="38"/>
      <c r="AE253" s="38"/>
      <c r="AF253" s="38"/>
      <c r="AG253" s="38"/>
      <c r="AH253" s="38"/>
      <c r="AI253" s="149"/>
      <c r="AJ253" s="173"/>
      <c r="AK253" s="124"/>
      <c r="AL253" s="22"/>
      <c r="AM253" s="113"/>
      <c r="AN253" s="8"/>
      <c r="AO253" s="8"/>
      <c r="AP253" s="8"/>
      <c r="AQ253" s="6"/>
      <c r="AR253" s="6"/>
      <c r="AS253" s="6"/>
      <c r="AT253" s="7"/>
      <c r="AU253" s="7"/>
      <c r="AV253" s="7"/>
      <c r="AW253" s="7"/>
    </row>
    <row r="254" spans="1:49">
      <c r="A254" s="244"/>
      <c r="B254" s="236"/>
      <c r="C254" s="196"/>
      <c r="D254" s="219"/>
      <c r="E254" s="196"/>
      <c r="F254" s="203"/>
      <c r="G254" s="27"/>
      <c r="H254" s="26" t="s">
        <v>34</v>
      </c>
      <c r="I254" s="38"/>
      <c r="J254" s="38"/>
      <c r="K254" s="38"/>
      <c r="L254" s="38"/>
      <c r="M254" s="38"/>
      <c r="N254" s="149"/>
      <c r="O254" s="173"/>
      <c r="P254" s="173"/>
      <c r="Q254" s="165"/>
      <c r="R254" s="165"/>
      <c r="S254" s="165"/>
      <c r="T254" s="173"/>
      <c r="U254" s="173"/>
      <c r="V254" s="173"/>
      <c r="W254" s="38"/>
      <c r="X254" s="38"/>
      <c r="Y254" s="38"/>
      <c r="Z254" s="38"/>
      <c r="AA254" s="38"/>
      <c r="AB254" s="149"/>
      <c r="AC254" s="173"/>
      <c r="AD254" s="38"/>
      <c r="AE254" s="38"/>
      <c r="AF254" s="38"/>
      <c r="AG254" s="38"/>
      <c r="AH254" s="38"/>
      <c r="AI254" s="149"/>
      <c r="AJ254" s="173"/>
      <c r="AK254" s="124"/>
      <c r="AL254" s="22"/>
      <c r="AM254" s="113"/>
      <c r="AN254" s="8"/>
      <c r="AO254" s="8"/>
      <c r="AP254" s="8"/>
      <c r="AQ254" s="6"/>
      <c r="AR254" s="6"/>
      <c r="AS254" s="6"/>
      <c r="AT254" s="7"/>
      <c r="AU254" s="7"/>
      <c r="AV254" s="7"/>
      <c r="AW254" s="7"/>
    </row>
    <row r="255" spans="1:49">
      <c r="A255" s="244"/>
      <c r="B255" s="236"/>
      <c r="C255" s="196"/>
      <c r="D255" s="219"/>
      <c r="E255" s="196"/>
      <c r="F255" s="203"/>
      <c r="G255" s="27" t="s">
        <v>44</v>
      </c>
      <c r="H255" s="23" t="s">
        <v>43</v>
      </c>
      <c r="I255" s="38">
        <f>$M$281*$D$229/5</f>
        <v>14750</v>
      </c>
      <c r="J255" s="38"/>
      <c r="K255" s="38"/>
      <c r="L255" s="38">
        <f>$M$281*$D$229/5</f>
        <v>14750</v>
      </c>
      <c r="M255" s="38">
        <f>$M$281*$D$229/5</f>
        <v>14750</v>
      </c>
      <c r="N255" s="149">
        <f>$M$281*$D$229/5</f>
        <v>14750</v>
      </c>
      <c r="O255" s="173"/>
      <c r="P255" s="173"/>
      <c r="Q255" s="165"/>
      <c r="R255" s="165"/>
      <c r="S255" s="165"/>
      <c r="T255" s="173"/>
      <c r="U255" s="173"/>
      <c r="V255" s="173"/>
      <c r="W255" s="38">
        <f>$M$281*$D$229/5</f>
        <v>14750</v>
      </c>
      <c r="X255" s="38"/>
      <c r="Y255" s="38"/>
      <c r="Z255" s="38">
        <f>$M$281*$D$229/5</f>
        <v>14750</v>
      </c>
      <c r="AA255" s="38">
        <f>$M$281*$D$229/5</f>
        <v>14750</v>
      </c>
      <c r="AB255" s="149">
        <f>$M$281*$D$229/5</f>
        <v>14750</v>
      </c>
      <c r="AC255" s="173">
        <f>$M$281*$D$229/5</f>
        <v>14750</v>
      </c>
      <c r="AD255" s="38">
        <f>$M$281*$D$229/5</f>
        <v>14750</v>
      </c>
      <c r="AE255" s="38"/>
      <c r="AF255" s="38"/>
      <c r="AG255" s="38">
        <f>$M$281*$D$229/5</f>
        <v>14750</v>
      </c>
      <c r="AH255" s="38">
        <f>$M$281*$D$229/5</f>
        <v>14750</v>
      </c>
      <c r="AI255" s="149">
        <f>$M$281*$D$229/5</f>
        <v>14750</v>
      </c>
      <c r="AJ255" s="173">
        <f>$M$281*$D$229/5</f>
        <v>14750</v>
      </c>
      <c r="AK255" s="124"/>
      <c r="AL255" s="22"/>
      <c r="AM255" s="113"/>
      <c r="AN255" s="8"/>
      <c r="AO255" s="8"/>
      <c r="AP255" s="8"/>
      <c r="AQ255" s="7"/>
      <c r="AR255" s="8"/>
      <c r="AS255" s="8"/>
      <c r="AT255" s="7"/>
      <c r="AU255" s="7"/>
      <c r="AV255" s="7"/>
      <c r="AW255" s="7"/>
    </row>
    <row r="256" spans="1:49">
      <c r="A256" s="244"/>
      <c r="B256" s="236"/>
      <c r="C256" s="196"/>
      <c r="D256" s="219"/>
      <c r="E256" s="196"/>
      <c r="F256" s="203"/>
      <c r="G256" s="27"/>
      <c r="H256" s="26" t="s">
        <v>0</v>
      </c>
      <c r="I256" s="38"/>
      <c r="J256" s="38"/>
      <c r="K256" s="38"/>
      <c r="L256" s="38"/>
      <c r="M256" s="38"/>
      <c r="N256" s="149"/>
      <c r="O256" s="173"/>
      <c r="P256" s="173"/>
      <c r="Q256" s="165"/>
      <c r="R256" s="165"/>
      <c r="S256" s="165"/>
      <c r="T256" s="173"/>
      <c r="U256" s="173"/>
      <c r="V256" s="173"/>
      <c r="W256" s="38"/>
      <c r="X256" s="38"/>
      <c r="Y256" s="38"/>
      <c r="Z256" s="38"/>
      <c r="AA256" s="38"/>
      <c r="AB256" s="149"/>
      <c r="AC256" s="173"/>
      <c r="AD256" s="38"/>
      <c r="AE256" s="38"/>
      <c r="AF256" s="38"/>
      <c r="AG256" s="38"/>
      <c r="AH256" s="38"/>
      <c r="AI256" s="149"/>
      <c r="AJ256" s="173"/>
      <c r="AK256" s="124"/>
      <c r="AL256" s="22"/>
      <c r="AM256" s="113"/>
      <c r="AN256" s="8"/>
      <c r="AO256" s="8"/>
      <c r="AP256" s="8"/>
      <c r="AQ256" s="7"/>
      <c r="AR256" s="8"/>
      <c r="AS256" s="8"/>
      <c r="AT256" s="7"/>
      <c r="AU256" s="7"/>
      <c r="AV256" s="7"/>
      <c r="AW256" s="7"/>
    </row>
    <row r="257" spans="1:49">
      <c r="A257" s="244"/>
      <c r="B257" s="236"/>
      <c r="C257" s="196"/>
      <c r="D257" s="219"/>
      <c r="E257" s="196"/>
      <c r="F257" s="203"/>
      <c r="G257" s="27"/>
      <c r="H257" s="26" t="s">
        <v>34</v>
      </c>
      <c r="I257" s="38"/>
      <c r="J257" s="38"/>
      <c r="K257" s="38"/>
      <c r="L257" s="38"/>
      <c r="M257" s="38"/>
      <c r="N257" s="149"/>
      <c r="O257" s="173"/>
      <c r="P257" s="173"/>
      <c r="Q257" s="165"/>
      <c r="R257" s="165"/>
      <c r="S257" s="165"/>
      <c r="T257" s="173"/>
      <c r="U257" s="173"/>
      <c r="V257" s="173"/>
      <c r="W257" s="38"/>
      <c r="X257" s="38"/>
      <c r="Y257" s="38"/>
      <c r="Z257" s="38"/>
      <c r="AA257" s="38"/>
      <c r="AB257" s="149"/>
      <c r="AC257" s="173"/>
      <c r="AD257" s="38"/>
      <c r="AE257" s="38"/>
      <c r="AF257" s="38"/>
      <c r="AG257" s="38"/>
      <c r="AH257" s="38"/>
      <c r="AI257" s="149"/>
      <c r="AJ257" s="173"/>
      <c r="AK257" s="124"/>
      <c r="AL257" s="22"/>
      <c r="AM257" s="113"/>
      <c r="AN257" s="8"/>
      <c r="AO257" s="8"/>
      <c r="AP257" s="8"/>
      <c r="AQ257" s="7"/>
      <c r="AR257" s="8"/>
      <c r="AS257" s="8"/>
      <c r="AT257" s="7"/>
      <c r="AU257" s="7"/>
      <c r="AV257" s="7"/>
      <c r="AW257" s="7"/>
    </row>
    <row r="258" spans="1:49">
      <c r="A258" s="244"/>
      <c r="B258" s="236"/>
      <c r="C258" s="196"/>
      <c r="D258" s="219"/>
      <c r="E258" s="196"/>
      <c r="F258" s="203"/>
      <c r="G258" s="27" t="s">
        <v>42</v>
      </c>
      <c r="H258" s="23" t="s">
        <v>41</v>
      </c>
      <c r="I258" s="38">
        <f>$M$281*$D$229/5</f>
        <v>14750</v>
      </c>
      <c r="J258" s="38"/>
      <c r="K258" s="38"/>
      <c r="L258" s="38">
        <f>$M$281*$D$229/5</f>
        <v>14750</v>
      </c>
      <c r="M258" s="38">
        <f>$M$281*$D$229/5</f>
        <v>14750</v>
      </c>
      <c r="N258" s="149">
        <f>$M$281*$D$229/5</f>
        <v>14750</v>
      </c>
      <c r="O258" s="173"/>
      <c r="P258" s="173"/>
      <c r="Q258" s="165"/>
      <c r="R258" s="165"/>
      <c r="S258" s="165"/>
      <c r="T258" s="173"/>
      <c r="U258" s="173"/>
      <c r="V258" s="173"/>
      <c r="W258" s="38">
        <f>$M$281*$D$229/5</f>
        <v>14750</v>
      </c>
      <c r="X258" s="38"/>
      <c r="Y258" s="38"/>
      <c r="Z258" s="38">
        <f>$M$281*$D$229/5</f>
        <v>14750</v>
      </c>
      <c r="AA258" s="38">
        <f>$M$281*$D$229/5</f>
        <v>14750</v>
      </c>
      <c r="AB258" s="149">
        <f>$M$281*$D$229/5</f>
        <v>14750</v>
      </c>
      <c r="AC258" s="173">
        <f>$M$281*$D$229/5</f>
        <v>14750</v>
      </c>
      <c r="AD258" s="38">
        <f>$M$281*$D$229/5</f>
        <v>14750</v>
      </c>
      <c r="AE258" s="38"/>
      <c r="AF258" s="38"/>
      <c r="AG258" s="38">
        <f>$M$281*$D$229/5</f>
        <v>14750</v>
      </c>
      <c r="AH258" s="38">
        <f>$M$281*$D$229/5</f>
        <v>14750</v>
      </c>
      <c r="AI258" s="149">
        <f>$M$281*$D$229/5</f>
        <v>14750</v>
      </c>
      <c r="AJ258" s="173">
        <f>$M$281*$D$229/5</f>
        <v>14750</v>
      </c>
      <c r="AK258" s="124"/>
      <c r="AL258" s="22"/>
      <c r="AM258" s="113"/>
      <c r="AN258" s="8"/>
      <c r="AO258" s="8"/>
      <c r="AP258" s="8"/>
      <c r="AQ258" s="7"/>
      <c r="AR258" s="8"/>
      <c r="AS258" s="8"/>
      <c r="AT258" s="7"/>
      <c r="AU258" s="7"/>
      <c r="AV258" s="7"/>
      <c r="AW258" s="7"/>
    </row>
    <row r="259" spans="1:49">
      <c r="A259" s="244"/>
      <c r="B259" s="236"/>
      <c r="C259" s="196"/>
      <c r="D259" s="219"/>
      <c r="E259" s="196"/>
      <c r="F259" s="203"/>
      <c r="G259" s="27"/>
      <c r="H259" s="26" t="s">
        <v>0</v>
      </c>
      <c r="I259" s="38"/>
      <c r="J259" s="38"/>
      <c r="K259" s="38"/>
      <c r="L259" s="38"/>
      <c r="M259" s="38"/>
      <c r="N259" s="149"/>
      <c r="O259" s="173"/>
      <c r="P259" s="173"/>
      <c r="Q259" s="165"/>
      <c r="R259" s="165"/>
      <c r="S259" s="165"/>
      <c r="T259" s="173"/>
      <c r="U259" s="173"/>
      <c r="V259" s="173"/>
      <c r="W259" s="38"/>
      <c r="X259" s="38"/>
      <c r="Y259" s="38"/>
      <c r="Z259" s="38"/>
      <c r="AA259" s="38"/>
      <c r="AB259" s="149"/>
      <c r="AC259" s="173"/>
      <c r="AD259" s="38"/>
      <c r="AE259" s="38"/>
      <c r="AF259" s="38"/>
      <c r="AG259" s="38"/>
      <c r="AH259" s="38"/>
      <c r="AI259" s="149"/>
      <c r="AJ259" s="173"/>
      <c r="AK259" s="124"/>
      <c r="AL259" s="22"/>
      <c r="AM259" s="113"/>
      <c r="AN259" s="8"/>
      <c r="AO259" s="8"/>
      <c r="AP259" s="8"/>
      <c r="AQ259" s="7"/>
      <c r="AR259" s="8"/>
      <c r="AS259" s="8"/>
      <c r="AT259" s="7"/>
      <c r="AU259" s="7"/>
      <c r="AV259" s="7"/>
      <c r="AW259" s="7"/>
    </row>
    <row r="260" spans="1:49">
      <c r="A260" s="244"/>
      <c r="B260" s="236"/>
      <c r="C260" s="196"/>
      <c r="D260" s="219"/>
      <c r="E260" s="196"/>
      <c r="F260" s="203"/>
      <c r="G260" s="27"/>
      <c r="H260" s="26" t="s">
        <v>34</v>
      </c>
      <c r="I260" s="38"/>
      <c r="J260" s="38"/>
      <c r="K260" s="38"/>
      <c r="L260" s="38"/>
      <c r="M260" s="38"/>
      <c r="N260" s="149"/>
      <c r="O260" s="173"/>
      <c r="P260" s="173"/>
      <c r="Q260" s="165"/>
      <c r="R260" s="165"/>
      <c r="S260" s="165"/>
      <c r="T260" s="173"/>
      <c r="U260" s="173"/>
      <c r="V260" s="173"/>
      <c r="W260" s="38"/>
      <c r="X260" s="38"/>
      <c r="Y260" s="38"/>
      <c r="Z260" s="38"/>
      <c r="AA260" s="38"/>
      <c r="AB260" s="149"/>
      <c r="AC260" s="173"/>
      <c r="AD260" s="38"/>
      <c r="AE260" s="38"/>
      <c r="AF260" s="38"/>
      <c r="AG260" s="38"/>
      <c r="AH260" s="38"/>
      <c r="AI260" s="149"/>
      <c r="AJ260" s="173"/>
      <c r="AK260" s="124"/>
      <c r="AL260" s="22"/>
      <c r="AM260" s="113"/>
      <c r="AN260" s="8"/>
      <c r="AO260" s="8"/>
      <c r="AP260" s="8"/>
      <c r="AQ260" s="7"/>
      <c r="AR260" s="8"/>
      <c r="AS260" s="8"/>
      <c r="AT260" s="7"/>
      <c r="AU260" s="7"/>
      <c r="AV260" s="7"/>
      <c r="AW260" s="7"/>
    </row>
    <row r="261" spans="1:49">
      <c r="A261" s="244"/>
      <c r="B261" s="236"/>
      <c r="C261" s="196"/>
      <c r="D261" s="219"/>
      <c r="E261" s="196"/>
      <c r="F261" s="203"/>
      <c r="G261" s="27" t="s">
        <v>14</v>
      </c>
      <c r="H261" s="23" t="s">
        <v>40</v>
      </c>
      <c r="I261" s="38">
        <f>$M$281*$D$229/5</f>
        <v>14750</v>
      </c>
      <c r="J261" s="38"/>
      <c r="K261" s="38"/>
      <c r="L261" s="38">
        <f>$M$281*$D$229/5</f>
        <v>14750</v>
      </c>
      <c r="M261" s="38">
        <f>$M$281*$D$229/5</f>
        <v>14750</v>
      </c>
      <c r="N261" s="149">
        <f>$M$281*$D$229/5</f>
        <v>14750</v>
      </c>
      <c r="O261" s="173"/>
      <c r="P261" s="173"/>
      <c r="Q261" s="165"/>
      <c r="R261" s="165"/>
      <c r="S261" s="165"/>
      <c r="T261" s="173"/>
      <c r="U261" s="173"/>
      <c r="V261" s="173"/>
      <c r="W261" s="38">
        <f>$M$281*$D$229/5</f>
        <v>14750</v>
      </c>
      <c r="X261" s="38"/>
      <c r="Y261" s="38"/>
      <c r="Z261" s="38">
        <f>$M$281*$D$229/5</f>
        <v>14750</v>
      </c>
      <c r="AA261" s="38">
        <f>$M$281*$D$229/5</f>
        <v>14750</v>
      </c>
      <c r="AB261" s="149">
        <f>$M$281*$D$229/5</f>
        <v>14750</v>
      </c>
      <c r="AC261" s="173">
        <f>$M$281*$D$229/5</f>
        <v>14750</v>
      </c>
      <c r="AD261" s="38">
        <f>$M$281*$D$229/5</f>
        <v>14750</v>
      </c>
      <c r="AE261" s="38"/>
      <c r="AF261" s="38"/>
      <c r="AG261" s="38">
        <f>$M$281*$D$229/5</f>
        <v>14750</v>
      </c>
      <c r="AH261" s="38">
        <f>$M$281*$D$229/5</f>
        <v>14750</v>
      </c>
      <c r="AI261" s="149">
        <f>$M$281*$D$229/5</f>
        <v>14750</v>
      </c>
      <c r="AJ261" s="173">
        <f>$M$281*$D$229/5</f>
        <v>14750</v>
      </c>
      <c r="AK261" s="124"/>
      <c r="AL261" s="22"/>
      <c r="AM261" s="113"/>
      <c r="AN261" s="8"/>
      <c r="AO261" s="8"/>
      <c r="AP261" s="8"/>
      <c r="AQ261" s="7"/>
      <c r="AR261" s="8"/>
      <c r="AS261" s="8"/>
      <c r="AT261" s="7"/>
      <c r="AU261" s="7"/>
      <c r="AV261" s="7"/>
      <c r="AW261" s="7"/>
    </row>
    <row r="262" spans="1:49">
      <c r="A262" s="244"/>
      <c r="B262" s="236"/>
      <c r="C262" s="196"/>
      <c r="D262" s="219"/>
      <c r="E262" s="196"/>
      <c r="F262" s="203"/>
      <c r="G262" s="27"/>
      <c r="H262" s="23" t="s">
        <v>7</v>
      </c>
      <c r="I262" s="36">
        <v>1</v>
      </c>
      <c r="J262" s="36"/>
      <c r="K262" s="36"/>
      <c r="L262" s="36">
        <v>1</v>
      </c>
      <c r="M262" s="36">
        <v>1</v>
      </c>
      <c r="N262" s="35">
        <v>1</v>
      </c>
      <c r="O262" s="165"/>
      <c r="P262" s="165"/>
      <c r="Q262" s="165"/>
      <c r="R262" s="165"/>
      <c r="S262" s="165"/>
      <c r="T262" s="165"/>
      <c r="U262" s="165"/>
      <c r="V262" s="165"/>
      <c r="W262" s="36">
        <v>1</v>
      </c>
      <c r="X262" s="36"/>
      <c r="Y262" s="36"/>
      <c r="Z262" s="36">
        <v>1</v>
      </c>
      <c r="AA262" s="36">
        <v>1</v>
      </c>
      <c r="AB262" s="35">
        <v>1</v>
      </c>
      <c r="AC262" s="167">
        <v>1</v>
      </c>
      <c r="AD262" s="36">
        <v>1</v>
      </c>
      <c r="AE262" s="36"/>
      <c r="AF262" s="36"/>
      <c r="AG262" s="36">
        <v>1</v>
      </c>
      <c r="AH262" s="36">
        <v>1</v>
      </c>
      <c r="AI262" s="35">
        <v>1</v>
      </c>
      <c r="AJ262" s="167">
        <v>1</v>
      </c>
      <c r="AK262" s="125"/>
      <c r="AL262" s="22"/>
      <c r="AM262" s="113"/>
      <c r="AN262" s="8"/>
      <c r="AO262" s="8"/>
      <c r="AP262" s="8"/>
      <c r="AQ262" s="7"/>
      <c r="AR262" s="8"/>
      <c r="AS262" s="8"/>
      <c r="AT262" s="7"/>
      <c r="AU262" s="7"/>
      <c r="AV262" s="7"/>
      <c r="AW262" s="7"/>
    </row>
    <row r="263" spans="1:49">
      <c r="A263" s="244"/>
      <c r="B263" s="236"/>
      <c r="C263" s="196"/>
      <c r="D263" s="219"/>
      <c r="E263" s="196"/>
      <c r="F263" s="203"/>
      <c r="G263" s="27"/>
      <c r="H263" s="26" t="s">
        <v>0</v>
      </c>
      <c r="I263" s="36"/>
      <c r="J263" s="36"/>
      <c r="K263" s="36"/>
      <c r="L263" s="36"/>
      <c r="M263" s="36"/>
      <c r="N263" s="35"/>
      <c r="O263" s="165"/>
      <c r="P263" s="165"/>
      <c r="Q263" s="165"/>
      <c r="R263" s="165"/>
      <c r="S263" s="165"/>
      <c r="T263" s="165"/>
      <c r="U263" s="165"/>
      <c r="V263" s="165"/>
      <c r="W263" s="36"/>
      <c r="X263" s="36"/>
      <c r="Y263" s="36"/>
      <c r="Z263" s="36"/>
      <c r="AA263" s="36"/>
      <c r="AB263" s="35"/>
      <c r="AC263" s="167"/>
      <c r="AD263" s="36"/>
      <c r="AE263" s="36"/>
      <c r="AF263" s="36"/>
      <c r="AG263" s="36"/>
      <c r="AH263" s="36"/>
      <c r="AI263" s="35"/>
      <c r="AJ263" s="167"/>
      <c r="AK263" s="125"/>
      <c r="AL263" s="22"/>
      <c r="AM263" s="113"/>
      <c r="AN263" s="8"/>
      <c r="AO263" s="8"/>
      <c r="AP263" s="8"/>
      <c r="AQ263" s="7"/>
      <c r="AR263" s="8"/>
      <c r="AS263" s="8"/>
      <c r="AT263" s="7"/>
      <c r="AU263" s="7"/>
      <c r="AV263" s="7"/>
      <c r="AW263" s="7"/>
    </row>
    <row r="264" spans="1:49">
      <c r="A264" s="244"/>
      <c r="B264" s="236"/>
      <c r="C264" s="196"/>
      <c r="D264" s="219"/>
      <c r="E264" s="196"/>
      <c r="F264" s="203"/>
      <c r="G264" s="27"/>
      <c r="H264" s="26" t="s">
        <v>34</v>
      </c>
      <c r="I264" s="36"/>
      <c r="J264" s="36"/>
      <c r="K264" s="36"/>
      <c r="L264" s="36"/>
      <c r="M264" s="36"/>
      <c r="N264" s="35"/>
      <c r="O264" s="165"/>
      <c r="P264" s="165"/>
      <c r="Q264" s="165"/>
      <c r="R264" s="165"/>
      <c r="S264" s="165"/>
      <c r="T264" s="165"/>
      <c r="U264" s="165"/>
      <c r="V264" s="165"/>
      <c r="W264" s="36"/>
      <c r="X264" s="36"/>
      <c r="Y264" s="36"/>
      <c r="Z264" s="36"/>
      <c r="AA264" s="36"/>
      <c r="AB264" s="35"/>
      <c r="AC264" s="167"/>
      <c r="AD264" s="36"/>
      <c r="AE264" s="36"/>
      <c r="AF264" s="36"/>
      <c r="AG264" s="36"/>
      <c r="AH264" s="36"/>
      <c r="AI264" s="35"/>
      <c r="AJ264" s="167"/>
      <c r="AK264" s="125"/>
      <c r="AL264" s="22"/>
      <c r="AM264" s="113"/>
      <c r="AN264" s="8"/>
      <c r="AO264" s="8"/>
      <c r="AP264" s="8"/>
      <c r="AQ264" s="7"/>
      <c r="AR264" s="8"/>
      <c r="AS264" s="8"/>
      <c r="AT264" s="7"/>
      <c r="AU264" s="7"/>
      <c r="AV264" s="7"/>
      <c r="AW264" s="7"/>
    </row>
    <row r="265" spans="1:49">
      <c r="A265" s="244"/>
      <c r="B265" s="236"/>
      <c r="C265" s="196"/>
      <c r="D265" s="219"/>
      <c r="E265" s="196"/>
      <c r="F265" s="203"/>
      <c r="G265" s="27"/>
      <c r="H265" s="23" t="s">
        <v>39</v>
      </c>
      <c r="I265" s="37">
        <f>($M$281*$D$229/5)*5</f>
        <v>73750</v>
      </c>
      <c r="J265" s="37"/>
      <c r="K265" s="37"/>
      <c r="L265" s="37">
        <f>($M$281*$D$229/5)*5</f>
        <v>73750</v>
      </c>
      <c r="M265" s="37">
        <f>($M$281*$D$229/5)*5</f>
        <v>73750</v>
      </c>
      <c r="N265" s="156">
        <f>($M$281*$D$229/5)*5</f>
        <v>73750</v>
      </c>
      <c r="O265" s="173"/>
      <c r="P265" s="173"/>
      <c r="Q265" s="165"/>
      <c r="R265" s="165"/>
      <c r="S265" s="165"/>
      <c r="T265" s="173"/>
      <c r="U265" s="173"/>
      <c r="V265" s="173"/>
      <c r="W265" s="37">
        <f>($M$281*$D$229/5)*5</f>
        <v>73750</v>
      </c>
      <c r="X265" s="37"/>
      <c r="Y265" s="37"/>
      <c r="Z265" s="37">
        <f>($M$281*$D$229/5)*5</f>
        <v>73750</v>
      </c>
      <c r="AA265" s="37">
        <f>($M$281*$D$229/5)*5</f>
        <v>73750</v>
      </c>
      <c r="AB265" s="156">
        <f>($M$281*$D$229/5)*5</f>
        <v>73750</v>
      </c>
      <c r="AC265" s="184">
        <f>($M$281*$D$229/5)*5</f>
        <v>73750</v>
      </c>
      <c r="AD265" s="37">
        <f>($M$281*$D$229/5)*5</f>
        <v>73750</v>
      </c>
      <c r="AE265" s="37"/>
      <c r="AF265" s="37"/>
      <c r="AG265" s="37">
        <f>($M$281*$D$229/5)*5</f>
        <v>73750</v>
      </c>
      <c r="AH265" s="37">
        <f>($M$281*$D$229/5)*5</f>
        <v>73750</v>
      </c>
      <c r="AI265" s="156">
        <f>($M$281*$D$229/5)*5</f>
        <v>73750</v>
      </c>
      <c r="AJ265" s="184">
        <f>($M$281*$D$229/5)*5</f>
        <v>73750</v>
      </c>
      <c r="AK265" s="137"/>
      <c r="AL265" s="22"/>
      <c r="AM265" s="113"/>
      <c r="AN265" s="8"/>
      <c r="AO265" s="8"/>
      <c r="AP265" s="8"/>
      <c r="AQ265" s="7"/>
      <c r="AR265" s="8"/>
      <c r="AS265" s="8"/>
      <c r="AT265" s="7"/>
      <c r="AU265" s="7"/>
      <c r="AV265" s="7"/>
      <c r="AW265" s="7"/>
    </row>
    <row r="266" spans="1:49">
      <c r="A266" s="244"/>
      <c r="B266" s="236"/>
      <c r="C266" s="196"/>
      <c r="D266" s="219"/>
      <c r="E266" s="196"/>
      <c r="F266" s="203"/>
      <c r="G266" s="24"/>
      <c r="H266" s="23" t="s">
        <v>38</v>
      </c>
      <c r="I266" s="36">
        <v>2</v>
      </c>
      <c r="J266" s="36"/>
      <c r="K266" s="36"/>
      <c r="L266" s="36">
        <v>2</v>
      </c>
      <c r="M266" s="36">
        <v>2</v>
      </c>
      <c r="N266" s="35">
        <v>2</v>
      </c>
      <c r="O266" s="165"/>
      <c r="P266" s="165"/>
      <c r="Q266" s="165"/>
      <c r="R266" s="165"/>
      <c r="S266" s="165"/>
      <c r="T266" s="165"/>
      <c r="U266" s="165"/>
      <c r="V266" s="165"/>
      <c r="W266" s="36">
        <v>2</v>
      </c>
      <c r="X266" s="36"/>
      <c r="Y266" s="36"/>
      <c r="Z266" s="36">
        <v>2</v>
      </c>
      <c r="AA266" s="36">
        <v>2</v>
      </c>
      <c r="AB266" s="35">
        <v>2</v>
      </c>
      <c r="AC266" s="167">
        <v>2</v>
      </c>
      <c r="AD266" s="36">
        <v>2</v>
      </c>
      <c r="AE266" s="36"/>
      <c r="AF266" s="36"/>
      <c r="AG266" s="36">
        <v>2</v>
      </c>
      <c r="AH266" s="36">
        <v>2</v>
      </c>
      <c r="AI266" s="35">
        <v>2</v>
      </c>
      <c r="AJ266" s="167">
        <v>2</v>
      </c>
      <c r="AK266" s="125"/>
      <c r="AL266" s="22"/>
      <c r="AM266" s="113"/>
      <c r="AN266" s="8"/>
      <c r="AO266" s="8"/>
      <c r="AP266" s="8"/>
      <c r="AQ266" s="7"/>
      <c r="AR266" s="8"/>
      <c r="AS266" s="8"/>
      <c r="AT266" s="7"/>
      <c r="AU266" s="7"/>
      <c r="AV266" s="7"/>
      <c r="AW266" s="7"/>
    </row>
    <row r="267" spans="1:49">
      <c r="A267" s="244"/>
      <c r="B267" s="236"/>
      <c r="C267" s="196"/>
      <c r="D267" s="219"/>
      <c r="E267" s="196"/>
      <c r="F267" s="203"/>
      <c r="G267" s="24"/>
      <c r="H267" s="26" t="s">
        <v>0</v>
      </c>
      <c r="I267" s="36"/>
      <c r="J267" s="36"/>
      <c r="K267" s="36"/>
      <c r="L267" s="36"/>
      <c r="M267" s="36"/>
      <c r="N267" s="35"/>
      <c r="O267" s="165"/>
      <c r="P267" s="165"/>
      <c r="Q267" s="165"/>
      <c r="R267" s="165"/>
      <c r="S267" s="165"/>
      <c r="T267" s="165"/>
      <c r="U267" s="165"/>
      <c r="V267" s="165"/>
      <c r="W267" s="36"/>
      <c r="X267" s="36"/>
      <c r="Y267" s="36"/>
      <c r="Z267" s="36"/>
      <c r="AA267" s="36"/>
      <c r="AB267" s="35"/>
      <c r="AC267" s="167"/>
      <c r="AD267" s="36"/>
      <c r="AE267" s="36"/>
      <c r="AF267" s="36"/>
      <c r="AG267" s="36"/>
      <c r="AH267" s="36"/>
      <c r="AI267" s="35"/>
      <c r="AJ267" s="167"/>
      <c r="AK267" s="125"/>
      <c r="AL267" s="22"/>
      <c r="AM267" s="113"/>
      <c r="AN267" s="8"/>
      <c r="AO267" s="8"/>
      <c r="AP267" s="8"/>
      <c r="AQ267" s="7"/>
      <c r="AR267" s="8"/>
      <c r="AS267" s="8"/>
      <c r="AT267" s="7"/>
      <c r="AU267" s="7"/>
      <c r="AV267" s="7"/>
      <c r="AW267" s="7"/>
    </row>
    <row r="268" spans="1:49">
      <c r="A268" s="244"/>
      <c r="B268" s="236"/>
      <c r="C268" s="196"/>
      <c r="D268" s="219"/>
      <c r="E268" s="196"/>
      <c r="F268" s="203"/>
      <c r="G268" s="24"/>
      <c r="H268" s="26" t="s">
        <v>34</v>
      </c>
      <c r="I268" s="36"/>
      <c r="J268" s="36"/>
      <c r="K268" s="36"/>
      <c r="L268" s="36"/>
      <c r="M268" s="36"/>
      <c r="N268" s="35"/>
      <c r="O268" s="165"/>
      <c r="P268" s="165"/>
      <c r="Q268" s="165"/>
      <c r="R268" s="165"/>
      <c r="S268" s="165"/>
      <c r="T268" s="165"/>
      <c r="U268" s="165"/>
      <c r="V268" s="165"/>
      <c r="W268" s="36"/>
      <c r="X268" s="36"/>
      <c r="Y268" s="36"/>
      <c r="Z268" s="36"/>
      <c r="AA268" s="36"/>
      <c r="AB268" s="35"/>
      <c r="AC268" s="167"/>
      <c r="AD268" s="36"/>
      <c r="AE268" s="36"/>
      <c r="AF268" s="36"/>
      <c r="AG268" s="36"/>
      <c r="AH268" s="36"/>
      <c r="AI268" s="35"/>
      <c r="AJ268" s="167"/>
      <c r="AK268" s="125"/>
      <c r="AL268" s="22"/>
      <c r="AM268" s="113"/>
      <c r="AN268" s="8"/>
      <c r="AO268" s="8"/>
      <c r="AP268" s="8"/>
      <c r="AQ268" s="7"/>
      <c r="AR268" s="8"/>
      <c r="AS268" s="8"/>
      <c r="AT268" s="7"/>
      <c r="AU268" s="7"/>
      <c r="AV268" s="7"/>
      <c r="AW268" s="7"/>
    </row>
    <row r="269" spans="1:49">
      <c r="A269" s="244"/>
      <c r="B269" s="236"/>
      <c r="C269" s="196"/>
      <c r="D269" s="219"/>
      <c r="E269" s="196"/>
      <c r="F269" s="203"/>
      <c r="G269" s="24"/>
      <c r="H269" s="23" t="s">
        <v>37</v>
      </c>
      <c r="I269" s="37">
        <f>($M$281*$D$229/5)*5</f>
        <v>73750</v>
      </c>
      <c r="J269" s="37"/>
      <c r="K269" s="37"/>
      <c r="L269" s="37">
        <f>($M$281*$D$229/5)*5</f>
        <v>73750</v>
      </c>
      <c r="M269" s="37">
        <f>($M$281*$D$229/5)*5</f>
        <v>73750</v>
      </c>
      <c r="N269" s="156">
        <f>($M$281*$D$229/5)*5</f>
        <v>73750</v>
      </c>
      <c r="O269" s="173"/>
      <c r="P269" s="173"/>
      <c r="Q269" s="165"/>
      <c r="R269" s="165"/>
      <c r="S269" s="165"/>
      <c r="T269" s="173"/>
      <c r="U269" s="173"/>
      <c r="V269" s="173"/>
      <c r="W269" s="37">
        <f>($M$281*$D$229/5)*5</f>
        <v>73750</v>
      </c>
      <c r="X269" s="37"/>
      <c r="Y269" s="37"/>
      <c r="Z269" s="37">
        <f>($M$281*$D$229/5)*5</f>
        <v>73750</v>
      </c>
      <c r="AA269" s="37">
        <f>($M$281*$D$229/5)*5</f>
        <v>73750</v>
      </c>
      <c r="AB269" s="156">
        <f>($M$281*$D$229/5)*5</f>
        <v>73750</v>
      </c>
      <c r="AC269" s="184">
        <f>($M$281*$D$229/5)*5</f>
        <v>73750</v>
      </c>
      <c r="AD269" s="37">
        <f>($M$281*$D$229/5)*5</f>
        <v>73750</v>
      </c>
      <c r="AE269" s="37"/>
      <c r="AF269" s="37"/>
      <c r="AG269" s="37">
        <f>($M$281*$D$229/5)*5</f>
        <v>73750</v>
      </c>
      <c r="AH269" s="37">
        <f>($M$281*$D$229/5)*5</f>
        <v>73750</v>
      </c>
      <c r="AI269" s="156">
        <f>($M$281*$D$229/5)*5</f>
        <v>73750</v>
      </c>
      <c r="AJ269" s="184">
        <f>($M$281*$D$229/5)*5</f>
        <v>73750</v>
      </c>
      <c r="AK269" s="137"/>
      <c r="AL269" s="22"/>
      <c r="AM269" s="113"/>
      <c r="AN269" s="8"/>
      <c r="AO269" s="8"/>
      <c r="AP269" s="8"/>
      <c r="AQ269" s="7"/>
      <c r="AR269" s="8"/>
      <c r="AS269" s="8"/>
      <c r="AT269" s="7"/>
      <c r="AU269" s="7"/>
      <c r="AV269" s="7"/>
      <c r="AW269" s="7"/>
    </row>
    <row r="270" spans="1:49">
      <c r="A270" s="244"/>
      <c r="B270" s="236"/>
      <c r="C270" s="196"/>
      <c r="D270" s="219"/>
      <c r="E270" s="196"/>
      <c r="F270" s="203"/>
      <c r="G270" s="24"/>
      <c r="H270" s="23" t="s">
        <v>36</v>
      </c>
      <c r="I270" s="36">
        <v>5</v>
      </c>
      <c r="J270" s="36"/>
      <c r="K270" s="36"/>
      <c r="L270" s="36">
        <v>5</v>
      </c>
      <c r="M270" s="36">
        <v>5</v>
      </c>
      <c r="N270" s="35">
        <v>5</v>
      </c>
      <c r="O270" s="165"/>
      <c r="P270" s="165"/>
      <c r="Q270" s="165"/>
      <c r="R270" s="165"/>
      <c r="S270" s="165"/>
      <c r="T270" s="165"/>
      <c r="U270" s="165"/>
      <c r="V270" s="165"/>
      <c r="W270" s="36">
        <v>5</v>
      </c>
      <c r="X270" s="36"/>
      <c r="Y270" s="36"/>
      <c r="Z270" s="36">
        <v>5</v>
      </c>
      <c r="AA270" s="36">
        <v>5</v>
      </c>
      <c r="AB270" s="35">
        <v>5</v>
      </c>
      <c r="AC270" s="167">
        <v>5</v>
      </c>
      <c r="AD270" s="36">
        <v>5</v>
      </c>
      <c r="AE270" s="36"/>
      <c r="AF270" s="36"/>
      <c r="AG270" s="36">
        <v>5</v>
      </c>
      <c r="AH270" s="36">
        <v>5</v>
      </c>
      <c r="AI270" s="35">
        <v>5</v>
      </c>
      <c r="AJ270" s="167">
        <v>5</v>
      </c>
      <c r="AK270" s="125"/>
      <c r="AL270" s="22"/>
      <c r="AM270" s="113"/>
      <c r="AN270" s="8"/>
      <c r="AO270" s="8"/>
      <c r="AP270" s="8"/>
      <c r="AQ270" s="7"/>
      <c r="AR270" s="8"/>
      <c r="AS270" s="8"/>
      <c r="AT270" s="7"/>
      <c r="AU270" s="7"/>
      <c r="AV270" s="7"/>
      <c r="AW270" s="7"/>
    </row>
    <row r="271" spans="1:49">
      <c r="A271" s="244"/>
      <c r="B271" s="236"/>
      <c r="C271" s="196"/>
      <c r="D271" s="219"/>
      <c r="E271" s="196"/>
      <c r="F271" s="203"/>
      <c r="G271" s="24"/>
      <c r="H271" s="26" t="s">
        <v>0</v>
      </c>
      <c r="I271" s="36"/>
      <c r="J271" s="36"/>
      <c r="K271" s="36"/>
      <c r="L271" s="36"/>
      <c r="M271" s="36"/>
      <c r="N271" s="35"/>
      <c r="O271" s="165"/>
      <c r="P271" s="165"/>
      <c r="Q271" s="165"/>
      <c r="R271" s="165"/>
      <c r="S271" s="165"/>
      <c r="T271" s="165"/>
      <c r="U271" s="165"/>
      <c r="V271" s="165"/>
      <c r="W271" s="36"/>
      <c r="X271" s="36"/>
      <c r="Y271" s="36"/>
      <c r="Z271" s="36"/>
      <c r="AA271" s="36"/>
      <c r="AB271" s="35"/>
      <c r="AC271" s="167"/>
      <c r="AD271" s="36"/>
      <c r="AE271" s="36"/>
      <c r="AF271" s="36"/>
      <c r="AG271" s="36"/>
      <c r="AH271" s="36"/>
      <c r="AI271" s="35"/>
      <c r="AJ271" s="167"/>
      <c r="AK271" s="125"/>
      <c r="AL271" s="22"/>
      <c r="AM271" s="113"/>
      <c r="AN271" s="8"/>
      <c r="AO271" s="8"/>
      <c r="AP271" s="8"/>
      <c r="AQ271" s="7"/>
      <c r="AR271" s="8"/>
      <c r="AS271" s="8"/>
      <c r="AT271" s="7"/>
      <c r="AU271" s="7"/>
      <c r="AV271" s="7"/>
      <c r="AW271" s="7"/>
    </row>
    <row r="272" spans="1:49">
      <c r="A272" s="244"/>
      <c r="B272" s="236"/>
      <c r="C272" s="196"/>
      <c r="D272" s="219"/>
      <c r="E272" s="196"/>
      <c r="F272" s="203"/>
      <c r="G272" s="24"/>
      <c r="H272" s="26" t="s">
        <v>34</v>
      </c>
      <c r="I272" s="36"/>
      <c r="J272" s="36"/>
      <c r="K272" s="36"/>
      <c r="L272" s="36"/>
      <c r="M272" s="36"/>
      <c r="N272" s="35"/>
      <c r="O272" s="165"/>
      <c r="P272" s="165"/>
      <c r="Q272" s="165"/>
      <c r="R272" s="165"/>
      <c r="S272" s="165"/>
      <c r="T272" s="165"/>
      <c r="U272" s="165"/>
      <c r="V272" s="165"/>
      <c r="W272" s="36"/>
      <c r="X272" s="36"/>
      <c r="Y272" s="36"/>
      <c r="Z272" s="36"/>
      <c r="AA272" s="36"/>
      <c r="AB272" s="35"/>
      <c r="AC272" s="167"/>
      <c r="AD272" s="36"/>
      <c r="AE272" s="36"/>
      <c r="AF272" s="36"/>
      <c r="AG272" s="36"/>
      <c r="AH272" s="36"/>
      <c r="AI272" s="35"/>
      <c r="AJ272" s="167"/>
      <c r="AK272" s="125"/>
      <c r="AL272" s="22"/>
      <c r="AM272" s="113"/>
      <c r="AN272" s="8"/>
      <c r="AO272" s="8"/>
      <c r="AP272" s="8"/>
      <c r="AQ272" s="7"/>
      <c r="AR272" s="8"/>
      <c r="AS272" s="8"/>
      <c r="AT272" s="7"/>
      <c r="AU272" s="7"/>
      <c r="AV272" s="7"/>
      <c r="AW272" s="7"/>
    </row>
    <row r="273" spans="1:49">
      <c r="A273" s="244"/>
      <c r="B273" s="236"/>
      <c r="C273" s="196"/>
      <c r="D273" s="219"/>
      <c r="E273" s="196"/>
      <c r="F273" s="203"/>
      <c r="G273" s="24"/>
      <c r="H273" s="23" t="s">
        <v>6</v>
      </c>
      <c r="I273" s="37">
        <f>$M$281*$D$229/5</f>
        <v>14750</v>
      </c>
      <c r="J273" s="37"/>
      <c r="K273" s="37"/>
      <c r="L273" s="37">
        <f>$M$281*$D$229/5</f>
        <v>14750</v>
      </c>
      <c r="M273" s="37">
        <f>$M$281*$D$229/5</f>
        <v>14750</v>
      </c>
      <c r="N273" s="156">
        <f>$M$281*$D$229/5</f>
        <v>14750</v>
      </c>
      <c r="O273" s="173"/>
      <c r="P273" s="173"/>
      <c r="Q273" s="165"/>
      <c r="R273" s="165"/>
      <c r="S273" s="165"/>
      <c r="T273" s="173"/>
      <c r="U273" s="173"/>
      <c r="V273" s="173"/>
      <c r="W273" s="37">
        <f>$M$281*$D$229/5</f>
        <v>14750</v>
      </c>
      <c r="X273" s="37"/>
      <c r="Y273" s="37"/>
      <c r="Z273" s="37">
        <f>$M$281*$D$229/5</f>
        <v>14750</v>
      </c>
      <c r="AA273" s="37">
        <f>$M$281*$D$229/5</f>
        <v>14750</v>
      </c>
      <c r="AB273" s="156">
        <f>$M$281*$D$229/5</f>
        <v>14750</v>
      </c>
      <c r="AC273" s="184">
        <f>$M$281*$D$229/5</f>
        <v>14750</v>
      </c>
      <c r="AD273" s="37">
        <f>$M$281*$D$229/5</f>
        <v>14750</v>
      </c>
      <c r="AE273" s="37"/>
      <c r="AF273" s="37"/>
      <c r="AG273" s="37">
        <f>$M$281*$D$229/5</f>
        <v>14750</v>
      </c>
      <c r="AH273" s="37">
        <f>$M$281*$D$229/5</f>
        <v>14750</v>
      </c>
      <c r="AI273" s="156">
        <f>$M$281*$D$229/5</f>
        <v>14750</v>
      </c>
      <c r="AJ273" s="184">
        <f>$M$281*$D$229/5</f>
        <v>14750</v>
      </c>
      <c r="AK273" s="137"/>
      <c r="AL273" s="22"/>
      <c r="AM273" s="113"/>
      <c r="AN273" s="8"/>
      <c r="AO273" s="8"/>
      <c r="AP273" s="8"/>
      <c r="AQ273" s="7"/>
      <c r="AR273" s="8"/>
      <c r="AS273" s="8"/>
      <c r="AT273" s="7"/>
      <c r="AU273" s="7"/>
      <c r="AV273" s="7"/>
      <c r="AW273" s="7"/>
    </row>
    <row r="274" spans="1:49">
      <c r="A274" s="244"/>
      <c r="B274" s="236"/>
      <c r="C274" s="196"/>
      <c r="D274" s="219"/>
      <c r="E274" s="196"/>
      <c r="F274" s="203"/>
      <c r="G274" s="24"/>
      <c r="H274" s="23" t="s">
        <v>5</v>
      </c>
      <c r="I274" s="36">
        <v>1</v>
      </c>
      <c r="J274" s="36"/>
      <c r="K274" s="36"/>
      <c r="L274" s="36">
        <v>1</v>
      </c>
      <c r="M274" s="36">
        <v>1</v>
      </c>
      <c r="N274" s="35">
        <v>1</v>
      </c>
      <c r="O274" s="165"/>
      <c r="P274" s="165"/>
      <c r="Q274" s="165"/>
      <c r="R274" s="165"/>
      <c r="S274" s="165"/>
      <c r="T274" s="165"/>
      <c r="U274" s="165"/>
      <c r="V274" s="165"/>
      <c r="W274" s="36">
        <v>1</v>
      </c>
      <c r="X274" s="36"/>
      <c r="Y274" s="36"/>
      <c r="Z274" s="36">
        <v>1</v>
      </c>
      <c r="AA274" s="36">
        <v>1</v>
      </c>
      <c r="AB274" s="35">
        <v>1</v>
      </c>
      <c r="AC274" s="167">
        <v>1</v>
      </c>
      <c r="AD274" s="36">
        <v>1</v>
      </c>
      <c r="AE274" s="36"/>
      <c r="AF274" s="36"/>
      <c r="AG274" s="36">
        <v>1</v>
      </c>
      <c r="AH274" s="36">
        <v>1</v>
      </c>
      <c r="AI274" s="35">
        <v>1</v>
      </c>
      <c r="AJ274" s="167">
        <v>1</v>
      </c>
      <c r="AK274" s="125"/>
      <c r="AL274" s="22"/>
      <c r="AM274" s="113"/>
      <c r="AN274" s="8"/>
      <c r="AO274" s="8"/>
      <c r="AP274" s="8"/>
      <c r="AQ274" s="7"/>
      <c r="AR274" s="8"/>
      <c r="AS274" s="8"/>
      <c r="AT274" s="7"/>
      <c r="AU274" s="7"/>
      <c r="AV274" s="7"/>
      <c r="AW274" s="7"/>
    </row>
    <row r="275" spans="1:49">
      <c r="A275" s="244"/>
      <c r="B275" s="236"/>
      <c r="C275" s="196"/>
      <c r="D275" s="219"/>
      <c r="E275" s="196"/>
      <c r="F275" s="203"/>
      <c r="G275" s="24" t="s">
        <v>35</v>
      </c>
      <c r="H275" s="26" t="s">
        <v>0</v>
      </c>
      <c r="I275" s="36"/>
      <c r="J275" s="36"/>
      <c r="K275" s="36"/>
      <c r="L275" s="36"/>
      <c r="M275" s="36"/>
      <c r="N275" s="35"/>
      <c r="O275" s="165"/>
      <c r="P275" s="165"/>
      <c r="Q275" s="165"/>
      <c r="R275" s="165"/>
      <c r="S275" s="165"/>
      <c r="T275" s="165"/>
      <c r="U275" s="165"/>
      <c r="V275" s="165"/>
      <c r="W275" s="36"/>
      <c r="X275" s="36"/>
      <c r="Y275" s="36"/>
      <c r="Z275" s="36"/>
      <c r="AA275" s="36"/>
      <c r="AB275" s="35"/>
      <c r="AC275" s="167"/>
      <c r="AD275" s="36"/>
      <c r="AE275" s="36"/>
      <c r="AF275" s="36"/>
      <c r="AG275" s="36"/>
      <c r="AH275" s="36"/>
      <c r="AI275" s="35"/>
      <c r="AJ275" s="167"/>
      <c r="AK275" s="125"/>
      <c r="AL275" s="22"/>
      <c r="AM275" s="113"/>
      <c r="AN275" s="8"/>
      <c r="AO275" s="8"/>
      <c r="AP275" s="8"/>
      <c r="AQ275" s="7"/>
      <c r="AR275" s="8"/>
      <c r="AS275" s="8"/>
      <c r="AT275" s="7"/>
      <c r="AU275" s="7"/>
      <c r="AV275" s="7"/>
      <c r="AW275" s="7"/>
    </row>
    <row r="276" spans="1:49">
      <c r="A276" s="244"/>
      <c r="B276" s="236"/>
      <c r="C276" s="196"/>
      <c r="D276" s="219"/>
      <c r="E276" s="196"/>
      <c r="F276" s="203"/>
      <c r="G276" s="24"/>
      <c r="H276" s="26" t="s">
        <v>34</v>
      </c>
      <c r="I276" s="36"/>
      <c r="J276" s="36"/>
      <c r="K276" s="36"/>
      <c r="L276" s="36"/>
      <c r="M276" s="36"/>
      <c r="N276" s="35"/>
      <c r="O276" s="165"/>
      <c r="P276" s="165"/>
      <c r="Q276" s="165"/>
      <c r="R276" s="165"/>
      <c r="S276" s="165"/>
      <c r="T276" s="165"/>
      <c r="U276" s="165"/>
      <c r="V276" s="165"/>
      <c r="W276" s="36"/>
      <c r="X276" s="36"/>
      <c r="Y276" s="36"/>
      <c r="Z276" s="36"/>
      <c r="AA276" s="36"/>
      <c r="AB276" s="35"/>
      <c r="AC276" s="167"/>
      <c r="AD276" s="36"/>
      <c r="AE276" s="36"/>
      <c r="AF276" s="36"/>
      <c r="AG276" s="36"/>
      <c r="AH276" s="36"/>
      <c r="AI276" s="35"/>
      <c r="AJ276" s="167"/>
      <c r="AK276" s="125"/>
      <c r="AL276" s="22"/>
      <c r="AM276" s="113"/>
      <c r="AN276" s="8"/>
      <c r="AO276" s="8"/>
      <c r="AP276" s="8"/>
      <c r="AQ276" s="7"/>
      <c r="AR276" s="8"/>
      <c r="AS276" s="8"/>
      <c r="AT276" s="7"/>
      <c r="AU276" s="7"/>
      <c r="AV276" s="7"/>
      <c r="AW276" s="7"/>
    </row>
    <row r="277" spans="1:49">
      <c r="A277" s="244"/>
      <c r="B277" s="236"/>
      <c r="C277" s="196"/>
      <c r="D277" s="219"/>
      <c r="E277" s="196"/>
      <c r="F277" s="203"/>
      <c r="G277" s="24"/>
      <c r="H277" s="23" t="s">
        <v>4</v>
      </c>
      <c r="I277" s="37">
        <f>$M$281*$D$229/5</f>
        <v>14750</v>
      </c>
      <c r="J277" s="37"/>
      <c r="K277" s="37"/>
      <c r="L277" s="37">
        <f>$M$281*$D$229/5</f>
        <v>14750</v>
      </c>
      <c r="M277" s="37">
        <f>$M$281*$D$229/5</f>
        <v>14750</v>
      </c>
      <c r="N277" s="156">
        <f>$M$281*$D$229/5</f>
        <v>14750</v>
      </c>
      <c r="O277" s="173"/>
      <c r="P277" s="173"/>
      <c r="Q277" s="165"/>
      <c r="R277" s="165"/>
      <c r="S277" s="165"/>
      <c r="T277" s="173"/>
      <c r="U277" s="173"/>
      <c r="V277" s="173"/>
      <c r="W277" s="37">
        <f>$M$281*$D$229/5</f>
        <v>14750</v>
      </c>
      <c r="X277" s="37"/>
      <c r="Y277" s="37"/>
      <c r="Z277" s="37">
        <f>$M$281*$D$229/5</f>
        <v>14750</v>
      </c>
      <c r="AA277" s="37">
        <f>$M$281*$D$229/5</f>
        <v>14750</v>
      </c>
      <c r="AB277" s="156">
        <f>$M$281*$D$229/5</f>
        <v>14750</v>
      </c>
      <c r="AC277" s="184">
        <f>$M$281*$D$229/5</f>
        <v>14750</v>
      </c>
      <c r="AD277" s="37">
        <f>$M$281*$D$229/5</f>
        <v>14750</v>
      </c>
      <c r="AE277" s="37"/>
      <c r="AF277" s="37"/>
      <c r="AG277" s="37">
        <f>$M$281*$D$229/5</f>
        <v>14750</v>
      </c>
      <c r="AH277" s="37">
        <f>$M$281*$D$229/5</f>
        <v>14750</v>
      </c>
      <c r="AI277" s="156">
        <f>$M$281*$D$229/5</f>
        <v>14750</v>
      </c>
      <c r="AJ277" s="184">
        <f>$M$281*$D$229/5</f>
        <v>14750</v>
      </c>
      <c r="AK277" s="137"/>
      <c r="AL277" s="22"/>
      <c r="AM277" s="113"/>
      <c r="AN277" s="8"/>
      <c r="AO277" s="8"/>
      <c r="AP277" s="8"/>
      <c r="AQ277" s="7"/>
      <c r="AR277" s="8"/>
      <c r="AS277" s="8"/>
      <c r="AT277" s="7"/>
      <c r="AU277" s="7"/>
      <c r="AV277" s="7"/>
      <c r="AW277" s="7"/>
    </row>
    <row r="278" spans="1:49">
      <c r="A278" s="244"/>
      <c r="B278" s="236"/>
      <c r="C278" s="196"/>
      <c r="D278" s="219"/>
      <c r="E278" s="196"/>
      <c r="F278" s="203"/>
      <c r="G278" s="24"/>
      <c r="H278" s="23" t="s">
        <v>3</v>
      </c>
      <c r="I278" s="36">
        <v>1</v>
      </c>
      <c r="J278" s="36"/>
      <c r="K278" s="36"/>
      <c r="L278" s="36">
        <v>1</v>
      </c>
      <c r="M278" s="36">
        <v>1</v>
      </c>
      <c r="N278" s="35">
        <v>1</v>
      </c>
      <c r="O278" s="165"/>
      <c r="P278" s="165"/>
      <c r="Q278" s="165"/>
      <c r="R278" s="165"/>
      <c r="S278" s="165"/>
      <c r="T278" s="165"/>
      <c r="U278" s="165"/>
      <c r="V278" s="165"/>
      <c r="W278" s="36">
        <v>1</v>
      </c>
      <c r="X278" s="36"/>
      <c r="Y278" s="36"/>
      <c r="Z278" s="36">
        <v>1</v>
      </c>
      <c r="AA278" s="36">
        <v>1</v>
      </c>
      <c r="AB278" s="35">
        <v>1</v>
      </c>
      <c r="AC278" s="167">
        <v>1</v>
      </c>
      <c r="AD278" s="36">
        <v>1</v>
      </c>
      <c r="AE278" s="36"/>
      <c r="AF278" s="36"/>
      <c r="AG278" s="36">
        <v>1</v>
      </c>
      <c r="AH278" s="36">
        <v>1</v>
      </c>
      <c r="AI278" s="35">
        <v>1</v>
      </c>
      <c r="AJ278" s="167">
        <v>1</v>
      </c>
      <c r="AK278" s="125"/>
      <c r="AL278" s="22"/>
      <c r="AM278" s="113"/>
      <c r="AN278" s="8"/>
      <c r="AO278" s="8"/>
      <c r="AP278" s="8"/>
      <c r="AQ278" s="7"/>
      <c r="AR278" s="8"/>
      <c r="AS278" s="8"/>
      <c r="AT278" s="7"/>
      <c r="AU278" s="7"/>
      <c r="AV278" s="7"/>
      <c r="AW278" s="7"/>
    </row>
    <row r="279" spans="1:49">
      <c r="A279" s="244"/>
      <c r="B279" s="236"/>
      <c r="C279" s="196"/>
      <c r="D279" s="219"/>
      <c r="E279" s="196"/>
      <c r="F279" s="203"/>
      <c r="G279" s="24"/>
      <c r="H279" s="26" t="s">
        <v>0</v>
      </c>
      <c r="I279" s="36"/>
      <c r="J279" s="36"/>
      <c r="K279" s="36"/>
      <c r="L279" s="36"/>
      <c r="M279" s="36"/>
      <c r="N279" s="35"/>
      <c r="O279" s="165"/>
      <c r="P279" s="165"/>
      <c r="Q279" s="165"/>
      <c r="R279" s="165"/>
      <c r="S279" s="165"/>
      <c r="T279" s="165"/>
      <c r="U279" s="165"/>
      <c r="V279" s="165"/>
      <c r="W279" s="22"/>
      <c r="X279" s="36"/>
      <c r="Y279" s="22"/>
      <c r="Z279" s="36"/>
      <c r="AA279" s="36"/>
      <c r="AB279" s="35"/>
      <c r="AC279" s="167"/>
      <c r="AD279" s="36"/>
      <c r="AE279" s="36"/>
      <c r="AF279" s="36"/>
      <c r="AG279" s="36"/>
      <c r="AH279" s="36"/>
      <c r="AI279" s="35"/>
      <c r="AJ279" s="167"/>
      <c r="AK279" s="115"/>
      <c r="AL279" s="22"/>
      <c r="AM279" s="113"/>
      <c r="AN279" s="8"/>
      <c r="AO279" s="8"/>
      <c r="AP279" s="8"/>
      <c r="AQ279" s="7"/>
      <c r="AR279" s="8"/>
      <c r="AS279" s="8"/>
      <c r="AT279" s="7"/>
      <c r="AU279" s="7"/>
      <c r="AV279" s="7"/>
      <c r="AW279" s="7"/>
    </row>
    <row r="280" spans="1:49">
      <c r="A280" s="244"/>
      <c r="B280" s="236"/>
      <c r="C280" s="196"/>
      <c r="D280" s="219"/>
      <c r="E280" s="196"/>
      <c r="F280" s="203"/>
      <c r="G280" s="24"/>
      <c r="H280" s="26" t="s">
        <v>34</v>
      </c>
      <c r="I280" s="36"/>
      <c r="J280" s="36"/>
      <c r="K280" s="36"/>
      <c r="L280" s="36"/>
      <c r="M280" s="36"/>
      <c r="N280" s="35"/>
      <c r="O280" s="165"/>
      <c r="P280" s="165"/>
      <c r="Q280" s="165"/>
      <c r="R280" s="165"/>
      <c r="S280" s="165"/>
      <c r="T280" s="165"/>
      <c r="U280" s="165"/>
      <c r="V280" s="165"/>
      <c r="W280" s="36"/>
      <c r="X280" s="36"/>
      <c r="Y280" s="22"/>
      <c r="Z280" s="36"/>
      <c r="AA280" s="36"/>
      <c r="AB280" s="35"/>
      <c r="AC280" s="167"/>
      <c r="AD280" s="36"/>
      <c r="AE280" s="36"/>
      <c r="AF280" s="36"/>
      <c r="AG280" s="36"/>
      <c r="AH280" s="36"/>
      <c r="AI280" s="35"/>
      <c r="AJ280" s="167"/>
      <c r="AK280" s="115"/>
      <c r="AL280" s="22"/>
      <c r="AM280" s="113"/>
      <c r="AN280" s="8"/>
      <c r="AO280" s="8"/>
      <c r="AP280" s="8"/>
      <c r="AQ280" s="7"/>
      <c r="AR280" s="8"/>
      <c r="AS280" s="8"/>
      <c r="AT280" s="7"/>
      <c r="AU280" s="7"/>
      <c r="AV280" s="7"/>
      <c r="AW280" s="7"/>
    </row>
    <row r="281" spans="1:49">
      <c r="A281" s="244"/>
      <c r="B281" s="236"/>
      <c r="C281" s="196"/>
      <c r="D281" s="219"/>
      <c r="E281" s="196"/>
      <c r="F281" s="203"/>
      <c r="G281" s="24"/>
      <c r="H281" s="23" t="s">
        <v>2</v>
      </c>
      <c r="I281" s="36"/>
      <c r="J281" s="36"/>
      <c r="K281" s="36"/>
      <c r="L281" s="36"/>
      <c r="M281" s="36">
        <f>($C$229*5)</f>
        <v>50000</v>
      </c>
      <c r="N281" s="35"/>
      <c r="O281" s="174"/>
      <c r="P281" s="174"/>
      <c r="Q281" s="165"/>
      <c r="R281" s="165"/>
      <c r="S281" s="165"/>
      <c r="T281" s="165"/>
      <c r="U281" s="165"/>
      <c r="V281" s="165"/>
      <c r="W281" s="36">
        <f>($C$229*5)</f>
        <v>50000</v>
      </c>
      <c r="X281" s="36"/>
      <c r="Y281" s="27"/>
      <c r="Z281" s="36"/>
      <c r="AA281" s="36"/>
      <c r="AB281" s="35"/>
      <c r="AC281" s="167"/>
      <c r="AD281" s="36">
        <f>($C$229*5)+($C$229*5*10%)</f>
        <v>55000</v>
      </c>
      <c r="AE281" s="36"/>
      <c r="AF281" s="36"/>
      <c r="AG281" s="36"/>
      <c r="AH281" s="36"/>
      <c r="AI281" s="35"/>
      <c r="AJ281" s="167"/>
      <c r="AK281" s="116"/>
      <c r="AL281" s="22"/>
      <c r="AM281" s="113"/>
      <c r="AN281" s="8"/>
      <c r="AO281" s="8"/>
      <c r="AP281" s="8"/>
      <c r="AQ281" s="7"/>
      <c r="AR281" s="8"/>
      <c r="AS281" s="8"/>
      <c r="AT281" s="7"/>
      <c r="AU281" s="7"/>
      <c r="AV281" s="7"/>
      <c r="AW281" s="7"/>
    </row>
    <row r="282" spans="1:49">
      <c r="A282" s="244"/>
      <c r="B282" s="236"/>
      <c r="C282" s="196"/>
      <c r="D282" s="219"/>
      <c r="E282" s="196"/>
      <c r="F282" s="203"/>
      <c r="G282" s="24"/>
      <c r="H282" s="23" t="s">
        <v>1</v>
      </c>
      <c r="I282" s="36"/>
      <c r="J282" s="36"/>
      <c r="K282" s="36"/>
      <c r="L282" s="36"/>
      <c r="M282" s="36">
        <v>1</v>
      </c>
      <c r="N282" s="35"/>
      <c r="O282" s="174"/>
      <c r="P282" s="174"/>
      <c r="Q282" s="165"/>
      <c r="R282" s="165"/>
      <c r="S282" s="165"/>
      <c r="T282" s="165"/>
      <c r="U282" s="165"/>
      <c r="V282" s="165"/>
      <c r="W282" s="36">
        <v>1</v>
      </c>
      <c r="X282" s="36"/>
      <c r="Y282" s="27"/>
      <c r="Z282" s="36"/>
      <c r="AA282" s="36"/>
      <c r="AB282" s="35"/>
      <c r="AC282" s="167"/>
      <c r="AD282" s="36">
        <v>1</v>
      </c>
      <c r="AE282" s="36"/>
      <c r="AF282" s="36"/>
      <c r="AG282" s="36"/>
      <c r="AH282" s="36"/>
      <c r="AI282" s="35"/>
      <c r="AJ282" s="167"/>
      <c r="AK282" s="116"/>
      <c r="AL282" s="22"/>
      <c r="AM282" s="113"/>
      <c r="AN282" s="8"/>
      <c r="AO282" s="8"/>
      <c r="AP282" s="8"/>
      <c r="AQ282" s="7"/>
      <c r="AR282" s="8"/>
      <c r="AS282" s="8"/>
      <c r="AT282" s="7"/>
      <c r="AU282" s="7"/>
      <c r="AV282" s="7"/>
      <c r="AW282" s="7"/>
    </row>
    <row r="283" spans="1:49">
      <c r="A283" s="244"/>
      <c r="B283" s="236"/>
      <c r="C283" s="196"/>
      <c r="D283" s="219"/>
      <c r="E283" s="196"/>
      <c r="F283" s="203"/>
      <c r="G283" s="24"/>
      <c r="H283" s="26" t="s">
        <v>0</v>
      </c>
      <c r="I283" s="36"/>
      <c r="J283" s="36"/>
      <c r="K283" s="36"/>
      <c r="L283" s="36"/>
      <c r="M283" s="36"/>
      <c r="N283" s="35"/>
      <c r="O283" s="165"/>
      <c r="P283" s="174"/>
      <c r="Q283" s="165"/>
      <c r="R283" s="165"/>
      <c r="S283" s="165"/>
      <c r="T283" s="165"/>
      <c r="U283" s="165"/>
      <c r="V283" s="165"/>
      <c r="W283" s="36"/>
      <c r="X283" s="36"/>
      <c r="Y283" s="24"/>
      <c r="Z283" s="36"/>
      <c r="AA283" s="36"/>
      <c r="AB283" s="35"/>
      <c r="AC283" s="167"/>
      <c r="AD283" s="36"/>
      <c r="AE283" s="36"/>
      <c r="AF283" s="36"/>
      <c r="AG283" s="36"/>
      <c r="AH283" s="36"/>
      <c r="AI283" s="35"/>
      <c r="AJ283" s="167"/>
      <c r="AK283" s="117"/>
      <c r="AL283" s="36"/>
      <c r="AM283" s="132"/>
      <c r="AN283" s="8"/>
      <c r="AO283" s="8"/>
      <c r="AP283" s="8"/>
      <c r="AQ283" s="7"/>
      <c r="AR283" s="8"/>
      <c r="AS283" s="8"/>
      <c r="AT283" s="7"/>
      <c r="AU283" s="7"/>
      <c r="AV283" s="7"/>
      <c r="AW283" s="7"/>
    </row>
    <row r="284" spans="1:49" ht="15.75" thickBot="1">
      <c r="A284" s="245"/>
      <c r="B284" s="237"/>
      <c r="C284" s="197"/>
      <c r="D284" s="220"/>
      <c r="E284" s="197"/>
      <c r="F284" s="204"/>
      <c r="G284" s="20"/>
      <c r="H284" s="34" t="s">
        <v>34</v>
      </c>
      <c r="I284" s="18"/>
      <c r="J284" s="18"/>
      <c r="K284" s="18"/>
      <c r="L284" s="18"/>
      <c r="M284" s="18"/>
      <c r="N284" s="17"/>
      <c r="O284" s="165"/>
      <c r="P284" s="165"/>
      <c r="Q284" s="165"/>
      <c r="R284" s="165"/>
      <c r="S284" s="165"/>
      <c r="T284" s="165"/>
      <c r="U284" s="165"/>
      <c r="V284" s="165"/>
      <c r="W284" s="18"/>
      <c r="X284" s="18"/>
      <c r="Y284" s="18"/>
      <c r="Z284" s="18"/>
      <c r="AA284" s="18"/>
      <c r="AB284" s="17"/>
      <c r="AC284" s="171"/>
      <c r="AD284" s="18"/>
      <c r="AE284" s="18"/>
      <c r="AF284" s="18"/>
      <c r="AG284" s="18"/>
      <c r="AH284" s="18"/>
      <c r="AI284" s="17"/>
      <c r="AJ284" s="171"/>
      <c r="AK284" s="123"/>
      <c r="AL284" s="18"/>
      <c r="AM284" s="118"/>
      <c r="AN284" s="8"/>
      <c r="AO284" s="8"/>
      <c r="AP284" s="8"/>
      <c r="AQ284" s="7"/>
      <c r="AR284" s="8"/>
      <c r="AS284" s="8"/>
      <c r="AT284" s="7"/>
      <c r="AU284" s="7"/>
      <c r="AV284" s="7"/>
      <c r="AW284" s="7"/>
    </row>
    <row r="285" spans="1:49">
      <c r="A285" s="246" t="s">
        <v>33</v>
      </c>
      <c r="B285" s="238" t="s">
        <v>32</v>
      </c>
      <c r="C285" s="195">
        <v>5000</v>
      </c>
      <c r="D285" s="230">
        <v>1.48</v>
      </c>
      <c r="E285" s="195"/>
      <c r="F285" s="206"/>
      <c r="G285" s="33">
        <v>0.08</v>
      </c>
      <c r="H285" s="32" t="s">
        <v>31</v>
      </c>
      <c r="I285" s="31">
        <v>32.28</v>
      </c>
      <c r="J285" s="31"/>
      <c r="K285" s="31"/>
      <c r="L285" s="31">
        <v>32.28</v>
      </c>
      <c r="M285" s="31">
        <v>32.28</v>
      </c>
      <c r="N285" s="30">
        <v>32.28</v>
      </c>
      <c r="O285" s="165"/>
      <c r="P285" s="165"/>
      <c r="Q285" s="165"/>
      <c r="R285" s="165"/>
      <c r="S285" s="165"/>
      <c r="T285" s="165"/>
      <c r="U285" s="165"/>
      <c r="V285" s="165"/>
      <c r="W285" s="31">
        <v>32.28</v>
      </c>
      <c r="X285" s="31"/>
      <c r="Y285" s="31"/>
      <c r="Z285" s="31">
        <v>32.28</v>
      </c>
      <c r="AA285" s="31">
        <v>32.28</v>
      </c>
      <c r="AB285" s="30">
        <v>32.28</v>
      </c>
      <c r="AC285" s="178">
        <v>32.28</v>
      </c>
      <c r="AD285" s="31">
        <v>32.28</v>
      </c>
      <c r="AE285" s="31"/>
      <c r="AF285" s="31"/>
      <c r="AG285" s="31">
        <v>32.28</v>
      </c>
      <c r="AH285" s="31">
        <v>32.28</v>
      </c>
      <c r="AI285" s="30">
        <v>32.28</v>
      </c>
      <c r="AJ285" s="178">
        <v>32.28</v>
      </c>
      <c r="AK285" s="31"/>
      <c r="AL285" s="31"/>
      <c r="AM285" s="112"/>
      <c r="AN285" s="8"/>
      <c r="AO285" s="8"/>
      <c r="AP285" s="8"/>
      <c r="AQ285" s="6"/>
      <c r="AR285" s="8"/>
      <c r="AS285" s="8"/>
      <c r="AT285" s="6"/>
      <c r="AU285" s="6"/>
      <c r="AV285" s="7"/>
      <c r="AW285" s="6"/>
    </row>
    <row r="286" spans="1:49">
      <c r="A286" s="244"/>
      <c r="B286" s="236"/>
      <c r="C286" s="196"/>
      <c r="D286" s="219"/>
      <c r="E286" s="196"/>
      <c r="F286" s="214"/>
      <c r="G286" s="28"/>
      <c r="H286" s="23" t="s">
        <v>26</v>
      </c>
      <c r="I286" s="22"/>
      <c r="J286" s="22"/>
      <c r="K286" s="22"/>
      <c r="L286" s="22"/>
      <c r="M286" s="22"/>
      <c r="N286" s="21"/>
      <c r="O286" s="165"/>
      <c r="P286" s="165"/>
      <c r="Q286" s="165"/>
      <c r="R286" s="165"/>
      <c r="S286" s="165"/>
      <c r="T286" s="165"/>
      <c r="U286" s="165"/>
      <c r="V286" s="165"/>
      <c r="W286" s="22"/>
      <c r="X286" s="22"/>
      <c r="Y286" s="22"/>
      <c r="Z286" s="22"/>
      <c r="AA286" s="22"/>
      <c r="AB286" s="21"/>
      <c r="AC286" s="165"/>
      <c r="AD286" s="22"/>
      <c r="AE286" s="22"/>
      <c r="AF286" s="22"/>
      <c r="AG286" s="22"/>
      <c r="AH286" s="22"/>
      <c r="AI286" s="21"/>
      <c r="AJ286" s="165"/>
      <c r="AK286" s="22"/>
      <c r="AL286" s="22"/>
      <c r="AM286" s="113"/>
      <c r="AN286" s="8"/>
      <c r="AO286" s="8"/>
      <c r="AP286" s="8"/>
      <c r="AQ286" s="6"/>
      <c r="AR286" s="8"/>
      <c r="AS286" s="8"/>
      <c r="AT286" s="6"/>
      <c r="AU286" s="6"/>
      <c r="AV286" s="7"/>
      <c r="AW286" s="6"/>
    </row>
    <row r="287" spans="1:49">
      <c r="A287" s="244"/>
      <c r="B287" s="236"/>
      <c r="C287" s="196"/>
      <c r="D287" s="219"/>
      <c r="E287" s="196"/>
      <c r="F287" s="214"/>
      <c r="G287" s="28"/>
      <c r="H287" s="26" t="s">
        <v>0</v>
      </c>
      <c r="I287" s="22"/>
      <c r="J287" s="22"/>
      <c r="K287" s="22"/>
      <c r="L287" s="22"/>
      <c r="M287" s="22"/>
      <c r="N287" s="21"/>
      <c r="O287" s="165"/>
      <c r="P287" s="165"/>
      <c r="Q287" s="165"/>
      <c r="R287" s="165"/>
      <c r="S287" s="165"/>
      <c r="T287" s="165"/>
      <c r="U287" s="165"/>
      <c r="V287" s="165"/>
      <c r="W287" s="22"/>
      <c r="X287" s="22"/>
      <c r="Y287" s="22"/>
      <c r="Z287" s="22"/>
      <c r="AA287" s="22"/>
      <c r="AB287" s="21"/>
      <c r="AC287" s="165"/>
      <c r="AD287" s="22"/>
      <c r="AE287" s="22"/>
      <c r="AF287" s="22"/>
      <c r="AG287" s="22"/>
      <c r="AH287" s="22"/>
      <c r="AI287" s="21"/>
      <c r="AJ287" s="165"/>
      <c r="AK287" s="22"/>
      <c r="AL287" s="22"/>
      <c r="AM287" s="113"/>
      <c r="AN287" s="8"/>
      <c r="AO287" s="8"/>
      <c r="AP287" s="8"/>
      <c r="AQ287" s="6"/>
      <c r="AR287" s="8"/>
      <c r="AS287" s="8"/>
      <c r="AT287" s="6"/>
      <c r="AU287" s="6"/>
      <c r="AV287" s="7"/>
      <c r="AW287" s="6"/>
    </row>
    <row r="288" spans="1:49">
      <c r="A288" s="244"/>
      <c r="B288" s="236"/>
      <c r="C288" s="196"/>
      <c r="D288" s="219"/>
      <c r="E288" s="196"/>
      <c r="F288" s="214"/>
      <c r="G288" s="28">
        <v>0.1</v>
      </c>
      <c r="H288" s="29" t="s">
        <v>31</v>
      </c>
      <c r="I288" s="22">
        <v>26.8</v>
      </c>
      <c r="J288" s="22"/>
      <c r="K288" s="22"/>
      <c r="L288" s="22">
        <v>26.8</v>
      </c>
      <c r="M288" s="22">
        <v>26.8</v>
      </c>
      <c r="N288" s="21">
        <v>26.8</v>
      </c>
      <c r="O288" s="165"/>
      <c r="P288" s="165"/>
      <c r="Q288" s="165"/>
      <c r="R288" s="165"/>
      <c r="S288" s="165"/>
      <c r="T288" s="165"/>
      <c r="U288" s="165"/>
      <c r="V288" s="165"/>
      <c r="W288" s="22">
        <v>26.8</v>
      </c>
      <c r="X288" s="22"/>
      <c r="Y288" s="22"/>
      <c r="Z288" s="22">
        <v>26.8</v>
      </c>
      <c r="AA288" s="22">
        <v>26.8</v>
      </c>
      <c r="AB288" s="21">
        <v>26.8</v>
      </c>
      <c r="AC288" s="165">
        <v>26.8</v>
      </c>
      <c r="AD288" s="22">
        <v>26.8</v>
      </c>
      <c r="AE288" s="22"/>
      <c r="AF288" s="22"/>
      <c r="AG288" s="22">
        <v>26.8</v>
      </c>
      <c r="AH288" s="22">
        <v>26.8</v>
      </c>
      <c r="AI288" s="21">
        <v>26.8</v>
      </c>
      <c r="AJ288" s="165">
        <v>26.8</v>
      </c>
      <c r="AK288" s="22"/>
      <c r="AL288" s="22"/>
      <c r="AM288" s="113"/>
      <c r="AN288" s="8"/>
      <c r="AO288" s="8"/>
      <c r="AP288" s="8"/>
      <c r="AQ288" s="6"/>
      <c r="AR288" s="8"/>
      <c r="AS288" s="8"/>
      <c r="AT288" s="6"/>
      <c r="AU288" s="6"/>
      <c r="AV288" s="7"/>
      <c r="AW288" s="6"/>
    </row>
    <row r="289" spans="1:49">
      <c r="A289" s="244"/>
      <c r="B289" s="236"/>
      <c r="C289" s="196"/>
      <c r="D289" s="219"/>
      <c r="E289" s="196"/>
      <c r="F289" s="214"/>
      <c r="G289" s="28"/>
      <c r="H289" s="23" t="s">
        <v>26</v>
      </c>
      <c r="I289" s="22"/>
      <c r="J289" s="22"/>
      <c r="K289" s="22"/>
      <c r="L289" s="22"/>
      <c r="M289" s="22"/>
      <c r="N289" s="21"/>
      <c r="O289" s="165"/>
      <c r="P289" s="165"/>
      <c r="Q289" s="165"/>
      <c r="R289" s="165"/>
      <c r="S289" s="165"/>
      <c r="T289" s="165"/>
      <c r="U289" s="165"/>
      <c r="V289" s="165"/>
      <c r="W289" s="22"/>
      <c r="X289" s="22"/>
      <c r="Y289" s="22"/>
      <c r="Z289" s="22"/>
      <c r="AA289" s="22"/>
      <c r="AB289" s="21"/>
      <c r="AC289" s="165"/>
      <c r="AD289" s="22"/>
      <c r="AE289" s="22"/>
      <c r="AF289" s="22"/>
      <c r="AG289" s="22"/>
      <c r="AH289" s="22"/>
      <c r="AI289" s="21"/>
      <c r="AJ289" s="165"/>
      <c r="AK289" s="22"/>
      <c r="AL289" s="22"/>
      <c r="AM289" s="113"/>
      <c r="AN289" s="8"/>
      <c r="AO289" s="8"/>
      <c r="AP289" s="8"/>
      <c r="AQ289" s="6"/>
      <c r="AR289" s="8"/>
      <c r="AS289" s="8"/>
      <c r="AT289" s="6"/>
      <c r="AU289" s="6"/>
      <c r="AV289" s="7"/>
      <c r="AW289" s="6"/>
    </row>
    <row r="290" spans="1:49">
      <c r="A290" s="244"/>
      <c r="B290" s="236"/>
      <c r="C290" s="196"/>
      <c r="D290" s="219"/>
      <c r="E290" s="196"/>
      <c r="F290" s="214"/>
      <c r="G290" s="28"/>
      <c r="H290" s="26" t="s">
        <v>0</v>
      </c>
      <c r="I290" s="22"/>
      <c r="J290" s="22"/>
      <c r="K290" s="22"/>
      <c r="L290" s="22"/>
      <c r="M290" s="22"/>
      <c r="N290" s="21"/>
      <c r="O290" s="165"/>
      <c r="P290" s="165"/>
      <c r="Q290" s="165"/>
      <c r="R290" s="165"/>
      <c r="S290" s="165"/>
      <c r="T290" s="165"/>
      <c r="U290" s="165"/>
      <c r="V290" s="165"/>
      <c r="W290" s="22"/>
      <c r="X290" s="22"/>
      <c r="Y290" s="22"/>
      <c r="Z290" s="22"/>
      <c r="AA290" s="22"/>
      <c r="AB290" s="21"/>
      <c r="AC290" s="165"/>
      <c r="AD290" s="22"/>
      <c r="AE290" s="22"/>
      <c r="AF290" s="22"/>
      <c r="AG290" s="22"/>
      <c r="AH290" s="22"/>
      <c r="AI290" s="21"/>
      <c r="AJ290" s="165"/>
      <c r="AK290" s="22"/>
      <c r="AL290" s="22"/>
      <c r="AM290" s="113"/>
      <c r="AN290" s="8"/>
      <c r="AO290" s="8"/>
      <c r="AP290" s="8"/>
      <c r="AQ290" s="6"/>
      <c r="AR290" s="8"/>
      <c r="AS290" s="8"/>
      <c r="AT290" s="6"/>
      <c r="AU290" s="6"/>
      <c r="AV290" s="7"/>
      <c r="AW290" s="6"/>
    </row>
    <row r="291" spans="1:49">
      <c r="A291" s="244"/>
      <c r="B291" s="236"/>
      <c r="C291" s="196"/>
      <c r="D291" s="219"/>
      <c r="E291" s="196"/>
      <c r="F291" s="214"/>
      <c r="G291" s="28">
        <v>0.127</v>
      </c>
      <c r="H291" s="29" t="s">
        <v>31</v>
      </c>
      <c r="I291" s="22">
        <v>6.3</v>
      </c>
      <c r="J291" s="22"/>
      <c r="K291" s="22"/>
      <c r="L291" s="22">
        <v>6.3</v>
      </c>
      <c r="M291" s="22">
        <v>6.3</v>
      </c>
      <c r="N291" s="21">
        <v>6.3</v>
      </c>
      <c r="O291" s="165"/>
      <c r="P291" s="165"/>
      <c r="Q291" s="165"/>
      <c r="R291" s="165"/>
      <c r="S291" s="165"/>
      <c r="T291" s="165"/>
      <c r="U291" s="165"/>
      <c r="V291" s="165"/>
      <c r="W291" s="22">
        <v>6.3</v>
      </c>
      <c r="X291" s="22"/>
      <c r="Y291" s="22"/>
      <c r="Z291" s="22">
        <v>6.3</v>
      </c>
      <c r="AA291" s="22">
        <v>6.3</v>
      </c>
      <c r="AB291" s="21">
        <v>6.3</v>
      </c>
      <c r="AC291" s="165">
        <v>6.3</v>
      </c>
      <c r="AD291" s="22">
        <v>6.3</v>
      </c>
      <c r="AE291" s="22"/>
      <c r="AF291" s="22"/>
      <c r="AG291" s="22">
        <v>6.3</v>
      </c>
      <c r="AH291" s="22">
        <v>6.3</v>
      </c>
      <c r="AI291" s="21">
        <v>6.3</v>
      </c>
      <c r="AJ291" s="165">
        <v>6.3</v>
      </c>
      <c r="AK291" s="22"/>
      <c r="AL291" s="22"/>
      <c r="AM291" s="113"/>
      <c r="AN291" s="8"/>
      <c r="AO291" s="8"/>
      <c r="AP291" s="8"/>
      <c r="AQ291" s="6"/>
      <c r="AR291" s="8"/>
      <c r="AS291" s="8"/>
      <c r="AT291" s="6"/>
      <c r="AU291" s="6"/>
      <c r="AV291" s="7"/>
      <c r="AW291" s="6"/>
    </row>
    <row r="292" spans="1:49">
      <c r="A292" s="244"/>
      <c r="B292" s="236"/>
      <c r="C292" s="196"/>
      <c r="D292" s="219"/>
      <c r="E292" s="196"/>
      <c r="F292" s="214"/>
      <c r="G292" s="28"/>
      <c r="H292" s="23" t="s">
        <v>26</v>
      </c>
      <c r="I292" s="22"/>
      <c r="J292" s="22"/>
      <c r="K292" s="22"/>
      <c r="L292" s="22"/>
      <c r="M292" s="22"/>
      <c r="N292" s="21"/>
      <c r="O292" s="165"/>
      <c r="P292" s="165"/>
      <c r="Q292" s="165"/>
      <c r="R292" s="165"/>
      <c r="S292" s="165"/>
      <c r="T292" s="165"/>
      <c r="U292" s="165"/>
      <c r="V292" s="165"/>
      <c r="W292" s="22"/>
      <c r="X292" s="22"/>
      <c r="Y292" s="22"/>
      <c r="Z292" s="22"/>
      <c r="AA292" s="22"/>
      <c r="AB292" s="21"/>
      <c r="AC292" s="165"/>
      <c r="AD292" s="22"/>
      <c r="AE292" s="22"/>
      <c r="AF292" s="22"/>
      <c r="AG292" s="22"/>
      <c r="AH292" s="22"/>
      <c r="AI292" s="21"/>
      <c r="AJ292" s="165"/>
      <c r="AK292" s="22"/>
      <c r="AL292" s="22"/>
      <c r="AM292" s="113"/>
      <c r="AN292" s="8"/>
      <c r="AO292" s="8"/>
      <c r="AP292" s="8"/>
      <c r="AQ292" s="6"/>
      <c r="AR292" s="8"/>
      <c r="AS292" s="8"/>
      <c r="AT292" s="6"/>
      <c r="AU292" s="6"/>
      <c r="AV292" s="7"/>
      <c r="AW292" s="6"/>
    </row>
    <row r="293" spans="1:49">
      <c r="A293" s="244"/>
      <c r="B293" s="236"/>
      <c r="C293" s="196"/>
      <c r="D293" s="219"/>
      <c r="E293" s="196"/>
      <c r="F293" s="214"/>
      <c r="G293" s="28"/>
      <c r="H293" s="26" t="s">
        <v>0</v>
      </c>
      <c r="I293" s="22"/>
      <c r="J293" s="22"/>
      <c r="K293" s="22"/>
      <c r="L293" s="22"/>
      <c r="M293" s="22"/>
      <c r="N293" s="21"/>
      <c r="O293" s="165"/>
      <c r="P293" s="165"/>
      <c r="Q293" s="165"/>
      <c r="R293" s="165"/>
      <c r="S293" s="165"/>
      <c r="T293" s="165"/>
      <c r="U293" s="165"/>
      <c r="V293" s="165"/>
      <c r="W293" s="22"/>
      <c r="X293" s="22"/>
      <c r="Y293" s="22"/>
      <c r="Z293" s="22"/>
      <c r="AA293" s="22"/>
      <c r="AB293" s="21"/>
      <c r="AC293" s="165"/>
      <c r="AD293" s="22"/>
      <c r="AE293" s="22"/>
      <c r="AF293" s="22"/>
      <c r="AG293" s="22"/>
      <c r="AH293" s="22"/>
      <c r="AI293" s="21"/>
      <c r="AJ293" s="165"/>
      <c r="AK293" s="22"/>
      <c r="AL293" s="22"/>
      <c r="AM293" s="113"/>
      <c r="AN293" s="8"/>
      <c r="AO293" s="8"/>
      <c r="AP293" s="8"/>
      <c r="AQ293" s="6"/>
      <c r="AR293" s="8"/>
      <c r="AS293" s="8"/>
      <c r="AT293" s="6"/>
      <c r="AU293" s="6"/>
      <c r="AV293" s="7"/>
      <c r="AW293" s="6"/>
    </row>
    <row r="294" spans="1:49">
      <c r="A294" s="244"/>
      <c r="B294" s="236"/>
      <c r="C294" s="196"/>
      <c r="D294" s="219"/>
      <c r="E294" s="196"/>
      <c r="F294" s="214"/>
      <c r="G294" s="28" t="s">
        <v>30</v>
      </c>
      <c r="H294" s="29" t="s">
        <v>27</v>
      </c>
      <c r="I294" s="22"/>
      <c r="J294" s="22"/>
      <c r="K294" s="22"/>
      <c r="L294" s="22"/>
      <c r="M294" s="22"/>
      <c r="N294" s="21"/>
      <c r="O294" s="165"/>
      <c r="P294" s="165"/>
      <c r="Q294" s="165"/>
      <c r="R294" s="165"/>
      <c r="S294" s="165"/>
      <c r="T294" s="165"/>
      <c r="U294" s="165"/>
      <c r="V294" s="165"/>
      <c r="W294" s="22"/>
      <c r="X294" s="22"/>
      <c r="Y294" s="22"/>
      <c r="Z294" s="22"/>
      <c r="AA294" s="22"/>
      <c r="AB294" s="21"/>
      <c r="AC294" s="165"/>
      <c r="AD294" s="22"/>
      <c r="AE294" s="22"/>
      <c r="AF294" s="22"/>
      <c r="AG294" s="22"/>
      <c r="AH294" s="22"/>
      <c r="AI294" s="21"/>
      <c r="AJ294" s="165"/>
      <c r="AK294" s="22"/>
      <c r="AL294" s="22"/>
      <c r="AM294" s="113"/>
      <c r="AN294" s="8"/>
      <c r="AO294" s="8"/>
      <c r="AP294" s="8"/>
      <c r="AQ294" s="6"/>
      <c r="AR294" s="8"/>
      <c r="AS294" s="8"/>
      <c r="AT294" s="6"/>
      <c r="AU294" s="6"/>
      <c r="AV294" s="7"/>
      <c r="AW294" s="6"/>
    </row>
    <row r="295" spans="1:49">
      <c r="A295" s="244"/>
      <c r="B295" s="236"/>
      <c r="C295" s="196"/>
      <c r="D295" s="219"/>
      <c r="E295" s="196"/>
      <c r="F295" s="214"/>
      <c r="G295" s="28"/>
      <c r="H295" s="23" t="s">
        <v>26</v>
      </c>
      <c r="I295" s="22"/>
      <c r="J295" s="22"/>
      <c r="K295" s="22"/>
      <c r="L295" s="22"/>
      <c r="M295" s="22"/>
      <c r="N295" s="21"/>
      <c r="O295" s="165"/>
      <c r="P295" s="165"/>
      <c r="Q295" s="165"/>
      <c r="R295" s="165"/>
      <c r="S295" s="165"/>
      <c r="T295" s="165"/>
      <c r="U295" s="165"/>
      <c r="V295" s="165"/>
      <c r="W295" s="22"/>
      <c r="X295" s="22"/>
      <c r="Y295" s="22"/>
      <c r="Z295" s="22"/>
      <c r="AA295" s="22"/>
      <c r="AB295" s="21"/>
      <c r="AC295" s="165"/>
      <c r="AD295" s="22"/>
      <c r="AE295" s="22"/>
      <c r="AF295" s="22"/>
      <c r="AG295" s="22"/>
      <c r="AH295" s="22"/>
      <c r="AI295" s="21"/>
      <c r="AJ295" s="165"/>
      <c r="AK295" s="22"/>
      <c r="AL295" s="22"/>
      <c r="AM295" s="113"/>
      <c r="AN295" s="8"/>
      <c r="AO295" s="8"/>
      <c r="AP295" s="8"/>
      <c r="AQ295" s="6"/>
      <c r="AR295" s="8"/>
      <c r="AS295" s="8"/>
      <c r="AT295" s="6"/>
      <c r="AU295" s="6"/>
      <c r="AV295" s="7"/>
      <c r="AW295" s="6"/>
    </row>
    <row r="296" spans="1:49">
      <c r="A296" s="244"/>
      <c r="B296" s="236"/>
      <c r="C296" s="196"/>
      <c r="D296" s="219"/>
      <c r="E296" s="196"/>
      <c r="F296" s="214"/>
      <c r="G296" s="28"/>
      <c r="H296" s="26" t="s">
        <v>0</v>
      </c>
      <c r="I296" s="22"/>
      <c r="J296" s="22"/>
      <c r="K296" s="22"/>
      <c r="L296" s="22"/>
      <c r="M296" s="22"/>
      <c r="N296" s="21"/>
      <c r="O296" s="165"/>
      <c r="P296" s="165"/>
      <c r="Q296" s="165"/>
      <c r="R296" s="165"/>
      <c r="S296" s="165"/>
      <c r="T296" s="165"/>
      <c r="U296" s="165"/>
      <c r="V296" s="165"/>
      <c r="W296" s="22"/>
      <c r="X296" s="22"/>
      <c r="Y296" s="22"/>
      <c r="Z296" s="22"/>
      <c r="AA296" s="22"/>
      <c r="AB296" s="21"/>
      <c r="AC296" s="165"/>
      <c r="AD296" s="22"/>
      <c r="AE296" s="22"/>
      <c r="AF296" s="22"/>
      <c r="AG296" s="22"/>
      <c r="AH296" s="22"/>
      <c r="AI296" s="21"/>
      <c r="AJ296" s="165"/>
      <c r="AK296" s="22"/>
      <c r="AL296" s="22"/>
      <c r="AM296" s="113"/>
      <c r="AN296" s="8"/>
      <c r="AO296" s="8"/>
      <c r="AP296" s="8"/>
      <c r="AQ296" s="6"/>
      <c r="AR296" s="8"/>
      <c r="AS296" s="8"/>
      <c r="AT296" s="6"/>
      <c r="AU296" s="6"/>
      <c r="AV296" s="7"/>
      <c r="AW296" s="6"/>
    </row>
    <row r="297" spans="1:49">
      <c r="A297" s="244"/>
      <c r="B297" s="236"/>
      <c r="C297" s="196"/>
      <c r="D297" s="219"/>
      <c r="E297" s="196"/>
      <c r="F297" s="214"/>
      <c r="G297" s="28" t="s">
        <v>29</v>
      </c>
      <c r="H297" s="29" t="s">
        <v>27</v>
      </c>
      <c r="I297" s="22"/>
      <c r="J297" s="22"/>
      <c r="K297" s="22"/>
      <c r="L297" s="22"/>
      <c r="M297" s="22"/>
      <c r="N297" s="21"/>
      <c r="O297" s="165"/>
      <c r="P297" s="165"/>
      <c r="Q297" s="165"/>
      <c r="R297" s="165"/>
      <c r="S297" s="165"/>
      <c r="T297" s="165"/>
      <c r="U297" s="165"/>
      <c r="V297" s="165"/>
      <c r="W297" s="22"/>
      <c r="X297" s="22"/>
      <c r="Y297" s="22"/>
      <c r="Z297" s="22"/>
      <c r="AA297" s="22"/>
      <c r="AB297" s="21"/>
      <c r="AC297" s="165"/>
      <c r="AD297" s="22"/>
      <c r="AE297" s="22"/>
      <c r="AF297" s="22"/>
      <c r="AG297" s="22"/>
      <c r="AH297" s="22"/>
      <c r="AI297" s="21"/>
      <c r="AJ297" s="165"/>
      <c r="AK297" s="22"/>
      <c r="AL297" s="22"/>
      <c r="AM297" s="113"/>
      <c r="AN297" s="8"/>
      <c r="AO297" s="8"/>
      <c r="AP297" s="8"/>
      <c r="AQ297" s="6"/>
      <c r="AR297" s="8"/>
      <c r="AS297" s="8"/>
      <c r="AT297" s="6"/>
      <c r="AU297" s="6"/>
      <c r="AV297" s="7"/>
      <c r="AW297" s="6"/>
    </row>
    <row r="298" spans="1:49">
      <c r="A298" s="244"/>
      <c r="B298" s="236"/>
      <c r="C298" s="196"/>
      <c r="D298" s="219"/>
      <c r="E298" s="196"/>
      <c r="F298" s="214"/>
      <c r="G298" s="28"/>
      <c r="H298" s="23" t="s">
        <v>26</v>
      </c>
      <c r="I298" s="22"/>
      <c r="J298" s="22"/>
      <c r="K298" s="22"/>
      <c r="L298" s="22"/>
      <c r="M298" s="22"/>
      <c r="N298" s="21"/>
      <c r="O298" s="165"/>
      <c r="P298" s="165"/>
      <c r="Q298" s="165"/>
      <c r="R298" s="165"/>
      <c r="S298" s="165"/>
      <c r="T298" s="165"/>
      <c r="U298" s="165"/>
      <c r="V298" s="165"/>
      <c r="W298" s="22"/>
      <c r="X298" s="22"/>
      <c r="Y298" s="22"/>
      <c r="Z298" s="22"/>
      <c r="AA298" s="22"/>
      <c r="AB298" s="21"/>
      <c r="AC298" s="165"/>
      <c r="AD298" s="22"/>
      <c r="AE298" s="22"/>
      <c r="AF298" s="22"/>
      <c r="AG298" s="22"/>
      <c r="AH298" s="22"/>
      <c r="AI298" s="21"/>
      <c r="AJ298" s="165"/>
      <c r="AK298" s="22"/>
      <c r="AL298" s="22"/>
      <c r="AM298" s="113"/>
      <c r="AN298" s="8"/>
      <c r="AO298" s="8"/>
      <c r="AP298" s="8"/>
      <c r="AQ298" s="6"/>
      <c r="AR298" s="8"/>
      <c r="AS298" s="8"/>
      <c r="AT298" s="6"/>
      <c r="AU298" s="6"/>
      <c r="AV298" s="7"/>
      <c r="AW298" s="6"/>
    </row>
    <row r="299" spans="1:49">
      <c r="A299" s="244"/>
      <c r="B299" s="236"/>
      <c r="C299" s="196"/>
      <c r="D299" s="219"/>
      <c r="E299" s="196"/>
      <c r="F299" s="214"/>
      <c r="G299" s="28"/>
      <c r="H299" s="26" t="s">
        <v>0</v>
      </c>
      <c r="I299" s="22"/>
      <c r="J299" s="22"/>
      <c r="K299" s="22"/>
      <c r="L299" s="22"/>
      <c r="M299" s="22"/>
      <c r="N299" s="21"/>
      <c r="O299" s="165"/>
      <c r="P299" s="165"/>
      <c r="Q299" s="165"/>
      <c r="R299" s="165"/>
      <c r="S299" s="165"/>
      <c r="T299" s="165"/>
      <c r="U299" s="165"/>
      <c r="V299" s="165"/>
      <c r="W299" s="22"/>
      <c r="X299" s="22"/>
      <c r="Y299" s="22"/>
      <c r="Z299" s="22"/>
      <c r="AA299" s="22"/>
      <c r="AB299" s="21"/>
      <c r="AC299" s="165"/>
      <c r="AD299" s="22"/>
      <c r="AE299" s="22"/>
      <c r="AF299" s="22"/>
      <c r="AG299" s="22"/>
      <c r="AH299" s="22"/>
      <c r="AI299" s="21"/>
      <c r="AJ299" s="165"/>
      <c r="AK299" s="22"/>
      <c r="AL299" s="22"/>
      <c r="AM299" s="113"/>
      <c r="AN299" s="8"/>
      <c r="AO299" s="8"/>
      <c r="AP299" s="8"/>
      <c r="AQ299" s="6"/>
      <c r="AR299" s="8"/>
      <c r="AS299" s="8"/>
      <c r="AT299" s="6"/>
      <c r="AU299" s="6"/>
      <c r="AV299" s="7"/>
      <c r="AW299" s="6"/>
    </row>
    <row r="300" spans="1:49">
      <c r="A300" s="244"/>
      <c r="B300" s="236"/>
      <c r="C300" s="196"/>
      <c r="D300" s="219"/>
      <c r="E300" s="196"/>
      <c r="F300" s="214"/>
      <c r="G300" s="28" t="s">
        <v>28</v>
      </c>
      <c r="H300" s="29" t="s">
        <v>27</v>
      </c>
      <c r="I300" s="22"/>
      <c r="J300" s="22"/>
      <c r="K300" s="22"/>
      <c r="L300" s="22"/>
      <c r="M300" s="22"/>
      <c r="N300" s="21"/>
      <c r="O300" s="165"/>
      <c r="P300" s="165"/>
      <c r="Q300" s="165"/>
      <c r="R300" s="165"/>
      <c r="S300" s="165"/>
      <c r="T300" s="165"/>
      <c r="U300" s="165"/>
      <c r="V300" s="165"/>
      <c r="W300" s="22"/>
      <c r="X300" s="22"/>
      <c r="Y300" s="22"/>
      <c r="Z300" s="22"/>
      <c r="AA300" s="22"/>
      <c r="AB300" s="21"/>
      <c r="AC300" s="165"/>
      <c r="AD300" s="22"/>
      <c r="AE300" s="22"/>
      <c r="AF300" s="22"/>
      <c r="AG300" s="22"/>
      <c r="AH300" s="22"/>
      <c r="AI300" s="21"/>
      <c r="AJ300" s="165"/>
      <c r="AK300" s="22"/>
      <c r="AL300" s="22"/>
      <c r="AM300" s="113"/>
      <c r="AN300" s="8"/>
      <c r="AO300" s="8"/>
      <c r="AP300" s="8"/>
      <c r="AQ300" s="6"/>
      <c r="AR300" s="8"/>
      <c r="AS300" s="8"/>
      <c r="AT300" s="6"/>
      <c r="AU300" s="6"/>
      <c r="AV300" s="7"/>
      <c r="AW300" s="6"/>
    </row>
    <row r="301" spans="1:49">
      <c r="A301" s="244"/>
      <c r="B301" s="236"/>
      <c r="C301" s="196"/>
      <c r="D301" s="219"/>
      <c r="E301" s="196"/>
      <c r="F301" s="214"/>
      <c r="G301" s="28"/>
      <c r="H301" s="23" t="s">
        <v>26</v>
      </c>
      <c r="I301" s="22"/>
      <c r="J301" s="22"/>
      <c r="K301" s="22"/>
      <c r="L301" s="22"/>
      <c r="M301" s="22"/>
      <c r="N301" s="21"/>
      <c r="O301" s="165"/>
      <c r="P301" s="165"/>
      <c r="Q301" s="165"/>
      <c r="R301" s="165"/>
      <c r="S301" s="165"/>
      <c r="T301" s="165"/>
      <c r="U301" s="165"/>
      <c r="V301" s="165"/>
      <c r="W301" s="22"/>
      <c r="X301" s="22"/>
      <c r="Y301" s="22"/>
      <c r="Z301" s="22"/>
      <c r="AA301" s="22"/>
      <c r="AB301" s="21"/>
      <c r="AC301" s="165"/>
      <c r="AD301" s="22"/>
      <c r="AE301" s="22"/>
      <c r="AF301" s="22"/>
      <c r="AG301" s="22"/>
      <c r="AH301" s="22"/>
      <c r="AI301" s="21"/>
      <c r="AJ301" s="165"/>
      <c r="AK301" s="22"/>
      <c r="AL301" s="22"/>
      <c r="AM301" s="113"/>
      <c r="AN301" s="8"/>
      <c r="AO301" s="8"/>
      <c r="AP301" s="8"/>
      <c r="AQ301" s="6"/>
      <c r="AR301" s="8"/>
      <c r="AS301" s="8"/>
      <c r="AT301" s="6"/>
      <c r="AU301" s="6"/>
      <c r="AV301" s="7"/>
      <c r="AW301" s="6"/>
    </row>
    <row r="302" spans="1:49">
      <c r="A302" s="244"/>
      <c r="B302" s="236"/>
      <c r="C302" s="196"/>
      <c r="D302" s="219"/>
      <c r="E302" s="196"/>
      <c r="F302" s="214"/>
      <c r="G302" s="28"/>
      <c r="H302" s="26" t="s">
        <v>0</v>
      </c>
      <c r="I302" s="22"/>
      <c r="J302" s="22"/>
      <c r="K302" s="22"/>
      <c r="L302" s="22"/>
      <c r="M302" s="22"/>
      <c r="N302" s="21"/>
      <c r="O302" s="165"/>
      <c r="P302" s="165"/>
      <c r="Q302" s="165"/>
      <c r="R302" s="165"/>
      <c r="S302" s="165"/>
      <c r="T302" s="165"/>
      <c r="U302" s="165"/>
      <c r="V302" s="165"/>
      <c r="W302" s="22"/>
      <c r="X302" s="22"/>
      <c r="Y302" s="22"/>
      <c r="Z302" s="22"/>
      <c r="AA302" s="22"/>
      <c r="AB302" s="21"/>
      <c r="AC302" s="165"/>
      <c r="AD302" s="22"/>
      <c r="AE302" s="22"/>
      <c r="AF302" s="22"/>
      <c r="AG302" s="22"/>
      <c r="AH302" s="22"/>
      <c r="AI302" s="21"/>
      <c r="AJ302" s="165"/>
      <c r="AK302" s="22"/>
      <c r="AL302" s="22"/>
      <c r="AM302" s="113"/>
      <c r="AN302" s="8"/>
      <c r="AO302" s="8"/>
      <c r="AP302" s="8"/>
      <c r="AQ302" s="6"/>
      <c r="AR302" s="8"/>
      <c r="AS302" s="8"/>
      <c r="AT302" s="6"/>
      <c r="AU302" s="6"/>
      <c r="AV302" s="7"/>
      <c r="AW302" s="6"/>
    </row>
    <row r="303" spans="1:49">
      <c r="A303" s="244"/>
      <c r="B303" s="236"/>
      <c r="C303" s="196"/>
      <c r="D303" s="219"/>
      <c r="E303" s="196"/>
      <c r="F303" s="214"/>
      <c r="G303" s="28" t="s">
        <v>25</v>
      </c>
      <c r="H303" s="23" t="s">
        <v>24</v>
      </c>
      <c r="I303" s="22">
        <f>$M$331*$D$285/5</f>
        <v>7400</v>
      </c>
      <c r="J303" s="22"/>
      <c r="K303" s="22"/>
      <c r="L303" s="22">
        <f>$M$331*$D$285/5</f>
        <v>7400</v>
      </c>
      <c r="M303" s="22">
        <f>$M$331*$D$285/5</f>
        <v>7400</v>
      </c>
      <c r="N303" s="21">
        <f>$M$331*$D$285/5</f>
        <v>7400</v>
      </c>
      <c r="O303" s="165"/>
      <c r="P303" s="165"/>
      <c r="Q303" s="165"/>
      <c r="R303" s="165"/>
      <c r="S303" s="165"/>
      <c r="T303" s="165"/>
      <c r="U303" s="165"/>
      <c r="V303" s="165"/>
      <c r="W303" s="22">
        <f>$M$331*$D$285/5</f>
        <v>7400</v>
      </c>
      <c r="X303" s="22"/>
      <c r="Y303" s="22"/>
      <c r="Z303" s="22">
        <f>$M$331*$D$285/5</f>
        <v>7400</v>
      </c>
      <c r="AA303" s="22">
        <f>$M$331*$D$285/5</f>
        <v>7400</v>
      </c>
      <c r="AB303" s="21">
        <f>$M$331*$D$285/5</f>
        <v>7400</v>
      </c>
      <c r="AC303" s="165">
        <f>$M$331*$D$285/5</f>
        <v>7400</v>
      </c>
      <c r="AD303" s="22">
        <f>$M$331*$D$285/5</f>
        <v>7400</v>
      </c>
      <c r="AE303" s="22"/>
      <c r="AF303" s="22"/>
      <c r="AG303" s="22">
        <f>$M$331*$D$285/5</f>
        <v>7400</v>
      </c>
      <c r="AH303" s="22">
        <f>$M$331*$D$285/5</f>
        <v>7400</v>
      </c>
      <c r="AI303" s="21">
        <f>$M$331*$D$285/5</f>
        <v>7400</v>
      </c>
      <c r="AJ303" s="165">
        <f>$M$331*$D$285/5</f>
        <v>7400</v>
      </c>
      <c r="AK303" s="22"/>
      <c r="AL303" s="22"/>
      <c r="AM303" s="113"/>
      <c r="AN303" s="8"/>
      <c r="AO303" s="8"/>
      <c r="AP303" s="8"/>
      <c r="AQ303" s="6"/>
      <c r="AR303" s="8"/>
      <c r="AS303" s="8"/>
      <c r="AT303" s="6"/>
      <c r="AU303" s="6"/>
      <c r="AV303" s="7"/>
      <c r="AW303" s="6"/>
    </row>
    <row r="304" spans="1:49">
      <c r="A304" s="244"/>
      <c r="B304" s="236"/>
      <c r="C304" s="196"/>
      <c r="D304" s="219"/>
      <c r="E304" s="196"/>
      <c r="F304" s="214"/>
      <c r="G304" s="28"/>
      <c r="H304" s="23" t="s">
        <v>17</v>
      </c>
      <c r="I304" s="22"/>
      <c r="J304" s="22"/>
      <c r="K304" s="22"/>
      <c r="L304" s="22"/>
      <c r="M304" s="22"/>
      <c r="N304" s="21"/>
      <c r="O304" s="165"/>
      <c r="P304" s="165"/>
      <c r="Q304" s="165"/>
      <c r="R304" s="165"/>
      <c r="S304" s="165"/>
      <c r="T304" s="165"/>
      <c r="U304" s="165"/>
      <c r="V304" s="165"/>
      <c r="W304" s="22"/>
      <c r="X304" s="22"/>
      <c r="Y304" s="22"/>
      <c r="Z304" s="22"/>
      <c r="AA304" s="22"/>
      <c r="AB304" s="21"/>
      <c r="AC304" s="165"/>
      <c r="AD304" s="22"/>
      <c r="AE304" s="22"/>
      <c r="AF304" s="22"/>
      <c r="AG304" s="22"/>
      <c r="AH304" s="22"/>
      <c r="AI304" s="21"/>
      <c r="AJ304" s="165"/>
      <c r="AK304" s="22"/>
      <c r="AL304" s="22"/>
      <c r="AM304" s="113"/>
      <c r="AN304" s="8"/>
      <c r="AO304" s="8"/>
      <c r="AP304" s="8"/>
      <c r="AQ304" s="6"/>
      <c r="AR304" s="8"/>
      <c r="AS304" s="8"/>
      <c r="AT304" s="6"/>
      <c r="AU304" s="6"/>
      <c r="AV304" s="7"/>
      <c r="AW304" s="6"/>
    </row>
    <row r="305" spans="1:49">
      <c r="A305" s="244"/>
      <c r="B305" s="236"/>
      <c r="C305" s="196"/>
      <c r="D305" s="219"/>
      <c r="E305" s="196"/>
      <c r="F305" s="214"/>
      <c r="G305" s="28"/>
      <c r="H305" s="26" t="s">
        <v>0</v>
      </c>
      <c r="I305" s="22"/>
      <c r="J305" s="22"/>
      <c r="K305" s="22"/>
      <c r="L305" s="22"/>
      <c r="M305" s="22"/>
      <c r="N305" s="21"/>
      <c r="O305" s="165"/>
      <c r="P305" s="165"/>
      <c r="Q305" s="165"/>
      <c r="R305" s="165"/>
      <c r="S305" s="165"/>
      <c r="T305" s="165"/>
      <c r="U305" s="165"/>
      <c r="V305" s="165"/>
      <c r="W305" s="22"/>
      <c r="X305" s="22"/>
      <c r="Y305" s="22"/>
      <c r="Z305" s="22"/>
      <c r="AA305" s="22"/>
      <c r="AB305" s="21"/>
      <c r="AC305" s="165"/>
      <c r="AD305" s="22"/>
      <c r="AE305" s="22"/>
      <c r="AF305" s="22"/>
      <c r="AG305" s="22"/>
      <c r="AH305" s="22"/>
      <c r="AI305" s="21"/>
      <c r="AJ305" s="165"/>
      <c r="AK305" s="22"/>
      <c r="AL305" s="22"/>
      <c r="AM305" s="113"/>
      <c r="AN305" s="8"/>
      <c r="AO305" s="8"/>
      <c r="AP305" s="8"/>
      <c r="AQ305" s="6"/>
      <c r="AR305" s="8"/>
      <c r="AS305" s="8"/>
      <c r="AT305" s="6"/>
      <c r="AU305" s="6"/>
      <c r="AV305" s="7"/>
      <c r="AW305" s="6"/>
    </row>
    <row r="306" spans="1:49">
      <c r="A306" s="244"/>
      <c r="B306" s="236"/>
      <c r="C306" s="196"/>
      <c r="D306" s="219"/>
      <c r="E306" s="196"/>
      <c r="F306" s="214"/>
      <c r="G306" s="28" t="s">
        <v>23</v>
      </c>
      <c r="H306" s="23" t="s">
        <v>22</v>
      </c>
      <c r="I306" s="22">
        <f>$M$331*$D$285/5</f>
        <v>7400</v>
      </c>
      <c r="J306" s="22"/>
      <c r="K306" s="22"/>
      <c r="L306" s="22">
        <f>$M$331*$D$285/5</f>
        <v>7400</v>
      </c>
      <c r="M306" s="22">
        <f>$M$331*$D$285/5</f>
        <v>7400</v>
      </c>
      <c r="N306" s="21">
        <f>$M$331*$D$285/5</f>
        <v>7400</v>
      </c>
      <c r="O306" s="165"/>
      <c r="P306" s="165"/>
      <c r="Q306" s="165"/>
      <c r="R306" s="165"/>
      <c r="S306" s="165"/>
      <c r="T306" s="165"/>
      <c r="U306" s="165"/>
      <c r="V306" s="165"/>
      <c r="W306" s="22">
        <f>$M$331*$D$285/5</f>
        <v>7400</v>
      </c>
      <c r="X306" s="22"/>
      <c r="Y306" s="22"/>
      <c r="Z306" s="22">
        <f>$M$331*$D$285/5</f>
        <v>7400</v>
      </c>
      <c r="AA306" s="22">
        <f>$M$331*$D$285/5</f>
        <v>7400</v>
      </c>
      <c r="AB306" s="21">
        <f>$M$331*$D$285/5</f>
        <v>7400</v>
      </c>
      <c r="AC306" s="165">
        <f>$M$331*$D$285/5</f>
        <v>7400</v>
      </c>
      <c r="AD306" s="22">
        <f>$M$331*$D$285/5</f>
        <v>7400</v>
      </c>
      <c r="AE306" s="22"/>
      <c r="AF306" s="22"/>
      <c r="AG306" s="22">
        <f>$M$331*$D$285/5</f>
        <v>7400</v>
      </c>
      <c r="AH306" s="22">
        <f>$M$331*$D$285/5</f>
        <v>7400</v>
      </c>
      <c r="AI306" s="21">
        <f>$M$331*$D$285/5</f>
        <v>7400</v>
      </c>
      <c r="AJ306" s="165">
        <f>$M$331*$D$285/5</f>
        <v>7400</v>
      </c>
      <c r="AK306" s="22"/>
      <c r="AL306" s="22"/>
      <c r="AM306" s="113"/>
      <c r="AN306" s="8"/>
      <c r="AO306" s="8"/>
      <c r="AP306" s="8"/>
      <c r="AQ306" s="6"/>
      <c r="AR306" s="8"/>
      <c r="AS306" s="8"/>
      <c r="AT306" s="6"/>
      <c r="AU306" s="6"/>
      <c r="AV306" s="7"/>
      <c r="AW306" s="6"/>
    </row>
    <row r="307" spans="1:49">
      <c r="A307" s="244"/>
      <c r="B307" s="236"/>
      <c r="C307" s="196"/>
      <c r="D307" s="219"/>
      <c r="E307" s="196"/>
      <c r="F307" s="214"/>
      <c r="G307" s="28"/>
      <c r="H307" s="23" t="s">
        <v>17</v>
      </c>
      <c r="I307" s="22"/>
      <c r="J307" s="22"/>
      <c r="K307" s="22"/>
      <c r="L307" s="22"/>
      <c r="M307" s="22"/>
      <c r="N307" s="21"/>
      <c r="O307" s="165"/>
      <c r="P307" s="165"/>
      <c r="Q307" s="165"/>
      <c r="R307" s="165"/>
      <c r="S307" s="165"/>
      <c r="T307" s="165"/>
      <c r="U307" s="165"/>
      <c r="V307" s="165"/>
      <c r="W307" s="22"/>
      <c r="X307" s="22"/>
      <c r="Y307" s="22"/>
      <c r="Z307" s="22"/>
      <c r="AA307" s="22"/>
      <c r="AB307" s="21"/>
      <c r="AC307" s="165"/>
      <c r="AD307" s="22"/>
      <c r="AE307" s="22"/>
      <c r="AF307" s="22"/>
      <c r="AG307" s="22"/>
      <c r="AH307" s="22"/>
      <c r="AI307" s="21"/>
      <c r="AJ307" s="165"/>
      <c r="AK307" s="22"/>
      <c r="AL307" s="22"/>
      <c r="AM307" s="113"/>
      <c r="AN307" s="8"/>
      <c r="AO307" s="8"/>
      <c r="AP307" s="8"/>
      <c r="AQ307" s="6"/>
      <c r="AR307" s="8"/>
      <c r="AS307" s="8"/>
      <c r="AT307" s="6"/>
      <c r="AU307" s="6"/>
      <c r="AV307" s="7"/>
      <c r="AW307" s="6"/>
    </row>
    <row r="308" spans="1:49">
      <c r="A308" s="244"/>
      <c r="B308" s="236"/>
      <c r="C308" s="196"/>
      <c r="D308" s="219"/>
      <c r="E308" s="196"/>
      <c r="F308" s="214"/>
      <c r="G308" s="28"/>
      <c r="H308" s="26" t="s">
        <v>0</v>
      </c>
      <c r="I308" s="22"/>
      <c r="J308" s="22"/>
      <c r="K308" s="22"/>
      <c r="L308" s="22"/>
      <c r="M308" s="22"/>
      <c r="N308" s="21"/>
      <c r="O308" s="165"/>
      <c r="P308" s="165"/>
      <c r="Q308" s="165"/>
      <c r="R308" s="165"/>
      <c r="S308" s="165"/>
      <c r="T308" s="165"/>
      <c r="U308" s="165"/>
      <c r="V308" s="165"/>
      <c r="W308" s="22"/>
      <c r="X308" s="22"/>
      <c r="Y308" s="22"/>
      <c r="Z308" s="22"/>
      <c r="AA308" s="22"/>
      <c r="AB308" s="21"/>
      <c r="AC308" s="165"/>
      <c r="AD308" s="22"/>
      <c r="AE308" s="22"/>
      <c r="AF308" s="22"/>
      <c r="AG308" s="22"/>
      <c r="AH308" s="22"/>
      <c r="AI308" s="21"/>
      <c r="AJ308" s="165"/>
      <c r="AK308" s="22"/>
      <c r="AL308" s="22"/>
      <c r="AM308" s="113"/>
      <c r="AN308" s="8"/>
      <c r="AO308" s="8"/>
      <c r="AP308" s="8"/>
      <c r="AQ308" s="6"/>
      <c r="AR308" s="8"/>
      <c r="AS308" s="8"/>
      <c r="AT308" s="6"/>
      <c r="AU308" s="6"/>
      <c r="AV308" s="7"/>
      <c r="AW308" s="6"/>
    </row>
    <row r="309" spans="1:49">
      <c r="A309" s="244"/>
      <c r="B309" s="236"/>
      <c r="C309" s="196"/>
      <c r="D309" s="219"/>
      <c r="E309" s="196"/>
      <c r="F309" s="214"/>
      <c r="G309" s="28" t="s">
        <v>21</v>
      </c>
      <c r="H309" s="23" t="s">
        <v>20</v>
      </c>
      <c r="I309" s="22">
        <f>($M$331*$D$285/5)*2</f>
        <v>14800</v>
      </c>
      <c r="J309" s="22"/>
      <c r="K309" s="22"/>
      <c r="L309" s="22">
        <f>($M$331*$D$285/5)*2</f>
        <v>14800</v>
      </c>
      <c r="M309" s="22">
        <f>($M$331*$D$285/5)*2</f>
        <v>14800</v>
      </c>
      <c r="N309" s="21">
        <f>($M$331*$D$285/5)*2</f>
        <v>14800</v>
      </c>
      <c r="O309" s="165"/>
      <c r="P309" s="165"/>
      <c r="Q309" s="165"/>
      <c r="R309" s="165"/>
      <c r="S309" s="165"/>
      <c r="T309" s="165"/>
      <c r="U309" s="165"/>
      <c r="V309" s="165"/>
      <c r="W309" s="22">
        <f>($M$331*$D$285/5)*2</f>
        <v>14800</v>
      </c>
      <c r="X309" s="22"/>
      <c r="Y309" s="22"/>
      <c r="Z309" s="22">
        <f>($M$331*$D$285/5)*2</f>
        <v>14800</v>
      </c>
      <c r="AA309" s="22">
        <f>($M$331*$D$285/5)*2</f>
        <v>14800</v>
      </c>
      <c r="AB309" s="21">
        <f>($M$331*$D$285/5)*2</f>
        <v>14800</v>
      </c>
      <c r="AC309" s="165">
        <f>($M$331*$D$285/5)*2</f>
        <v>14800</v>
      </c>
      <c r="AD309" s="22">
        <f>($M$331*$D$285/5)*2</f>
        <v>14800</v>
      </c>
      <c r="AE309" s="22"/>
      <c r="AF309" s="22"/>
      <c r="AG309" s="22">
        <f>($M$331*$D$285/5)*2</f>
        <v>14800</v>
      </c>
      <c r="AH309" s="22">
        <f>($M$331*$D$285/5)*2</f>
        <v>14800</v>
      </c>
      <c r="AI309" s="21">
        <f>($M$331*$D$285/5)*2</f>
        <v>14800</v>
      </c>
      <c r="AJ309" s="165">
        <f>($M$331*$D$285/5)*2</f>
        <v>14800</v>
      </c>
      <c r="AK309" s="22"/>
      <c r="AL309" s="22"/>
      <c r="AM309" s="113"/>
      <c r="AN309" s="8"/>
      <c r="AO309" s="8"/>
      <c r="AP309" s="8"/>
      <c r="AQ309" s="6"/>
      <c r="AR309" s="8"/>
      <c r="AS309" s="8"/>
      <c r="AT309" s="6"/>
      <c r="AU309" s="6"/>
      <c r="AV309" s="7"/>
      <c r="AW309" s="6"/>
    </row>
    <row r="310" spans="1:49">
      <c r="A310" s="244"/>
      <c r="B310" s="236"/>
      <c r="C310" s="196"/>
      <c r="D310" s="219"/>
      <c r="E310" s="196"/>
      <c r="F310" s="214"/>
      <c r="G310" s="28"/>
      <c r="H310" s="23" t="s">
        <v>17</v>
      </c>
      <c r="I310" s="22"/>
      <c r="J310" s="22"/>
      <c r="K310" s="22"/>
      <c r="L310" s="22"/>
      <c r="M310" s="22"/>
      <c r="N310" s="21"/>
      <c r="O310" s="165"/>
      <c r="P310" s="165"/>
      <c r="Q310" s="165"/>
      <c r="R310" s="165"/>
      <c r="S310" s="165"/>
      <c r="T310" s="165"/>
      <c r="U310" s="165"/>
      <c r="V310" s="165"/>
      <c r="W310" s="22"/>
      <c r="X310" s="22"/>
      <c r="Y310" s="22"/>
      <c r="Z310" s="22"/>
      <c r="AA310" s="22"/>
      <c r="AB310" s="21"/>
      <c r="AC310" s="165"/>
      <c r="AD310" s="22"/>
      <c r="AE310" s="22"/>
      <c r="AF310" s="22"/>
      <c r="AG310" s="22"/>
      <c r="AH310" s="22"/>
      <c r="AI310" s="21"/>
      <c r="AJ310" s="165"/>
      <c r="AK310" s="22"/>
      <c r="AL310" s="22"/>
      <c r="AM310" s="113"/>
      <c r="AN310" s="8"/>
      <c r="AO310" s="8"/>
      <c r="AP310" s="8"/>
      <c r="AQ310" s="6"/>
      <c r="AR310" s="8"/>
      <c r="AS310" s="8"/>
      <c r="AT310" s="6"/>
      <c r="AU310" s="6"/>
      <c r="AV310" s="7"/>
      <c r="AW310" s="6"/>
    </row>
    <row r="311" spans="1:49">
      <c r="A311" s="244"/>
      <c r="B311" s="236"/>
      <c r="C311" s="196"/>
      <c r="D311" s="219"/>
      <c r="E311" s="196"/>
      <c r="F311" s="214"/>
      <c r="G311" s="28"/>
      <c r="H311" s="26" t="s">
        <v>0</v>
      </c>
      <c r="I311" s="22"/>
      <c r="J311" s="22"/>
      <c r="K311" s="22"/>
      <c r="L311" s="22"/>
      <c r="M311" s="22"/>
      <c r="N311" s="21"/>
      <c r="O311" s="165"/>
      <c r="P311" s="165"/>
      <c r="Q311" s="165"/>
      <c r="R311" s="165"/>
      <c r="S311" s="165"/>
      <c r="T311" s="165"/>
      <c r="U311" s="165"/>
      <c r="V311" s="165"/>
      <c r="W311" s="22"/>
      <c r="X311" s="22"/>
      <c r="Y311" s="22"/>
      <c r="Z311" s="22"/>
      <c r="AA311" s="22"/>
      <c r="AB311" s="21"/>
      <c r="AC311" s="165"/>
      <c r="AD311" s="22"/>
      <c r="AE311" s="22"/>
      <c r="AF311" s="22"/>
      <c r="AG311" s="22"/>
      <c r="AH311" s="22"/>
      <c r="AI311" s="21"/>
      <c r="AJ311" s="165"/>
      <c r="AK311" s="22"/>
      <c r="AL311" s="22"/>
      <c r="AM311" s="113"/>
      <c r="AN311" s="8"/>
      <c r="AO311" s="8"/>
      <c r="AP311" s="8"/>
      <c r="AQ311" s="6"/>
      <c r="AR311" s="8"/>
      <c r="AS311" s="8"/>
      <c r="AT311" s="6"/>
      <c r="AU311" s="6"/>
      <c r="AV311" s="7"/>
      <c r="AW311" s="6"/>
    </row>
    <row r="312" spans="1:49">
      <c r="A312" s="244"/>
      <c r="B312" s="236"/>
      <c r="C312" s="196"/>
      <c r="D312" s="219"/>
      <c r="E312" s="196"/>
      <c r="F312" s="214"/>
      <c r="G312" s="28" t="s">
        <v>19</v>
      </c>
      <c r="H312" s="23" t="s">
        <v>18</v>
      </c>
      <c r="I312" s="22">
        <f>$M$331*$D$285/5</f>
        <v>7400</v>
      </c>
      <c r="J312" s="22"/>
      <c r="K312" s="22"/>
      <c r="L312" s="22">
        <f>$M$331*$D$285/5</f>
        <v>7400</v>
      </c>
      <c r="M312" s="22">
        <f>$M$331*$D$285/5</f>
        <v>7400</v>
      </c>
      <c r="N312" s="21">
        <f>$M$331*$D$285/5</f>
        <v>7400</v>
      </c>
      <c r="O312" s="165"/>
      <c r="P312" s="165"/>
      <c r="Q312" s="165"/>
      <c r="R312" s="165"/>
      <c r="S312" s="165"/>
      <c r="T312" s="165"/>
      <c r="U312" s="165"/>
      <c r="V312" s="165"/>
      <c r="W312" s="22">
        <f>$M$331*$D$285/5</f>
        <v>7400</v>
      </c>
      <c r="X312" s="22"/>
      <c r="Y312" s="22"/>
      <c r="Z312" s="22">
        <f>$M$331*$D$285/5</f>
        <v>7400</v>
      </c>
      <c r="AA312" s="22">
        <f>$M$331*$D$285/5</f>
        <v>7400</v>
      </c>
      <c r="AB312" s="21">
        <f>$M$331*$D$285/5</f>
        <v>7400</v>
      </c>
      <c r="AC312" s="165">
        <f>$M$331*$D$285/5</f>
        <v>7400</v>
      </c>
      <c r="AD312" s="22">
        <f>$M$331*$D$285/5</f>
        <v>7400</v>
      </c>
      <c r="AE312" s="22"/>
      <c r="AF312" s="22"/>
      <c r="AG312" s="22">
        <f>$M$331*$D$285/5</f>
        <v>7400</v>
      </c>
      <c r="AH312" s="22">
        <f>$M$331*$D$285/5</f>
        <v>7400</v>
      </c>
      <c r="AI312" s="21">
        <f>$M$331*$D$285/5</f>
        <v>7400</v>
      </c>
      <c r="AJ312" s="165">
        <f>$M$331*$D$285/5</f>
        <v>7400</v>
      </c>
      <c r="AK312" s="22"/>
      <c r="AL312" s="22"/>
      <c r="AM312" s="113"/>
      <c r="AN312" s="8"/>
      <c r="AO312" s="8"/>
      <c r="AP312" s="8"/>
      <c r="AQ312" s="6"/>
      <c r="AR312" s="8"/>
      <c r="AS312" s="8"/>
      <c r="AT312" s="6"/>
      <c r="AU312" s="6"/>
      <c r="AV312" s="7"/>
      <c r="AW312" s="6"/>
    </row>
    <row r="313" spans="1:49">
      <c r="A313" s="244"/>
      <c r="B313" s="236"/>
      <c r="C313" s="196"/>
      <c r="D313" s="219"/>
      <c r="E313" s="196"/>
      <c r="F313" s="214"/>
      <c r="G313" s="28"/>
      <c r="H313" s="23" t="s">
        <v>17</v>
      </c>
      <c r="I313" s="22"/>
      <c r="J313" s="22"/>
      <c r="K313" s="22"/>
      <c r="L313" s="22"/>
      <c r="M313" s="22"/>
      <c r="N313" s="21"/>
      <c r="O313" s="165"/>
      <c r="P313" s="165"/>
      <c r="Q313" s="165"/>
      <c r="R313" s="165"/>
      <c r="S313" s="165"/>
      <c r="T313" s="165"/>
      <c r="U313" s="165"/>
      <c r="V313" s="165"/>
      <c r="W313" s="22"/>
      <c r="X313" s="22"/>
      <c r="Y313" s="22"/>
      <c r="Z313" s="22"/>
      <c r="AA313" s="22"/>
      <c r="AB313" s="21"/>
      <c r="AC313" s="165"/>
      <c r="AD313" s="22"/>
      <c r="AE313" s="22"/>
      <c r="AF313" s="22"/>
      <c r="AG313" s="22"/>
      <c r="AH313" s="22"/>
      <c r="AI313" s="21"/>
      <c r="AJ313" s="165"/>
      <c r="AK313" s="22"/>
      <c r="AL313" s="22"/>
      <c r="AM313" s="113"/>
      <c r="AN313" s="8"/>
      <c r="AO313" s="8"/>
      <c r="AP313" s="8"/>
      <c r="AQ313" s="6"/>
      <c r="AR313" s="8"/>
      <c r="AS313" s="8"/>
      <c r="AT313" s="6"/>
      <c r="AU313" s="6"/>
      <c r="AV313" s="7"/>
      <c r="AW313" s="6"/>
    </row>
    <row r="314" spans="1:49">
      <c r="A314" s="244"/>
      <c r="B314" s="236"/>
      <c r="C314" s="196"/>
      <c r="D314" s="219"/>
      <c r="E314" s="196"/>
      <c r="F314" s="214"/>
      <c r="G314" s="28"/>
      <c r="H314" s="26" t="s">
        <v>0</v>
      </c>
      <c r="I314" s="22"/>
      <c r="J314" s="22"/>
      <c r="K314" s="22"/>
      <c r="L314" s="22"/>
      <c r="M314" s="22"/>
      <c r="N314" s="21"/>
      <c r="O314" s="165"/>
      <c r="P314" s="165"/>
      <c r="Q314" s="165"/>
      <c r="R314" s="165"/>
      <c r="S314" s="165"/>
      <c r="T314" s="165"/>
      <c r="U314" s="165"/>
      <c r="V314" s="165"/>
      <c r="W314" s="22"/>
      <c r="X314" s="22"/>
      <c r="Y314" s="22"/>
      <c r="Z314" s="22"/>
      <c r="AA314" s="22"/>
      <c r="AB314" s="21"/>
      <c r="AC314" s="165"/>
      <c r="AD314" s="22"/>
      <c r="AE314" s="22"/>
      <c r="AF314" s="22"/>
      <c r="AG314" s="22"/>
      <c r="AH314" s="22"/>
      <c r="AI314" s="21"/>
      <c r="AJ314" s="165"/>
      <c r="AK314" s="22"/>
      <c r="AL314" s="22"/>
      <c r="AM314" s="113"/>
      <c r="AN314" s="8"/>
      <c r="AO314" s="8"/>
      <c r="AP314" s="8"/>
      <c r="AQ314" s="6"/>
      <c r="AR314" s="8"/>
      <c r="AS314" s="8"/>
      <c r="AT314" s="6"/>
      <c r="AU314" s="6"/>
      <c r="AV314" s="7"/>
      <c r="AW314" s="6"/>
    </row>
    <row r="315" spans="1:49">
      <c r="A315" s="244"/>
      <c r="B315" s="236"/>
      <c r="C315" s="196"/>
      <c r="D315" s="219"/>
      <c r="E315" s="196"/>
      <c r="F315" s="214"/>
      <c r="G315" s="27" t="s">
        <v>16</v>
      </c>
      <c r="H315" s="23" t="s">
        <v>15</v>
      </c>
      <c r="I315" s="22">
        <f>$M$331*$D$285/5</f>
        <v>7400</v>
      </c>
      <c r="J315" s="22"/>
      <c r="K315" s="22"/>
      <c r="L315" s="22">
        <f>$M$331*$D$285/5</f>
        <v>7400</v>
      </c>
      <c r="M315" s="22">
        <f>$M$331*$D$285/5</f>
        <v>7400</v>
      </c>
      <c r="N315" s="21">
        <f>$M$331*$D$285/5</f>
        <v>7400</v>
      </c>
      <c r="O315" s="165"/>
      <c r="P315" s="165"/>
      <c r="Q315" s="165"/>
      <c r="R315" s="165"/>
      <c r="S315" s="165"/>
      <c r="T315" s="165"/>
      <c r="U315" s="165"/>
      <c r="V315" s="165"/>
      <c r="W315" s="22">
        <f>$M$331*$D$285/5</f>
        <v>7400</v>
      </c>
      <c r="X315" s="22"/>
      <c r="Y315" s="22"/>
      <c r="Z315" s="22">
        <f>$M$331*$D$285/5</f>
        <v>7400</v>
      </c>
      <c r="AA315" s="22">
        <f>$M$331*$D$285/5</f>
        <v>7400</v>
      </c>
      <c r="AB315" s="21">
        <f>$M$331*$D$285/5</f>
        <v>7400</v>
      </c>
      <c r="AC315" s="165">
        <f>$M$331*$D$285/5</f>
        <v>7400</v>
      </c>
      <c r="AD315" s="22">
        <f>$M$331*$D$285/5</f>
        <v>7400</v>
      </c>
      <c r="AE315" s="22"/>
      <c r="AF315" s="22"/>
      <c r="AG315" s="22">
        <f>$M$331*$D$285/5</f>
        <v>7400</v>
      </c>
      <c r="AH315" s="22">
        <f>$M$331*$D$285/5</f>
        <v>7400</v>
      </c>
      <c r="AI315" s="21">
        <f>$M$331*$D$285/5</f>
        <v>7400</v>
      </c>
      <c r="AJ315" s="165">
        <f>$M$331*$D$285/5</f>
        <v>7400</v>
      </c>
      <c r="AK315" s="22"/>
      <c r="AL315" s="22"/>
      <c r="AM315" s="113"/>
      <c r="AN315" s="8"/>
      <c r="AO315" s="8"/>
      <c r="AP315" s="8"/>
      <c r="AQ315" s="6"/>
      <c r="AR315" s="8"/>
      <c r="AS315" s="8"/>
      <c r="AT315" s="6"/>
      <c r="AU315" s="6"/>
      <c r="AV315" s="7"/>
      <c r="AW315" s="6"/>
    </row>
    <row r="316" spans="1:49">
      <c r="A316" s="244"/>
      <c r="B316" s="236"/>
      <c r="C316" s="196"/>
      <c r="D316" s="219"/>
      <c r="E316" s="196"/>
      <c r="F316" s="214"/>
      <c r="G316" s="27"/>
      <c r="H316" s="26" t="s">
        <v>0</v>
      </c>
      <c r="I316" s="22"/>
      <c r="J316" s="22"/>
      <c r="K316" s="22"/>
      <c r="L316" s="22"/>
      <c r="M316" s="22"/>
      <c r="N316" s="21"/>
      <c r="O316" s="165"/>
      <c r="P316" s="165"/>
      <c r="Q316" s="165"/>
      <c r="R316" s="165"/>
      <c r="S316" s="165"/>
      <c r="T316" s="165"/>
      <c r="U316" s="165"/>
      <c r="V316" s="165"/>
      <c r="W316" s="22"/>
      <c r="X316" s="22"/>
      <c r="Y316" s="22"/>
      <c r="Z316" s="22"/>
      <c r="AA316" s="22"/>
      <c r="AB316" s="21"/>
      <c r="AC316" s="165"/>
      <c r="AD316" s="22"/>
      <c r="AE316" s="22"/>
      <c r="AF316" s="22"/>
      <c r="AG316" s="22"/>
      <c r="AH316" s="22"/>
      <c r="AI316" s="21"/>
      <c r="AJ316" s="165"/>
      <c r="AK316" s="22"/>
      <c r="AL316" s="22"/>
      <c r="AM316" s="113"/>
      <c r="AN316" s="8"/>
      <c r="AO316" s="8"/>
      <c r="AP316" s="8"/>
      <c r="AQ316" s="6"/>
      <c r="AR316" s="8"/>
      <c r="AS316" s="8"/>
      <c r="AT316" s="6"/>
      <c r="AU316" s="6"/>
      <c r="AV316" s="7"/>
      <c r="AW316" s="6"/>
    </row>
    <row r="317" spans="1:49">
      <c r="A317" s="244"/>
      <c r="B317" s="236"/>
      <c r="C317" s="196"/>
      <c r="D317" s="219"/>
      <c r="E317" s="196"/>
      <c r="F317" s="214"/>
      <c r="G317" s="27" t="s">
        <v>14</v>
      </c>
      <c r="H317" s="23" t="s">
        <v>13</v>
      </c>
      <c r="I317" s="22">
        <f>$M$331*$D$285/5</f>
        <v>7400</v>
      </c>
      <c r="J317" s="22"/>
      <c r="K317" s="22"/>
      <c r="L317" s="22">
        <f>$M$331*$D$285/5</f>
        <v>7400</v>
      </c>
      <c r="M317" s="22">
        <f>$M$331*$D$285/5</f>
        <v>7400</v>
      </c>
      <c r="N317" s="21">
        <f>$M$331*$D$285/5</f>
        <v>7400</v>
      </c>
      <c r="O317" s="165"/>
      <c r="P317" s="165"/>
      <c r="Q317" s="165"/>
      <c r="R317" s="165"/>
      <c r="S317" s="165"/>
      <c r="T317" s="165"/>
      <c r="U317" s="165"/>
      <c r="V317" s="165"/>
      <c r="W317" s="22">
        <f>$M$331*$D$285/5</f>
        <v>7400</v>
      </c>
      <c r="X317" s="22"/>
      <c r="Y317" s="22"/>
      <c r="Z317" s="22">
        <f>$M$331*$D$285/5</f>
        <v>7400</v>
      </c>
      <c r="AA317" s="22">
        <f>$M$331*$D$285/5</f>
        <v>7400</v>
      </c>
      <c r="AB317" s="21">
        <f>$M$331*$D$285/5</f>
        <v>7400</v>
      </c>
      <c r="AC317" s="165">
        <f>$M$331*$D$285/5</f>
        <v>7400</v>
      </c>
      <c r="AD317" s="22">
        <f>$M$331*$D$285/5</f>
        <v>7400</v>
      </c>
      <c r="AE317" s="22"/>
      <c r="AF317" s="22"/>
      <c r="AG317" s="22">
        <f>$M$331*$D$285/5</f>
        <v>7400</v>
      </c>
      <c r="AH317" s="22">
        <f>$M$331*$D$285/5</f>
        <v>7400</v>
      </c>
      <c r="AI317" s="21">
        <f>$M$331*$D$285/5</f>
        <v>7400</v>
      </c>
      <c r="AJ317" s="165">
        <f>$M$331*$D$285/5</f>
        <v>7400</v>
      </c>
      <c r="AK317" s="22"/>
      <c r="AL317" s="22"/>
      <c r="AM317" s="113"/>
      <c r="AN317" s="8"/>
      <c r="AO317" s="8"/>
      <c r="AP317" s="8"/>
      <c r="AQ317" s="6"/>
      <c r="AR317" s="8"/>
      <c r="AS317" s="8"/>
      <c r="AT317" s="6"/>
      <c r="AU317" s="6"/>
      <c r="AV317" s="7"/>
      <c r="AW317" s="6"/>
    </row>
    <row r="318" spans="1:49">
      <c r="A318" s="244"/>
      <c r="B318" s="236"/>
      <c r="C318" s="196"/>
      <c r="D318" s="219"/>
      <c r="E318" s="196"/>
      <c r="F318" s="214"/>
      <c r="G318" s="27"/>
      <c r="H318" s="26" t="s">
        <v>0</v>
      </c>
      <c r="I318" s="22"/>
      <c r="J318" s="22"/>
      <c r="K318" s="22"/>
      <c r="L318" s="22"/>
      <c r="M318" s="22"/>
      <c r="N318" s="21"/>
      <c r="O318" s="165"/>
      <c r="P318" s="165"/>
      <c r="Q318" s="165"/>
      <c r="R318" s="165"/>
      <c r="S318" s="165"/>
      <c r="T318" s="165"/>
      <c r="U318" s="165"/>
      <c r="V318" s="165"/>
      <c r="W318" s="22"/>
      <c r="X318" s="22"/>
      <c r="Y318" s="22"/>
      <c r="Z318" s="22"/>
      <c r="AA318" s="22"/>
      <c r="AB318" s="21"/>
      <c r="AC318" s="165"/>
      <c r="AD318" s="22"/>
      <c r="AE318" s="22"/>
      <c r="AF318" s="22"/>
      <c r="AG318" s="22"/>
      <c r="AH318" s="22"/>
      <c r="AI318" s="21"/>
      <c r="AJ318" s="165"/>
      <c r="AK318" s="22"/>
      <c r="AL318" s="22"/>
      <c r="AM318" s="113"/>
      <c r="AN318" s="8"/>
      <c r="AO318" s="8"/>
      <c r="AP318" s="8"/>
      <c r="AQ318" s="6"/>
      <c r="AR318" s="8"/>
      <c r="AS318" s="8"/>
      <c r="AT318" s="6"/>
      <c r="AU318" s="6"/>
      <c r="AV318" s="7"/>
      <c r="AW318" s="6"/>
    </row>
    <row r="319" spans="1:49">
      <c r="A319" s="244"/>
      <c r="B319" s="236"/>
      <c r="C319" s="196"/>
      <c r="D319" s="219"/>
      <c r="E319" s="196"/>
      <c r="F319" s="214"/>
      <c r="G319" s="27" t="s">
        <v>12</v>
      </c>
      <c r="H319" s="23" t="s">
        <v>11</v>
      </c>
      <c r="I319" s="22">
        <f>$M$331*$D$285/5</f>
        <v>7400</v>
      </c>
      <c r="J319" s="22"/>
      <c r="K319" s="22"/>
      <c r="L319" s="22">
        <f>$M$331*$D$285/5</f>
        <v>7400</v>
      </c>
      <c r="M319" s="22">
        <f>$M$331*$D$285/5</f>
        <v>7400</v>
      </c>
      <c r="N319" s="21">
        <f>$M$331*$D$285/5</f>
        <v>7400</v>
      </c>
      <c r="O319" s="165"/>
      <c r="P319" s="165"/>
      <c r="Q319" s="165"/>
      <c r="R319" s="165"/>
      <c r="S319" s="165"/>
      <c r="T319" s="165"/>
      <c r="U319" s="165"/>
      <c r="V319" s="165"/>
      <c r="W319" s="22">
        <f>$M$331*$D$285/5</f>
        <v>7400</v>
      </c>
      <c r="X319" s="22"/>
      <c r="Y319" s="22"/>
      <c r="Z319" s="22">
        <f>$M$331*$D$285/5</f>
        <v>7400</v>
      </c>
      <c r="AA319" s="22">
        <f>$M$331*$D$285/5</f>
        <v>7400</v>
      </c>
      <c r="AB319" s="21">
        <f>$M$331*$D$285/5</f>
        <v>7400</v>
      </c>
      <c r="AC319" s="165">
        <f>$M$331*$D$285/5</f>
        <v>7400</v>
      </c>
      <c r="AD319" s="22">
        <f>$M$331*$D$285/5</f>
        <v>7400</v>
      </c>
      <c r="AE319" s="22"/>
      <c r="AF319" s="22"/>
      <c r="AG319" s="22">
        <f>$M$331*$D$285/5</f>
        <v>7400</v>
      </c>
      <c r="AH319" s="22">
        <f>$M$331*$D$285/5</f>
        <v>7400</v>
      </c>
      <c r="AI319" s="21">
        <f>$M$331*$D$285/5</f>
        <v>7400</v>
      </c>
      <c r="AJ319" s="165">
        <f>$M$331*$D$285/5</f>
        <v>7400</v>
      </c>
      <c r="AK319" s="22"/>
      <c r="AL319" s="22"/>
      <c r="AM319" s="113"/>
      <c r="AN319" s="8"/>
      <c r="AO319" s="8"/>
      <c r="AP319" s="8"/>
      <c r="AQ319" s="6"/>
      <c r="AR319" s="8"/>
      <c r="AS319" s="8"/>
      <c r="AT319" s="6"/>
      <c r="AU319" s="6"/>
      <c r="AV319" s="7"/>
      <c r="AW319" s="6"/>
    </row>
    <row r="320" spans="1:49">
      <c r="A320" s="244"/>
      <c r="B320" s="236"/>
      <c r="C320" s="196"/>
      <c r="D320" s="219"/>
      <c r="E320" s="196"/>
      <c r="F320" s="214"/>
      <c r="G320" s="27"/>
      <c r="H320" s="23" t="s">
        <v>10</v>
      </c>
      <c r="I320" s="22"/>
      <c r="J320" s="22"/>
      <c r="K320" s="22"/>
      <c r="L320" s="22"/>
      <c r="M320" s="22"/>
      <c r="N320" s="21"/>
      <c r="O320" s="165"/>
      <c r="P320" s="165"/>
      <c r="Q320" s="165"/>
      <c r="R320" s="165"/>
      <c r="S320" s="165"/>
      <c r="T320" s="165"/>
      <c r="U320" s="165"/>
      <c r="V320" s="165"/>
      <c r="W320" s="22"/>
      <c r="X320" s="22"/>
      <c r="Y320" s="22"/>
      <c r="Z320" s="22"/>
      <c r="AA320" s="22"/>
      <c r="AB320" s="21"/>
      <c r="AC320" s="165"/>
      <c r="AD320" s="22"/>
      <c r="AE320" s="22"/>
      <c r="AF320" s="22"/>
      <c r="AG320" s="22"/>
      <c r="AH320" s="22"/>
      <c r="AI320" s="21"/>
      <c r="AJ320" s="165"/>
      <c r="AK320" s="22"/>
      <c r="AL320" s="22"/>
      <c r="AM320" s="113"/>
      <c r="AN320" s="8"/>
      <c r="AO320" s="8"/>
      <c r="AP320" s="8"/>
      <c r="AQ320" s="6"/>
      <c r="AR320" s="8"/>
      <c r="AS320" s="8"/>
      <c r="AT320" s="6"/>
      <c r="AU320" s="6"/>
      <c r="AV320" s="7"/>
      <c r="AW320" s="6"/>
    </row>
    <row r="321" spans="1:49">
      <c r="A321" s="244"/>
      <c r="B321" s="236"/>
      <c r="C321" s="196"/>
      <c r="D321" s="219"/>
      <c r="E321" s="196"/>
      <c r="F321" s="214"/>
      <c r="G321" s="27"/>
      <c r="H321" s="26" t="s">
        <v>0</v>
      </c>
      <c r="I321" s="22"/>
      <c r="J321" s="22"/>
      <c r="K321" s="22"/>
      <c r="L321" s="22"/>
      <c r="M321" s="22"/>
      <c r="N321" s="21"/>
      <c r="O321" s="165"/>
      <c r="P321" s="165"/>
      <c r="Q321" s="165"/>
      <c r="R321" s="165"/>
      <c r="S321" s="165"/>
      <c r="T321" s="165"/>
      <c r="U321" s="165"/>
      <c r="V321" s="165"/>
      <c r="W321" s="22"/>
      <c r="X321" s="22"/>
      <c r="Y321" s="22"/>
      <c r="Z321" s="22"/>
      <c r="AA321" s="22"/>
      <c r="AB321" s="21"/>
      <c r="AC321" s="165"/>
      <c r="AD321" s="22"/>
      <c r="AE321" s="22"/>
      <c r="AF321" s="22"/>
      <c r="AG321" s="22"/>
      <c r="AH321" s="22"/>
      <c r="AI321" s="21"/>
      <c r="AJ321" s="165"/>
      <c r="AK321" s="22"/>
      <c r="AL321" s="22"/>
      <c r="AM321" s="113"/>
      <c r="AN321" s="8"/>
      <c r="AO321" s="8"/>
      <c r="AP321" s="8"/>
      <c r="AQ321" s="6"/>
      <c r="AR321" s="8"/>
      <c r="AS321" s="8"/>
      <c r="AT321" s="6"/>
      <c r="AU321" s="6"/>
      <c r="AV321" s="7"/>
      <c r="AW321" s="6"/>
    </row>
    <row r="322" spans="1:49">
      <c r="A322" s="244"/>
      <c r="B322" s="236"/>
      <c r="C322" s="196"/>
      <c r="D322" s="219"/>
      <c r="E322" s="196"/>
      <c r="F322" s="214"/>
      <c r="G322" s="27" t="s">
        <v>9</v>
      </c>
      <c r="H322" s="23" t="s">
        <v>8</v>
      </c>
      <c r="I322" s="22">
        <f>$M$331*$D$285/5</f>
        <v>7400</v>
      </c>
      <c r="J322" s="22"/>
      <c r="K322" s="22"/>
      <c r="L322" s="22">
        <f>$M$331*$D$285/5</f>
        <v>7400</v>
      </c>
      <c r="M322" s="22">
        <f>$M$331*$D$285/5</f>
        <v>7400</v>
      </c>
      <c r="N322" s="21">
        <f>$M$331*$D$285/5</f>
        <v>7400</v>
      </c>
      <c r="O322" s="165"/>
      <c r="P322" s="165"/>
      <c r="Q322" s="165"/>
      <c r="R322" s="165"/>
      <c r="S322" s="165"/>
      <c r="T322" s="165"/>
      <c r="U322" s="165"/>
      <c r="V322" s="165"/>
      <c r="W322" s="22">
        <f>$M$331*$D$285/5</f>
        <v>7400</v>
      </c>
      <c r="X322" s="22"/>
      <c r="Y322" s="22"/>
      <c r="Z322" s="22">
        <f>$M$331*$D$285/5</f>
        <v>7400</v>
      </c>
      <c r="AA322" s="22">
        <f>$M$331*$D$285/5</f>
        <v>7400</v>
      </c>
      <c r="AB322" s="21">
        <f>$M$331*$D$285/5</f>
        <v>7400</v>
      </c>
      <c r="AC322" s="165">
        <f>$M$331*$D$285/5</f>
        <v>7400</v>
      </c>
      <c r="AD322" s="22">
        <f>$M$331*$D$285/5</f>
        <v>7400</v>
      </c>
      <c r="AE322" s="22"/>
      <c r="AF322" s="22"/>
      <c r="AG322" s="22">
        <f>$M$331*$D$285/5</f>
        <v>7400</v>
      </c>
      <c r="AH322" s="22">
        <f>$M$331*$D$285/5</f>
        <v>7400</v>
      </c>
      <c r="AI322" s="21">
        <f>$M$331*$D$285/5</f>
        <v>7400</v>
      </c>
      <c r="AJ322" s="165">
        <f>$M$331*$D$285/5</f>
        <v>7400</v>
      </c>
      <c r="AK322" s="22"/>
      <c r="AL322" s="22"/>
      <c r="AM322" s="113"/>
      <c r="AN322" s="8"/>
      <c r="AO322" s="8"/>
      <c r="AP322" s="8"/>
      <c r="AQ322" s="6"/>
      <c r="AR322" s="8"/>
      <c r="AS322" s="8"/>
      <c r="AT322" s="6"/>
      <c r="AU322" s="6"/>
      <c r="AV322" s="7"/>
      <c r="AW322" s="6"/>
    </row>
    <row r="323" spans="1:49">
      <c r="A323" s="244"/>
      <c r="B323" s="236"/>
      <c r="C323" s="196"/>
      <c r="D323" s="219"/>
      <c r="E323" s="196"/>
      <c r="F323" s="214"/>
      <c r="G323" s="27"/>
      <c r="H323" s="23" t="s">
        <v>7</v>
      </c>
      <c r="I323" s="22"/>
      <c r="J323" s="22"/>
      <c r="K323" s="22"/>
      <c r="L323" s="22"/>
      <c r="M323" s="22"/>
      <c r="N323" s="21"/>
      <c r="O323" s="165"/>
      <c r="P323" s="165"/>
      <c r="Q323" s="165"/>
      <c r="R323" s="165"/>
      <c r="S323" s="165"/>
      <c r="T323" s="165"/>
      <c r="U323" s="165"/>
      <c r="V323" s="165"/>
      <c r="W323" s="22"/>
      <c r="X323" s="22"/>
      <c r="Y323" s="22"/>
      <c r="Z323" s="22"/>
      <c r="AA323" s="22"/>
      <c r="AB323" s="21"/>
      <c r="AC323" s="165"/>
      <c r="AD323" s="22"/>
      <c r="AE323" s="22"/>
      <c r="AF323" s="22"/>
      <c r="AG323" s="22"/>
      <c r="AH323" s="22"/>
      <c r="AI323" s="21"/>
      <c r="AJ323" s="165"/>
      <c r="AK323" s="22"/>
      <c r="AL323" s="22"/>
      <c r="AM323" s="113"/>
      <c r="AN323" s="8"/>
      <c r="AO323" s="8"/>
      <c r="AP323" s="8"/>
      <c r="AQ323" s="6"/>
      <c r="AR323" s="8"/>
      <c r="AS323" s="8"/>
      <c r="AT323" s="6"/>
      <c r="AU323" s="6"/>
      <c r="AV323" s="7"/>
      <c r="AW323" s="6"/>
    </row>
    <row r="324" spans="1:49">
      <c r="A324" s="244"/>
      <c r="B324" s="236"/>
      <c r="C324" s="196"/>
      <c r="D324" s="219"/>
      <c r="E324" s="196"/>
      <c r="F324" s="214"/>
      <c r="G324" s="27"/>
      <c r="H324" s="26" t="s">
        <v>0</v>
      </c>
      <c r="I324" s="22"/>
      <c r="J324" s="22"/>
      <c r="K324" s="22"/>
      <c r="L324" s="22"/>
      <c r="M324" s="22"/>
      <c r="N324" s="21"/>
      <c r="O324" s="165"/>
      <c r="P324" s="165"/>
      <c r="Q324" s="165"/>
      <c r="R324" s="165"/>
      <c r="S324" s="165"/>
      <c r="T324" s="165"/>
      <c r="U324" s="165"/>
      <c r="V324" s="165"/>
      <c r="W324" s="22"/>
      <c r="X324" s="22"/>
      <c r="Y324" s="22"/>
      <c r="Z324" s="22"/>
      <c r="AA324" s="22"/>
      <c r="AB324" s="21"/>
      <c r="AC324" s="165"/>
      <c r="AD324" s="22"/>
      <c r="AE324" s="22"/>
      <c r="AF324" s="22"/>
      <c r="AG324" s="22"/>
      <c r="AH324" s="22"/>
      <c r="AI324" s="21"/>
      <c r="AJ324" s="165"/>
      <c r="AK324" s="22"/>
      <c r="AL324" s="22"/>
      <c r="AM324" s="113"/>
      <c r="AN324" s="8"/>
      <c r="AO324" s="8"/>
      <c r="AP324" s="8"/>
      <c r="AQ324" s="6"/>
      <c r="AR324" s="8"/>
      <c r="AS324" s="8"/>
      <c r="AT324" s="6"/>
      <c r="AU324" s="6"/>
      <c r="AV324" s="7"/>
      <c r="AW324" s="6"/>
    </row>
    <row r="325" spans="1:49">
      <c r="A325" s="244"/>
      <c r="B325" s="236"/>
      <c r="C325" s="196"/>
      <c r="D325" s="219"/>
      <c r="E325" s="196"/>
      <c r="F325" s="214"/>
      <c r="G325" s="24"/>
      <c r="H325" s="23" t="s">
        <v>6</v>
      </c>
      <c r="I325" s="22">
        <f>$M$331*$D$285/5</f>
        <v>7400</v>
      </c>
      <c r="J325" s="22"/>
      <c r="K325" s="22"/>
      <c r="L325" s="22">
        <f>$M$331*$D$285/5</f>
        <v>7400</v>
      </c>
      <c r="M325" s="22">
        <f>$M$331*$D$285/5</f>
        <v>7400</v>
      </c>
      <c r="N325" s="21">
        <f>$M$331*$D$285/5</f>
        <v>7400</v>
      </c>
      <c r="O325" s="165"/>
      <c r="P325" s="165"/>
      <c r="Q325" s="165"/>
      <c r="R325" s="165"/>
      <c r="S325" s="165"/>
      <c r="T325" s="165"/>
      <c r="U325" s="165"/>
      <c r="V325" s="165"/>
      <c r="W325" s="22">
        <f>$M$331*$D$285/5</f>
        <v>7400</v>
      </c>
      <c r="X325" s="22"/>
      <c r="Y325" s="22"/>
      <c r="Z325" s="22">
        <f>$M$331*$D$285/5</f>
        <v>7400</v>
      </c>
      <c r="AA325" s="22">
        <f>$M$331*$D$285/5</f>
        <v>7400</v>
      </c>
      <c r="AB325" s="21">
        <f>$M$331*$D$285/5</f>
        <v>7400</v>
      </c>
      <c r="AC325" s="165">
        <f>$M$331*$D$285/5</f>
        <v>7400</v>
      </c>
      <c r="AD325" s="22">
        <f>$M$331*$D$285/5</f>
        <v>7400</v>
      </c>
      <c r="AE325" s="22"/>
      <c r="AF325" s="22"/>
      <c r="AG325" s="22">
        <f>$M$331*$D$285/5</f>
        <v>7400</v>
      </c>
      <c r="AH325" s="22">
        <f>$M$331*$D$285/5</f>
        <v>7400</v>
      </c>
      <c r="AI325" s="21">
        <f>$M$331*$D$285/5</f>
        <v>7400</v>
      </c>
      <c r="AJ325" s="165">
        <f>$M$331*$D$285/5</f>
        <v>7400</v>
      </c>
      <c r="AK325" s="22"/>
      <c r="AL325" s="22"/>
      <c r="AM325" s="113"/>
      <c r="AN325" s="8"/>
      <c r="AO325" s="8"/>
      <c r="AP325" s="8"/>
      <c r="AQ325" s="6"/>
      <c r="AR325" s="8"/>
      <c r="AS325" s="8"/>
      <c r="AT325" s="6"/>
      <c r="AU325" s="6"/>
      <c r="AV325" s="7"/>
      <c r="AW325" s="6"/>
    </row>
    <row r="326" spans="1:49">
      <c r="A326" s="244"/>
      <c r="B326" s="236"/>
      <c r="C326" s="196"/>
      <c r="D326" s="219"/>
      <c r="E326" s="196"/>
      <c r="F326" s="214"/>
      <c r="G326" s="24"/>
      <c r="H326" s="23" t="s">
        <v>5</v>
      </c>
      <c r="I326" s="22"/>
      <c r="J326" s="22"/>
      <c r="K326" s="22"/>
      <c r="L326" s="22"/>
      <c r="M326" s="22"/>
      <c r="N326" s="21"/>
      <c r="O326" s="165"/>
      <c r="P326" s="165"/>
      <c r="Q326" s="165"/>
      <c r="R326" s="165"/>
      <c r="S326" s="165"/>
      <c r="T326" s="165"/>
      <c r="U326" s="165"/>
      <c r="V326" s="165"/>
      <c r="W326" s="22"/>
      <c r="X326" s="22"/>
      <c r="Y326" s="22"/>
      <c r="Z326" s="22"/>
      <c r="AA326" s="22"/>
      <c r="AB326" s="21"/>
      <c r="AC326" s="165"/>
      <c r="AD326" s="22"/>
      <c r="AE326" s="22"/>
      <c r="AF326" s="22"/>
      <c r="AG326" s="22"/>
      <c r="AH326" s="22"/>
      <c r="AI326" s="21"/>
      <c r="AJ326" s="165"/>
      <c r="AK326" s="22"/>
      <c r="AL326" s="22"/>
      <c r="AM326" s="113"/>
      <c r="AN326" s="8"/>
      <c r="AO326" s="8"/>
      <c r="AP326" s="8"/>
      <c r="AQ326" s="6"/>
      <c r="AR326" s="8"/>
      <c r="AS326" s="8"/>
      <c r="AT326" s="6"/>
      <c r="AU326" s="6"/>
      <c r="AV326" s="7"/>
      <c r="AW326" s="6"/>
    </row>
    <row r="327" spans="1:49">
      <c r="A327" s="244"/>
      <c r="B327" s="236"/>
      <c r="C327" s="196"/>
      <c r="D327" s="219"/>
      <c r="E327" s="196"/>
      <c r="F327" s="214"/>
      <c r="G327" s="24"/>
      <c r="H327" s="26" t="s">
        <v>0</v>
      </c>
      <c r="I327" s="22"/>
      <c r="J327" s="22"/>
      <c r="K327" s="22"/>
      <c r="L327" s="22"/>
      <c r="M327" s="22"/>
      <c r="N327" s="21"/>
      <c r="O327" s="165"/>
      <c r="P327" s="165"/>
      <c r="Q327" s="165"/>
      <c r="R327" s="165"/>
      <c r="S327" s="165"/>
      <c r="T327" s="165"/>
      <c r="U327" s="165"/>
      <c r="V327" s="165"/>
      <c r="W327" s="22"/>
      <c r="X327" s="22"/>
      <c r="Y327" s="22"/>
      <c r="Z327" s="22"/>
      <c r="AA327" s="22"/>
      <c r="AB327" s="21"/>
      <c r="AC327" s="165"/>
      <c r="AD327" s="22"/>
      <c r="AE327" s="22"/>
      <c r="AF327" s="22"/>
      <c r="AG327" s="22"/>
      <c r="AH327" s="22"/>
      <c r="AI327" s="21"/>
      <c r="AJ327" s="165"/>
      <c r="AK327" s="22"/>
      <c r="AL327" s="22"/>
      <c r="AM327" s="113"/>
      <c r="AN327" s="8"/>
      <c r="AO327" s="8"/>
      <c r="AP327" s="8"/>
      <c r="AQ327" s="6"/>
      <c r="AR327" s="8"/>
      <c r="AS327" s="8"/>
      <c r="AT327" s="6"/>
      <c r="AU327" s="6"/>
      <c r="AV327" s="7"/>
      <c r="AW327" s="6"/>
    </row>
    <row r="328" spans="1:49">
      <c r="A328" s="244"/>
      <c r="B328" s="236"/>
      <c r="C328" s="196"/>
      <c r="D328" s="219"/>
      <c r="E328" s="196"/>
      <c r="F328" s="214"/>
      <c r="G328" s="24"/>
      <c r="H328" s="23" t="s">
        <v>4</v>
      </c>
      <c r="I328" s="22">
        <f>$M$331*$D$285/5</f>
        <v>7400</v>
      </c>
      <c r="J328" s="22"/>
      <c r="K328" s="22"/>
      <c r="L328" s="22">
        <f>$M$331*$D$285/5</f>
        <v>7400</v>
      </c>
      <c r="M328" s="22">
        <f>$M$331*$D$285/5</f>
        <v>7400</v>
      </c>
      <c r="N328" s="21">
        <f>$M$331*$D$285/5</f>
        <v>7400</v>
      </c>
      <c r="O328" s="165"/>
      <c r="P328" s="165"/>
      <c r="Q328" s="165"/>
      <c r="R328" s="165"/>
      <c r="S328" s="165"/>
      <c r="T328" s="165"/>
      <c r="U328" s="165"/>
      <c r="V328" s="165"/>
      <c r="W328" s="22">
        <f>$M$331*$D$285/5</f>
        <v>7400</v>
      </c>
      <c r="X328" s="22"/>
      <c r="Y328" s="22"/>
      <c r="Z328" s="22">
        <f>$M$331*$D$285/5</f>
        <v>7400</v>
      </c>
      <c r="AA328" s="22">
        <f>$M$331*$D$285/5</f>
        <v>7400</v>
      </c>
      <c r="AB328" s="21">
        <f>$M$331*$D$285/5</f>
        <v>7400</v>
      </c>
      <c r="AC328" s="165">
        <f>$M$331*$D$285/5</f>
        <v>7400</v>
      </c>
      <c r="AD328" s="22">
        <f>$M$331*$D$285/5</f>
        <v>7400</v>
      </c>
      <c r="AE328" s="22"/>
      <c r="AF328" s="22"/>
      <c r="AG328" s="22">
        <f>$M$331*$D$285/5</f>
        <v>7400</v>
      </c>
      <c r="AH328" s="22">
        <f>$M$331*$D$285/5</f>
        <v>7400</v>
      </c>
      <c r="AI328" s="21">
        <f>$M$331*$D$285/5</f>
        <v>7400</v>
      </c>
      <c r="AJ328" s="165">
        <f>$M$331*$D$285/5</f>
        <v>7400</v>
      </c>
      <c r="AK328" s="22"/>
      <c r="AL328" s="22"/>
      <c r="AM328" s="113"/>
      <c r="AN328" s="8"/>
      <c r="AO328" s="8"/>
      <c r="AP328" s="8"/>
      <c r="AQ328" s="6"/>
      <c r="AR328" s="8"/>
      <c r="AS328" s="8"/>
      <c r="AT328" s="6"/>
      <c r="AU328" s="6"/>
      <c r="AV328" s="7"/>
      <c r="AW328" s="6"/>
    </row>
    <row r="329" spans="1:49">
      <c r="A329" s="244"/>
      <c r="B329" s="236"/>
      <c r="C329" s="196"/>
      <c r="D329" s="219"/>
      <c r="E329" s="196"/>
      <c r="F329" s="214"/>
      <c r="G329" s="24"/>
      <c r="H329" s="23" t="s">
        <v>3</v>
      </c>
      <c r="I329" s="22"/>
      <c r="J329" s="22"/>
      <c r="K329" s="22"/>
      <c r="L329" s="22"/>
      <c r="M329" s="22"/>
      <c r="N329" s="21"/>
      <c r="O329" s="165"/>
      <c r="P329" s="165"/>
      <c r="Q329" s="165"/>
      <c r="R329" s="165"/>
      <c r="S329" s="165"/>
      <c r="T329" s="165"/>
      <c r="U329" s="165"/>
      <c r="V329" s="165"/>
      <c r="W329" s="22"/>
      <c r="X329" s="22"/>
      <c r="Y329" s="22"/>
      <c r="Z329" s="22"/>
      <c r="AA329" s="22"/>
      <c r="AB329" s="21"/>
      <c r="AC329" s="165"/>
      <c r="AD329" s="22"/>
      <c r="AE329" s="22"/>
      <c r="AF329" s="22"/>
      <c r="AG329" s="22"/>
      <c r="AH329" s="22"/>
      <c r="AI329" s="21"/>
      <c r="AJ329" s="165"/>
      <c r="AK329" s="22"/>
      <c r="AL329" s="22"/>
      <c r="AM329" s="113"/>
      <c r="AN329" s="8"/>
      <c r="AO329" s="8"/>
      <c r="AP329" s="8"/>
      <c r="AQ329" s="6"/>
      <c r="AR329" s="8"/>
      <c r="AS329" s="8"/>
      <c r="AT329" s="6"/>
      <c r="AU329" s="6"/>
      <c r="AV329" s="7"/>
      <c r="AW329" s="6"/>
    </row>
    <row r="330" spans="1:49">
      <c r="A330" s="244"/>
      <c r="B330" s="236"/>
      <c r="C330" s="196"/>
      <c r="D330" s="219"/>
      <c r="E330" s="196"/>
      <c r="F330" s="214"/>
      <c r="G330" s="24"/>
      <c r="H330" s="26" t="s">
        <v>0</v>
      </c>
      <c r="I330" s="22"/>
      <c r="J330" s="22"/>
      <c r="K330" s="22"/>
      <c r="L330" s="22"/>
      <c r="M330" s="22"/>
      <c r="N330" s="21"/>
      <c r="O330" s="165"/>
      <c r="P330" s="165"/>
      <c r="Q330" s="165"/>
      <c r="R330" s="165"/>
      <c r="S330" s="165"/>
      <c r="T330" s="165"/>
      <c r="U330" s="165"/>
      <c r="V330" s="165"/>
      <c r="W330" s="22"/>
      <c r="X330" s="22"/>
      <c r="Y330" s="22"/>
      <c r="Z330" s="22"/>
      <c r="AA330" s="22"/>
      <c r="AB330" s="21"/>
      <c r="AC330" s="165"/>
      <c r="AD330" s="22"/>
      <c r="AE330" s="22"/>
      <c r="AF330" s="22"/>
      <c r="AG330" s="22"/>
      <c r="AH330" s="22"/>
      <c r="AI330" s="21"/>
      <c r="AJ330" s="165"/>
      <c r="AK330" s="22"/>
      <c r="AL330" s="22"/>
      <c r="AM330" s="113"/>
      <c r="AN330" s="8"/>
      <c r="AO330" s="8"/>
      <c r="AP330" s="8"/>
      <c r="AQ330" s="6"/>
      <c r="AR330" s="8"/>
      <c r="AS330" s="8"/>
      <c r="AT330" s="6"/>
      <c r="AU330" s="6"/>
      <c r="AV330" s="7"/>
      <c r="AW330" s="6"/>
    </row>
    <row r="331" spans="1:49">
      <c r="A331" s="244"/>
      <c r="B331" s="236"/>
      <c r="C331" s="196"/>
      <c r="D331" s="219"/>
      <c r="E331" s="196"/>
      <c r="F331" s="214"/>
      <c r="G331" s="24"/>
      <c r="H331" s="23" t="s">
        <v>2</v>
      </c>
      <c r="I331" s="22"/>
      <c r="J331" s="22"/>
      <c r="K331" s="22"/>
      <c r="L331" s="22"/>
      <c r="M331" s="22">
        <f>$C$285*5</f>
        <v>25000</v>
      </c>
      <c r="N331" s="21"/>
      <c r="O331" s="174"/>
      <c r="P331" s="174"/>
      <c r="Q331" s="165"/>
      <c r="R331" s="165"/>
      <c r="S331" s="165"/>
      <c r="T331" s="165"/>
      <c r="U331" s="165"/>
      <c r="V331" s="165"/>
      <c r="W331" s="22"/>
      <c r="X331" s="22"/>
      <c r="Y331" s="22"/>
      <c r="Z331" s="22">
        <f>$C$285*5</f>
        <v>25000</v>
      </c>
      <c r="AA331" s="22"/>
      <c r="AB331" s="21"/>
      <c r="AC331" s="165"/>
      <c r="AD331" s="22"/>
      <c r="AE331" s="22"/>
      <c r="AF331" s="22"/>
      <c r="AG331" s="22">
        <f>$C$285*5</f>
        <v>25000</v>
      </c>
      <c r="AH331" s="22"/>
      <c r="AI331" s="21"/>
      <c r="AJ331" s="165"/>
      <c r="AK331" s="22"/>
      <c r="AL331" s="22"/>
      <c r="AM331" s="113"/>
      <c r="AN331" s="8"/>
      <c r="AO331" s="8"/>
      <c r="AP331" s="8"/>
      <c r="AQ331" s="6"/>
      <c r="AR331" s="8"/>
      <c r="AS331" s="8"/>
      <c r="AT331" s="6"/>
      <c r="AU331" s="6"/>
      <c r="AV331" s="7"/>
      <c r="AW331" s="6"/>
    </row>
    <row r="332" spans="1:49">
      <c r="A332" s="244"/>
      <c r="B332" s="236"/>
      <c r="C332" s="196"/>
      <c r="D332" s="219"/>
      <c r="E332" s="196"/>
      <c r="F332" s="214"/>
      <c r="G332" s="24"/>
      <c r="H332" s="23" t="s">
        <v>1</v>
      </c>
      <c r="I332" s="22"/>
      <c r="J332" s="22"/>
      <c r="K332" s="22"/>
      <c r="L332" s="22"/>
      <c r="M332" s="22"/>
      <c r="N332" s="21"/>
      <c r="O332" s="165"/>
      <c r="P332" s="165"/>
      <c r="Q332" s="165"/>
      <c r="R332" s="165"/>
      <c r="S332" s="165"/>
      <c r="T332" s="165"/>
      <c r="U332" s="165"/>
      <c r="V332" s="165"/>
      <c r="W332" s="22"/>
      <c r="X332" s="22"/>
      <c r="Y332" s="22"/>
      <c r="Z332" s="22"/>
      <c r="AA332" s="22"/>
      <c r="AB332" s="21"/>
      <c r="AC332" s="165"/>
      <c r="AD332" s="22"/>
      <c r="AE332" s="22"/>
      <c r="AF332" s="22"/>
      <c r="AG332" s="22"/>
      <c r="AH332" s="22"/>
      <c r="AI332" s="21"/>
      <c r="AJ332" s="165"/>
      <c r="AK332" s="22"/>
      <c r="AL332" s="22"/>
      <c r="AM332" s="113"/>
      <c r="AN332" s="8"/>
      <c r="AO332" s="8"/>
      <c r="AP332" s="8"/>
      <c r="AQ332" s="6"/>
      <c r="AR332" s="8"/>
      <c r="AS332" s="8"/>
      <c r="AT332" s="6"/>
      <c r="AU332" s="6"/>
      <c r="AV332" s="7"/>
      <c r="AW332" s="6"/>
    </row>
    <row r="333" spans="1:49" ht="15.75" thickBot="1">
      <c r="A333" s="245"/>
      <c r="B333" s="237"/>
      <c r="C333" s="197"/>
      <c r="D333" s="220"/>
      <c r="E333" s="197"/>
      <c r="F333" s="215"/>
      <c r="G333" s="20"/>
      <c r="H333" s="19" t="s">
        <v>0</v>
      </c>
      <c r="I333" s="18"/>
      <c r="J333" s="18"/>
      <c r="K333" s="18"/>
      <c r="L333" s="18"/>
      <c r="M333" s="18"/>
      <c r="N333" s="17"/>
      <c r="O333" s="165"/>
      <c r="P333" s="165"/>
      <c r="Q333" s="165"/>
      <c r="R333" s="165"/>
      <c r="S333" s="165"/>
      <c r="T333" s="165"/>
      <c r="U333" s="165"/>
      <c r="V333" s="165"/>
      <c r="W333" s="18"/>
      <c r="X333" s="18"/>
      <c r="Y333" s="18"/>
      <c r="Z333" s="18"/>
      <c r="AA333" s="18"/>
      <c r="AB333" s="17"/>
      <c r="AC333" s="171"/>
      <c r="AD333" s="18"/>
      <c r="AE333" s="18"/>
      <c r="AF333" s="18"/>
      <c r="AG333" s="18"/>
      <c r="AH333" s="18"/>
      <c r="AI333" s="17"/>
      <c r="AJ333" s="171"/>
      <c r="AK333" s="18"/>
      <c r="AL333" s="18"/>
      <c r="AM333" s="118"/>
      <c r="AN333" s="8"/>
      <c r="AO333" s="8"/>
      <c r="AP333" s="8"/>
      <c r="AQ333" s="6"/>
      <c r="AR333" s="8"/>
      <c r="AS333" s="8"/>
      <c r="AT333" s="6"/>
      <c r="AU333" s="6"/>
      <c r="AV333" s="7"/>
      <c r="AW333" s="6"/>
    </row>
    <row r="334" spans="1:49">
      <c r="A334" s="16"/>
      <c r="B334" s="16"/>
      <c r="C334" s="14"/>
      <c r="D334" s="15"/>
      <c r="E334" s="14"/>
      <c r="F334" s="13"/>
      <c r="G334" s="12"/>
      <c r="H334" s="11"/>
      <c r="I334" s="10"/>
      <c r="J334" s="10"/>
      <c r="K334" s="10"/>
      <c r="L334" s="10"/>
      <c r="M334" s="10"/>
      <c r="N334" s="9"/>
      <c r="O334" s="185"/>
      <c r="P334" s="185"/>
      <c r="Q334" s="185"/>
      <c r="R334" s="185"/>
      <c r="S334" s="185"/>
      <c r="T334" s="185"/>
      <c r="U334" s="185"/>
      <c r="V334" s="185"/>
      <c r="W334" s="10"/>
      <c r="X334" s="10"/>
      <c r="Y334" s="10"/>
      <c r="Z334" s="10"/>
      <c r="AA334" s="10"/>
      <c r="AB334" s="9"/>
      <c r="AC334" s="185"/>
      <c r="AD334" s="10"/>
      <c r="AE334" s="10"/>
      <c r="AF334" s="10"/>
      <c r="AG334" s="10"/>
      <c r="AH334" s="10"/>
      <c r="AI334" s="9"/>
      <c r="AJ334" s="185"/>
      <c r="AK334" s="10"/>
      <c r="AL334" s="10"/>
      <c r="AM334" s="57"/>
      <c r="AN334" s="8"/>
      <c r="AO334" s="8"/>
      <c r="AP334" s="8"/>
      <c r="AQ334" s="6"/>
      <c r="AR334" s="8"/>
      <c r="AS334" s="8"/>
      <c r="AT334" s="6"/>
      <c r="AU334" s="6"/>
      <c r="AV334" s="7"/>
      <c r="AW334" s="6"/>
    </row>
    <row r="335" spans="1:49">
      <c r="L335" s="5"/>
      <c r="M335" s="5"/>
      <c r="W335" s="5"/>
      <c r="Z335" s="5"/>
      <c r="AA335" s="5"/>
      <c r="AD335" s="5"/>
      <c r="AG335" s="5"/>
      <c r="AH335" s="5"/>
      <c r="AN335" s="4"/>
      <c r="AO335" s="4"/>
      <c r="AP335" s="4"/>
      <c r="AQ335" s="4"/>
      <c r="AR335" s="4"/>
      <c r="AS335" s="4"/>
      <c r="AT335" s="4"/>
    </row>
    <row r="336" spans="1:49">
      <c r="L336" s="5"/>
      <c r="M336" s="5"/>
      <c r="W336" s="5"/>
      <c r="Z336" s="5"/>
      <c r="AA336" s="5"/>
      <c r="AD336" s="5"/>
      <c r="AG336" s="5"/>
      <c r="AH336" s="5"/>
      <c r="AN336" s="4"/>
      <c r="AO336" s="4"/>
      <c r="AP336" s="4"/>
      <c r="AQ336" s="4"/>
      <c r="AR336" s="4"/>
      <c r="AS336" s="4"/>
      <c r="AT336" s="4"/>
    </row>
    <row r="337" spans="12:46">
      <c r="L337" s="5"/>
      <c r="M337" s="5"/>
      <c r="W337" s="5"/>
      <c r="Z337" s="5"/>
      <c r="AA337" s="5"/>
      <c r="AD337" s="5"/>
      <c r="AG337" s="5"/>
      <c r="AH337" s="5"/>
      <c r="AN337" s="4"/>
      <c r="AO337" s="4"/>
      <c r="AP337" s="4"/>
      <c r="AQ337" s="4"/>
      <c r="AR337" s="4"/>
      <c r="AS337" s="4"/>
      <c r="AT337" s="4"/>
    </row>
    <row r="338" spans="12:46">
      <c r="L338" s="5"/>
      <c r="M338" s="5"/>
      <c r="W338" s="5"/>
      <c r="Z338" s="5"/>
      <c r="AA338" s="5"/>
      <c r="AD338" s="5"/>
      <c r="AG338" s="5"/>
      <c r="AH338" s="5"/>
      <c r="AN338" s="4"/>
      <c r="AO338" s="4"/>
      <c r="AP338" s="4"/>
      <c r="AQ338" s="4"/>
      <c r="AR338" s="4"/>
      <c r="AS338" s="4"/>
      <c r="AT338" s="4"/>
    </row>
    <row r="339" spans="12:46" ht="15.75" customHeight="1">
      <c r="L339" s="5"/>
      <c r="M339" s="5"/>
      <c r="W339" s="5"/>
      <c r="Z339" s="5"/>
      <c r="AA339" s="5"/>
      <c r="AD339" s="5"/>
      <c r="AG339" s="5"/>
      <c r="AH339" s="5"/>
      <c r="AN339" s="4"/>
      <c r="AO339" s="4"/>
      <c r="AP339" s="4"/>
      <c r="AQ339" s="4"/>
      <c r="AR339" s="4"/>
      <c r="AS339" s="4"/>
      <c r="AT339" s="4"/>
    </row>
    <row r="340" spans="12:46" ht="15.75" customHeight="1">
      <c r="L340" s="5"/>
      <c r="M340" s="5"/>
      <c r="W340" s="5"/>
      <c r="Z340" s="5"/>
      <c r="AA340" s="5"/>
      <c r="AD340" s="5"/>
      <c r="AG340" s="5"/>
      <c r="AH340" s="5"/>
      <c r="AN340" s="4"/>
      <c r="AO340" s="4"/>
      <c r="AP340" s="4"/>
      <c r="AQ340" s="4"/>
      <c r="AR340" s="4"/>
      <c r="AS340" s="4"/>
      <c r="AT340" s="4"/>
    </row>
    <row r="341" spans="12:46" ht="15.75" customHeight="1">
      <c r="L341" s="5"/>
      <c r="M341" s="5"/>
      <c r="W341" s="5"/>
      <c r="Z341" s="5"/>
      <c r="AA341" s="5"/>
      <c r="AD341" s="5"/>
      <c r="AG341" s="5"/>
      <c r="AH341" s="5"/>
      <c r="AN341" s="4"/>
      <c r="AO341" s="4"/>
      <c r="AP341" s="4"/>
      <c r="AQ341" s="4"/>
      <c r="AR341" s="4"/>
      <c r="AS341" s="4"/>
      <c r="AT341" s="4"/>
    </row>
    <row r="342" spans="12:46">
      <c r="L342" s="5"/>
      <c r="M342" s="5"/>
      <c r="W342" s="5"/>
      <c r="Z342" s="5"/>
      <c r="AA342" s="5"/>
      <c r="AD342" s="5"/>
      <c r="AG342" s="5"/>
      <c r="AH342" s="5"/>
      <c r="AN342" s="4"/>
      <c r="AO342" s="4"/>
      <c r="AP342" s="4"/>
      <c r="AQ342" s="4"/>
      <c r="AR342" s="4"/>
      <c r="AS342" s="4"/>
      <c r="AT342" s="4"/>
    </row>
    <row r="343" spans="12:46">
      <c r="L343" s="5"/>
      <c r="M343" s="5"/>
      <c r="W343" s="5"/>
      <c r="Z343" s="5"/>
      <c r="AA343" s="5"/>
      <c r="AD343" s="5"/>
      <c r="AG343" s="5"/>
      <c r="AH343" s="5"/>
      <c r="AN343" s="4"/>
      <c r="AO343" s="4"/>
      <c r="AP343" s="4"/>
      <c r="AQ343" s="4"/>
      <c r="AR343" s="4"/>
      <c r="AS343" s="4"/>
      <c r="AT343" s="4"/>
    </row>
    <row r="344" spans="12:46">
      <c r="L344" s="5"/>
      <c r="M344" s="5"/>
      <c r="W344" s="5"/>
      <c r="Z344" s="5"/>
      <c r="AA344" s="5"/>
      <c r="AD344" s="5"/>
      <c r="AG344" s="5"/>
      <c r="AH344" s="5"/>
      <c r="AN344" s="4"/>
      <c r="AO344" s="4"/>
      <c r="AP344" s="4"/>
      <c r="AQ344" s="4"/>
      <c r="AR344" s="4"/>
      <c r="AS344" s="4"/>
      <c r="AT344" s="4"/>
    </row>
    <row r="345" spans="12:46">
      <c r="L345" s="5"/>
      <c r="M345" s="5"/>
      <c r="W345" s="5"/>
      <c r="Z345" s="5"/>
      <c r="AA345" s="5"/>
      <c r="AD345" s="5"/>
      <c r="AG345" s="5"/>
      <c r="AH345" s="5"/>
      <c r="AN345" s="4"/>
      <c r="AO345" s="4"/>
      <c r="AP345" s="4"/>
      <c r="AQ345" s="4"/>
      <c r="AR345" s="4"/>
      <c r="AS345" s="4"/>
      <c r="AT345" s="4"/>
    </row>
    <row r="346" spans="12:46">
      <c r="L346" s="5"/>
      <c r="M346" s="5"/>
      <c r="W346" s="5"/>
      <c r="Z346" s="5"/>
      <c r="AA346" s="5"/>
      <c r="AD346" s="5"/>
      <c r="AG346" s="5"/>
      <c r="AH346" s="5"/>
      <c r="AN346" s="4"/>
      <c r="AO346" s="4"/>
      <c r="AP346" s="4"/>
      <c r="AQ346" s="4"/>
      <c r="AR346" s="4"/>
      <c r="AS346" s="4"/>
      <c r="AT346" s="4"/>
    </row>
    <row r="347" spans="12:46">
      <c r="L347" s="5"/>
      <c r="M347" s="5"/>
      <c r="W347" s="5"/>
      <c r="Z347" s="5"/>
      <c r="AA347" s="5"/>
      <c r="AD347" s="5"/>
      <c r="AG347" s="5"/>
      <c r="AH347" s="5"/>
      <c r="AN347" s="4"/>
      <c r="AO347" s="4"/>
      <c r="AP347" s="4"/>
      <c r="AQ347" s="4"/>
      <c r="AR347" s="4"/>
      <c r="AS347" s="4"/>
      <c r="AT347" s="4"/>
    </row>
    <row r="348" spans="12:46">
      <c r="L348" s="5"/>
      <c r="M348" s="5"/>
      <c r="W348" s="5"/>
      <c r="Z348" s="5"/>
      <c r="AA348" s="5"/>
      <c r="AD348" s="5"/>
      <c r="AG348" s="5"/>
      <c r="AH348" s="5"/>
      <c r="AN348" s="4"/>
      <c r="AO348" s="4"/>
      <c r="AP348" s="4"/>
      <c r="AQ348" s="4"/>
      <c r="AR348" s="4"/>
      <c r="AS348" s="4"/>
      <c r="AT348" s="4"/>
    </row>
    <row r="349" spans="12:46">
      <c r="L349" s="5"/>
      <c r="M349" s="5"/>
      <c r="W349" s="5"/>
      <c r="Z349" s="5"/>
      <c r="AA349" s="5"/>
      <c r="AD349" s="5"/>
      <c r="AG349" s="5"/>
      <c r="AH349" s="5"/>
      <c r="AN349" s="4"/>
      <c r="AO349" s="4"/>
      <c r="AP349" s="4"/>
      <c r="AQ349" s="4"/>
      <c r="AR349" s="4"/>
      <c r="AS349" s="4"/>
      <c r="AT349" s="4"/>
    </row>
    <row r="350" spans="12:46">
      <c r="L350" s="5"/>
      <c r="M350" s="5"/>
      <c r="W350" s="5"/>
      <c r="Z350" s="5"/>
      <c r="AA350" s="5"/>
      <c r="AD350" s="5"/>
      <c r="AG350" s="5"/>
      <c r="AH350" s="5"/>
      <c r="AN350" s="4"/>
      <c r="AO350" s="4"/>
      <c r="AP350" s="4"/>
      <c r="AQ350" s="4"/>
      <c r="AR350" s="4"/>
      <c r="AS350" s="4"/>
      <c r="AT350" s="4"/>
    </row>
    <row r="351" spans="12:46">
      <c r="L351" s="5"/>
      <c r="M351" s="5"/>
      <c r="W351" s="5"/>
      <c r="Z351" s="5"/>
      <c r="AA351" s="5"/>
      <c r="AD351" s="5"/>
      <c r="AG351" s="5"/>
      <c r="AH351" s="5"/>
      <c r="AN351" s="4"/>
      <c r="AO351" s="4"/>
      <c r="AP351" s="4"/>
      <c r="AQ351" s="4"/>
      <c r="AR351" s="4"/>
      <c r="AS351" s="4"/>
      <c r="AT351" s="4"/>
    </row>
    <row r="352" spans="12:46">
      <c r="L352" s="5"/>
      <c r="M352" s="5"/>
      <c r="W352" s="5"/>
      <c r="Z352" s="5"/>
      <c r="AA352" s="5"/>
      <c r="AD352" s="5"/>
      <c r="AG352" s="5"/>
      <c r="AH352" s="5"/>
      <c r="AN352" s="4"/>
      <c r="AO352" s="4"/>
      <c r="AP352" s="4"/>
      <c r="AQ352" s="4"/>
      <c r="AR352" s="4"/>
      <c r="AS352" s="4"/>
      <c r="AT352" s="4"/>
    </row>
    <row r="353" spans="12:46">
      <c r="L353" s="5"/>
      <c r="M353" s="5"/>
      <c r="W353" s="5"/>
      <c r="Z353" s="5"/>
      <c r="AA353" s="5"/>
      <c r="AD353" s="5"/>
      <c r="AG353" s="5"/>
      <c r="AH353" s="5"/>
      <c r="AN353" s="4"/>
      <c r="AO353" s="4"/>
      <c r="AP353" s="4"/>
      <c r="AQ353" s="4"/>
      <c r="AR353" s="4"/>
      <c r="AS353" s="4"/>
      <c r="AT353" s="4"/>
    </row>
    <row r="354" spans="12:46">
      <c r="L354" s="5"/>
      <c r="M354" s="5"/>
      <c r="W354" s="5"/>
      <c r="Z354" s="5"/>
      <c r="AA354" s="5"/>
      <c r="AD354" s="5"/>
      <c r="AG354" s="5"/>
      <c r="AH354" s="5"/>
      <c r="AN354" s="4"/>
      <c r="AO354" s="4"/>
      <c r="AP354" s="4"/>
      <c r="AQ354" s="4"/>
      <c r="AR354" s="4"/>
      <c r="AS354" s="4"/>
      <c r="AT354" s="4"/>
    </row>
    <row r="355" spans="12:46">
      <c r="L355" s="5"/>
      <c r="M355" s="5"/>
      <c r="W355" s="5"/>
      <c r="Z355" s="5"/>
      <c r="AA355" s="5"/>
      <c r="AD355" s="5"/>
      <c r="AG355" s="5"/>
      <c r="AH355" s="5"/>
      <c r="AN355" s="4"/>
      <c r="AO355" s="4"/>
      <c r="AP355" s="4"/>
      <c r="AQ355" s="4"/>
      <c r="AR355" s="4"/>
      <c r="AS355" s="4"/>
      <c r="AT355" s="4"/>
    </row>
    <row r="356" spans="12:46">
      <c r="L356" s="5"/>
      <c r="M356" s="5"/>
      <c r="W356" s="5"/>
      <c r="Z356" s="5"/>
      <c r="AA356" s="5"/>
      <c r="AD356" s="5"/>
      <c r="AG356" s="5"/>
      <c r="AH356" s="5"/>
      <c r="AN356" s="4"/>
      <c r="AO356" s="4"/>
      <c r="AP356" s="4"/>
      <c r="AQ356" s="4"/>
      <c r="AR356" s="4"/>
      <c r="AS356" s="4"/>
      <c r="AT356" s="4"/>
    </row>
    <row r="357" spans="12:46">
      <c r="L357" s="5"/>
      <c r="M357" s="5"/>
      <c r="W357" s="5"/>
      <c r="Z357" s="5"/>
      <c r="AA357" s="5"/>
      <c r="AD357" s="5"/>
      <c r="AG357" s="5"/>
      <c r="AH357" s="5"/>
      <c r="AN357" s="4"/>
      <c r="AO357" s="4"/>
      <c r="AP357" s="4"/>
      <c r="AQ357" s="4"/>
      <c r="AR357" s="4"/>
      <c r="AS357" s="4"/>
      <c r="AT357" s="4"/>
    </row>
    <row r="358" spans="12:46">
      <c r="L358" s="5"/>
      <c r="M358" s="5"/>
      <c r="W358" s="5"/>
      <c r="Z358" s="5"/>
      <c r="AA358" s="5"/>
      <c r="AD358" s="5"/>
      <c r="AG358" s="5"/>
      <c r="AH358" s="5"/>
      <c r="AN358" s="4"/>
      <c r="AO358" s="4"/>
      <c r="AP358" s="4"/>
      <c r="AQ358" s="4"/>
      <c r="AR358" s="4"/>
      <c r="AS358" s="4"/>
      <c r="AT358" s="4"/>
    </row>
    <row r="359" spans="12:46">
      <c r="L359" s="5"/>
      <c r="M359" s="5"/>
      <c r="W359" s="5"/>
      <c r="Z359" s="5"/>
      <c r="AA359" s="5"/>
      <c r="AD359" s="5"/>
      <c r="AG359" s="5"/>
      <c r="AH359" s="5"/>
      <c r="AN359" s="4"/>
      <c r="AO359" s="4"/>
      <c r="AP359" s="4"/>
      <c r="AQ359" s="4"/>
      <c r="AR359" s="4"/>
      <c r="AS359" s="4"/>
      <c r="AT359" s="4"/>
    </row>
    <row r="360" spans="12:46">
      <c r="L360" s="5"/>
      <c r="M360" s="5"/>
      <c r="W360" s="5"/>
      <c r="Z360" s="5"/>
      <c r="AA360" s="5"/>
      <c r="AD360" s="5"/>
      <c r="AG360" s="5"/>
      <c r="AH360" s="5"/>
      <c r="AN360" s="4"/>
      <c r="AO360" s="4"/>
      <c r="AP360" s="4"/>
      <c r="AQ360" s="4"/>
      <c r="AR360" s="4"/>
      <c r="AS360" s="4"/>
      <c r="AT360" s="4"/>
    </row>
    <row r="361" spans="12:46">
      <c r="L361" s="5"/>
      <c r="M361" s="5"/>
      <c r="W361" s="5"/>
      <c r="Z361" s="5"/>
      <c r="AA361" s="5"/>
      <c r="AD361" s="5"/>
      <c r="AG361" s="5"/>
      <c r="AH361" s="5"/>
      <c r="AN361" s="4"/>
      <c r="AO361" s="4"/>
      <c r="AP361" s="4"/>
      <c r="AQ361" s="4"/>
      <c r="AR361" s="4"/>
      <c r="AS361" s="4"/>
      <c r="AT361" s="4"/>
    </row>
    <row r="362" spans="12:46">
      <c r="L362" s="5"/>
      <c r="M362" s="5"/>
      <c r="W362" s="5"/>
      <c r="Z362" s="5"/>
      <c r="AA362" s="5"/>
      <c r="AD362" s="5"/>
      <c r="AG362" s="5"/>
      <c r="AH362" s="5"/>
      <c r="AN362" s="4"/>
      <c r="AO362" s="4"/>
      <c r="AP362" s="4"/>
      <c r="AQ362" s="4"/>
      <c r="AR362" s="4"/>
      <c r="AS362" s="4"/>
      <c r="AT362" s="4"/>
    </row>
    <row r="363" spans="12:46">
      <c r="L363" s="5"/>
      <c r="M363" s="5"/>
      <c r="W363" s="5"/>
      <c r="Z363" s="5"/>
      <c r="AA363" s="5"/>
      <c r="AD363" s="5"/>
      <c r="AG363" s="5"/>
      <c r="AH363" s="5"/>
      <c r="AN363" s="4"/>
      <c r="AO363" s="4"/>
      <c r="AP363" s="4"/>
      <c r="AQ363" s="4"/>
      <c r="AR363" s="4"/>
      <c r="AS363" s="4"/>
      <c r="AT363" s="4"/>
    </row>
    <row r="364" spans="12:46">
      <c r="L364" s="5"/>
      <c r="M364" s="5"/>
      <c r="W364" s="5"/>
      <c r="Z364" s="5"/>
      <c r="AA364" s="5"/>
      <c r="AD364" s="5"/>
      <c r="AG364" s="5"/>
      <c r="AH364" s="5"/>
      <c r="AN364" s="4"/>
      <c r="AO364" s="4"/>
      <c r="AP364" s="4"/>
      <c r="AQ364" s="4"/>
      <c r="AR364" s="4"/>
      <c r="AS364" s="4"/>
      <c r="AT364" s="4"/>
    </row>
    <row r="365" spans="12:46">
      <c r="L365" s="5"/>
      <c r="M365" s="5"/>
      <c r="W365" s="5"/>
      <c r="Z365" s="5"/>
      <c r="AA365" s="5"/>
      <c r="AD365" s="5"/>
      <c r="AG365" s="5"/>
      <c r="AH365" s="5"/>
      <c r="AN365" s="4"/>
      <c r="AO365" s="4"/>
      <c r="AP365" s="4"/>
      <c r="AQ365" s="4"/>
      <c r="AR365" s="4"/>
      <c r="AS365" s="4"/>
      <c r="AT365" s="4"/>
    </row>
    <row r="366" spans="12:46">
      <c r="L366" s="5"/>
      <c r="M366" s="5"/>
      <c r="W366" s="5"/>
      <c r="Z366" s="5"/>
      <c r="AA366" s="5"/>
      <c r="AD366" s="5"/>
      <c r="AG366" s="5"/>
      <c r="AH366" s="5"/>
      <c r="AN366" s="4"/>
      <c r="AO366" s="4"/>
      <c r="AP366" s="4"/>
      <c r="AQ366" s="4"/>
      <c r="AR366" s="4"/>
      <c r="AS366" s="4"/>
      <c r="AT366" s="4"/>
    </row>
    <row r="367" spans="12:46">
      <c r="L367" s="5"/>
      <c r="M367" s="5"/>
      <c r="W367" s="5"/>
      <c r="Z367" s="5"/>
      <c r="AA367" s="5"/>
      <c r="AD367" s="5"/>
      <c r="AG367" s="5"/>
      <c r="AH367" s="5"/>
      <c r="AN367" s="4"/>
      <c r="AO367" s="4"/>
      <c r="AP367" s="4"/>
      <c r="AQ367" s="4"/>
      <c r="AR367" s="4"/>
      <c r="AS367" s="4"/>
      <c r="AT367" s="4"/>
    </row>
    <row r="368" spans="12:46">
      <c r="L368" s="5"/>
      <c r="M368" s="5"/>
      <c r="W368" s="5"/>
      <c r="Z368" s="5"/>
      <c r="AA368" s="5"/>
      <c r="AD368" s="5"/>
      <c r="AG368" s="5"/>
      <c r="AH368" s="5"/>
      <c r="AN368" s="4"/>
      <c r="AO368" s="4"/>
      <c r="AP368" s="4"/>
      <c r="AQ368" s="4"/>
      <c r="AR368" s="4"/>
      <c r="AS368" s="4"/>
      <c r="AT368" s="4"/>
    </row>
    <row r="369" spans="12:46">
      <c r="L369" s="5"/>
      <c r="M369" s="5"/>
      <c r="W369" s="5"/>
      <c r="Z369" s="5"/>
      <c r="AA369" s="5"/>
      <c r="AD369" s="5"/>
      <c r="AG369" s="5"/>
      <c r="AH369" s="5"/>
      <c r="AN369" s="4"/>
      <c r="AO369" s="4"/>
      <c r="AP369" s="4"/>
      <c r="AQ369" s="4"/>
      <c r="AR369" s="4"/>
      <c r="AS369" s="4"/>
      <c r="AT369" s="4"/>
    </row>
    <row r="370" spans="12:46">
      <c r="L370" s="5"/>
      <c r="M370" s="5"/>
      <c r="W370" s="5"/>
      <c r="Z370" s="5"/>
      <c r="AA370" s="5"/>
      <c r="AD370" s="5"/>
      <c r="AG370" s="5"/>
      <c r="AH370" s="5"/>
      <c r="AN370" s="4"/>
      <c r="AO370" s="4"/>
      <c r="AP370" s="4"/>
      <c r="AQ370" s="4"/>
      <c r="AR370" s="4"/>
      <c r="AS370" s="4"/>
      <c r="AT370" s="4"/>
    </row>
    <row r="371" spans="12:46">
      <c r="L371" s="5"/>
      <c r="M371" s="5"/>
      <c r="W371" s="5"/>
      <c r="Z371" s="5"/>
      <c r="AA371" s="5"/>
      <c r="AD371" s="5"/>
      <c r="AG371" s="5"/>
      <c r="AH371" s="5"/>
      <c r="AN371" s="4"/>
      <c r="AO371" s="4"/>
      <c r="AP371" s="4"/>
      <c r="AQ371" s="4"/>
      <c r="AR371" s="4"/>
      <c r="AS371" s="4"/>
      <c r="AT371" s="4"/>
    </row>
    <row r="372" spans="12:46">
      <c r="L372" s="5"/>
      <c r="M372" s="5"/>
      <c r="W372" s="5"/>
      <c r="Z372" s="5"/>
      <c r="AA372" s="5"/>
      <c r="AD372" s="5"/>
      <c r="AG372" s="5"/>
      <c r="AH372" s="5"/>
      <c r="AN372" s="4"/>
      <c r="AO372" s="4"/>
      <c r="AP372" s="4"/>
      <c r="AQ372" s="4"/>
      <c r="AR372" s="4"/>
      <c r="AS372" s="4"/>
      <c r="AT372" s="4"/>
    </row>
    <row r="373" spans="12:46">
      <c r="L373" s="5"/>
      <c r="M373" s="5"/>
      <c r="W373" s="5"/>
      <c r="Z373" s="5"/>
      <c r="AA373" s="5"/>
      <c r="AD373" s="5"/>
      <c r="AG373" s="5"/>
      <c r="AH373" s="5"/>
      <c r="AN373" s="4"/>
      <c r="AO373" s="4"/>
      <c r="AP373" s="4"/>
      <c r="AQ373" s="4"/>
      <c r="AR373" s="4"/>
      <c r="AS373" s="4"/>
      <c r="AT373" s="4"/>
    </row>
    <row r="374" spans="12:46">
      <c r="L374" s="5"/>
      <c r="M374" s="5"/>
      <c r="W374" s="5"/>
      <c r="Z374" s="5"/>
      <c r="AA374" s="5"/>
      <c r="AD374" s="5"/>
      <c r="AG374" s="5"/>
      <c r="AH374" s="5"/>
      <c r="AN374" s="4"/>
      <c r="AO374" s="4"/>
      <c r="AP374" s="4"/>
      <c r="AQ374" s="4"/>
      <c r="AR374" s="4"/>
      <c r="AS374" s="4"/>
      <c r="AT374" s="4"/>
    </row>
    <row r="375" spans="12:46">
      <c r="L375" s="5"/>
      <c r="M375" s="5"/>
      <c r="W375" s="5"/>
      <c r="Z375" s="5"/>
      <c r="AA375" s="5"/>
      <c r="AD375" s="5"/>
      <c r="AG375" s="5"/>
      <c r="AH375" s="5"/>
      <c r="AN375" s="4"/>
      <c r="AO375" s="4"/>
      <c r="AP375" s="4"/>
      <c r="AQ375" s="4"/>
      <c r="AR375" s="4"/>
      <c r="AS375" s="4"/>
      <c r="AT375" s="4"/>
    </row>
    <row r="376" spans="12:46">
      <c r="L376" s="5"/>
      <c r="M376" s="5"/>
      <c r="W376" s="5"/>
      <c r="Z376" s="5"/>
      <c r="AA376" s="5"/>
      <c r="AD376" s="5"/>
      <c r="AG376" s="5"/>
      <c r="AH376" s="5"/>
      <c r="AN376" s="4"/>
      <c r="AO376" s="4"/>
      <c r="AP376" s="4"/>
      <c r="AQ376" s="4"/>
      <c r="AR376" s="4"/>
      <c r="AS376" s="4"/>
      <c r="AT376" s="4"/>
    </row>
    <row r="377" spans="12:46">
      <c r="L377" s="5"/>
      <c r="M377" s="5"/>
      <c r="W377" s="5"/>
      <c r="Z377" s="5"/>
      <c r="AA377" s="5"/>
      <c r="AD377" s="5"/>
      <c r="AG377" s="5"/>
      <c r="AH377" s="5"/>
      <c r="AN377" s="4"/>
      <c r="AO377" s="4"/>
      <c r="AP377" s="4"/>
      <c r="AQ377" s="4"/>
      <c r="AR377" s="4"/>
      <c r="AS377" s="4"/>
      <c r="AT377" s="4"/>
    </row>
    <row r="378" spans="12:46">
      <c r="L378" s="5"/>
      <c r="M378" s="5"/>
      <c r="W378" s="5"/>
      <c r="Z378" s="5"/>
      <c r="AA378" s="5"/>
      <c r="AD378" s="5"/>
      <c r="AG378" s="5"/>
      <c r="AH378" s="5"/>
      <c r="AN378" s="4"/>
      <c r="AO378" s="4"/>
      <c r="AP378" s="4"/>
      <c r="AQ378" s="4"/>
      <c r="AR378" s="4"/>
      <c r="AS378" s="4"/>
      <c r="AT378" s="4"/>
    </row>
    <row r="379" spans="12:46">
      <c r="L379" s="5"/>
      <c r="M379" s="5"/>
      <c r="W379" s="5"/>
      <c r="Z379" s="5"/>
      <c r="AA379" s="5"/>
      <c r="AD379" s="5"/>
      <c r="AG379" s="5"/>
      <c r="AH379" s="5"/>
      <c r="AN379" s="4"/>
      <c r="AO379" s="4"/>
      <c r="AP379" s="4"/>
      <c r="AQ379" s="4"/>
      <c r="AR379" s="4"/>
      <c r="AS379" s="4"/>
      <c r="AT379" s="4"/>
    </row>
    <row r="380" spans="12:46">
      <c r="L380" s="5"/>
      <c r="M380" s="5"/>
      <c r="W380" s="5"/>
      <c r="Z380" s="5"/>
      <c r="AA380" s="5"/>
      <c r="AD380" s="5"/>
      <c r="AG380" s="5"/>
      <c r="AH380" s="5"/>
      <c r="AN380" s="4"/>
      <c r="AO380" s="4"/>
      <c r="AP380" s="4"/>
      <c r="AQ380" s="4"/>
      <c r="AR380" s="4"/>
      <c r="AS380" s="4"/>
      <c r="AT380" s="4"/>
    </row>
    <row r="381" spans="12:46">
      <c r="L381" s="5"/>
      <c r="M381" s="5"/>
      <c r="W381" s="5"/>
      <c r="Z381" s="5"/>
      <c r="AA381" s="5"/>
      <c r="AD381" s="5"/>
      <c r="AG381" s="5"/>
      <c r="AH381" s="5"/>
      <c r="AN381" s="4"/>
      <c r="AO381" s="4"/>
      <c r="AP381" s="4"/>
      <c r="AQ381" s="4"/>
      <c r="AR381" s="4"/>
      <c r="AS381" s="4"/>
      <c r="AT381" s="4"/>
    </row>
    <row r="382" spans="12:46">
      <c r="L382" s="5"/>
      <c r="M382" s="5"/>
      <c r="W382" s="5"/>
      <c r="Z382" s="5"/>
      <c r="AA382" s="5"/>
      <c r="AD382" s="5"/>
      <c r="AG382" s="5"/>
      <c r="AH382" s="5"/>
      <c r="AN382" s="4"/>
      <c r="AO382" s="4"/>
      <c r="AP382" s="4"/>
      <c r="AQ382" s="4"/>
      <c r="AR382" s="4"/>
      <c r="AS382" s="4"/>
      <c r="AT382" s="4"/>
    </row>
    <row r="383" spans="12:46">
      <c r="L383" s="5"/>
      <c r="M383" s="5"/>
      <c r="W383" s="5"/>
      <c r="Z383" s="5"/>
      <c r="AA383" s="5"/>
      <c r="AD383" s="5"/>
      <c r="AG383" s="5"/>
      <c r="AH383" s="5"/>
      <c r="AN383" s="4"/>
      <c r="AO383" s="4"/>
      <c r="AP383" s="4"/>
      <c r="AQ383" s="4"/>
      <c r="AR383" s="4"/>
      <c r="AS383" s="4"/>
      <c r="AT383" s="4"/>
    </row>
    <row r="384" spans="12:46">
      <c r="L384" s="5"/>
      <c r="M384" s="5"/>
      <c r="W384" s="5"/>
      <c r="Z384" s="5"/>
      <c r="AA384" s="5"/>
      <c r="AD384" s="5"/>
      <c r="AG384" s="5"/>
      <c r="AH384" s="5"/>
      <c r="AN384" s="4"/>
      <c r="AO384" s="4"/>
      <c r="AP384" s="4"/>
      <c r="AQ384" s="4"/>
      <c r="AR384" s="4"/>
      <c r="AS384" s="4"/>
      <c r="AT384" s="4"/>
    </row>
    <row r="385" spans="12:46">
      <c r="L385" s="5"/>
      <c r="M385" s="5"/>
      <c r="W385" s="5"/>
      <c r="Z385" s="5"/>
      <c r="AA385" s="5"/>
      <c r="AD385" s="5"/>
      <c r="AG385" s="5"/>
      <c r="AH385" s="5"/>
      <c r="AN385" s="4"/>
      <c r="AO385" s="4"/>
      <c r="AP385" s="4"/>
      <c r="AQ385" s="4"/>
      <c r="AR385" s="4"/>
      <c r="AS385" s="4"/>
      <c r="AT385" s="4"/>
    </row>
    <row r="386" spans="12:46">
      <c r="L386" s="5"/>
      <c r="M386" s="5"/>
      <c r="W386" s="5"/>
      <c r="Z386" s="5"/>
      <c r="AA386" s="5"/>
      <c r="AD386" s="5"/>
      <c r="AG386" s="5"/>
      <c r="AH386" s="5"/>
      <c r="AN386" s="4"/>
      <c r="AO386" s="4"/>
      <c r="AP386" s="4"/>
      <c r="AQ386" s="4"/>
      <c r="AR386" s="4"/>
      <c r="AS386" s="4"/>
      <c r="AT386" s="4"/>
    </row>
    <row r="387" spans="12:46">
      <c r="L387" s="5"/>
      <c r="M387" s="5"/>
      <c r="W387" s="5"/>
      <c r="Z387" s="5"/>
      <c r="AA387" s="5"/>
      <c r="AD387" s="5"/>
      <c r="AG387" s="5"/>
      <c r="AH387" s="5"/>
      <c r="AN387" s="4"/>
      <c r="AO387" s="4"/>
      <c r="AP387" s="4"/>
      <c r="AQ387" s="4"/>
      <c r="AR387" s="4"/>
      <c r="AS387" s="4"/>
      <c r="AT387" s="4"/>
    </row>
    <row r="388" spans="12:46">
      <c r="L388" s="5"/>
      <c r="M388" s="5"/>
      <c r="W388" s="5"/>
      <c r="Z388" s="5"/>
      <c r="AA388" s="5"/>
      <c r="AD388" s="5"/>
      <c r="AG388" s="5"/>
      <c r="AH388" s="5"/>
      <c r="AN388" s="4"/>
      <c r="AO388" s="4"/>
      <c r="AP388" s="4"/>
      <c r="AQ388" s="4"/>
      <c r="AR388" s="4"/>
      <c r="AS388" s="4"/>
      <c r="AT388" s="4"/>
    </row>
    <row r="389" spans="12:46">
      <c r="L389" s="5"/>
      <c r="M389" s="5"/>
      <c r="W389" s="5"/>
      <c r="Z389" s="5"/>
      <c r="AA389" s="5"/>
      <c r="AD389" s="5"/>
      <c r="AG389" s="5"/>
      <c r="AH389" s="5"/>
      <c r="AN389" s="4"/>
      <c r="AO389" s="4"/>
      <c r="AP389" s="4"/>
      <c r="AQ389" s="4"/>
      <c r="AR389" s="4"/>
      <c r="AS389" s="4"/>
      <c r="AT389" s="4"/>
    </row>
    <row r="390" spans="12:46">
      <c r="L390" s="5"/>
      <c r="M390" s="5"/>
      <c r="W390" s="5"/>
      <c r="Z390" s="5"/>
      <c r="AA390" s="5"/>
      <c r="AD390" s="5"/>
      <c r="AG390" s="5"/>
      <c r="AH390" s="5"/>
      <c r="AN390" s="4"/>
      <c r="AO390" s="4"/>
      <c r="AP390" s="4"/>
      <c r="AQ390" s="4"/>
      <c r="AR390" s="4"/>
      <c r="AS390" s="4"/>
      <c r="AT390" s="4"/>
    </row>
    <row r="391" spans="12:46">
      <c r="L391" s="5"/>
      <c r="M391" s="5"/>
      <c r="W391" s="5"/>
      <c r="Z391" s="5"/>
      <c r="AA391" s="5"/>
      <c r="AD391" s="5"/>
      <c r="AG391" s="5"/>
      <c r="AH391" s="5"/>
      <c r="AN391" s="4"/>
      <c r="AO391" s="4"/>
      <c r="AP391" s="4"/>
      <c r="AQ391" s="4"/>
      <c r="AR391" s="4"/>
      <c r="AS391" s="4"/>
      <c r="AT391" s="4"/>
    </row>
    <row r="392" spans="12:46">
      <c r="L392" s="5"/>
      <c r="M392" s="5"/>
      <c r="W392" s="5"/>
      <c r="Z392" s="5"/>
      <c r="AA392" s="5"/>
      <c r="AD392" s="5"/>
      <c r="AG392" s="5"/>
      <c r="AH392" s="5"/>
      <c r="AN392" s="4"/>
      <c r="AO392" s="4"/>
      <c r="AP392" s="4"/>
      <c r="AQ392" s="4"/>
      <c r="AR392" s="4"/>
      <c r="AS392" s="4"/>
      <c r="AT392" s="4"/>
    </row>
    <row r="393" spans="12:46">
      <c r="L393" s="5"/>
      <c r="M393" s="5"/>
      <c r="W393" s="5"/>
      <c r="Z393" s="5"/>
      <c r="AA393" s="5"/>
      <c r="AD393" s="5"/>
      <c r="AG393" s="5"/>
      <c r="AH393" s="5"/>
      <c r="AN393" s="4"/>
      <c r="AO393" s="4"/>
      <c r="AP393" s="4"/>
      <c r="AQ393" s="4"/>
      <c r="AR393" s="4"/>
      <c r="AS393" s="4"/>
      <c r="AT393" s="4"/>
    </row>
    <row r="394" spans="12:46">
      <c r="L394" s="5"/>
      <c r="M394" s="5"/>
      <c r="W394" s="5"/>
      <c r="Z394" s="5"/>
      <c r="AA394" s="5"/>
      <c r="AD394" s="5"/>
      <c r="AG394" s="5"/>
      <c r="AH394" s="5"/>
      <c r="AN394" s="4"/>
      <c r="AO394" s="4"/>
      <c r="AP394" s="4"/>
      <c r="AQ394" s="4"/>
      <c r="AR394" s="4"/>
      <c r="AS394" s="4"/>
      <c r="AT394" s="4"/>
    </row>
    <row r="395" spans="12:46">
      <c r="L395" s="5"/>
      <c r="M395" s="5"/>
      <c r="W395" s="5"/>
      <c r="Z395" s="5"/>
      <c r="AA395" s="5"/>
      <c r="AD395" s="5"/>
      <c r="AG395" s="5"/>
      <c r="AH395" s="5"/>
      <c r="AN395" s="4"/>
      <c r="AO395" s="4"/>
      <c r="AP395" s="4"/>
      <c r="AQ395" s="4"/>
      <c r="AR395" s="4"/>
      <c r="AS395" s="4"/>
      <c r="AT395" s="4"/>
    </row>
    <row r="396" spans="12:46">
      <c r="L396" s="5"/>
      <c r="M396" s="5"/>
      <c r="W396" s="5"/>
      <c r="Z396" s="5"/>
      <c r="AA396" s="5"/>
      <c r="AD396" s="5"/>
      <c r="AG396" s="5"/>
      <c r="AH396" s="5"/>
      <c r="AN396" s="4"/>
      <c r="AO396" s="4"/>
      <c r="AP396" s="4"/>
      <c r="AQ396" s="4"/>
      <c r="AR396" s="4"/>
      <c r="AS396" s="4"/>
      <c r="AT396" s="4"/>
    </row>
    <row r="397" spans="12:46">
      <c r="L397" s="5"/>
      <c r="M397" s="5"/>
      <c r="W397" s="5"/>
      <c r="Z397" s="5"/>
      <c r="AA397" s="5"/>
      <c r="AD397" s="5"/>
      <c r="AG397" s="5"/>
      <c r="AH397" s="5"/>
      <c r="AN397" s="4"/>
      <c r="AO397" s="4"/>
      <c r="AP397" s="4"/>
      <c r="AQ397" s="4"/>
      <c r="AR397" s="4"/>
      <c r="AS397" s="4"/>
      <c r="AT397" s="4"/>
    </row>
    <row r="398" spans="12:46">
      <c r="L398" s="5"/>
      <c r="M398" s="5"/>
      <c r="W398" s="5"/>
      <c r="Z398" s="5"/>
      <c r="AA398" s="5"/>
      <c r="AD398" s="5"/>
      <c r="AG398" s="5"/>
      <c r="AH398" s="5"/>
      <c r="AN398" s="4"/>
      <c r="AO398" s="4"/>
      <c r="AP398" s="4"/>
      <c r="AQ398" s="4"/>
      <c r="AR398" s="4"/>
      <c r="AS398" s="4"/>
      <c r="AT398" s="4"/>
    </row>
    <row r="399" spans="12:46">
      <c r="L399" s="5"/>
      <c r="M399" s="5"/>
      <c r="W399" s="5"/>
      <c r="Z399" s="5"/>
      <c r="AA399" s="5"/>
      <c r="AD399" s="5"/>
      <c r="AG399" s="5"/>
      <c r="AH399" s="5"/>
      <c r="AN399" s="4"/>
      <c r="AO399" s="4"/>
      <c r="AP399" s="4"/>
      <c r="AQ399" s="4"/>
      <c r="AR399" s="4"/>
      <c r="AS399" s="4"/>
      <c r="AT399" s="4"/>
    </row>
    <row r="400" spans="12:46">
      <c r="L400" s="5"/>
      <c r="M400" s="5"/>
      <c r="W400" s="5"/>
      <c r="Z400" s="5"/>
      <c r="AA400" s="5"/>
      <c r="AD400" s="5"/>
      <c r="AG400" s="5"/>
      <c r="AH400" s="5"/>
      <c r="AN400" s="4"/>
      <c r="AO400" s="4"/>
      <c r="AP400" s="4"/>
      <c r="AQ400" s="4"/>
      <c r="AR400" s="4"/>
      <c r="AS400" s="4"/>
      <c r="AT400" s="4"/>
    </row>
    <row r="401" spans="12:46">
      <c r="L401" s="5"/>
      <c r="M401" s="5"/>
      <c r="W401" s="5"/>
      <c r="Z401" s="5"/>
      <c r="AA401" s="5"/>
      <c r="AD401" s="5"/>
      <c r="AG401" s="5"/>
      <c r="AH401" s="5"/>
      <c r="AN401" s="4"/>
      <c r="AO401" s="4"/>
      <c r="AP401" s="4"/>
      <c r="AQ401" s="4"/>
      <c r="AR401" s="4"/>
      <c r="AS401" s="4"/>
      <c r="AT401" s="4"/>
    </row>
    <row r="402" spans="12:46">
      <c r="L402" s="5"/>
      <c r="M402" s="5"/>
      <c r="W402" s="5"/>
      <c r="Z402" s="5"/>
      <c r="AA402" s="5"/>
      <c r="AD402" s="5"/>
      <c r="AG402" s="5"/>
      <c r="AH402" s="5"/>
      <c r="AN402" s="4"/>
      <c r="AO402" s="4"/>
      <c r="AP402" s="4"/>
      <c r="AQ402" s="4"/>
      <c r="AR402" s="4"/>
      <c r="AS402" s="4"/>
      <c r="AT402" s="4"/>
    </row>
    <row r="403" spans="12:46">
      <c r="L403" s="5"/>
      <c r="M403" s="5"/>
      <c r="W403" s="5"/>
      <c r="Z403" s="5"/>
      <c r="AA403" s="5"/>
      <c r="AD403" s="5"/>
      <c r="AG403" s="5"/>
      <c r="AH403" s="5"/>
      <c r="AN403" s="4"/>
      <c r="AO403" s="4"/>
      <c r="AP403" s="4"/>
      <c r="AQ403" s="4"/>
      <c r="AR403" s="4"/>
      <c r="AS403" s="4"/>
      <c r="AT403" s="4"/>
    </row>
    <row r="404" spans="12:46">
      <c r="L404" s="5"/>
      <c r="M404" s="5"/>
      <c r="W404" s="5"/>
      <c r="Z404" s="5"/>
      <c r="AA404" s="5"/>
      <c r="AD404" s="5"/>
      <c r="AG404" s="5"/>
      <c r="AH404" s="5"/>
      <c r="AN404" s="4"/>
      <c r="AO404" s="4"/>
      <c r="AP404" s="4"/>
      <c r="AQ404" s="4"/>
      <c r="AR404" s="4"/>
      <c r="AS404" s="4"/>
      <c r="AT404" s="4"/>
    </row>
    <row r="405" spans="12:46">
      <c r="L405" s="5"/>
      <c r="M405" s="5"/>
      <c r="W405" s="5"/>
      <c r="Z405" s="5"/>
      <c r="AA405" s="5"/>
      <c r="AD405" s="5"/>
      <c r="AG405" s="5"/>
      <c r="AH405" s="5"/>
      <c r="AN405" s="4"/>
      <c r="AO405" s="4"/>
      <c r="AP405" s="4"/>
      <c r="AQ405" s="4"/>
      <c r="AR405" s="4"/>
      <c r="AS405" s="4"/>
      <c r="AT405" s="4"/>
    </row>
    <row r="406" spans="12:46">
      <c r="L406" s="5"/>
      <c r="M406" s="5"/>
      <c r="W406" s="5"/>
      <c r="Z406" s="5"/>
      <c r="AA406" s="5"/>
      <c r="AD406" s="5"/>
      <c r="AG406" s="5"/>
      <c r="AH406" s="5"/>
      <c r="AN406" s="4"/>
      <c r="AO406" s="4"/>
      <c r="AP406" s="4"/>
      <c r="AQ406" s="4"/>
      <c r="AR406" s="4"/>
      <c r="AS406" s="4"/>
      <c r="AT406" s="4"/>
    </row>
    <row r="407" spans="12:46">
      <c r="L407" s="5"/>
      <c r="M407" s="5"/>
      <c r="W407" s="5"/>
      <c r="Z407" s="5"/>
      <c r="AA407" s="5"/>
      <c r="AD407" s="5"/>
      <c r="AG407" s="5"/>
      <c r="AH407" s="5"/>
      <c r="AN407" s="4"/>
      <c r="AO407" s="4"/>
      <c r="AP407" s="4"/>
      <c r="AQ407" s="4"/>
      <c r="AR407" s="4"/>
      <c r="AS407" s="4"/>
      <c r="AT407" s="4"/>
    </row>
    <row r="408" spans="12:46">
      <c r="L408" s="5"/>
      <c r="M408" s="5"/>
      <c r="W408" s="5"/>
      <c r="Z408" s="5"/>
      <c r="AA408" s="5"/>
      <c r="AD408" s="5"/>
      <c r="AG408" s="5"/>
      <c r="AH408" s="5"/>
      <c r="AN408" s="4"/>
      <c r="AO408" s="4"/>
      <c r="AP408" s="4"/>
      <c r="AQ408" s="4"/>
      <c r="AR408" s="4"/>
      <c r="AS408" s="4"/>
      <c r="AT408" s="4"/>
    </row>
    <row r="409" spans="12:46">
      <c r="L409" s="5"/>
      <c r="M409" s="5"/>
      <c r="W409" s="5"/>
      <c r="Z409" s="5"/>
      <c r="AA409" s="5"/>
      <c r="AD409" s="5"/>
      <c r="AG409" s="5"/>
      <c r="AH409" s="5"/>
      <c r="AN409" s="4"/>
      <c r="AO409" s="4"/>
      <c r="AP409" s="4"/>
      <c r="AQ409" s="4"/>
      <c r="AR409" s="4"/>
      <c r="AS409" s="4"/>
      <c r="AT409" s="4"/>
    </row>
    <row r="410" spans="12:46">
      <c r="L410" s="5"/>
      <c r="M410" s="5"/>
      <c r="W410" s="5"/>
      <c r="Z410" s="5"/>
      <c r="AA410" s="5"/>
      <c r="AD410" s="5"/>
      <c r="AG410" s="5"/>
      <c r="AH410" s="5"/>
      <c r="AN410" s="4"/>
      <c r="AO410" s="4"/>
      <c r="AP410" s="4"/>
      <c r="AQ410" s="4"/>
      <c r="AR410" s="4"/>
      <c r="AS410" s="4"/>
      <c r="AT410" s="4"/>
    </row>
    <row r="411" spans="12:46">
      <c r="L411" s="5"/>
      <c r="M411" s="5"/>
      <c r="W411" s="5"/>
      <c r="Z411" s="5"/>
      <c r="AA411" s="5"/>
      <c r="AD411" s="5"/>
      <c r="AG411" s="5"/>
      <c r="AH411" s="5"/>
      <c r="AN411" s="4"/>
      <c r="AO411" s="4"/>
      <c r="AP411" s="4"/>
      <c r="AQ411" s="4"/>
      <c r="AR411" s="4"/>
      <c r="AS411" s="4"/>
      <c r="AT411" s="4"/>
    </row>
    <row r="412" spans="12:46">
      <c r="L412" s="5"/>
      <c r="M412" s="5"/>
      <c r="W412" s="5"/>
      <c r="Z412" s="5"/>
      <c r="AA412" s="5"/>
      <c r="AD412" s="5"/>
      <c r="AG412" s="5"/>
      <c r="AH412" s="5"/>
      <c r="AN412" s="4"/>
      <c r="AO412" s="4"/>
      <c r="AP412" s="4"/>
      <c r="AQ412" s="4"/>
      <c r="AR412" s="4"/>
      <c r="AS412" s="4"/>
      <c r="AT412" s="4"/>
    </row>
    <row r="413" spans="12:46">
      <c r="L413" s="5"/>
      <c r="M413" s="5"/>
      <c r="W413" s="5"/>
      <c r="Z413" s="5"/>
      <c r="AA413" s="5"/>
      <c r="AD413" s="5"/>
      <c r="AG413" s="5"/>
      <c r="AH413" s="5"/>
      <c r="AN413" s="4"/>
      <c r="AO413" s="4"/>
      <c r="AP413" s="4"/>
      <c r="AQ413" s="4"/>
      <c r="AR413" s="4"/>
      <c r="AS413" s="4"/>
      <c r="AT413" s="4"/>
    </row>
    <row r="414" spans="12:46">
      <c r="L414" s="5"/>
      <c r="M414" s="5"/>
      <c r="W414" s="5"/>
      <c r="Z414" s="5"/>
      <c r="AA414" s="5"/>
      <c r="AD414" s="5"/>
      <c r="AG414" s="5"/>
      <c r="AH414" s="5"/>
      <c r="AN414" s="4"/>
      <c r="AO414" s="4"/>
      <c r="AP414" s="4"/>
      <c r="AQ414" s="4"/>
      <c r="AR414" s="4"/>
      <c r="AS414" s="4"/>
      <c r="AT414" s="4"/>
    </row>
    <row r="415" spans="12:46">
      <c r="L415" s="5"/>
      <c r="M415" s="5"/>
      <c r="W415" s="5"/>
      <c r="Z415" s="5"/>
      <c r="AA415" s="5"/>
      <c r="AD415" s="5"/>
      <c r="AG415" s="5"/>
      <c r="AH415" s="5"/>
      <c r="AN415" s="4"/>
      <c r="AO415" s="4"/>
      <c r="AP415" s="4"/>
      <c r="AQ415" s="4"/>
      <c r="AR415" s="4"/>
      <c r="AS415" s="4"/>
      <c r="AT415" s="4"/>
    </row>
    <row r="416" spans="12:46">
      <c r="L416" s="5"/>
      <c r="M416" s="5"/>
      <c r="W416" s="5"/>
      <c r="Z416" s="5"/>
      <c r="AA416" s="5"/>
      <c r="AD416" s="5"/>
      <c r="AG416" s="5"/>
      <c r="AH416" s="5"/>
      <c r="AN416" s="4"/>
      <c r="AO416" s="4"/>
      <c r="AP416" s="4"/>
      <c r="AQ416" s="4"/>
      <c r="AR416" s="4"/>
      <c r="AS416" s="4"/>
      <c r="AT416" s="4"/>
    </row>
    <row r="417" spans="12:46">
      <c r="L417" s="5"/>
      <c r="M417" s="5"/>
      <c r="W417" s="5"/>
      <c r="Z417" s="5"/>
      <c r="AA417" s="5"/>
      <c r="AD417" s="5"/>
      <c r="AG417" s="5"/>
      <c r="AH417" s="5"/>
      <c r="AN417" s="4"/>
      <c r="AO417" s="4"/>
      <c r="AP417" s="4"/>
      <c r="AQ417" s="4"/>
      <c r="AR417" s="4"/>
      <c r="AS417" s="4"/>
      <c r="AT417" s="4"/>
    </row>
    <row r="418" spans="12:46">
      <c r="L418" s="5"/>
      <c r="M418" s="5"/>
      <c r="W418" s="5"/>
      <c r="Z418" s="5"/>
      <c r="AA418" s="5"/>
      <c r="AD418" s="5"/>
      <c r="AG418" s="5"/>
      <c r="AH418" s="5"/>
      <c r="AN418" s="4"/>
      <c r="AO418" s="4"/>
      <c r="AP418" s="4"/>
      <c r="AQ418" s="4"/>
      <c r="AR418" s="4"/>
      <c r="AS418" s="4"/>
      <c r="AT418" s="4"/>
    </row>
    <row r="419" spans="12:46">
      <c r="L419" s="5"/>
      <c r="M419" s="5"/>
      <c r="W419" s="5"/>
      <c r="Z419" s="5"/>
      <c r="AA419" s="5"/>
      <c r="AD419" s="5"/>
      <c r="AG419" s="5"/>
      <c r="AH419" s="5"/>
      <c r="AN419" s="4"/>
      <c r="AO419" s="4"/>
      <c r="AP419" s="4"/>
      <c r="AQ419" s="4"/>
      <c r="AR419" s="4"/>
      <c r="AS419" s="4"/>
      <c r="AT419" s="4"/>
    </row>
    <row r="420" spans="12:46">
      <c r="L420" s="5"/>
      <c r="M420" s="5"/>
      <c r="W420" s="5"/>
      <c r="Z420" s="5"/>
      <c r="AA420" s="5"/>
      <c r="AD420" s="5"/>
      <c r="AG420" s="5"/>
      <c r="AH420" s="5"/>
      <c r="AN420" s="4"/>
      <c r="AO420" s="4"/>
      <c r="AP420" s="4"/>
      <c r="AQ420" s="4"/>
      <c r="AR420" s="4"/>
      <c r="AS420" s="4"/>
      <c r="AT420" s="4"/>
    </row>
    <row r="421" spans="12:46">
      <c r="L421" s="5"/>
      <c r="M421" s="5"/>
      <c r="W421" s="5"/>
      <c r="Z421" s="5"/>
      <c r="AA421" s="5"/>
      <c r="AD421" s="5"/>
      <c r="AG421" s="5"/>
      <c r="AH421" s="5"/>
      <c r="AN421" s="4"/>
      <c r="AO421" s="4"/>
      <c r="AP421" s="4"/>
      <c r="AQ421" s="4"/>
      <c r="AR421" s="4"/>
      <c r="AS421" s="4"/>
      <c r="AT421" s="4"/>
    </row>
    <row r="422" spans="12:46">
      <c r="L422" s="5"/>
      <c r="M422" s="5"/>
      <c r="W422" s="5"/>
      <c r="Z422" s="5"/>
      <c r="AA422" s="5"/>
      <c r="AD422" s="5"/>
      <c r="AG422" s="5"/>
      <c r="AH422" s="5"/>
      <c r="AN422" s="4"/>
      <c r="AO422" s="4"/>
      <c r="AP422" s="4"/>
      <c r="AQ422" s="4"/>
      <c r="AR422" s="4"/>
      <c r="AS422" s="4"/>
      <c r="AT422" s="4"/>
    </row>
    <row r="423" spans="12:46">
      <c r="L423" s="5"/>
      <c r="M423" s="5"/>
      <c r="W423" s="5"/>
      <c r="Z423" s="5"/>
      <c r="AA423" s="5"/>
      <c r="AD423" s="5"/>
      <c r="AG423" s="5"/>
      <c r="AH423" s="5"/>
      <c r="AN423" s="4"/>
      <c r="AO423" s="4"/>
      <c r="AP423" s="4"/>
      <c r="AQ423" s="4"/>
      <c r="AR423" s="4"/>
      <c r="AS423" s="4"/>
      <c r="AT423" s="4"/>
    </row>
    <row r="424" spans="12:46">
      <c r="L424" s="5"/>
      <c r="M424" s="5"/>
      <c r="W424" s="5"/>
      <c r="Z424" s="5"/>
      <c r="AA424" s="5"/>
      <c r="AD424" s="5"/>
      <c r="AG424" s="5"/>
      <c r="AH424" s="5"/>
      <c r="AN424" s="4"/>
      <c r="AO424" s="4"/>
      <c r="AP424" s="4"/>
      <c r="AQ424" s="4"/>
      <c r="AR424" s="4"/>
      <c r="AS424" s="4"/>
      <c r="AT424" s="4"/>
    </row>
    <row r="425" spans="12:46">
      <c r="L425" s="5"/>
      <c r="M425" s="5"/>
      <c r="W425" s="5"/>
      <c r="Z425" s="5"/>
      <c r="AA425" s="5"/>
      <c r="AD425" s="5"/>
      <c r="AG425" s="5"/>
      <c r="AH425" s="5"/>
      <c r="AN425" s="4"/>
      <c r="AO425" s="4"/>
      <c r="AP425" s="4"/>
      <c r="AQ425" s="4"/>
      <c r="AR425" s="4"/>
      <c r="AS425" s="4"/>
      <c r="AT425" s="4"/>
    </row>
    <row r="426" spans="12:46">
      <c r="L426" s="5"/>
      <c r="M426" s="5"/>
      <c r="W426" s="5"/>
      <c r="Z426" s="5"/>
      <c r="AA426" s="5"/>
      <c r="AD426" s="5"/>
      <c r="AG426" s="5"/>
      <c r="AH426" s="5"/>
      <c r="AN426" s="4"/>
      <c r="AO426" s="4"/>
      <c r="AP426" s="4"/>
      <c r="AQ426" s="4"/>
      <c r="AR426" s="4"/>
      <c r="AS426" s="4"/>
      <c r="AT426" s="4"/>
    </row>
    <row r="427" spans="12:46">
      <c r="L427" s="5"/>
      <c r="M427" s="5"/>
      <c r="W427" s="5"/>
      <c r="Z427" s="5"/>
      <c r="AA427" s="5"/>
      <c r="AD427" s="5"/>
      <c r="AG427" s="5"/>
      <c r="AH427" s="5"/>
      <c r="AN427" s="4"/>
      <c r="AO427" s="4"/>
      <c r="AP427" s="4"/>
      <c r="AQ427" s="4"/>
      <c r="AR427" s="4"/>
      <c r="AS427" s="4"/>
      <c r="AT427" s="4"/>
    </row>
    <row r="428" spans="12:46">
      <c r="L428" s="5"/>
      <c r="M428" s="5"/>
      <c r="W428" s="5"/>
      <c r="Z428" s="5"/>
      <c r="AA428" s="5"/>
      <c r="AD428" s="5"/>
      <c r="AG428" s="5"/>
      <c r="AH428" s="5"/>
      <c r="AN428" s="4"/>
      <c r="AO428" s="4"/>
      <c r="AP428" s="4"/>
      <c r="AQ428" s="4"/>
      <c r="AR428" s="4"/>
      <c r="AS428" s="4"/>
      <c r="AT428" s="4"/>
    </row>
    <row r="429" spans="12:46">
      <c r="L429" s="5"/>
      <c r="M429" s="5"/>
      <c r="W429" s="5"/>
      <c r="Z429" s="5"/>
      <c r="AA429" s="5"/>
      <c r="AD429" s="5"/>
      <c r="AG429" s="5"/>
      <c r="AH429" s="5"/>
      <c r="AN429" s="4"/>
      <c r="AO429" s="4"/>
      <c r="AP429" s="4"/>
      <c r="AQ429" s="4"/>
      <c r="AR429" s="4"/>
      <c r="AS429" s="4"/>
      <c r="AT429" s="4"/>
    </row>
    <row r="430" spans="12:46">
      <c r="L430" s="5"/>
      <c r="M430" s="5"/>
      <c r="W430" s="5"/>
      <c r="Z430" s="5"/>
      <c r="AA430" s="5"/>
      <c r="AD430" s="5"/>
      <c r="AG430" s="5"/>
      <c r="AH430" s="5"/>
      <c r="AN430" s="4"/>
      <c r="AO430" s="4"/>
      <c r="AP430" s="4"/>
      <c r="AQ430" s="4"/>
      <c r="AR430" s="4"/>
      <c r="AS430" s="4"/>
      <c r="AT430" s="4"/>
    </row>
    <row r="431" spans="12:46">
      <c r="L431" s="5"/>
      <c r="M431" s="5"/>
      <c r="W431" s="5"/>
      <c r="Z431" s="5"/>
      <c r="AA431" s="5"/>
      <c r="AD431" s="5"/>
      <c r="AG431" s="5"/>
      <c r="AH431" s="5"/>
      <c r="AN431" s="4"/>
      <c r="AO431" s="4"/>
      <c r="AP431" s="4"/>
      <c r="AQ431" s="4"/>
      <c r="AR431" s="4"/>
      <c r="AS431" s="4"/>
      <c r="AT431" s="4"/>
    </row>
    <row r="432" spans="12:46">
      <c r="L432" s="5"/>
      <c r="M432" s="5"/>
      <c r="W432" s="5"/>
      <c r="Z432" s="5"/>
      <c r="AA432" s="5"/>
      <c r="AD432" s="5"/>
      <c r="AG432" s="5"/>
      <c r="AH432" s="5"/>
      <c r="AN432" s="4"/>
      <c r="AO432" s="4"/>
      <c r="AP432" s="4"/>
      <c r="AQ432" s="4"/>
      <c r="AR432" s="4"/>
      <c r="AS432" s="4"/>
      <c r="AT432" s="4"/>
    </row>
    <row r="433" spans="12:46">
      <c r="L433" s="5"/>
      <c r="M433" s="5"/>
      <c r="W433" s="5"/>
      <c r="Z433" s="5"/>
      <c r="AA433" s="5"/>
      <c r="AD433" s="5"/>
      <c r="AG433" s="5"/>
      <c r="AH433" s="5"/>
      <c r="AN433" s="4"/>
      <c r="AO433" s="4"/>
      <c r="AP433" s="4"/>
      <c r="AQ433" s="4"/>
      <c r="AR433" s="4"/>
      <c r="AS433" s="4"/>
      <c r="AT433" s="4"/>
    </row>
    <row r="434" spans="12:46">
      <c r="L434" s="5"/>
      <c r="M434" s="5"/>
      <c r="W434" s="5"/>
      <c r="Z434" s="5"/>
      <c r="AA434" s="5"/>
      <c r="AD434" s="5"/>
      <c r="AG434" s="5"/>
      <c r="AH434" s="5"/>
      <c r="AN434" s="4"/>
      <c r="AO434" s="4"/>
      <c r="AP434" s="4"/>
      <c r="AQ434" s="4"/>
      <c r="AR434" s="4"/>
      <c r="AS434" s="4"/>
      <c r="AT434" s="4"/>
    </row>
    <row r="435" spans="12:46">
      <c r="L435" s="5"/>
      <c r="M435" s="5"/>
      <c r="W435" s="5"/>
      <c r="Z435" s="5"/>
      <c r="AA435" s="5"/>
      <c r="AD435" s="5"/>
      <c r="AG435" s="5"/>
      <c r="AH435" s="5"/>
      <c r="AN435" s="4"/>
      <c r="AO435" s="4"/>
      <c r="AP435" s="4"/>
      <c r="AQ435" s="4"/>
      <c r="AR435" s="4"/>
      <c r="AS435" s="4"/>
      <c r="AT435" s="4"/>
    </row>
    <row r="436" spans="12:46">
      <c r="L436" s="5"/>
      <c r="M436" s="5"/>
      <c r="W436" s="5"/>
      <c r="Z436" s="5"/>
      <c r="AA436" s="5"/>
      <c r="AD436" s="5"/>
      <c r="AG436" s="5"/>
      <c r="AH436" s="5"/>
      <c r="AN436" s="4"/>
      <c r="AO436" s="4"/>
      <c r="AP436" s="4"/>
      <c r="AQ436" s="4"/>
      <c r="AR436" s="4"/>
      <c r="AS436" s="4"/>
      <c r="AT436" s="4"/>
    </row>
    <row r="437" spans="12:46">
      <c r="L437" s="5"/>
      <c r="M437" s="5"/>
      <c r="W437" s="5"/>
      <c r="Z437" s="5"/>
      <c r="AA437" s="5"/>
      <c r="AD437" s="5"/>
      <c r="AG437" s="5"/>
      <c r="AH437" s="5"/>
      <c r="AN437" s="4"/>
      <c r="AO437" s="4"/>
      <c r="AP437" s="4"/>
      <c r="AQ437" s="4"/>
      <c r="AR437" s="4"/>
      <c r="AS437" s="4"/>
      <c r="AT437" s="4"/>
    </row>
    <row r="438" spans="12:46">
      <c r="L438" s="5"/>
      <c r="M438" s="5"/>
      <c r="W438" s="5"/>
      <c r="Z438" s="5"/>
      <c r="AA438" s="5"/>
      <c r="AD438" s="5"/>
      <c r="AG438" s="5"/>
      <c r="AH438" s="5"/>
      <c r="AN438" s="4"/>
      <c r="AO438" s="4"/>
      <c r="AP438" s="4"/>
      <c r="AQ438" s="4"/>
      <c r="AR438" s="4"/>
      <c r="AS438" s="4"/>
      <c r="AT438" s="4"/>
    </row>
    <row r="439" spans="12:46">
      <c r="L439" s="5"/>
      <c r="M439" s="5"/>
      <c r="W439" s="5"/>
      <c r="Z439" s="5"/>
      <c r="AA439" s="5"/>
      <c r="AD439" s="5"/>
      <c r="AG439" s="5"/>
      <c r="AH439" s="5"/>
      <c r="AN439" s="4"/>
      <c r="AO439" s="4"/>
      <c r="AP439" s="4"/>
      <c r="AQ439" s="4"/>
      <c r="AR439" s="4"/>
      <c r="AS439" s="4"/>
      <c r="AT439" s="4"/>
    </row>
    <row r="440" spans="12:46">
      <c r="L440" s="5"/>
      <c r="M440" s="5"/>
      <c r="W440" s="5"/>
      <c r="Z440" s="5"/>
      <c r="AA440" s="5"/>
      <c r="AD440" s="5"/>
      <c r="AG440" s="5"/>
      <c r="AH440" s="5"/>
      <c r="AN440" s="4"/>
      <c r="AO440" s="4"/>
      <c r="AP440" s="4"/>
      <c r="AQ440" s="4"/>
      <c r="AR440" s="4"/>
      <c r="AS440" s="4"/>
      <c r="AT440" s="4"/>
    </row>
    <row r="441" spans="12:46">
      <c r="L441" s="5"/>
      <c r="M441" s="5"/>
      <c r="W441" s="5"/>
      <c r="Z441" s="5"/>
      <c r="AA441" s="5"/>
      <c r="AD441" s="5"/>
      <c r="AG441" s="5"/>
      <c r="AH441" s="5"/>
      <c r="AN441" s="4"/>
      <c r="AO441" s="4"/>
      <c r="AP441" s="4"/>
      <c r="AQ441" s="4"/>
      <c r="AR441" s="4"/>
      <c r="AS441" s="4"/>
      <c r="AT441" s="4"/>
    </row>
    <row r="442" spans="12:46">
      <c r="L442" s="5"/>
      <c r="M442" s="5"/>
      <c r="W442" s="5"/>
      <c r="Z442" s="5"/>
      <c r="AA442" s="5"/>
      <c r="AD442" s="5"/>
      <c r="AG442" s="5"/>
      <c r="AH442" s="5"/>
      <c r="AN442" s="4"/>
      <c r="AO442" s="4"/>
      <c r="AP442" s="4"/>
      <c r="AQ442" s="4"/>
      <c r="AR442" s="4"/>
      <c r="AS442" s="4"/>
      <c r="AT442" s="4"/>
    </row>
    <row r="443" spans="12:46">
      <c r="L443" s="5"/>
      <c r="M443" s="5"/>
      <c r="W443" s="5"/>
      <c r="Z443" s="5"/>
      <c r="AA443" s="5"/>
      <c r="AD443" s="5"/>
      <c r="AG443" s="5"/>
      <c r="AH443" s="5"/>
      <c r="AN443" s="4"/>
      <c r="AO443" s="4"/>
      <c r="AP443" s="4"/>
      <c r="AQ443" s="4"/>
      <c r="AR443" s="4"/>
      <c r="AS443" s="4"/>
      <c r="AT443" s="4"/>
    </row>
    <row r="444" spans="12:46">
      <c r="L444" s="5"/>
      <c r="M444" s="5"/>
      <c r="W444" s="5"/>
      <c r="Z444" s="5"/>
      <c r="AA444" s="5"/>
      <c r="AD444" s="5"/>
      <c r="AG444" s="5"/>
      <c r="AH444" s="5"/>
      <c r="AN444" s="4"/>
      <c r="AO444" s="4"/>
      <c r="AP444" s="4"/>
      <c r="AQ444" s="4"/>
      <c r="AR444" s="4"/>
      <c r="AS444" s="4"/>
      <c r="AT444" s="4"/>
    </row>
    <row r="445" spans="12:46">
      <c r="L445" s="5"/>
      <c r="M445" s="5"/>
      <c r="W445" s="5"/>
      <c r="Z445" s="5"/>
      <c r="AA445" s="5"/>
      <c r="AD445" s="5"/>
      <c r="AG445" s="5"/>
      <c r="AH445" s="5"/>
      <c r="AN445" s="4"/>
      <c r="AO445" s="4"/>
      <c r="AP445" s="4"/>
      <c r="AQ445" s="4"/>
      <c r="AR445" s="4"/>
      <c r="AS445" s="4"/>
      <c r="AT445" s="4"/>
    </row>
    <row r="446" spans="12:46">
      <c r="L446" s="5"/>
      <c r="M446" s="5"/>
      <c r="W446" s="5"/>
      <c r="Z446" s="5"/>
      <c r="AA446" s="5"/>
      <c r="AD446" s="5"/>
      <c r="AG446" s="5"/>
      <c r="AH446" s="5"/>
      <c r="AN446" s="4"/>
      <c r="AO446" s="4"/>
      <c r="AP446" s="4"/>
      <c r="AQ446" s="4"/>
      <c r="AR446" s="4"/>
      <c r="AS446" s="4"/>
      <c r="AT446" s="4"/>
    </row>
    <row r="447" spans="12:46">
      <c r="L447" s="5"/>
      <c r="M447" s="5"/>
      <c r="W447" s="5"/>
      <c r="Z447" s="5"/>
      <c r="AA447" s="5"/>
      <c r="AD447" s="5"/>
      <c r="AG447" s="5"/>
      <c r="AH447" s="5"/>
      <c r="AN447" s="4"/>
      <c r="AO447" s="4"/>
      <c r="AP447" s="4"/>
      <c r="AQ447" s="4"/>
      <c r="AR447" s="4"/>
      <c r="AS447" s="4"/>
      <c r="AT447" s="4"/>
    </row>
    <row r="448" spans="12:46">
      <c r="L448" s="5"/>
      <c r="M448" s="5"/>
      <c r="W448" s="5"/>
      <c r="Z448" s="5"/>
      <c r="AA448" s="5"/>
      <c r="AD448" s="5"/>
      <c r="AG448" s="5"/>
      <c r="AH448" s="5"/>
      <c r="AN448" s="4"/>
      <c r="AO448" s="4"/>
      <c r="AP448" s="4"/>
      <c r="AQ448" s="4"/>
      <c r="AR448" s="4"/>
      <c r="AS448" s="4"/>
      <c r="AT448" s="4"/>
    </row>
    <row r="449" spans="12:46">
      <c r="L449" s="5"/>
      <c r="M449" s="5"/>
      <c r="W449" s="5"/>
      <c r="Z449" s="5"/>
      <c r="AA449" s="5"/>
      <c r="AD449" s="5"/>
      <c r="AG449" s="5"/>
      <c r="AH449" s="5"/>
      <c r="AN449" s="4"/>
      <c r="AO449" s="4"/>
      <c r="AP449" s="4"/>
      <c r="AQ449" s="4"/>
      <c r="AR449" s="4"/>
      <c r="AS449" s="4"/>
      <c r="AT449" s="4"/>
    </row>
    <row r="450" spans="12:46">
      <c r="L450" s="5"/>
      <c r="M450" s="5"/>
      <c r="W450" s="5"/>
      <c r="Z450" s="5"/>
      <c r="AA450" s="5"/>
      <c r="AD450" s="5"/>
      <c r="AG450" s="5"/>
      <c r="AH450" s="5"/>
      <c r="AN450" s="4"/>
      <c r="AO450" s="4"/>
      <c r="AP450" s="4"/>
      <c r="AQ450" s="4"/>
      <c r="AR450" s="4"/>
      <c r="AS450" s="4"/>
      <c r="AT450" s="4"/>
    </row>
    <row r="451" spans="12:46">
      <c r="L451" s="5"/>
      <c r="M451" s="5"/>
      <c r="W451" s="5"/>
      <c r="Z451" s="5"/>
      <c r="AA451" s="5"/>
      <c r="AD451" s="5"/>
      <c r="AG451" s="5"/>
      <c r="AH451" s="5"/>
      <c r="AN451" s="4"/>
      <c r="AO451" s="4"/>
      <c r="AP451" s="4"/>
      <c r="AQ451" s="4"/>
      <c r="AR451" s="4"/>
      <c r="AS451" s="4"/>
      <c r="AT451" s="4"/>
    </row>
    <row r="452" spans="12:46">
      <c r="L452" s="5"/>
      <c r="M452" s="5"/>
      <c r="W452" s="5"/>
      <c r="Z452" s="5"/>
      <c r="AA452" s="5"/>
      <c r="AD452" s="5"/>
      <c r="AG452" s="5"/>
      <c r="AH452" s="5"/>
      <c r="AN452" s="4"/>
      <c r="AO452" s="4"/>
      <c r="AP452" s="4"/>
      <c r="AQ452" s="4"/>
      <c r="AR452" s="4"/>
      <c r="AS452" s="4"/>
      <c r="AT452" s="4"/>
    </row>
    <row r="453" spans="12:46">
      <c r="L453" s="5"/>
      <c r="M453" s="5"/>
      <c r="W453" s="5"/>
      <c r="Z453" s="5"/>
      <c r="AA453" s="5"/>
      <c r="AD453" s="5"/>
      <c r="AG453" s="5"/>
      <c r="AH453" s="5"/>
      <c r="AN453" s="4"/>
      <c r="AO453" s="4"/>
      <c r="AP453" s="4"/>
      <c r="AQ453" s="4"/>
      <c r="AR453" s="4"/>
      <c r="AS453" s="4"/>
      <c r="AT453" s="4"/>
    </row>
    <row r="454" spans="12:46">
      <c r="L454" s="5"/>
      <c r="M454" s="5"/>
      <c r="W454" s="5"/>
      <c r="Z454" s="5"/>
      <c r="AA454" s="5"/>
      <c r="AD454" s="5"/>
      <c r="AG454" s="5"/>
      <c r="AH454" s="5"/>
      <c r="AN454" s="4"/>
      <c r="AO454" s="4"/>
      <c r="AP454" s="4"/>
      <c r="AQ454" s="4"/>
      <c r="AR454" s="4"/>
      <c r="AS454" s="4"/>
      <c r="AT454" s="4"/>
    </row>
    <row r="455" spans="12:46">
      <c r="L455" s="5"/>
      <c r="M455" s="5"/>
      <c r="W455" s="5"/>
      <c r="Z455" s="5"/>
      <c r="AA455" s="5"/>
      <c r="AD455" s="5"/>
      <c r="AG455" s="5"/>
      <c r="AH455" s="5"/>
      <c r="AN455" s="4"/>
      <c r="AO455" s="4"/>
      <c r="AP455" s="4"/>
      <c r="AQ455" s="4"/>
      <c r="AR455" s="4"/>
      <c r="AS455" s="4"/>
      <c r="AT455" s="4"/>
    </row>
    <row r="456" spans="12:46">
      <c r="L456" s="5"/>
      <c r="M456" s="5"/>
      <c r="W456" s="5"/>
      <c r="Z456" s="5"/>
      <c r="AA456" s="5"/>
      <c r="AD456" s="5"/>
      <c r="AG456" s="5"/>
      <c r="AH456" s="5"/>
      <c r="AN456" s="4"/>
      <c r="AO456" s="4"/>
      <c r="AP456" s="4"/>
      <c r="AQ456" s="4"/>
      <c r="AR456" s="4"/>
      <c r="AS456" s="4"/>
      <c r="AT456" s="4"/>
    </row>
    <row r="457" spans="12:46">
      <c r="L457" s="5"/>
      <c r="M457" s="5"/>
      <c r="W457" s="5"/>
      <c r="Z457" s="5"/>
      <c r="AA457" s="5"/>
      <c r="AD457" s="5"/>
      <c r="AG457" s="5"/>
      <c r="AH457" s="5"/>
      <c r="AN457" s="4"/>
      <c r="AO457" s="4"/>
      <c r="AP457" s="4"/>
      <c r="AQ457" s="4"/>
      <c r="AR457" s="4"/>
      <c r="AS457" s="4"/>
      <c r="AT457" s="4"/>
    </row>
    <row r="458" spans="12:46">
      <c r="L458" s="5"/>
      <c r="M458" s="5"/>
      <c r="W458" s="5"/>
      <c r="Z458" s="5"/>
      <c r="AA458" s="5"/>
      <c r="AD458" s="5"/>
      <c r="AG458" s="5"/>
      <c r="AH458" s="5"/>
      <c r="AN458" s="4"/>
      <c r="AO458" s="4"/>
      <c r="AP458" s="4"/>
      <c r="AQ458" s="4"/>
      <c r="AR458" s="4"/>
      <c r="AS458" s="4"/>
      <c r="AT458" s="4"/>
    </row>
    <row r="459" spans="12:46">
      <c r="L459" s="5"/>
      <c r="M459" s="5"/>
      <c r="W459" s="5"/>
      <c r="Z459" s="5"/>
      <c r="AA459" s="5"/>
      <c r="AD459" s="5"/>
      <c r="AG459" s="5"/>
      <c r="AH459" s="5"/>
      <c r="AN459" s="4"/>
      <c r="AO459" s="4"/>
      <c r="AP459" s="4"/>
      <c r="AQ459" s="4"/>
      <c r="AR459" s="4"/>
      <c r="AS459" s="4"/>
      <c r="AT459" s="4"/>
    </row>
    <row r="460" spans="12:46">
      <c r="L460" s="5"/>
      <c r="M460" s="5"/>
      <c r="W460" s="5"/>
      <c r="Z460" s="5"/>
      <c r="AA460" s="5"/>
      <c r="AD460" s="5"/>
      <c r="AG460" s="5"/>
      <c r="AH460" s="5"/>
      <c r="AN460" s="4"/>
      <c r="AO460" s="4"/>
      <c r="AP460" s="4"/>
      <c r="AQ460" s="4"/>
      <c r="AR460" s="4"/>
      <c r="AS460" s="4"/>
      <c r="AT460" s="4"/>
    </row>
    <row r="461" spans="12:46">
      <c r="L461" s="5"/>
      <c r="M461" s="5"/>
      <c r="W461" s="5"/>
      <c r="Z461" s="5"/>
      <c r="AA461" s="5"/>
      <c r="AD461" s="5"/>
      <c r="AG461" s="5"/>
      <c r="AH461" s="5"/>
      <c r="AN461" s="4"/>
      <c r="AO461" s="4"/>
      <c r="AP461" s="4"/>
      <c r="AQ461" s="4"/>
      <c r="AR461" s="4"/>
      <c r="AS461" s="4"/>
      <c r="AT461" s="4"/>
    </row>
    <row r="462" spans="12:46">
      <c r="L462" s="5"/>
      <c r="M462" s="5"/>
      <c r="W462" s="5"/>
      <c r="Z462" s="5"/>
      <c r="AA462" s="5"/>
      <c r="AD462" s="5"/>
      <c r="AG462" s="5"/>
      <c r="AH462" s="5"/>
      <c r="AN462" s="4"/>
      <c r="AO462" s="4"/>
      <c r="AP462" s="4"/>
      <c r="AQ462" s="4"/>
      <c r="AR462" s="4"/>
      <c r="AS462" s="4"/>
      <c r="AT462" s="4"/>
    </row>
    <row r="463" spans="12:46">
      <c r="L463" s="5"/>
      <c r="M463" s="5"/>
      <c r="W463" s="5"/>
      <c r="Z463" s="5"/>
      <c r="AA463" s="5"/>
      <c r="AD463" s="5"/>
      <c r="AG463" s="5"/>
      <c r="AH463" s="5"/>
      <c r="AN463" s="4"/>
      <c r="AO463" s="4"/>
      <c r="AP463" s="4"/>
      <c r="AQ463" s="4"/>
      <c r="AR463" s="4"/>
      <c r="AS463" s="4"/>
      <c r="AT463" s="4"/>
    </row>
    <row r="464" spans="12:46">
      <c r="L464" s="5"/>
      <c r="M464" s="5"/>
      <c r="W464" s="5"/>
      <c r="Z464" s="5"/>
      <c r="AA464" s="5"/>
      <c r="AD464" s="5"/>
      <c r="AG464" s="5"/>
      <c r="AH464" s="5"/>
      <c r="AN464" s="4"/>
      <c r="AO464" s="4"/>
      <c r="AP464" s="4"/>
      <c r="AQ464" s="4"/>
      <c r="AR464" s="4"/>
      <c r="AS464" s="4"/>
      <c r="AT464" s="4"/>
    </row>
    <row r="465" spans="12:46">
      <c r="L465" s="5"/>
      <c r="M465" s="5"/>
      <c r="W465" s="5"/>
      <c r="Z465" s="5"/>
      <c r="AA465" s="5"/>
      <c r="AD465" s="5"/>
      <c r="AG465" s="5"/>
      <c r="AH465" s="5"/>
      <c r="AN465" s="4"/>
      <c r="AO465" s="4"/>
      <c r="AP465" s="4"/>
      <c r="AQ465" s="4"/>
      <c r="AR465" s="4"/>
      <c r="AS465" s="4"/>
      <c r="AT465" s="4"/>
    </row>
    <row r="466" spans="12:46">
      <c r="L466" s="5"/>
      <c r="M466" s="5"/>
      <c r="W466" s="5"/>
      <c r="Z466" s="5"/>
      <c r="AA466" s="5"/>
      <c r="AD466" s="5"/>
      <c r="AG466" s="5"/>
      <c r="AH466" s="5"/>
      <c r="AN466" s="4"/>
      <c r="AO466" s="4"/>
      <c r="AP466" s="4"/>
      <c r="AQ466" s="4"/>
      <c r="AR466" s="4"/>
      <c r="AS466" s="4"/>
      <c r="AT466" s="4"/>
    </row>
    <row r="467" spans="12:46">
      <c r="L467" s="5"/>
      <c r="M467" s="5"/>
      <c r="W467" s="5"/>
      <c r="Z467" s="5"/>
      <c r="AA467" s="5"/>
      <c r="AD467" s="5"/>
      <c r="AG467" s="5"/>
      <c r="AH467" s="5"/>
      <c r="AN467" s="4"/>
      <c r="AO467" s="4"/>
      <c r="AP467" s="4"/>
      <c r="AQ467" s="4"/>
      <c r="AR467" s="4"/>
      <c r="AS467" s="4"/>
      <c r="AT467" s="4"/>
    </row>
    <row r="468" spans="12:46">
      <c r="L468" s="5"/>
      <c r="M468" s="5"/>
      <c r="W468" s="5"/>
      <c r="Z468" s="5"/>
      <c r="AA468" s="5"/>
      <c r="AD468" s="5"/>
      <c r="AG468" s="5"/>
      <c r="AH468" s="5"/>
      <c r="AN468" s="4"/>
      <c r="AO468" s="4"/>
      <c r="AP468" s="4"/>
      <c r="AQ468" s="4"/>
      <c r="AR468" s="4"/>
      <c r="AS468" s="4"/>
      <c r="AT468" s="4"/>
    </row>
    <row r="469" spans="12:46">
      <c r="L469" s="5"/>
      <c r="M469" s="5"/>
      <c r="W469" s="5"/>
      <c r="Z469" s="5"/>
      <c r="AA469" s="5"/>
      <c r="AD469" s="5"/>
      <c r="AG469" s="5"/>
      <c r="AH469" s="5"/>
      <c r="AN469" s="4"/>
      <c r="AO469" s="4"/>
      <c r="AP469" s="4"/>
      <c r="AQ469" s="4"/>
      <c r="AR469" s="4"/>
      <c r="AS469" s="4"/>
      <c r="AT469" s="4"/>
    </row>
    <row r="470" spans="12:46">
      <c r="L470" s="5"/>
      <c r="M470" s="5"/>
      <c r="W470" s="5"/>
      <c r="Z470" s="5"/>
      <c r="AA470" s="5"/>
      <c r="AD470" s="5"/>
      <c r="AG470" s="5"/>
      <c r="AH470" s="5"/>
      <c r="AN470" s="4"/>
      <c r="AO470" s="4"/>
      <c r="AP470" s="4"/>
      <c r="AQ470" s="4"/>
      <c r="AR470" s="4"/>
      <c r="AS470" s="4"/>
      <c r="AT470" s="4"/>
    </row>
    <row r="471" spans="12:46">
      <c r="L471" s="5"/>
      <c r="M471" s="5"/>
      <c r="W471" s="5"/>
      <c r="Z471" s="5"/>
      <c r="AA471" s="5"/>
      <c r="AD471" s="5"/>
      <c r="AG471" s="5"/>
      <c r="AH471" s="5"/>
      <c r="AN471" s="4"/>
      <c r="AO471" s="4"/>
      <c r="AP471" s="4"/>
      <c r="AQ471" s="4"/>
      <c r="AR471" s="4"/>
      <c r="AS471" s="4"/>
      <c r="AT471" s="4"/>
    </row>
    <row r="472" spans="12:46">
      <c r="L472" s="5"/>
      <c r="M472" s="5"/>
      <c r="W472" s="5"/>
      <c r="Z472" s="5"/>
      <c r="AA472" s="5"/>
      <c r="AD472" s="5"/>
      <c r="AG472" s="5"/>
      <c r="AH472" s="5"/>
      <c r="AN472" s="4"/>
      <c r="AO472" s="4"/>
      <c r="AP472" s="4"/>
      <c r="AQ472" s="4"/>
      <c r="AR472" s="4"/>
      <c r="AS472" s="4"/>
      <c r="AT472" s="4"/>
    </row>
    <row r="473" spans="12:46">
      <c r="L473" s="5"/>
      <c r="M473" s="5"/>
      <c r="W473" s="5"/>
      <c r="Z473" s="5"/>
      <c r="AA473" s="5"/>
      <c r="AD473" s="5"/>
      <c r="AG473" s="5"/>
      <c r="AH473" s="5"/>
      <c r="AN473" s="4"/>
      <c r="AO473" s="4"/>
      <c r="AP473" s="4"/>
      <c r="AQ473" s="4"/>
      <c r="AR473" s="4"/>
      <c r="AS473" s="4"/>
      <c r="AT473" s="4"/>
    </row>
    <row r="474" spans="12:46">
      <c r="L474" s="5"/>
      <c r="M474" s="5"/>
      <c r="W474" s="5"/>
      <c r="Z474" s="5"/>
      <c r="AA474" s="5"/>
      <c r="AD474" s="5"/>
      <c r="AG474" s="5"/>
      <c r="AH474" s="5"/>
      <c r="AN474" s="4"/>
      <c r="AO474" s="4"/>
      <c r="AP474" s="4"/>
      <c r="AQ474" s="4"/>
      <c r="AR474" s="4"/>
      <c r="AS474" s="4"/>
      <c r="AT474" s="4"/>
    </row>
    <row r="475" spans="12:46">
      <c r="L475" s="5"/>
      <c r="M475" s="5"/>
      <c r="W475" s="5"/>
      <c r="Z475" s="5"/>
      <c r="AA475" s="5"/>
      <c r="AD475" s="5"/>
      <c r="AG475" s="5"/>
      <c r="AH475" s="5"/>
      <c r="AN475" s="4"/>
      <c r="AO475" s="4"/>
      <c r="AP475" s="4"/>
      <c r="AQ475" s="4"/>
      <c r="AR475" s="4"/>
      <c r="AS475" s="4"/>
      <c r="AT475" s="4"/>
    </row>
    <row r="476" spans="12:46">
      <c r="L476" s="5"/>
      <c r="M476" s="5"/>
      <c r="W476" s="5"/>
      <c r="Z476" s="5"/>
      <c r="AA476" s="5"/>
      <c r="AD476" s="5"/>
      <c r="AG476" s="5"/>
      <c r="AH476" s="5"/>
      <c r="AN476" s="4"/>
      <c r="AO476" s="4"/>
      <c r="AP476" s="4"/>
      <c r="AQ476" s="4"/>
      <c r="AR476" s="4"/>
      <c r="AS476" s="4"/>
      <c r="AT476" s="4"/>
    </row>
    <row r="477" spans="12:46">
      <c r="L477" s="5"/>
      <c r="M477" s="5"/>
      <c r="W477" s="5"/>
      <c r="Z477" s="5"/>
      <c r="AA477" s="5"/>
      <c r="AD477" s="5"/>
      <c r="AG477" s="5"/>
      <c r="AH477" s="5"/>
      <c r="AN477" s="4"/>
      <c r="AO477" s="4"/>
      <c r="AP477" s="4"/>
      <c r="AQ477" s="4"/>
      <c r="AR477" s="4"/>
      <c r="AS477" s="4"/>
      <c r="AT477" s="4"/>
    </row>
    <row r="478" spans="12:46">
      <c r="L478" s="5"/>
      <c r="M478" s="5"/>
      <c r="W478" s="5"/>
      <c r="Z478" s="5"/>
      <c r="AA478" s="5"/>
      <c r="AD478" s="5"/>
      <c r="AG478" s="5"/>
      <c r="AH478" s="5"/>
      <c r="AN478" s="4"/>
      <c r="AO478" s="4"/>
      <c r="AP478" s="4"/>
      <c r="AQ478" s="4"/>
      <c r="AR478" s="4"/>
      <c r="AS478" s="4"/>
      <c r="AT478" s="4"/>
    </row>
    <row r="479" spans="12:46">
      <c r="L479" s="5"/>
      <c r="M479" s="5"/>
      <c r="W479" s="5"/>
      <c r="Z479" s="5"/>
      <c r="AA479" s="5"/>
      <c r="AD479" s="5"/>
      <c r="AG479" s="5"/>
      <c r="AH479" s="5"/>
      <c r="AN479" s="4"/>
      <c r="AO479" s="4"/>
      <c r="AP479" s="4"/>
      <c r="AQ479" s="4"/>
      <c r="AR479" s="4"/>
      <c r="AS479" s="4"/>
      <c r="AT479" s="4"/>
    </row>
    <row r="480" spans="12:46">
      <c r="L480" s="5"/>
      <c r="M480" s="5"/>
      <c r="W480" s="5"/>
      <c r="Z480" s="5"/>
      <c r="AA480" s="5"/>
      <c r="AD480" s="5"/>
      <c r="AG480" s="5"/>
      <c r="AH480" s="5"/>
      <c r="AN480" s="4"/>
      <c r="AO480" s="4"/>
      <c r="AP480" s="4"/>
      <c r="AQ480" s="4"/>
      <c r="AR480" s="4"/>
      <c r="AS480" s="4"/>
      <c r="AT480" s="4"/>
    </row>
    <row r="481" spans="12:46">
      <c r="L481" s="5"/>
      <c r="M481" s="5"/>
      <c r="W481" s="5"/>
      <c r="Z481" s="5"/>
      <c r="AA481" s="5"/>
      <c r="AD481" s="5"/>
      <c r="AG481" s="5"/>
      <c r="AH481" s="5"/>
      <c r="AN481" s="4"/>
      <c r="AO481" s="4"/>
      <c r="AP481" s="4"/>
      <c r="AQ481" s="4"/>
      <c r="AR481" s="4"/>
      <c r="AS481" s="4"/>
      <c r="AT481" s="4"/>
    </row>
    <row r="482" spans="12:46">
      <c r="L482" s="5"/>
      <c r="M482" s="5"/>
      <c r="W482" s="5"/>
      <c r="Z482" s="5"/>
      <c r="AA482" s="5"/>
      <c r="AD482" s="5"/>
      <c r="AG482" s="5"/>
      <c r="AH482" s="5"/>
      <c r="AN482" s="4"/>
      <c r="AO482" s="4"/>
      <c r="AP482" s="4"/>
      <c r="AQ482" s="4"/>
      <c r="AR482" s="4"/>
      <c r="AS482" s="4"/>
      <c r="AT482" s="4"/>
    </row>
    <row r="483" spans="12:46">
      <c r="L483" s="5"/>
      <c r="M483" s="5"/>
      <c r="W483" s="5"/>
      <c r="Z483" s="5"/>
      <c r="AA483" s="5"/>
      <c r="AD483" s="5"/>
      <c r="AG483" s="5"/>
      <c r="AH483" s="5"/>
      <c r="AN483" s="4"/>
      <c r="AO483" s="4"/>
      <c r="AP483" s="4"/>
      <c r="AQ483" s="4"/>
      <c r="AR483" s="4"/>
      <c r="AS483" s="4"/>
      <c r="AT483" s="4"/>
    </row>
    <row r="484" spans="12:46">
      <c r="L484" s="5"/>
      <c r="M484" s="5"/>
      <c r="W484" s="5"/>
      <c r="Z484" s="5"/>
      <c r="AA484" s="5"/>
      <c r="AD484" s="5"/>
      <c r="AG484" s="5"/>
      <c r="AH484" s="5"/>
      <c r="AN484" s="4"/>
      <c r="AO484" s="4"/>
      <c r="AP484" s="4"/>
      <c r="AQ484" s="4"/>
      <c r="AR484" s="4"/>
      <c r="AS484" s="4"/>
      <c r="AT484" s="4"/>
    </row>
    <row r="485" spans="12:46">
      <c r="L485" s="5"/>
      <c r="M485" s="5"/>
      <c r="W485" s="5"/>
      <c r="Z485" s="5"/>
      <c r="AA485" s="5"/>
      <c r="AD485" s="5"/>
      <c r="AG485" s="5"/>
      <c r="AH485" s="5"/>
      <c r="AN485" s="4"/>
      <c r="AO485" s="4"/>
      <c r="AP485" s="4"/>
      <c r="AQ485" s="4"/>
      <c r="AR485" s="4"/>
      <c r="AS485" s="4"/>
      <c r="AT485" s="4"/>
    </row>
    <row r="486" spans="12:46">
      <c r="L486" s="5"/>
      <c r="M486" s="5"/>
      <c r="W486" s="5"/>
      <c r="Z486" s="5"/>
      <c r="AA486" s="5"/>
      <c r="AD486" s="5"/>
      <c r="AG486" s="5"/>
      <c r="AH486" s="5"/>
      <c r="AN486" s="4"/>
      <c r="AO486" s="4"/>
      <c r="AP486" s="4"/>
      <c r="AQ486" s="4"/>
      <c r="AR486" s="4"/>
      <c r="AS486" s="4"/>
      <c r="AT486" s="4"/>
    </row>
    <row r="487" spans="12:46">
      <c r="L487" s="5"/>
      <c r="M487" s="5"/>
      <c r="W487" s="5"/>
      <c r="Z487" s="5"/>
      <c r="AA487" s="5"/>
      <c r="AD487" s="5"/>
      <c r="AG487" s="5"/>
      <c r="AH487" s="5"/>
      <c r="AN487" s="4"/>
      <c r="AO487" s="4"/>
      <c r="AP487" s="4"/>
      <c r="AQ487" s="4"/>
      <c r="AR487" s="4"/>
      <c r="AS487" s="4"/>
      <c r="AT487" s="4"/>
    </row>
    <row r="488" spans="12:46">
      <c r="L488" s="5"/>
      <c r="M488" s="5"/>
      <c r="W488" s="5"/>
      <c r="Z488" s="5"/>
      <c r="AA488" s="5"/>
      <c r="AD488" s="5"/>
      <c r="AG488" s="5"/>
      <c r="AH488" s="5"/>
      <c r="AN488" s="4"/>
      <c r="AO488" s="4"/>
      <c r="AP488" s="4"/>
      <c r="AQ488" s="4"/>
      <c r="AR488" s="4"/>
      <c r="AS488" s="4"/>
      <c r="AT488" s="4"/>
    </row>
    <row r="489" spans="12:46">
      <c r="L489" s="5"/>
      <c r="M489" s="5"/>
      <c r="W489" s="5"/>
      <c r="Z489" s="5"/>
      <c r="AA489" s="5"/>
      <c r="AD489" s="5"/>
      <c r="AG489" s="5"/>
      <c r="AH489" s="5"/>
      <c r="AN489" s="4"/>
      <c r="AO489" s="4"/>
      <c r="AP489" s="4"/>
      <c r="AQ489" s="4"/>
      <c r="AR489" s="4"/>
      <c r="AS489" s="4"/>
      <c r="AT489" s="4"/>
    </row>
    <row r="490" spans="12:46">
      <c r="L490" s="5"/>
      <c r="M490" s="5"/>
      <c r="W490" s="5"/>
      <c r="Z490" s="5"/>
      <c r="AA490" s="5"/>
      <c r="AD490" s="5"/>
      <c r="AG490" s="5"/>
      <c r="AH490" s="5"/>
      <c r="AN490" s="4"/>
      <c r="AO490" s="4"/>
      <c r="AP490" s="4"/>
      <c r="AQ490" s="4"/>
      <c r="AR490" s="4"/>
      <c r="AS490" s="4"/>
      <c r="AT490" s="4"/>
    </row>
    <row r="491" spans="12:46">
      <c r="L491" s="5"/>
      <c r="M491" s="5"/>
      <c r="W491" s="5"/>
      <c r="Z491" s="5"/>
      <c r="AA491" s="5"/>
      <c r="AD491" s="5"/>
      <c r="AG491" s="5"/>
      <c r="AH491" s="5"/>
      <c r="AN491" s="4"/>
      <c r="AO491" s="4"/>
      <c r="AP491" s="4"/>
      <c r="AQ491" s="4"/>
      <c r="AR491" s="4"/>
      <c r="AS491" s="4"/>
      <c r="AT491" s="4"/>
    </row>
    <row r="492" spans="12:46">
      <c r="L492" s="5"/>
      <c r="M492" s="5"/>
      <c r="W492" s="5"/>
      <c r="Z492" s="5"/>
      <c r="AA492" s="5"/>
      <c r="AD492" s="5"/>
      <c r="AG492" s="5"/>
      <c r="AH492" s="5"/>
      <c r="AN492" s="4"/>
      <c r="AO492" s="4"/>
      <c r="AP492" s="4"/>
      <c r="AQ492" s="4"/>
      <c r="AR492" s="4"/>
      <c r="AS492" s="4"/>
      <c r="AT492" s="4"/>
    </row>
    <row r="493" spans="12:46">
      <c r="L493" s="5"/>
      <c r="M493" s="5"/>
      <c r="W493" s="5"/>
      <c r="Z493" s="5"/>
      <c r="AA493" s="5"/>
      <c r="AD493" s="5"/>
      <c r="AG493" s="5"/>
      <c r="AH493" s="5"/>
      <c r="AN493" s="4"/>
      <c r="AO493" s="4"/>
      <c r="AP493" s="4"/>
      <c r="AQ493" s="4"/>
      <c r="AR493" s="4"/>
      <c r="AS493" s="4"/>
      <c r="AT493" s="4"/>
    </row>
    <row r="494" spans="12:46">
      <c r="L494" s="5"/>
      <c r="M494" s="5"/>
      <c r="W494" s="5"/>
      <c r="Z494" s="5"/>
      <c r="AA494" s="5"/>
      <c r="AD494" s="5"/>
      <c r="AG494" s="5"/>
      <c r="AH494" s="5"/>
      <c r="AN494" s="4"/>
      <c r="AO494" s="4"/>
      <c r="AP494" s="4"/>
      <c r="AQ494" s="4"/>
      <c r="AR494" s="4"/>
      <c r="AS494" s="4"/>
      <c r="AT494" s="4"/>
    </row>
    <row r="495" spans="12:46">
      <c r="L495" s="5"/>
      <c r="M495" s="5"/>
      <c r="W495" s="5"/>
      <c r="Z495" s="5"/>
      <c r="AA495" s="5"/>
      <c r="AD495" s="5"/>
      <c r="AG495" s="5"/>
      <c r="AH495" s="5"/>
      <c r="AN495" s="4"/>
      <c r="AO495" s="4"/>
      <c r="AP495" s="4"/>
      <c r="AQ495" s="4"/>
      <c r="AR495" s="4"/>
      <c r="AS495" s="4"/>
      <c r="AT495" s="4"/>
    </row>
    <row r="496" spans="12:46">
      <c r="L496" s="5"/>
      <c r="M496" s="5"/>
      <c r="W496" s="5"/>
      <c r="Z496" s="5"/>
      <c r="AA496" s="5"/>
      <c r="AD496" s="5"/>
      <c r="AG496" s="5"/>
      <c r="AH496" s="5"/>
      <c r="AN496" s="4"/>
      <c r="AO496" s="4"/>
      <c r="AP496" s="4"/>
      <c r="AQ496" s="4"/>
      <c r="AR496" s="4"/>
      <c r="AS496" s="4"/>
      <c r="AT496" s="4"/>
    </row>
    <row r="497" spans="12:46">
      <c r="L497" s="5"/>
      <c r="M497" s="5"/>
      <c r="W497" s="5"/>
      <c r="Z497" s="5"/>
      <c r="AA497" s="5"/>
      <c r="AD497" s="5"/>
      <c r="AG497" s="5"/>
      <c r="AH497" s="5"/>
      <c r="AN497" s="4"/>
      <c r="AO497" s="4"/>
      <c r="AP497" s="4"/>
      <c r="AQ497" s="4"/>
      <c r="AR497" s="4"/>
      <c r="AS497" s="4"/>
      <c r="AT497" s="4"/>
    </row>
    <row r="498" spans="12:46">
      <c r="L498" s="5"/>
      <c r="M498" s="5"/>
      <c r="W498" s="5"/>
      <c r="Z498" s="5"/>
      <c r="AA498" s="5"/>
      <c r="AD498" s="5"/>
      <c r="AG498" s="5"/>
      <c r="AH498" s="5"/>
      <c r="AN498" s="4"/>
      <c r="AO498" s="4"/>
      <c r="AP498" s="4"/>
      <c r="AQ498" s="4"/>
      <c r="AR498" s="4"/>
      <c r="AS498" s="4"/>
      <c r="AT498" s="4"/>
    </row>
    <row r="499" spans="12:46">
      <c r="L499" s="5"/>
      <c r="M499" s="5"/>
      <c r="W499" s="5"/>
      <c r="Z499" s="5"/>
      <c r="AA499" s="5"/>
      <c r="AD499" s="5"/>
      <c r="AG499" s="5"/>
      <c r="AH499" s="5"/>
      <c r="AN499" s="4"/>
      <c r="AO499" s="4"/>
      <c r="AP499" s="4"/>
      <c r="AQ499" s="4"/>
      <c r="AR499" s="4"/>
      <c r="AS499" s="4"/>
      <c r="AT499" s="4"/>
    </row>
    <row r="500" spans="12:46">
      <c r="L500" s="5"/>
      <c r="M500" s="5"/>
      <c r="W500" s="5"/>
      <c r="Z500" s="5"/>
      <c r="AA500" s="5"/>
      <c r="AD500" s="5"/>
      <c r="AG500" s="5"/>
      <c r="AH500" s="5"/>
      <c r="AN500" s="4"/>
      <c r="AO500" s="4"/>
      <c r="AP500" s="4"/>
      <c r="AQ500" s="4"/>
      <c r="AR500" s="4"/>
      <c r="AS500" s="4"/>
      <c r="AT500" s="4"/>
    </row>
    <row r="501" spans="12:46">
      <c r="L501" s="5"/>
      <c r="M501" s="5"/>
      <c r="W501" s="5"/>
      <c r="Z501" s="5"/>
      <c r="AA501" s="5"/>
      <c r="AD501" s="5"/>
      <c r="AG501" s="5"/>
      <c r="AH501" s="5"/>
      <c r="AN501" s="4"/>
      <c r="AO501" s="4"/>
      <c r="AP501" s="4"/>
      <c r="AQ501" s="4"/>
      <c r="AR501" s="4"/>
      <c r="AS501" s="4"/>
      <c r="AT501" s="4"/>
    </row>
    <row r="502" spans="12:46">
      <c r="L502" s="5"/>
      <c r="M502" s="5"/>
      <c r="W502" s="5"/>
      <c r="Z502" s="5"/>
      <c r="AA502" s="5"/>
      <c r="AD502" s="5"/>
      <c r="AG502" s="5"/>
      <c r="AH502" s="5"/>
      <c r="AN502" s="4"/>
      <c r="AO502" s="4"/>
      <c r="AP502" s="4"/>
      <c r="AQ502" s="4"/>
      <c r="AR502" s="4"/>
      <c r="AS502" s="4"/>
      <c r="AT502" s="4"/>
    </row>
    <row r="503" spans="12:46">
      <c r="L503" s="5"/>
      <c r="M503" s="5"/>
      <c r="W503" s="5"/>
      <c r="Z503" s="5"/>
      <c r="AA503" s="5"/>
      <c r="AD503" s="5"/>
      <c r="AG503" s="5"/>
      <c r="AH503" s="5"/>
      <c r="AN503" s="4"/>
      <c r="AO503" s="4"/>
      <c r="AP503" s="4"/>
      <c r="AQ503" s="4"/>
      <c r="AR503" s="4"/>
      <c r="AS503" s="4"/>
      <c r="AT503" s="4"/>
    </row>
    <row r="504" spans="12:46">
      <c r="L504" s="5"/>
      <c r="M504" s="5"/>
      <c r="W504" s="5"/>
      <c r="Z504" s="5"/>
      <c r="AA504" s="5"/>
      <c r="AD504" s="5"/>
      <c r="AG504" s="5"/>
      <c r="AH504" s="5"/>
      <c r="AN504" s="4"/>
      <c r="AO504" s="4"/>
      <c r="AP504" s="4"/>
      <c r="AQ504" s="4"/>
      <c r="AR504" s="4"/>
      <c r="AS504" s="4"/>
      <c r="AT504" s="4"/>
    </row>
    <row r="505" spans="12:46">
      <c r="L505" s="5"/>
      <c r="M505" s="5"/>
      <c r="W505" s="5"/>
      <c r="Z505" s="5"/>
      <c r="AA505" s="5"/>
      <c r="AD505" s="5"/>
      <c r="AG505" s="5"/>
      <c r="AH505" s="5"/>
      <c r="AN505" s="4"/>
      <c r="AO505" s="4"/>
      <c r="AP505" s="4"/>
      <c r="AQ505" s="4"/>
      <c r="AR505" s="4"/>
      <c r="AS505" s="4"/>
      <c r="AT505" s="4"/>
    </row>
    <row r="506" spans="12:46">
      <c r="L506" s="5"/>
      <c r="M506" s="5"/>
      <c r="W506" s="5"/>
      <c r="Z506" s="5"/>
      <c r="AA506" s="5"/>
      <c r="AD506" s="5"/>
      <c r="AG506" s="5"/>
      <c r="AH506" s="5"/>
      <c r="AN506" s="4"/>
      <c r="AO506" s="4"/>
      <c r="AP506" s="4"/>
      <c r="AQ506" s="4"/>
      <c r="AR506" s="4"/>
      <c r="AS506" s="4"/>
      <c r="AT506" s="4"/>
    </row>
    <row r="507" spans="12:46">
      <c r="L507" s="5"/>
      <c r="M507" s="5"/>
      <c r="W507" s="5"/>
      <c r="Z507" s="5"/>
      <c r="AA507" s="5"/>
      <c r="AD507" s="5"/>
      <c r="AG507" s="5"/>
      <c r="AH507" s="5"/>
      <c r="AN507" s="4"/>
      <c r="AO507" s="4"/>
      <c r="AP507" s="4"/>
      <c r="AQ507" s="4"/>
      <c r="AR507" s="4"/>
      <c r="AS507" s="4"/>
      <c r="AT507" s="4"/>
    </row>
    <row r="508" spans="12:46">
      <c r="L508" s="5"/>
      <c r="M508" s="5"/>
      <c r="W508" s="5"/>
      <c r="Z508" s="5"/>
      <c r="AA508" s="5"/>
      <c r="AD508" s="5"/>
      <c r="AG508" s="5"/>
      <c r="AH508" s="5"/>
      <c r="AN508" s="4"/>
      <c r="AO508" s="4"/>
      <c r="AP508" s="4"/>
      <c r="AQ508" s="4"/>
      <c r="AR508" s="4"/>
      <c r="AS508" s="4"/>
      <c r="AT508" s="4"/>
    </row>
    <row r="509" spans="12:46">
      <c r="L509" s="5"/>
      <c r="M509" s="5"/>
      <c r="W509" s="5"/>
      <c r="Z509" s="5"/>
      <c r="AA509" s="5"/>
      <c r="AD509" s="5"/>
      <c r="AG509" s="5"/>
      <c r="AH509" s="5"/>
      <c r="AN509" s="4"/>
      <c r="AO509" s="4"/>
      <c r="AP509" s="4"/>
      <c r="AQ509" s="4"/>
      <c r="AR509" s="4"/>
      <c r="AS509" s="4"/>
      <c r="AT509" s="4"/>
    </row>
    <row r="510" spans="12:46">
      <c r="L510" s="5"/>
      <c r="M510" s="5"/>
      <c r="W510" s="5"/>
      <c r="Z510" s="5"/>
      <c r="AA510" s="5"/>
      <c r="AD510" s="5"/>
      <c r="AG510" s="5"/>
      <c r="AH510" s="5"/>
      <c r="AN510" s="4"/>
      <c r="AO510" s="4"/>
      <c r="AP510" s="4"/>
      <c r="AQ510" s="4"/>
      <c r="AR510" s="4"/>
      <c r="AS510" s="4"/>
      <c r="AT510" s="4"/>
    </row>
    <row r="511" spans="12:46">
      <c r="L511" s="5"/>
      <c r="M511" s="5"/>
      <c r="W511" s="5"/>
      <c r="Z511" s="5"/>
      <c r="AA511" s="5"/>
      <c r="AD511" s="5"/>
      <c r="AG511" s="5"/>
      <c r="AH511" s="5"/>
      <c r="AN511" s="4"/>
      <c r="AO511" s="4"/>
      <c r="AP511" s="4"/>
      <c r="AQ511" s="4"/>
      <c r="AR511" s="4"/>
      <c r="AS511" s="4"/>
      <c r="AT511" s="4"/>
    </row>
    <row r="512" spans="12:46">
      <c r="L512" s="5"/>
      <c r="M512" s="5"/>
      <c r="W512" s="5"/>
      <c r="Z512" s="5"/>
      <c r="AA512" s="5"/>
      <c r="AD512" s="5"/>
      <c r="AG512" s="5"/>
      <c r="AH512" s="5"/>
      <c r="AN512" s="4"/>
      <c r="AO512" s="4"/>
      <c r="AP512" s="4"/>
      <c r="AQ512" s="4"/>
      <c r="AR512" s="4"/>
      <c r="AS512" s="4"/>
      <c r="AT512" s="4"/>
    </row>
    <row r="513" spans="12:46">
      <c r="L513" s="5"/>
      <c r="M513" s="5"/>
      <c r="W513" s="5"/>
      <c r="Z513" s="5"/>
      <c r="AA513" s="5"/>
      <c r="AD513" s="5"/>
      <c r="AG513" s="5"/>
      <c r="AH513" s="5"/>
      <c r="AN513" s="4"/>
      <c r="AO513" s="4"/>
      <c r="AP513" s="4"/>
      <c r="AQ513" s="4"/>
      <c r="AR513" s="4"/>
      <c r="AS513" s="4"/>
      <c r="AT513" s="4"/>
    </row>
    <row r="514" spans="12:46">
      <c r="L514" s="5"/>
      <c r="M514" s="5"/>
      <c r="W514" s="5"/>
      <c r="Z514" s="5"/>
      <c r="AA514" s="5"/>
      <c r="AD514" s="5"/>
      <c r="AG514" s="5"/>
      <c r="AH514" s="5"/>
      <c r="AN514" s="4"/>
      <c r="AO514" s="4"/>
      <c r="AP514" s="4"/>
      <c r="AQ514" s="4"/>
      <c r="AR514" s="4"/>
      <c r="AS514" s="4"/>
      <c r="AT514" s="4"/>
    </row>
    <row r="515" spans="12:46">
      <c r="L515" s="5"/>
      <c r="M515" s="5"/>
      <c r="W515" s="5"/>
      <c r="Z515" s="5"/>
      <c r="AA515" s="5"/>
      <c r="AD515" s="5"/>
      <c r="AG515" s="5"/>
      <c r="AH515" s="5"/>
      <c r="AN515" s="4"/>
      <c r="AO515" s="4"/>
      <c r="AP515" s="4"/>
      <c r="AQ515" s="4"/>
      <c r="AR515" s="4"/>
      <c r="AS515" s="4"/>
      <c r="AT515" s="4"/>
    </row>
    <row r="516" spans="12:46">
      <c r="L516" s="5"/>
      <c r="M516" s="5"/>
      <c r="W516" s="5"/>
      <c r="Z516" s="5"/>
      <c r="AA516" s="5"/>
      <c r="AD516" s="5"/>
      <c r="AG516" s="5"/>
      <c r="AH516" s="5"/>
      <c r="AN516" s="4"/>
      <c r="AO516" s="4"/>
      <c r="AP516" s="4"/>
      <c r="AQ516" s="4"/>
      <c r="AR516" s="4"/>
      <c r="AS516" s="4"/>
      <c r="AT516" s="4"/>
    </row>
    <row r="517" spans="12:46">
      <c r="L517" s="5"/>
      <c r="M517" s="5"/>
      <c r="W517" s="5"/>
      <c r="Z517" s="5"/>
      <c r="AA517" s="5"/>
      <c r="AD517" s="5"/>
      <c r="AG517" s="5"/>
      <c r="AH517" s="5"/>
      <c r="AN517" s="4"/>
      <c r="AO517" s="4"/>
      <c r="AP517" s="4"/>
      <c r="AQ517" s="4"/>
      <c r="AR517" s="4"/>
      <c r="AS517" s="4"/>
      <c r="AT517" s="4"/>
    </row>
    <row r="518" spans="12:46">
      <c r="L518" s="5"/>
      <c r="M518" s="5"/>
      <c r="W518" s="5"/>
      <c r="Z518" s="5"/>
      <c r="AA518" s="5"/>
      <c r="AD518" s="5"/>
      <c r="AG518" s="5"/>
      <c r="AH518" s="5"/>
      <c r="AN518" s="4"/>
      <c r="AO518" s="4"/>
      <c r="AP518" s="4"/>
      <c r="AQ518" s="4"/>
      <c r="AR518" s="4"/>
      <c r="AS518" s="4"/>
      <c r="AT518" s="4"/>
    </row>
    <row r="519" spans="12:46">
      <c r="L519" s="5"/>
      <c r="M519" s="5"/>
      <c r="W519" s="5"/>
      <c r="Z519" s="5"/>
      <c r="AA519" s="5"/>
      <c r="AD519" s="5"/>
      <c r="AG519" s="5"/>
      <c r="AH519" s="5"/>
      <c r="AN519" s="4"/>
      <c r="AO519" s="4"/>
      <c r="AP519" s="4"/>
      <c r="AQ519" s="4"/>
      <c r="AR519" s="4"/>
      <c r="AS519" s="4"/>
      <c r="AT519" s="4"/>
    </row>
    <row r="520" spans="12:46">
      <c r="L520" s="5"/>
      <c r="M520" s="5"/>
      <c r="W520" s="5"/>
      <c r="Z520" s="5"/>
      <c r="AA520" s="5"/>
      <c r="AD520" s="5"/>
      <c r="AG520" s="5"/>
      <c r="AH520" s="5"/>
      <c r="AN520" s="4"/>
      <c r="AO520" s="4"/>
      <c r="AP520" s="4"/>
      <c r="AQ520" s="4"/>
      <c r="AR520" s="4"/>
      <c r="AS520" s="4"/>
      <c r="AT520" s="4"/>
    </row>
    <row r="521" spans="12:46">
      <c r="L521" s="5"/>
      <c r="M521" s="5"/>
      <c r="W521" s="5"/>
      <c r="Z521" s="5"/>
      <c r="AA521" s="5"/>
      <c r="AD521" s="5"/>
      <c r="AG521" s="5"/>
      <c r="AH521" s="5"/>
      <c r="AN521" s="4"/>
      <c r="AO521" s="4"/>
      <c r="AP521" s="4"/>
      <c r="AQ521" s="4"/>
      <c r="AR521" s="4"/>
      <c r="AS521" s="4"/>
      <c r="AT521" s="4"/>
    </row>
    <row r="522" spans="12:46">
      <c r="L522" s="5"/>
      <c r="M522" s="5"/>
      <c r="W522" s="5"/>
      <c r="Z522" s="5"/>
      <c r="AA522" s="5"/>
      <c r="AD522" s="5"/>
      <c r="AG522" s="5"/>
      <c r="AH522" s="5"/>
      <c r="AN522" s="4"/>
      <c r="AO522" s="4"/>
      <c r="AP522" s="4"/>
      <c r="AQ522" s="4"/>
      <c r="AR522" s="4"/>
      <c r="AS522" s="4"/>
      <c r="AT522" s="4"/>
    </row>
    <row r="523" spans="12:46">
      <c r="L523" s="5"/>
      <c r="M523" s="5"/>
      <c r="W523" s="5"/>
      <c r="Z523" s="5"/>
      <c r="AA523" s="5"/>
      <c r="AD523" s="5"/>
      <c r="AG523" s="5"/>
      <c r="AH523" s="5"/>
      <c r="AN523" s="4"/>
      <c r="AO523" s="4"/>
      <c r="AP523" s="4"/>
      <c r="AQ523" s="4"/>
      <c r="AR523" s="4"/>
      <c r="AS523" s="4"/>
      <c r="AT523" s="4"/>
    </row>
    <row r="524" spans="12:46">
      <c r="L524" s="5"/>
      <c r="M524" s="5"/>
      <c r="W524" s="5"/>
      <c r="Z524" s="5"/>
      <c r="AA524" s="5"/>
      <c r="AD524" s="5"/>
      <c r="AG524" s="5"/>
      <c r="AH524" s="5"/>
      <c r="AN524" s="4"/>
      <c r="AO524" s="4"/>
      <c r="AP524" s="4"/>
      <c r="AQ524" s="4"/>
      <c r="AR524" s="4"/>
      <c r="AS524" s="4"/>
      <c r="AT524" s="4"/>
    </row>
    <row r="525" spans="12:46">
      <c r="L525" s="5"/>
      <c r="M525" s="5"/>
      <c r="W525" s="5"/>
      <c r="Z525" s="5"/>
      <c r="AA525" s="5"/>
      <c r="AD525" s="5"/>
      <c r="AG525" s="5"/>
      <c r="AH525" s="5"/>
      <c r="AN525" s="4"/>
      <c r="AO525" s="4"/>
      <c r="AP525" s="4"/>
      <c r="AQ525" s="4"/>
      <c r="AR525" s="4"/>
      <c r="AS525" s="4"/>
      <c r="AT525" s="4"/>
    </row>
    <row r="526" spans="12:46">
      <c r="L526" s="5"/>
      <c r="M526" s="5"/>
      <c r="W526" s="5"/>
      <c r="Z526" s="5"/>
      <c r="AA526" s="5"/>
      <c r="AD526" s="5"/>
      <c r="AG526" s="5"/>
      <c r="AH526" s="5"/>
      <c r="AN526" s="4"/>
      <c r="AO526" s="4"/>
      <c r="AP526" s="4"/>
      <c r="AQ526" s="4"/>
      <c r="AR526" s="4"/>
      <c r="AS526" s="4"/>
      <c r="AT526" s="4"/>
    </row>
    <row r="527" spans="12:46">
      <c r="L527" s="5"/>
      <c r="M527" s="5"/>
      <c r="W527" s="5"/>
      <c r="Z527" s="5"/>
      <c r="AA527" s="5"/>
      <c r="AD527" s="5"/>
      <c r="AG527" s="5"/>
      <c r="AH527" s="5"/>
      <c r="AN527" s="4"/>
      <c r="AO527" s="4"/>
      <c r="AP527" s="4"/>
      <c r="AQ527" s="4"/>
      <c r="AR527" s="4"/>
      <c r="AS527" s="4"/>
      <c r="AT527" s="4"/>
    </row>
    <row r="528" spans="12:46">
      <c r="L528" s="5"/>
      <c r="M528" s="5"/>
      <c r="W528" s="5"/>
      <c r="Z528" s="5"/>
      <c r="AA528" s="5"/>
      <c r="AD528" s="5"/>
      <c r="AG528" s="5"/>
      <c r="AH528" s="5"/>
      <c r="AN528" s="4"/>
      <c r="AO528" s="4"/>
      <c r="AP528" s="4"/>
      <c r="AQ528" s="4"/>
      <c r="AR528" s="4"/>
      <c r="AS528" s="4"/>
      <c r="AT528" s="4"/>
    </row>
    <row r="529" spans="12:46">
      <c r="L529" s="5"/>
      <c r="M529" s="5"/>
      <c r="W529" s="5"/>
      <c r="Z529" s="5"/>
      <c r="AA529" s="5"/>
      <c r="AD529" s="5"/>
      <c r="AG529" s="5"/>
      <c r="AH529" s="5"/>
      <c r="AN529" s="4"/>
      <c r="AO529" s="4"/>
      <c r="AP529" s="4"/>
      <c r="AQ529" s="4"/>
      <c r="AR529" s="4"/>
      <c r="AS529" s="4"/>
      <c r="AT529" s="4"/>
    </row>
    <row r="530" spans="12:46">
      <c r="L530" s="5"/>
      <c r="M530" s="5"/>
      <c r="W530" s="5"/>
      <c r="Z530" s="5"/>
      <c r="AA530" s="5"/>
      <c r="AD530" s="5"/>
      <c r="AG530" s="5"/>
      <c r="AH530" s="5"/>
      <c r="AN530" s="4"/>
      <c r="AO530" s="4"/>
      <c r="AP530" s="4"/>
      <c r="AQ530" s="4"/>
      <c r="AR530" s="4"/>
      <c r="AS530" s="4"/>
      <c r="AT530" s="4"/>
    </row>
    <row r="531" spans="12:46">
      <c r="L531" s="5"/>
      <c r="M531" s="5"/>
      <c r="W531" s="5"/>
      <c r="Z531" s="5"/>
      <c r="AA531" s="5"/>
      <c r="AD531" s="5"/>
      <c r="AG531" s="5"/>
      <c r="AH531" s="5"/>
      <c r="AN531" s="4"/>
      <c r="AO531" s="4"/>
      <c r="AP531" s="4"/>
      <c r="AQ531" s="4"/>
      <c r="AR531" s="4"/>
      <c r="AS531" s="4"/>
      <c r="AT531" s="4"/>
    </row>
    <row r="532" spans="12:46">
      <c r="L532" s="5"/>
      <c r="M532" s="5"/>
      <c r="W532" s="5"/>
      <c r="Z532" s="5"/>
      <c r="AA532" s="5"/>
      <c r="AD532" s="5"/>
      <c r="AG532" s="5"/>
      <c r="AH532" s="5"/>
      <c r="AN532" s="4"/>
      <c r="AO532" s="4"/>
      <c r="AP532" s="4"/>
      <c r="AQ532" s="4"/>
      <c r="AR532" s="4"/>
      <c r="AS532" s="4"/>
      <c r="AT532" s="4"/>
    </row>
    <row r="533" spans="12:46">
      <c r="L533" s="5"/>
      <c r="M533" s="5"/>
      <c r="W533" s="5"/>
      <c r="Z533" s="5"/>
      <c r="AA533" s="5"/>
      <c r="AD533" s="5"/>
      <c r="AG533" s="5"/>
      <c r="AH533" s="5"/>
      <c r="AN533" s="4"/>
      <c r="AO533" s="4"/>
      <c r="AP533" s="4"/>
      <c r="AQ533" s="4"/>
      <c r="AR533" s="4"/>
      <c r="AS533" s="4"/>
      <c r="AT533" s="4"/>
    </row>
    <row r="534" spans="12:46">
      <c r="L534" s="5"/>
      <c r="M534" s="5"/>
      <c r="W534" s="5"/>
      <c r="Z534" s="5"/>
      <c r="AA534" s="5"/>
      <c r="AD534" s="5"/>
      <c r="AG534" s="5"/>
      <c r="AH534" s="5"/>
      <c r="AN534" s="4"/>
      <c r="AO534" s="4"/>
      <c r="AP534" s="4"/>
      <c r="AQ534" s="4"/>
      <c r="AR534" s="4"/>
      <c r="AS534" s="4"/>
      <c r="AT534" s="4"/>
    </row>
    <row r="535" spans="12:46">
      <c r="L535" s="5"/>
      <c r="M535" s="5"/>
      <c r="W535" s="5"/>
      <c r="Z535" s="5"/>
      <c r="AA535" s="5"/>
      <c r="AD535" s="5"/>
      <c r="AG535" s="5"/>
      <c r="AH535" s="5"/>
      <c r="AN535" s="4"/>
      <c r="AO535" s="4"/>
      <c r="AP535" s="4"/>
      <c r="AQ535" s="4"/>
      <c r="AR535" s="4"/>
      <c r="AS535" s="4"/>
      <c r="AT535" s="4"/>
    </row>
    <row r="536" spans="12:46">
      <c r="L536" s="5"/>
      <c r="M536" s="5"/>
      <c r="W536" s="5"/>
      <c r="Z536" s="5"/>
      <c r="AA536" s="5"/>
      <c r="AD536" s="5"/>
      <c r="AG536" s="5"/>
      <c r="AH536" s="5"/>
      <c r="AN536" s="4"/>
      <c r="AO536" s="4"/>
      <c r="AP536" s="4"/>
      <c r="AQ536" s="4"/>
      <c r="AR536" s="4"/>
      <c r="AS536" s="4"/>
      <c r="AT536" s="4"/>
    </row>
    <row r="537" spans="12:46">
      <c r="L537" s="5"/>
      <c r="M537" s="5"/>
      <c r="W537" s="5"/>
      <c r="Z537" s="5"/>
      <c r="AA537" s="5"/>
      <c r="AD537" s="5"/>
      <c r="AG537" s="5"/>
      <c r="AH537" s="5"/>
      <c r="AN537" s="4"/>
      <c r="AO537" s="4"/>
      <c r="AP537" s="4"/>
      <c r="AQ537" s="4"/>
      <c r="AR537" s="4"/>
      <c r="AS537" s="4"/>
      <c r="AT537" s="4"/>
    </row>
    <row r="538" spans="12:46">
      <c r="L538" s="5"/>
      <c r="M538" s="5"/>
      <c r="W538" s="5"/>
      <c r="Z538" s="5"/>
      <c r="AA538" s="5"/>
      <c r="AD538" s="5"/>
      <c r="AG538" s="5"/>
      <c r="AH538" s="5"/>
      <c r="AN538" s="4"/>
      <c r="AO538" s="4"/>
      <c r="AP538" s="4"/>
      <c r="AQ538" s="4"/>
      <c r="AR538" s="4"/>
      <c r="AS538" s="4"/>
      <c r="AT538" s="4"/>
    </row>
    <row r="539" spans="12:46">
      <c r="L539" s="5"/>
      <c r="M539" s="5"/>
      <c r="W539" s="5"/>
      <c r="Z539" s="5"/>
      <c r="AA539" s="5"/>
      <c r="AD539" s="5"/>
      <c r="AG539" s="5"/>
      <c r="AH539" s="5"/>
      <c r="AN539" s="4"/>
      <c r="AO539" s="4"/>
      <c r="AP539" s="4"/>
      <c r="AQ539" s="4"/>
      <c r="AR539" s="4"/>
      <c r="AS539" s="4"/>
      <c r="AT539" s="4"/>
    </row>
    <row r="540" spans="12:46">
      <c r="L540" s="5"/>
      <c r="M540" s="5"/>
      <c r="W540" s="5"/>
      <c r="Z540" s="5"/>
      <c r="AA540" s="5"/>
      <c r="AD540" s="5"/>
      <c r="AG540" s="5"/>
      <c r="AH540" s="5"/>
      <c r="AN540" s="4"/>
      <c r="AO540" s="4"/>
      <c r="AP540" s="4"/>
      <c r="AQ540" s="4"/>
      <c r="AR540" s="4"/>
      <c r="AS540" s="4"/>
      <c r="AT540" s="4"/>
    </row>
    <row r="541" spans="12:46">
      <c r="L541" s="5"/>
      <c r="M541" s="5"/>
      <c r="W541" s="5"/>
      <c r="Z541" s="5"/>
      <c r="AA541" s="5"/>
      <c r="AD541" s="5"/>
      <c r="AG541" s="5"/>
      <c r="AH541" s="5"/>
      <c r="AN541" s="4"/>
      <c r="AO541" s="4"/>
      <c r="AP541" s="4"/>
      <c r="AQ541" s="4"/>
      <c r="AR541" s="4"/>
      <c r="AS541" s="4"/>
      <c r="AT541" s="4"/>
    </row>
    <row r="542" spans="12:46">
      <c r="L542" s="5"/>
      <c r="M542" s="5"/>
      <c r="W542" s="5"/>
      <c r="Z542" s="5"/>
      <c r="AA542" s="5"/>
      <c r="AD542" s="5"/>
      <c r="AG542" s="5"/>
      <c r="AH542" s="5"/>
      <c r="AN542" s="4"/>
      <c r="AO542" s="4"/>
      <c r="AP542" s="4"/>
      <c r="AQ542" s="4"/>
      <c r="AR542" s="4"/>
      <c r="AS542" s="4"/>
      <c r="AT542" s="4"/>
    </row>
    <row r="543" spans="12:46">
      <c r="L543" s="5"/>
      <c r="M543" s="5"/>
      <c r="W543" s="5"/>
      <c r="Z543" s="5"/>
      <c r="AA543" s="5"/>
      <c r="AD543" s="5"/>
      <c r="AG543" s="5"/>
      <c r="AH543" s="5"/>
      <c r="AN543" s="4"/>
      <c r="AO543" s="4"/>
      <c r="AP543" s="4"/>
      <c r="AQ543" s="4"/>
      <c r="AR543" s="4"/>
      <c r="AS543" s="4"/>
      <c r="AT543" s="4"/>
    </row>
    <row r="544" spans="12:46">
      <c r="L544" s="5"/>
      <c r="M544" s="5"/>
      <c r="W544" s="5"/>
      <c r="Z544" s="5"/>
      <c r="AA544" s="5"/>
      <c r="AD544" s="5"/>
      <c r="AG544" s="5"/>
      <c r="AH544" s="5"/>
      <c r="AN544" s="4"/>
      <c r="AO544" s="4"/>
      <c r="AP544" s="4"/>
      <c r="AQ544" s="4"/>
      <c r="AR544" s="4"/>
      <c r="AS544" s="4"/>
      <c r="AT544" s="4"/>
    </row>
    <row r="545" spans="12:46">
      <c r="L545" s="5"/>
      <c r="M545" s="5"/>
      <c r="W545" s="5"/>
      <c r="Z545" s="5"/>
      <c r="AA545" s="5"/>
      <c r="AD545" s="5"/>
      <c r="AG545" s="5"/>
      <c r="AH545" s="5"/>
      <c r="AN545" s="4"/>
      <c r="AO545" s="4"/>
      <c r="AP545" s="4"/>
      <c r="AQ545" s="4"/>
      <c r="AR545" s="4"/>
      <c r="AS545" s="4"/>
      <c r="AT545" s="4"/>
    </row>
    <row r="546" spans="12:46">
      <c r="L546" s="5"/>
      <c r="M546" s="5"/>
      <c r="W546" s="5"/>
      <c r="Z546" s="5"/>
      <c r="AA546" s="5"/>
      <c r="AD546" s="5"/>
      <c r="AG546" s="5"/>
      <c r="AH546" s="5"/>
      <c r="AN546" s="4"/>
      <c r="AO546" s="4"/>
      <c r="AP546" s="4"/>
      <c r="AQ546" s="4"/>
      <c r="AR546" s="4"/>
      <c r="AS546" s="4"/>
      <c r="AT546" s="4"/>
    </row>
    <row r="547" spans="12:46">
      <c r="L547" s="5"/>
      <c r="M547" s="5"/>
      <c r="W547" s="5"/>
      <c r="Z547" s="5"/>
      <c r="AA547" s="5"/>
      <c r="AD547" s="5"/>
      <c r="AG547" s="5"/>
      <c r="AH547" s="5"/>
      <c r="AN547" s="4"/>
      <c r="AO547" s="4"/>
      <c r="AP547" s="4"/>
      <c r="AQ547" s="4"/>
      <c r="AR547" s="4"/>
      <c r="AS547" s="4"/>
      <c r="AT547" s="4"/>
    </row>
    <row r="548" spans="12:46">
      <c r="L548" s="5"/>
      <c r="M548" s="5"/>
      <c r="W548" s="5"/>
      <c r="Z548" s="5"/>
      <c r="AA548" s="5"/>
      <c r="AD548" s="5"/>
      <c r="AG548" s="5"/>
      <c r="AH548" s="5"/>
      <c r="AN548" s="4"/>
      <c r="AO548" s="4"/>
      <c r="AP548" s="4"/>
      <c r="AQ548" s="4"/>
      <c r="AR548" s="4"/>
      <c r="AS548" s="4"/>
      <c r="AT548" s="4"/>
    </row>
    <row r="549" spans="12:46">
      <c r="L549" s="5"/>
      <c r="M549" s="5"/>
      <c r="W549" s="5"/>
      <c r="Z549" s="5"/>
      <c r="AA549" s="5"/>
      <c r="AD549" s="5"/>
      <c r="AG549" s="5"/>
      <c r="AH549" s="5"/>
      <c r="AN549" s="4"/>
      <c r="AO549" s="4"/>
      <c r="AP549" s="4"/>
      <c r="AQ549" s="4"/>
      <c r="AR549" s="4"/>
      <c r="AS549" s="4"/>
      <c r="AT549" s="4"/>
    </row>
    <row r="550" spans="12:46">
      <c r="L550" s="5"/>
      <c r="M550" s="5"/>
      <c r="W550" s="5"/>
      <c r="Z550" s="5"/>
      <c r="AA550" s="5"/>
      <c r="AD550" s="5"/>
      <c r="AG550" s="5"/>
      <c r="AH550" s="5"/>
      <c r="AN550" s="4"/>
      <c r="AO550" s="4"/>
      <c r="AP550" s="4"/>
      <c r="AQ550" s="4"/>
      <c r="AR550" s="4"/>
      <c r="AS550" s="4"/>
      <c r="AT550" s="4"/>
    </row>
    <row r="551" spans="12:46">
      <c r="L551" s="5"/>
      <c r="M551" s="5"/>
      <c r="W551" s="5"/>
      <c r="Z551" s="5"/>
      <c r="AA551" s="5"/>
      <c r="AD551" s="5"/>
      <c r="AG551" s="5"/>
      <c r="AH551" s="5"/>
      <c r="AN551" s="4"/>
      <c r="AO551" s="4"/>
      <c r="AP551" s="4"/>
      <c r="AQ551" s="4"/>
      <c r="AR551" s="4"/>
      <c r="AS551" s="4"/>
      <c r="AT551" s="4"/>
    </row>
    <row r="552" spans="12:46">
      <c r="L552" s="5"/>
      <c r="M552" s="5"/>
      <c r="W552" s="5"/>
      <c r="Z552" s="5"/>
      <c r="AA552" s="5"/>
      <c r="AD552" s="5"/>
      <c r="AG552" s="5"/>
      <c r="AH552" s="5"/>
      <c r="AN552" s="4"/>
      <c r="AO552" s="4"/>
      <c r="AP552" s="4"/>
      <c r="AQ552" s="4"/>
      <c r="AR552" s="4"/>
      <c r="AS552" s="4"/>
      <c r="AT552" s="4"/>
    </row>
    <row r="553" spans="12:46">
      <c r="L553" s="5"/>
      <c r="M553" s="5"/>
      <c r="W553" s="5"/>
      <c r="Z553" s="5"/>
      <c r="AA553" s="5"/>
      <c r="AD553" s="5"/>
      <c r="AG553" s="5"/>
      <c r="AH553" s="5"/>
      <c r="AN553" s="4"/>
      <c r="AO553" s="4"/>
      <c r="AP553" s="4"/>
      <c r="AQ553" s="4"/>
      <c r="AR553" s="4"/>
      <c r="AS553" s="4"/>
      <c r="AT553" s="4"/>
    </row>
    <row r="554" spans="12:46">
      <c r="L554" s="5"/>
      <c r="M554" s="5"/>
      <c r="W554" s="5"/>
      <c r="Z554" s="5"/>
      <c r="AA554" s="5"/>
      <c r="AD554" s="5"/>
      <c r="AG554" s="5"/>
      <c r="AH554" s="5"/>
      <c r="AN554" s="4"/>
      <c r="AO554" s="4"/>
      <c r="AP554" s="4"/>
      <c r="AQ554" s="4"/>
      <c r="AR554" s="4"/>
      <c r="AS554" s="4"/>
      <c r="AT554" s="4"/>
    </row>
    <row r="555" spans="12:46">
      <c r="L555" s="5"/>
      <c r="M555" s="5"/>
      <c r="W555" s="5"/>
      <c r="Z555" s="5"/>
      <c r="AA555" s="5"/>
      <c r="AD555" s="5"/>
      <c r="AG555" s="5"/>
      <c r="AH555" s="5"/>
      <c r="AN555" s="4"/>
      <c r="AO555" s="4"/>
      <c r="AP555" s="4"/>
      <c r="AQ555" s="4"/>
      <c r="AR555" s="4"/>
      <c r="AS555" s="4"/>
      <c r="AT555" s="4"/>
    </row>
    <row r="556" spans="12:46">
      <c r="L556" s="5"/>
      <c r="M556" s="5"/>
      <c r="W556" s="5"/>
      <c r="Z556" s="5"/>
      <c r="AA556" s="5"/>
      <c r="AD556" s="5"/>
      <c r="AG556" s="5"/>
      <c r="AH556" s="5"/>
      <c r="AN556" s="4"/>
      <c r="AO556" s="4"/>
      <c r="AP556" s="4"/>
      <c r="AQ556" s="4"/>
      <c r="AR556" s="4"/>
      <c r="AS556" s="4"/>
      <c r="AT556" s="4"/>
    </row>
    <row r="557" spans="12:46">
      <c r="L557" s="5"/>
      <c r="M557" s="5"/>
      <c r="W557" s="5"/>
      <c r="Z557" s="5"/>
      <c r="AA557" s="5"/>
      <c r="AD557" s="5"/>
      <c r="AG557" s="5"/>
      <c r="AH557" s="5"/>
      <c r="AN557" s="4"/>
      <c r="AO557" s="4"/>
      <c r="AP557" s="4"/>
      <c r="AQ557" s="4"/>
      <c r="AR557" s="4"/>
      <c r="AS557" s="4"/>
      <c r="AT557" s="4"/>
    </row>
    <row r="558" spans="12:46">
      <c r="L558" s="5"/>
      <c r="M558" s="5"/>
      <c r="W558" s="5"/>
      <c r="Z558" s="5"/>
      <c r="AA558" s="5"/>
      <c r="AD558" s="5"/>
      <c r="AG558" s="5"/>
      <c r="AH558" s="5"/>
      <c r="AN558" s="4"/>
      <c r="AO558" s="4"/>
      <c r="AP558" s="4"/>
      <c r="AQ558" s="4"/>
      <c r="AR558" s="4"/>
      <c r="AS558" s="4"/>
      <c r="AT558" s="4"/>
    </row>
    <row r="559" spans="12:46">
      <c r="L559" s="5"/>
      <c r="M559" s="5"/>
      <c r="W559" s="5"/>
      <c r="Z559" s="5"/>
      <c r="AA559" s="5"/>
      <c r="AD559" s="5"/>
      <c r="AG559" s="5"/>
      <c r="AH559" s="5"/>
      <c r="AN559" s="4"/>
      <c r="AO559" s="4"/>
      <c r="AP559" s="4"/>
      <c r="AQ559" s="4"/>
      <c r="AR559" s="4"/>
      <c r="AS559" s="4"/>
      <c r="AT559" s="4"/>
    </row>
    <row r="560" spans="12:46">
      <c r="L560" s="5"/>
      <c r="M560" s="5"/>
      <c r="W560" s="5"/>
      <c r="Z560" s="5"/>
      <c r="AA560" s="5"/>
      <c r="AD560" s="5"/>
      <c r="AG560" s="5"/>
      <c r="AH560" s="5"/>
      <c r="AN560" s="4"/>
      <c r="AO560" s="4"/>
      <c r="AP560" s="4"/>
      <c r="AQ560" s="4"/>
      <c r="AR560" s="4"/>
      <c r="AS560" s="4"/>
      <c r="AT560" s="4"/>
    </row>
    <row r="561" spans="12:46">
      <c r="L561" s="5"/>
      <c r="M561" s="5"/>
      <c r="W561" s="5"/>
      <c r="Z561" s="5"/>
      <c r="AA561" s="5"/>
      <c r="AD561" s="5"/>
      <c r="AG561" s="5"/>
      <c r="AH561" s="5"/>
      <c r="AN561" s="4"/>
      <c r="AO561" s="4"/>
      <c r="AP561" s="4"/>
      <c r="AQ561" s="4"/>
      <c r="AR561" s="4"/>
      <c r="AS561" s="4"/>
      <c r="AT561" s="4"/>
    </row>
    <row r="562" spans="12:46">
      <c r="L562" s="5"/>
      <c r="M562" s="5"/>
      <c r="W562" s="5"/>
      <c r="Z562" s="5"/>
      <c r="AA562" s="5"/>
      <c r="AD562" s="5"/>
      <c r="AG562" s="5"/>
      <c r="AH562" s="5"/>
      <c r="AN562" s="4"/>
      <c r="AO562" s="4"/>
      <c r="AP562" s="4"/>
      <c r="AQ562" s="4"/>
      <c r="AR562" s="4"/>
      <c r="AS562" s="4"/>
      <c r="AT562" s="4"/>
    </row>
    <row r="563" spans="12:46">
      <c r="L563" s="5"/>
      <c r="M563" s="5"/>
      <c r="W563" s="5"/>
      <c r="Z563" s="5"/>
      <c r="AA563" s="5"/>
      <c r="AD563" s="5"/>
      <c r="AG563" s="5"/>
      <c r="AH563" s="5"/>
      <c r="AN563" s="4"/>
      <c r="AO563" s="4"/>
      <c r="AP563" s="4"/>
      <c r="AQ563" s="4"/>
      <c r="AR563" s="4"/>
      <c r="AS563" s="4"/>
      <c r="AT563" s="4"/>
    </row>
    <row r="564" spans="12:46">
      <c r="L564" s="5"/>
      <c r="M564" s="5"/>
      <c r="W564" s="5"/>
      <c r="Z564" s="5"/>
      <c r="AA564" s="5"/>
      <c r="AD564" s="5"/>
      <c r="AG564" s="5"/>
      <c r="AH564" s="5"/>
      <c r="AN564" s="4"/>
      <c r="AO564" s="4"/>
      <c r="AP564" s="4"/>
      <c r="AQ564" s="4"/>
      <c r="AR564" s="4"/>
      <c r="AS564" s="4"/>
      <c r="AT564" s="4"/>
    </row>
    <row r="565" spans="12:46">
      <c r="L565" s="5"/>
      <c r="M565" s="5"/>
      <c r="W565" s="5"/>
      <c r="Z565" s="5"/>
      <c r="AA565" s="5"/>
      <c r="AD565" s="5"/>
      <c r="AG565" s="5"/>
      <c r="AH565" s="5"/>
      <c r="AN565" s="4"/>
      <c r="AO565" s="4"/>
      <c r="AP565" s="4"/>
      <c r="AQ565" s="4"/>
      <c r="AR565" s="4"/>
      <c r="AS565" s="4"/>
      <c r="AT565" s="4"/>
    </row>
    <row r="566" spans="12:46">
      <c r="L566" s="5"/>
      <c r="M566" s="5"/>
      <c r="W566" s="5"/>
      <c r="Z566" s="5"/>
      <c r="AA566" s="5"/>
      <c r="AD566" s="5"/>
      <c r="AG566" s="5"/>
      <c r="AH566" s="5"/>
      <c r="AN566" s="4"/>
      <c r="AO566" s="4"/>
      <c r="AP566" s="4"/>
      <c r="AQ566" s="4"/>
      <c r="AR566" s="4"/>
      <c r="AS566" s="4"/>
      <c r="AT566" s="4"/>
    </row>
    <row r="567" spans="12:46">
      <c r="L567" s="5"/>
      <c r="M567" s="5"/>
      <c r="W567" s="5"/>
      <c r="Z567" s="5"/>
      <c r="AA567" s="5"/>
      <c r="AD567" s="5"/>
      <c r="AG567" s="5"/>
      <c r="AH567" s="5"/>
      <c r="AN567" s="4"/>
      <c r="AO567" s="4"/>
      <c r="AP567" s="4"/>
      <c r="AQ567" s="4"/>
      <c r="AR567" s="4"/>
      <c r="AS567" s="4"/>
      <c r="AT567" s="4"/>
    </row>
    <row r="568" spans="12:46">
      <c r="L568" s="5"/>
      <c r="M568" s="5"/>
      <c r="W568" s="5"/>
      <c r="Z568" s="5"/>
      <c r="AA568" s="5"/>
      <c r="AD568" s="5"/>
      <c r="AG568" s="5"/>
      <c r="AH568" s="5"/>
      <c r="AN568" s="4"/>
      <c r="AO568" s="4"/>
      <c r="AP568" s="4"/>
      <c r="AQ568" s="4"/>
      <c r="AR568" s="4"/>
      <c r="AS568" s="4"/>
      <c r="AT568" s="4"/>
    </row>
    <row r="569" spans="12:46">
      <c r="L569" s="5"/>
      <c r="M569" s="5"/>
      <c r="W569" s="5"/>
      <c r="Z569" s="5"/>
      <c r="AA569" s="5"/>
      <c r="AD569" s="5"/>
      <c r="AG569" s="5"/>
      <c r="AH569" s="5"/>
      <c r="AN569" s="4"/>
      <c r="AO569" s="4"/>
      <c r="AP569" s="4"/>
      <c r="AQ569" s="4"/>
      <c r="AR569" s="4"/>
      <c r="AS569" s="4"/>
      <c r="AT569" s="4"/>
    </row>
    <row r="570" spans="12:46">
      <c r="L570" s="5"/>
      <c r="M570" s="5"/>
      <c r="W570" s="5"/>
      <c r="Z570" s="5"/>
      <c r="AA570" s="5"/>
      <c r="AD570" s="5"/>
      <c r="AG570" s="5"/>
      <c r="AH570" s="5"/>
      <c r="AN570" s="4"/>
      <c r="AO570" s="4"/>
      <c r="AP570" s="4"/>
      <c r="AQ570" s="4"/>
      <c r="AR570" s="4"/>
      <c r="AS570" s="4"/>
      <c r="AT570" s="4"/>
    </row>
    <row r="571" spans="12:46">
      <c r="L571" s="5"/>
      <c r="M571" s="5"/>
      <c r="W571" s="5"/>
      <c r="Z571" s="5"/>
      <c r="AA571" s="5"/>
      <c r="AD571" s="5"/>
      <c r="AG571" s="5"/>
      <c r="AH571" s="5"/>
      <c r="AN571" s="4"/>
      <c r="AO571" s="4"/>
      <c r="AP571" s="4"/>
      <c r="AQ571" s="4"/>
      <c r="AR571" s="4"/>
      <c r="AS571" s="4"/>
      <c r="AT571" s="4"/>
    </row>
    <row r="572" spans="12:46">
      <c r="L572" s="5"/>
      <c r="M572" s="5"/>
      <c r="W572" s="5"/>
      <c r="Z572" s="5"/>
      <c r="AA572" s="5"/>
      <c r="AD572" s="5"/>
      <c r="AG572" s="5"/>
      <c r="AH572" s="5"/>
      <c r="AN572" s="4"/>
      <c r="AO572" s="4"/>
      <c r="AP572" s="4"/>
      <c r="AQ572" s="4"/>
      <c r="AR572" s="4"/>
      <c r="AS572" s="4"/>
      <c r="AT572" s="4"/>
    </row>
    <row r="573" spans="12:46">
      <c r="L573" s="5"/>
      <c r="M573" s="5"/>
      <c r="W573" s="5"/>
      <c r="Z573" s="5"/>
      <c r="AA573" s="5"/>
      <c r="AD573" s="5"/>
      <c r="AG573" s="5"/>
      <c r="AH573" s="5"/>
      <c r="AN573" s="4"/>
      <c r="AO573" s="4"/>
      <c r="AP573" s="4"/>
      <c r="AQ573" s="4"/>
      <c r="AR573" s="4"/>
      <c r="AS573" s="4"/>
      <c r="AT573" s="4"/>
    </row>
    <row r="574" spans="12:46">
      <c r="L574" s="5"/>
      <c r="M574" s="5"/>
      <c r="W574" s="5"/>
      <c r="Z574" s="5"/>
      <c r="AA574" s="5"/>
      <c r="AD574" s="5"/>
      <c r="AG574" s="5"/>
      <c r="AH574" s="5"/>
      <c r="AN574" s="4"/>
      <c r="AO574" s="4"/>
      <c r="AP574" s="4"/>
      <c r="AQ574" s="4"/>
      <c r="AR574" s="4"/>
      <c r="AS574" s="4"/>
      <c r="AT574" s="4"/>
    </row>
    <row r="575" spans="12:46">
      <c r="L575" s="5"/>
      <c r="M575" s="5"/>
      <c r="W575" s="5"/>
      <c r="Z575" s="5"/>
      <c r="AA575" s="5"/>
      <c r="AD575" s="5"/>
      <c r="AG575" s="5"/>
      <c r="AH575" s="5"/>
      <c r="AN575" s="4"/>
      <c r="AO575" s="4"/>
      <c r="AP575" s="4"/>
      <c r="AQ575" s="4"/>
      <c r="AR575" s="4"/>
      <c r="AS575" s="4"/>
      <c r="AT575" s="4"/>
    </row>
    <row r="576" spans="12:46">
      <c r="L576" s="5"/>
      <c r="M576" s="5"/>
      <c r="W576" s="5"/>
      <c r="Z576" s="5"/>
      <c r="AA576" s="5"/>
      <c r="AD576" s="5"/>
      <c r="AG576" s="5"/>
      <c r="AH576" s="5"/>
      <c r="AN576" s="4"/>
      <c r="AO576" s="4"/>
      <c r="AP576" s="4"/>
      <c r="AQ576" s="4"/>
      <c r="AR576" s="4"/>
      <c r="AS576" s="4"/>
      <c r="AT576" s="4"/>
    </row>
    <row r="577" spans="12:46">
      <c r="L577" s="5"/>
      <c r="M577" s="5"/>
      <c r="W577" s="5"/>
      <c r="Z577" s="5"/>
      <c r="AA577" s="5"/>
      <c r="AD577" s="5"/>
      <c r="AG577" s="5"/>
      <c r="AH577" s="5"/>
      <c r="AN577" s="4"/>
      <c r="AO577" s="4"/>
      <c r="AP577" s="4"/>
      <c r="AQ577" s="4"/>
      <c r="AR577" s="4"/>
      <c r="AS577" s="4"/>
      <c r="AT577" s="4"/>
    </row>
    <row r="578" spans="12:46">
      <c r="L578" s="5"/>
      <c r="M578" s="5"/>
      <c r="W578" s="5"/>
      <c r="Z578" s="5"/>
      <c r="AA578" s="5"/>
      <c r="AD578" s="5"/>
      <c r="AG578" s="5"/>
      <c r="AH578" s="5"/>
      <c r="AN578" s="4"/>
      <c r="AO578" s="4"/>
      <c r="AP578" s="4"/>
      <c r="AQ578" s="4"/>
      <c r="AR578" s="4"/>
      <c r="AS578" s="4"/>
      <c r="AT578" s="4"/>
    </row>
    <row r="579" spans="12:46">
      <c r="L579" s="5"/>
      <c r="M579" s="5"/>
      <c r="W579" s="5"/>
      <c r="Z579" s="5"/>
      <c r="AA579" s="5"/>
      <c r="AD579" s="5"/>
      <c r="AG579" s="5"/>
      <c r="AH579" s="5"/>
      <c r="AN579" s="4"/>
      <c r="AO579" s="4"/>
      <c r="AP579" s="4"/>
      <c r="AQ579" s="4"/>
      <c r="AR579" s="4"/>
      <c r="AS579" s="4"/>
      <c r="AT579" s="4"/>
    </row>
    <row r="580" spans="12:46">
      <c r="L580" s="5"/>
      <c r="M580" s="5"/>
      <c r="W580" s="5"/>
      <c r="Z580" s="5"/>
      <c r="AA580" s="5"/>
      <c r="AD580" s="5"/>
      <c r="AG580" s="5"/>
      <c r="AH580" s="5"/>
      <c r="AN580" s="4"/>
      <c r="AO580" s="4"/>
      <c r="AP580" s="4"/>
      <c r="AQ580" s="4"/>
      <c r="AR580" s="4"/>
      <c r="AS580" s="4"/>
      <c r="AT580" s="4"/>
    </row>
    <row r="581" spans="12:46">
      <c r="L581" s="5"/>
      <c r="M581" s="5"/>
      <c r="W581" s="5"/>
      <c r="Z581" s="5"/>
      <c r="AA581" s="5"/>
      <c r="AD581" s="5"/>
      <c r="AG581" s="5"/>
      <c r="AH581" s="5"/>
      <c r="AN581" s="4"/>
      <c r="AO581" s="4"/>
      <c r="AP581" s="4"/>
      <c r="AQ581" s="4"/>
      <c r="AR581" s="4"/>
      <c r="AS581" s="4"/>
      <c r="AT581" s="4"/>
    </row>
    <row r="582" spans="12:46">
      <c r="L582" s="5"/>
      <c r="M582" s="5"/>
      <c r="W582" s="5"/>
      <c r="Z582" s="5"/>
      <c r="AA582" s="5"/>
      <c r="AD582" s="5"/>
      <c r="AG582" s="5"/>
      <c r="AH582" s="5"/>
      <c r="AN582" s="4"/>
      <c r="AO582" s="4"/>
      <c r="AP582" s="4"/>
      <c r="AQ582" s="4"/>
      <c r="AR582" s="4"/>
      <c r="AS582" s="4"/>
      <c r="AT582" s="4"/>
    </row>
    <row r="583" spans="12:46">
      <c r="L583" s="5"/>
      <c r="M583" s="5"/>
      <c r="W583" s="5"/>
      <c r="Z583" s="5"/>
      <c r="AA583" s="5"/>
      <c r="AD583" s="5"/>
      <c r="AG583" s="5"/>
      <c r="AH583" s="5"/>
      <c r="AN583" s="4"/>
      <c r="AO583" s="4"/>
      <c r="AP583" s="4"/>
      <c r="AQ583" s="4"/>
      <c r="AR583" s="4"/>
      <c r="AS583" s="4"/>
      <c r="AT583" s="4"/>
    </row>
    <row r="584" spans="12:46">
      <c r="L584" s="5"/>
      <c r="M584" s="5"/>
      <c r="W584" s="5"/>
      <c r="Z584" s="5"/>
      <c r="AA584" s="5"/>
      <c r="AD584" s="5"/>
      <c r="AG584" s="5"/>
      <c r="AH584" s="5"/>
      <c r="AN584" s="4"/>
      <c r="AO584" s="4"/>
      <c r="AP584" s="4"/>
      <c r="AQ584" s="4"/>
      <c r="AR584" s="4"/>
      <c r="AS584" s="4"/>
      <c r="AT584" s="4"/>
    </row>
    <row r="585" spans="12:46">
      <c r="L585" s="5"/>
      <c r="M585" s="5"/>
      <c r="W585" s="5"/>
      <c r="Z585" s="5"/>
      <c r="AA585" s="5"/>
      <c r="AD585" s="5"/>
      <c r="AG585" s="5"/>
      <c r="AH585" s="5"/>
      <c r="AN585" s="4"/>
      <c r="AO585" s="4"/>
      <c r="AP585" s="4"/>
      <c r="AQ585" s="4"/>
      <c r="AR585" s="4"/>
      <c r="AS585" s="4"/>
      <c r="AT585" s="4"/>
    </row>
    <row r="586" spans="12:46">
      <c r="L586" s="5"/>
      <c r="M586" s="5"/>
      <c r="W586" s="5"/>
      <c r="Z586" s="5"/>
      <c r="AA586" s="5"/>
      <c r="AD586" s="5"/>
      <c r="AG586" s="5"/>
      <c r="AH586" s="5"/>
      <c r="AN586" s="4"/>
      <c r="AO586" s="4"/>
      <c r="AP586" s="4"/>
      <c r="AQ586" s="4"/>
      <c r="AR586" s="4"/>
      <c r="AS586" s="4"/>
      <c r="AT586" s="4"/>
    </row>
    <row r="587" spans="12:46">
      <c r="L587" s="5"/>
      <c r="M587" s="5"/>
      <c r="W587" s="5"/>
      <c r="Z587" s="5"/>
      <c r="AA587" s="5"/>
      <c r="AD587" s="5"/>
      <c r="AG587" s="5"/>
      <c r="AH587" s="5"/>
      <c r="AN587" s="4"/>
      <c r="AO587" s="4"/>
      <c r="AP587" s="4"/>
      <c r="AQ587" s="4"/>
      <c r="AR587" s="4"/>
      <c r="AS587" s="4"/>
      <c r="AT587" s="4"/>
    </row>
    <row r="588" spans="12:46">
      <c r="L588" s="5"/>
      <c r="M588" s="5"/>
      <c r="W588" s="5"/>
      <c r="Z588" s="5"/>
      <c r="AA588" s="5"/>
      <c r="AD588" s="5"/>
      <c r="AG588" s="5"/>
      <c r="AH588" s="5"/>
      <c r="AN588" s="4"/>
      <c r="AO588" s="4"/>
      <c r="AP588" s="4"/>
      <c r="AQ588" s="4"/>
      <c r="AR588" s="4"/>
      <c r="AS588" s="4"/>
      <c r="AT588" s="4"/>
    </row>
    <row r="589" spans="12:46">
      <c r="L589" s="5"/>
      <c r="M589" s="5"/>
      <c r="W589" s="5"/>
      <c r="Z589" s="5"/>
      <c r="AA589" s="5"/>
      <c r="AD589" s="5"/>
      <c r="AG589" s="5"/>
      <c r="AH589" s="5"/>
      <c r="AN589" s="4"/>
      <c r="AO589" s="4"/>
      <c r="AP589" s="4"/>
      <c r="AQ589" s="4"/>
      <c r="AR589" s="4"/>
      <c r="AS589" s="4"/>
      <c r="AT589" s="4"/>
    </row>
    <row r="590" spans="12:46">
      <c r="L590" s="5"/>
      <c r="M590" s="5"/>
      <c r="W590" s="5"/>
      <c r="Z590" s="5"/>
      <c r="AA590" s="5"/>
      <c r="AD590" s="5"/>
      <c r="AG590" s="5"/>
      <c r="AH590" s="5"/>
      <c r="AN590" s="4"/>
      <c r="AO590" s="4"/>
      <c r="AP590" s="4"/>
      <c r="AQ590" s="4"/>
      <c r="AR590" s="4"/>
      <c r="AS590" s="4"/>
      <c r="AT590" s="4"/>
    </row>
    <row r="591" spans="12:46">
      <c r="L591" s="5"/>
      <c r="M591" s="5"/>
      <c r="W591" s="5"/>
      <c r="Z591" s="5"/>
      <c r="AA591" s="5"/>
      <c r="AD591" s="5"/>
      <c r="AG591" s="5"/>
      <c r="AH591" s="5"/>
      <c r="AN591" s="4"/>
      <c r="AO591" s="4"/>
      <c r="AP591" s="4"/>
      <c r="AQ591" s="4"/>
      <c r="AR591" s="4"/>
      <c r="AS591" s="4"/>
      <c r="AT591" s="4"/>
    </row>
    <row r="592" spans="12:46">
      <c r="L592" s="5"/>
      <c r="M592" s="5"/>
      <c r="W592" s="5"/>
      <c r="Z592" s="5"/>
      <c r="AA592" s="5"/>
      <c r="AD592" s="5"/>
      <c r="AG592" s="5"/>
      <c r="AH592" s="5"/>
      <c r="AN592" s="4"/>
      <c r="AO592" s="4"/>
      <c r="AP592" s="4"/>
      <c r="AQ592" s="4"/>
      <c r="AR592" s="4"/>
      <c r="AS592" s="4"/>
      <c r="AT592" s="4"/>
    </row>
    <row r="593" spans="12:46">
      <c r="L593" s="5"/>
      <c r="M593" s="5"/>
      <c r="W593" s="5"/>
      <c r="Z593" s="5"/>
      <c r="AA593" s="5"/>
      <c r="AD593" s="5"/>
      <c r="AG593" s="5"/>
      <c r="AH593" s="5"/>
      <c r="AN593" s="4"/>
      <c r="AO593" s="4"/>
      <c r="AP593" s="4"/>
      <c r="AQ593" s="4"/>
      <c r="AR593" s="4"/>
      <c r="AS593" s="4"/>
      <c r="AT593" s="4"/>
    </row>
    <row r="594" spans="12:46">
      <c r="L594" s="5"/>
      <c r="M594" s="5"/>
      <c r="W594" s="5"/>
      <c r="Z594" s="5"/>
      <c r="AA594" s="5"/>
      <c r="AD594" s="5"/>
      <c r="AG594" s="5"/>
      <c r="AH594" s="5"/>
      <c r="AN594" s="4"/>
      <c r="AO594" s="4"/>
      <c r="AP594" s="4"/>
      <c r="AQ594" s="4"/>
      <c r="AR594" s="4"/>
      <c r="AS594" s="4"/>
      <c r="AT594" s="4"/>
    </row>
    <row r="595" spans="12:46">
      <c r="L595" s="5"/>
      <c r="M595" s="5"/>
      <c r="W595" s="5"/>
      <c r="Z595" s="5"/>
      <c r="AA595" s="5"/>
      <c r="AD595" s="5"/>
      <c r="AG595" s="5"/>
      <c r="AH595" s="5"/>
      <c r="AN595" s="4"/>
      <c r="AO595" s="4"/>
      <c r="AP595" s="4"/>
      <c r="AQ595" s="4"/>
      <c r="AR595" s="4"/>
      <c r="AS595" s="4"/>
      <c r="AT595" s="4"/>
    </row>
    <row r="596" spans="12:46">
      <c r="L596" s="5"/>
      <c r="M596" s="5"/>
      <c r="W596" s="5"/>
      <c r="Z596" s="5"/>
      <c r="AA596" s="5"/>
      <c r="AD596" s="5"/>
      <c r="AG596" s="5"/>
      <c r="AH596" s="5"/>
      <c r="AN596" s="4"/>
      <c r="AO596" s="4"/>
      <c r="AP596" s="4"/>
      <c r="AQ596" s="4"/>
      <c r="AR596" s="4"/>
      <c r="AS596" s="4"/>
      <c r="AT596" s="4"/>
    </row>
    <row r="597" spans="12:46">
      <c r="L597" s="5"/>
      <c r="M597" s="5"/>
      <c r="W597" s="5"/>
      <c r="Z597" s="5"/>
      <c r="AA597" s="5"/>
      <c r="AD597" s="5"/>
      <c r="AG597" s="5"/>
      <c r="AH597" s="5"/>
      <c r="AN597" s="4"/>
      <c r="AO597" s="4"/>
      <c r="AP597" s="4"/>
      <c r="AQ597" s="4"/>
      <c r="AR597" s="4"/>
      <c r="AS597" s="4"/>
      <c r="AT597" s="4"/>
    </row>
    <row r="598" spans="12:46">
      <c r="L598" s="5"/>
      <c r="M598" s="5"/>
      <c r="W598" s="5"/>
      <c r="Z598" s="5"/>
      <c r="AA598" s="5"/>
      <c r="AD598" s="5"/>
      <c r="AG598" s="5"/>
      <c r="AH598" s="5"/>
      <c r="AN598" s="4"/>
      <c r="AO598" s="4"/>
      <c r="AP598" s="4"/>
      <c r="AQ598" s="4"/>
      <c r="AR598" s="4"/>
      <c r="AS598" s="4"/>
      <c r="AT598" s="4"/>
    </row>
    <row r="599" spans="12:46">
      <c r="L599" s="5"/>
      <c r="M599" s="5"/>
      <c r="W599" s="5"/>
      <c r="Z599" s="5"/>
      <c r="AA599" s="5"/>
      <c r="AD599" s="5"/>
      <c r="AG599" s="5"/>
      <c r="AH599" s="5"/>
      <c r="AN599" s="4"/>
      <c r="AO599" s="4"/>
      <c r="AP599" s="4"/>
      <c r="AQ599" s="4"/>
      <c r="AR599" s="4"/>
      <c r="AS599" s="4"/>
      <c r="AT599" s="4"/>
    </row>
    <row r="600" spans="12:46">
      <c r="L600" s="5"/>
      <c r="M600" s="5"/>
      <c r="W600" s="5"/>
      <c r="Z600" s="5"/>
      <c r="AA600" s="5"/>
      <c r="AD600" s="5"/>
      <c r="AG600" s="5"/>
      <c r="AH600" s="5"/>
      <c r="AN600" s="4"/>
      <c r="AO600" s="4"/>
      <c r="AP600" s="4"/>
      <c r="AQ600" s="4"/>
      <c r="AR600" s="4"/>
      <c r="AS600" s="4"/>
      <c r="AT600" s="4"/>
    </row>
    <row r="601" spans="12:46">
      <c r="L601" s="5"/>
      <c r="M601" s="5"/>
      <c r="W601" s="5"/>
      <c r="Z601" s="5"/>
      <c r="AA601" s="5"/>
      <c r="AD601" s="5"/>
      <c r="AG601" s="5"/>
      <c r="AH601" s="5"/>
      <c r="AN601" s="4"/>
      <c r="AO601" s="4"/>
      <c r="AP601" s="4"/>
      <c r="AQ601" s="4"/>
      <c r="AR601" s="4"/>
      <c r="AS601" s="4"/>
      <c r="AT601" s="4"/>
    </row>
    <row r="602" spans="12:46">
      <c r="L602" s="5"/>
      <c r="M602" s="5"/>
      <c r="W602" s="5"/>
      <c r="Z602" s="5"/>
      <c r="AA602" s="5"/>
      <c r="AD602" s="5"/>
      <c r="AG602" s="5"/>
      <c r="AH602" s="5"/>
      <c r="AN602" s="4"/>
      <c r="AO602" s="4"/>
      <c r="AP602" s="4"/>
      <c r="AQ602" s="4"/>
      <c r="AR602" s="4"/>
      <c r="AS602" s="4"/>
      <c r="AT602" s="4"/>
    </row>
    <row r="603" spans="12:46">
      <c r="L603" s="5"/>
      <c r="M603" s="5"/>
      <c r="W603" s="5"/>
      <c r="Z603" s="5"/>
      <c r="AA603" s="5"/>
      <c r="AD603" s="5"/>
      <c r="AG603" s="5"/>
      <c r="AH603" s="5"/>
      <c r="AN603" s="4"/>
      <c r="AO603" s="4"/>
      <c r="AP603" s="4"/>
      <c r="AQ603" s="4"/>
      <c r="AR603" s="4"/>
      <c r="AS603" s="4"/>
      <c r="AT603" s="4"/>
    </row>
    <row r="604" spans="12:46">
      <c r="L604" s="5"/>
      <c r="M604" s="5"/>
      <c r="W604" s="5"/>
      <c r="Z604" s="5"/>
      <c r="AA604" s="5"/>
      <c r="AD604" s="5"/>
      <c r="AG604" s="5"/>
      <c r="AH604" s="5"/>
      <c r="AN604" s="4"/>
      <c r="AO604" s="4"/>
      <c r="AP604" s="4"/>
      <c r="AQ604" s="4"/>
      <c r="AR604" s="4"/>
      <c r="AS604" s="4"/>
      <c r="AT604" s="4"/>
    </row>
    <row r="605" spans="12:46">
      <c r="L605" s="5"/>
      <c r="M605" s="5"/>
      <c r="W605" s="5"/>
      <c r="Z605" s="5"/>
      <c r="AA605" s="5"/>
      <c r="AD605" s="5"/>
      <c r="AG605" s="5"/>
      <c r="AH605" s="5"/>
      <c r="AN605" s="4"/>
      <c r="AO605" s="4"/>
      <c r="AP605" s="4"/>
      <c r="AQ605" s="4"/>
      <c r="AR605" s="4"/>
      <c r="AS605" s="4"/>
      <c r="AT605" s="4"/>
    </row>
    <row r="606" spans="12:46">
      <c r="L606" s="5"/>
      <c r="M606" s="5"/>
      <c r="W606" s="5"/>
      <c r="Z606" s="5"/>
      <c r="AA606" s="5"/>
      <c r="AD606" s="5"/>
      <c r="AG606" s="5"/>
      <c r="AH606" s="5"/>
      <c r="AN606" s="4"/>
      <c r="AO606" s="4"/>
      <c r="AP606" s="4"/>
      <c r="AQ606" s="4"/>
      <c r="AR606" s="4"/>
      <c r="AS606" s="4"/>
      <c r="AT606" s="4"/>
    </row>
    <row r="607" spans="12:46">
      <c r="L607" s="5"/>
      <c r="M607" s="5"/>
      <c r="W607" s="5"/>
      <c r="Z607" s="5"/>
      <c r="AA607" s="5"/>
      <c r="AD607" s="5"/>
      <c r="AG607" s="5"/>
      <c r="AH607" s="5"/>
      <c r="AN607" s="4"/>
      <c r="AO607" s="4"/>
      <c r="AP607" s="4"/>
      <c r="AQ607" s="4"/>
      <c r="AR607" s="4"/>
      <c r="AS607" s="4"/>
      <c r="AT607" s="4"/>
    </row>
    <row r="608" spans="12:46">
      <c r="L608" s="5"/>
      <c r="M608" s="5"/>
      <c r="W608" s="5"/>
      <c r="Z608" s="5"/>
      <c r="AA608" s="5"/>
      <c r="AD608" s="5"/>
      <c r="AG608" s="5"/>
      <c r="AH608" s="5"/>
      <c r="AN608" s="4"/>
      <c r="AO608" s="4"/>
      <c r="AP608" s="4"/>
      <c r="AQ608" s="4"/>
      <c r="AR608" s="4"/>
      <c r="AS608" s="4"/>
      <c r="AT608" s="4"/>
    </row>
    <row r="609" spans="12:46">
      <c r="L609" s="5"/>
      <c r="M609" s="5"/>
      <c r="W609" s="5"/>
      <c r="Z609" s="5"/>
      <c r="AA609" s="5"/>
      <c r="AD609" s="5"/>
      <c r="AG609" s="5"/>
      <c r="AH609" s="5"/>
      <c r="AN609" s="4"/>
      <c r="AO609" s="4"/>
      <c r="AP609" s="4"/>
      <c r="AQ609" s="4"/>
      <c r="AR609" s="4"/>
      <c r="AS609" s="4"/>
      <c r="AT609" s="4"/>
    </row>
    <row r="610" spans="12:46">
      <c r="L610" s="5"/>
      <c r="M610" s="5"/>
      <c r="W610" s="5"/>
      <c r="Z610" s="5"/>
      <c r="AA610" s="5"/>
      <c r="AD610" s="5"/>
      <c r="AG610" s="5"/>
      <c r="AH610" s="5"/>
      <c r="AN610" s="4"/>
      <c r="AO610" s="4"/>
      <c r="AP610" s="4"/>
      <c r="AQ610" s="4"/>
      <c r="AR610" s="4"/>
      <c r="AS610" s="4"/>
      <c r="AT610" s="4"/>
    </row>
    <row r="611" spans="12:46">
      <c r="L611" s="5"/>
      <c r="M611" s="5"/>
      <c r="W611" s="5"/>
      <c r="Z611" s="5"/>
      <c r="AA611" s="5"/>
      <c r="AD611" s="5"/>
      <c r="AG611" s="5"/>
      <c r="AH611" s="5"/>
      <c r="AN611" s="4"/>
      <c r="AO611" s="4"/>
      <c r="AP611" s="4"/>
      <c r="AQ611" s="4"/>
      <c r="AR611" s="4"/>
      <c r="AS611" s="4"/>
      <c r="AT611" s="4"/>
    </row>
    <row r="612" spans="12:46">
      <c r="L612" s="5"/>
      <c r="M612" s="5"/>
      <c r="W612" s="5"/>
      <c r="Z612" s="5"/>
      <c r="AA612" s="5"/>
      <c r="AD612" s="5"/>
      <c r="AG612" s="5"/>
      <c r="AH612" s="5"/>
      <c r="AN612" s="4"/>
      <c r="AO612" s="4"/>
      <c r="AP612" s="4"/>
      <c r="AQ612" s="4"/>
      <c r="AR612" s="4"/>
      <c r="AS612" s="4"/>
      <c r="AT612" s="4"/>
    </row>
    <row r="613" spans="12:46">
      <c r="L613" s="5"/>
      <c r="M613" s="5"/>
      <c r="W613" s="5"/>
      <c r="Z613" s="5"/>
      <c r="AA613" s="5"/>
      <c r="AD613" s="5"/>
      <c r="AG613" s="5"/>
      <c r="AH613" s="5"/>
      <c r="AN613" s="4"/>
      <c r="AO613" s="4"/>
      <c r="AP613" s="4"/>
      <c r="AQ613" s="4"/>
      <c r="AR613" s="4"/>
      <c r="AS613" s="4"/>
      <c r="AT613" s="4"/>
    </row>
    <row r="614" spans="12:46">
      <c r="L614" s="5"/>
      <c r="M614" s="5"/>
      <c r="W614" s="5"/>
      <c r="Z614" s="5"/>
      <c r="AA614" s="5"/>
      <c r="AD614" s="5"/>
      <c r="AG614" s="5"/>
      <c r="AH614" s="5"/>
      <c r="AN614" s="4"/>
      <c r="AO614" s="4"/>
      <c r="AP614" s="4"/>
      <c r="AQ614" s="4"/>
      <c r="AR614" s="4"/>
      <c r="AS614" s="4"/>
      <c r="AT614" s="4"/>
    </row>
    <row r="615" spans="12:46">
      <c r="L615" s="5"/>
      <c r="M615" s="5"/>
      <c r="W615" s="5"/>
      <c r="Z615" s="5"/>
      <c r="AA615" s="5"/>
      <c r="AD615" s="5"/>
      <c r="AG615" s="5"/>
      <c r="AH615" s="5"/>
      <c r="AN615" s="4"/>
      <c r="AO615" s="4"/>
      <c r="AP615" s="4"/>
      <c r="AQ615" s="4"/>
      <c r="AR615" s="4"/>
      <c r="AS615" s="4"/>
      <c r="AT615" s="4"/>
    </row>
    <row r="616" spans="12:46">
      <c r="L616" s="5"/>
      <c r="M616" s="5"/>
      <c r="W616" s="5"/>
      <c r="Z616" s="5"/>
      <c r="AA616" s="5"/>
      <c r="AD616" s="5"/>
      <c r="AG616" s="5"/>
      <c r="AH616" s="5"/>
      <c r="AN616" s="4"/>
      <c r="AO616" s="4"/>
      <c r="AP616" s="4"/>
      <c r="AQ616" s="4"/>
      <c r="AR616" s="4"/>
      <c r="AS616" s="4"/>
      <c r="AT616" s="4"/>
    </row>
    <row r="617" spans="12:46">
      <c r="L617" s="5"/>
      <c r="M617" s="5"/>
      <c r="W617" s="5"/>
      <c r="Z617" s="5"/>
      <c r="AA617" s="5"/>
      <c r="AD617" s="5"/>
      <c r="AG617" s="5"/>
      <c r="AH617" s="5"/>
      <c r="AN617" s="4"/>
      <c r="AO617" s="4"/>
      <c r="AP617" s="4"/>
      <c r="AQ617" s="4"/>
      <c r="AR617" s="4"/>
      <c r="AS617" s="4"/>
      <c r="AT617" s="4"/>
    </row>
    <row r="618" spans="12:46">
      <c r="L618" s="5"/>
      <c r="M618" s="5"/>
      <c r="W618" s="5"/>
      <c r="Z618" s="5"/>
      <c r="AA618" s="5"/>
      <c r="AD618" s="5"/>
      <c r="AG618" s="5"/>
      <c r="AH618" s="5"/>
      <c r="AN618" s="4"/>
      <c r="AO618" s="4"/>
      <c r="AP618" s="4"/>
      <c r="AQ618" s="4"/>
      <c r="AR618" s="4"/>
      <c r="AS618" s="4"/>
      <c r="AT618" s="4"/>
    </row>
    <row r="619" spans="12:46">
      <c r="L619" s="5"/>
      <c r="M619" s="5"/>
      <c r="W619" s="5"/>
      <c r="Z619" s="5"/>
      <c r="AA619" s="5"/>
      <c r="AD619" s="5"/>
      <c r="AG619" s="5"/>
      <c r="AH619" s="5"/>
      <c r="AN619" s="4"/>
      <c r="AO619" s="4"/>
      <c r="AP619" s="4"/>
      <c r="AQ619" s="4"/>
      <c r="AR619" s="4"/>
      <c r="AS619" s="4"/>
      <c r="AT619" s="4"/>
    </row>
    <row r="620" spans="12:46">
      <c r="L620" s="5"/>
      <c r="M620" s="5"/>
      <c r="W620" s="5"/>
      <c r="Z620" s="5"/>
      <c r="AA620" s="5"/>
      <c r="AD620" s="5"/>
      <c r="AG620" s="5"/>
      <c r="AH620" s="5"/>
      <c r="AN620" s="4"/>
      <c r="AO620" s="4"/>
      <c r="AP620" s="4"/>
      <c r="AQ620" s="4"/>
      <c r="AR620" s="4"/>
      <c r="AS620" s="4"/>
      <c r="AT620" s="4"/>
    </row>
    <row r="621" spans="12:46">
      <c r="L621" s="5"/>
      <c r="M621" s="5"/>
      <c r="W621" s="5"/>
      <c r="Z621" s="5"/>
      <c r="AA621" s="5"/>
      <c r="AD621" s="5"/>
      <c r="AG621" s="5"/>
      <c r="AH621" s="5"/>
      <c r="AN621" s="4"/>
      <c r="AO621" s="4"/>
      <c r="AP621" s="4"/>
      <c r="AQ621" s="4"/>
      <c r="AR621" s="4"/>
      <c r="AS621" s="4"/>
      <c r="AT621" s="4"/>
    </row>
    <row r="622" spans="12:46">
      <c r="L622" s="5"/>
      <c r="M622" s="5"/>
      <c r="W622" s="5"/>
      <c r="Z622" s="5"/>
      <c r="AA622" s="5"/>
      <c r="AD622" s="5"/>
      <c r="AG622" s="5"/>
      <c r="AH622" s="5"/>
      <c r="AN622" s="4"/>
      <c r="AO622" s="4"/>
      <c r="AP622" s="4"/>
      <c r="AQ622" s="4"/>
      <c r="AR622" s="4"/>
      <c r="AS622" s="4"/>
      <c r="AT622" s="4"/>
    </row>
    <row r="623" spans="12:46">
      <c r="L623" s="5"/>
      <c r="M623" s="5"/>
      <c r="W623" s="5"/>
      <c r="Z623" s="5"/>
      <c r="AA623" s="5"/>
      <c r="AD623" s="5"/>
      <c r="AG623" s="5"/>
      <c r="AH623" s="5"/>
      <c r="AN623" s="4"/>
      <c r="AO623" s="4"/>
      <c r="AP623" s="4"/>
      <c r="AQ623" s="4"/>
      <c r="AR623" s="4"/>
      <c r="AS623" s="4"/>
      <c r="AT623" s="4"/>
    </row>
    <row r="624" spans="12:46">
      <c r="L624" s="5"/>
      <c r="M624" s="5"/>
      <c r="W624" s="5"/>
      <c r="Z624" s="5"/>
      <c r="AA624" s="5"/>
      <c r="AD624" s="5"/>
      <c r="AG624" s="5"/>
      <c r="AH624" s="5"/>
      <c r="AN624" s="4"/>
      <c r="AO624" s="4"/>
      <c r="AP624" s="4"/>
      <c r="AQ624" s="4"/>
      <c r="AR624" s="4"/>
      <c r="AS624" s="4"/>
      <c r="AT624" s="4"/>
    </row>
    <row r="625" spans="12:46">
      <c r="L625" s="5"/>
      <c r="M625" s="5"/>
      <c r="W625" s="5"/>
      <c r="Z625" s="5"/>
      <c r="AA625" s="5"/>
      <c r="AD625" s="5"/>
      <c r="AG625" s="5"/>
      <c r="AH625" s="5"/>
      <c r="AN625" s="4"/>
      <c r="AO625" s="4"/>
      <c r="AP625" s="4"/>
      <c r="AQ625" s="4"/>
      <c r="AR625" s="4"/>
      <c r="AS625" s="4"/>
      <c r="AT625" s="4"/>
    </row>
    <row r="626" spans="12:46">
      <c r="L626" s="5"/>
      <c r="M626" s="5"/>
      <c r="W626" s="5"/>
      <c r="Z626" s="5"/>
      <c r="AA626" s="5"/>
      <c r="AD626" s="5"/>
      <c r="AG626" s="5"/>
      <c r="AH626" s="5"/>
      <c r="AN626" s="4"/>
      <c r="AO626" s="4"/>
      <c r="AP626" s="4"/>
      <c r="AQ626" s="4"/>
      <c r="AR626" s="4"/>
      <c r="AS626" s="4"/>
      <c r="AT626" s="4"/>
    </row>
    <row r="627" spans="12:46">
      <c r="L627" s="5"/>
      <c r="M627" s="5"/>
      <c r="W627" s="5"/>
      <c r="Z627" s="5"/>
      <c r="AA627" s="5"/>
      <c r="AD627" s="5"/>
      <c r="AG627" s="5"/>
      <c r="AH627" s="5"/>
      <c r="AN627" s="4"/>
      <c r="AO627" s="4"/>
      <c r="AP627" s="4"/>
      <c r="AQ627" s="4"/>
      <c r="AR627" s="4"/>
      <c r="AS627" s="4"/>
      <c r="AT627" s="4"/>
    </row>
    <row r="628" spans="12:46">
      <c r="L628" s="5"/>
      <c r="M628" s="5"/>
      <c r="W628" s="5"/>
      <c r="Z628" s="5"/>
      <c r="AA628" s="5"/>
      <c r="AD628" s="5"/>
      <c r="AG628" s="5"/>
      <c r="AH628" s="5"/>
      <c r="AN628" s="4"/>
      <c r="AO628" s="4"/>
      <c r="AP628" s="4"/>
      <c r="AQ628" s="4"/>
      <c r="AR628" s="4"/>
      <c r="AS628" s="4"/>
      <c r="AT628" s="4"/>
    </row>
    <row r="629" spans="12:46">
      <c r="L629" s="5"/>
      <c r="M629" s="5"/>
      <c r="W629" s="5"/>
      <c r="Z629" s="5"/>
      <c r="AA629" s="5"/>
      <c r="AD629" s="5"/>
      <c r="AG629" s="5"/>
      <c r="AH629" s="5"/>
      <c r="AN629" s="4"/>
      <c r="AO629" s="4"/>
      <c r="AP629" s="4"/>
      <c r="AQ629" s="4"/>
      <c r="AR629" s="4"/>
      <c r="AS629" s="4"/>
      <c r="AT629" s="4"/>
    </row>
    <row r="630" spans="12:46">
      <c r="L630" s="5"/>
      <c r="M630" s="5"/>
      <c r="W630" s="5"/>
      <c r="Z630" s="5"/>
      <c r="AA630" s="5"/>
      <c r="AD630" s="5"/>
      <c r="AG630" s="5"/>
      <c r="AH630" s="5"/>
      <c r="AN630" s="4"/>
      <c r="AO630" s="4"/>
      <c r="AP630" s="4"/>
      <c r="AQ630" s="4"/>
      <c r="AR630" s="4"/>
      <c r="AS630" s="4"/>
      <c r="AT630" s="4"/>
    </row>
    <row r="631" spans="12:46">
      <c r="L631" s="5"/>
      <c r="M631" s="5"/>
      <c r="W631" s="5"/>
      <c r="Z631" s="5"/>
      <c r="AA631" s="5"/>
      <c r="AD631" s="5"/>
      <c r="AG631" s="5"/>
      <c r="AH631" s="5"/>
      <c r="AN631" s="4"/>
      <c r="AO631" s="4"/>
      <c r="AP631" s="4"/>
      <c r="AQ631" s="4"/>
      <c r="AR631" s="4"/>
      <c r="AS631" s="4"/>
      <c r="AT631" s="4"/>
    </row>
    <row r="632" spans="12:46">
      <c r="L632" s="5"/>
      <c r="M632" s="5"/>
      <c r="W632" s="5"/>
      <c r="Z632" s="5"/>
      <c r="AA632" s="5"/>
      <c r="AD632" s="5"/>
      <c r="AG632" s="5"/>
      <c r="AH632" s="5"/>
      <c r="AN632" s="4"/>
      <c r="AO632" s="4"/>
      <c r="AP632" s="4"/>
      <c r="AQ632" s="4"/>
      <c r="AR632" s="4"/>
      <c r="AS632" s="4"/>
      <c r="AT632" s="4"/>
    </row>
    <row r="633" spans="12:46">
      <c r="L633" s="5"/>
      <c r="M633" s="5"/>
      <c r="W633" s="5"/>
      <c r="Z633" s="5"/>
      <c r="AA633" s="5"/>
      <c r="AD633" s="5"/>
      <c r="AG633" s="5"/>
      <c r="AH633" s="5"/>
      <c r="AN633" s="4"/>
      <c r="AO633" s="4"/>
      <c r="AP633" s="4"/>
      <c r="AQ633" s="4"/>
      <c r="AR633" s="4"/>
      <c r="AS633" s="4"/>
      <c r="AT633" s="4"/>
    </row>
    <row r="634" spans="12:46">
      <c r="L634" s="5"/>
      <c r="M634" s="5"/>
      <c r="W634" s="5"/>
      <c r="Z634" s="5"/>
      <c r="AA634" s="5"/>
      <c r="AD634" s="5"/>
      <c r="AG634" s="5"/>
      <c r="AH634" s="5"/>
      <c r="AN634" s="4"/>
      <c r="AO634" s="4"/>
      <c r="AP634" s="4"/>
      <c r="AQ634" s="4"/>
      <c r="AR634" s="4"/>
      <c r="AS634" s="4"/>
      <c r="AT634" s="4"/>
    </row>
    <row r="635" spans="12:46">
      <c r="L635" s="5"/>
      <c r="M635" s="5"/>
      <c r="W635" s="5"/>
      <c r="Z635" s="5"/>
      <c r="AA635" s="5"/>
      <c r="AD635" s="5"/>
      <c r="AG635" s="5"/>
      <c r="AH635" s="5"/>
      <c r="AN635" s="4"/>
      <c r="AO635" s="4"/>
      <c r="AP635" s="4"/>
      <c r="AQ635" s="4"/>
      <c r="AR635" s="4"/>
      <c r="AS635" s="4"/>
      <c r="AT635" s="4"/>
    </row>
    <row r="636" spans="12:46">
      <c r="L636" s="5"/>
      <c r="M636" s="5"/>
      <c r="W636" s="5"/>
      <c r="Z636" s="5"/>
      <c r="AA636" s="5"/>
      <c r="AD636" s="5"/>
      <c r="AG636" s="5"/>
      <c r="AH636" s="5"/>
      <c r="AN636" s="4"/>
      <c r="AO636" s="4"/>
      <c r="AP636" s="4"/>
      <c r="AQ636" s="4"/>
      <c r="AR636" s="4"/>
      <c r="AS636" s="4"/>
      <c r="AT636" s="4"/>
    </row>
    <row r="637" spans="12:46">
      <c r="L637" s="5"/>
      <c r="M637" s="5"/>
      <c r="W637" s="5"/>
      <c r="Z637" s="5"/>
      <c r="AA637" s="5"/>
      <c r="AD637" s="5"/>
      <c r="AG637" s="5"/>
      <c r="AH637" s="5"/>
      <c r="AN637" s="4"/>
      <c r="AO637" s="4"/>
      <c r="AP637" s="4"/>
      <c r="AQ637" s="4"/>
      <c r="AR637" s="4"/>
      <c r="AS637" s="4"/>
      <c r="AT637" s="4"/>
    </row>
    <row r="638" spans="12:46">
      <c r="L638" s="5"/>
      <c r="M638" s="5"/>
      <c r="W638" s="5"/>
      <c r="Z638" s="5"/>
      <c r="AA638" s="5"/>
      <c r="AD638" s="5"/>
      <c r="AG638" s="5"/>
      <c r="AH638" s="5"/>
      <c r="AN638" s="4"/>
      <c r="AO638" s="4"/>
      <c r="AP638" s="4"/>
      <c r="AQ638" s="4"/>
      <c r="AR638" s="4"/>
      <c r="AS638" s="4"/>
      <c r="AT638" s="4"/>
    </row>
    <row r="639" spans="12:46">
      <c r="L639" s="5"/>
      <c r="M639" s="5"/>
      <c r="W639" s="5"/>
      <c r="Z639" s="5"/>
      <c r="AA639" s="5"/>
      <c r="AD639" s="5"/>
      <c r="AG639" s="5"/>
      <c r="AH639" s="5"/>
      <c r="AN639" s="4"/>
      <c r="AO639" s="4"/>
      <c r="AP639" s="4"/>
      <c r="AQ639" s="4"/>
      <c r="AR639" s="4"/>
      <c r="AS639" s="4"/>
      <c r="AT639" s="4"/>
    </row>
    <row r="640" spans="12:46">
      <c r="L640" s="5"/>
      <c r="M640" s="5"/>
      <c r="W640" s="5"/>
      <c r="Z640" s="5"/>
      <c r="AA640" s="5"/>
      <c r="AD640" s="5"/>
      <c r="AG640" s="5"/>
      <c r="AH640" s="5"/>
      <c r="AN640" s="4"/>
      <c r="AO640" s="4"/>
      <c r="AP640" s="4"/>
      <c r="AQ640" s="4"/>
      <c r="AR640" s="4"/>
      <c r="AS640" s="4"/>
      <c r="AT640" s="4"/>
    </row>
    <row r="641" spans="12:46">
      <c r="L641" s="5"/>
      <c r="M641" s="5"/>
      <c r="W641" s="5"/>
      <c r="Z641" s="5"/>
      <c r="AA641" s="5"/>
      <c r="AD641" s="5"/>
      <c r="AG641" s="5"/>
      <c r="AH641" s="5"/>
      <c r="AN641" s="4"/>
      <c r="AO641" s="4"/>
      <c r="AP641" s="4"/>
      <c r="AQ641" s="4"/>
      <c r="AR641" s="4"/>
      <c r="AS641" s="4"/>
      <c r="AT641" s="4"/>
    </row>
    <row r="642" spans="12:46">
      <c r="L642" s="5"/>
      <c r="M642" s="5"/>
      <c r="W642" s="5"/>
      <c r="Z642" s="5"/>
      <c r="AA642" s="5"/>
      <c r="AD642" s="5"/>
      <c r="AG642" s="5"/>
      <c r="AH642" s="5"/>
      <c r="AN642" s="4"/>
      <c r="AO642" s="4"/>
      <c r="AP642" s="4"/>
      <c r="AQ642" s="4"/>
      <c r="AR642" s="4"/>
      <c r="AS642" s="4"/>
      <c r="AT642" s="4"/>
    </row>
    <row r="643" spans="12:46">
      <c r="L643" s="5"/>
      <c r="M643" s="5"/>
      <c r="W643" s="5"/>
      <c r="Z643" s="5"/>
      <c r="AA643" s="5"/>
      <c r="AD643" s="5"/>
      <c r="AG643" s="5"/>
      <c r="AH643" s="5"/>
      <c r="AN643" s="4"/>
      <c r="AO643" s="4"/>
      <c r="AP643" s="4"/>
      <c r="AQ643" s="4"/>
      <c r="AR643" s="4"/>
      <c r="AS643" s="4"/>
      <c r="AT643" s="4"/>
    </row>
    <row r="644" spans="12:46">
      <c r="L644" s="5"/>
      <c r="M644" s="5"/>
      <c r="W644" s="5"/>
      <c r="Z644" s="5"/>
      <c r="AA644" s="5"/>
      <c r="AD644" s="5"/>
      <c r="AG644" s="5"/>
      <c r="AH644" s="5"/>
      <c r="AN644" s="4"/>
      <c r="AO644" s="4"/>
      <c r="AP644" s="4"/>
      <c r="AQ644" s="4"/>
      <c r="AR644" s="4"/>
      <c r="AS644" s="4"/>
      <c r="AT644" s="4"/>
    </row>
    <row r="645" spans="12:46">
      <c r="L645" s="5"/>
      <c r="M645" s="5"/>
      <c r="W645" s="5"/>
      <c r="Z645" s="5"/>
      <c r="AA645" s="5"/>
      <c r="AD645" s="5"/>
      <c r="AG645" s="5"/>
      <c r="AH645" s="5"/>
      <c r="AN645" s="4"/>
      <c r="AO645" s="4"/>
      <c r="AP645" s="4"/>
      <c r="AQ645" s="4"/>
      <c r="AR645" s="4"/>
      <c r="AS645" s="4"/>
      <c r="AT645" s="4"/>
    </row>
    <row r="646" spans="12:46">
      <c r="L646" s="5"/>
      <c r="M646" s="5"/>
      <c r="W646" s="5"/>
      <c r="Z646" s="5"/>
      <c r="AA646" s="5"/>
      <c r="AD646" s="5"/>
      <c r="AG646" s="5"/>
      <c r="AH646" s="5"/>
      <c r="AN646" s="4"/>
      <c r="AO646" s="4"/>
      <c r="AP646" s="4"/>
      <c r="AQ646" s="4"/>
      <c r="AR646" s="4"/>
      <c r="AS646" s="4"/>
      <c r="AT646" s="4"/>
    </row>
    <row r="647" spans="12:46">
      <c r="L647" s="5"/>
      <c r="M647" s="5"/>
      <c r="W647" s="5"/>
      <c r="Z647" s="5"/>
      <c r="AA647" s="5"/>
      <c r="AD647" s="5"/>
      <c r="AG647" s="5"/>
      <c r="AH647" s="5"/>
      <c r="AN647" s="4"/>
      <c r="AO647" s="4"/>
      <c r="AP647" s="4"/>
      <c r="AQ647" s="4"/>
      <c r="AR647" s="4"/>
      <c r="AS647" s="4"/>
      <c r="AT647" s="4"/>
    </row>
    <row r="648" spans="12:46">
      <c r="L648" s="5"/>
      <c r="M648" s="5"/>
      <c r="W648" s="5"/>
      <c r="Z648" s="5"/>
      <c r="AA648" s="5"/>
      <c r="AD648" s="5"/>
      <c r="AG648" s="5"/>
      <c r="AH648" s="5"/>
      <c r="AN648" s="4"/>
      <c r="AO648" s="4"/>
      <c r="AP648" s="4"/>
      <c r="AQ648" s="4"/>
      <c r="AR648" s="4"/>
      <c r="AS648" s="4"/>
      <c r="AT648" s="4"/>
    </row>
    <row r="649" spans="12:46">
      <c r="L649" s="5"/>
      <c r="M649" s="5"/>
      <c r="W649" s="5"/>
      <c r="Z649" s="5"/>
      <c r="AA649" s="5"/>
      <c r="AD649" s="5"/>
      <c r="AG649" s="5"/>
      <c r="AH649" s="5"/>
      <c r="AN649" s="4"/>
      <c r="AO649" s="4"/>
      <c r="AP649" s="4"/>
      <c r="AQ649" s="4"/>
      <c r="AR649" s="4"/>
      <c r="AS649" s="4"/>
      <c r="AT649" s="4"/>
    </row>
    <row r="650" spans="12:46">
      <c r="L650" s="5"/>
      <c r="M650" s="5"/>
      <c r="W650" s="5"/>
      <c r="Z650" s="5"/>
      <c r="AA650" s="5"/>
      <c r="AD650" s="5"/>
      <c r="AG650" s="5"/>
      <c r="AH650" s="5"/>
      <c r="AN650" s="4"/>
      <c r="AO650" s="4"/>
      <c r="AP650" s="4"/>
      <c r="AQ650" s="4"/>
      <c r="AR650" s="4"/>
      <c r="AS650" s="4"/>
      <c r="AT650" s="4"/>
    </row>
    <row r="651" spans="12:46">
      <c r="L651" s="5"/>
      <c r="M651" s="5"/>
      <c r="W651" s="5"/>
      <c r="Z651" s="5"/>
      <c r="AA651" s="5"/>
      <c r="AD651" s="5"/>
      <c r="AG651" s="5"/>
      <c r="AH651" s="5"/>
      <c r="AN651" s="4"/>
      <c r="AO651" s="4"/>
      <c r="AP651" s="4"/>
      <c r="AQ651" s="4"/>
      <c r="AR651" s="4"/>
      <c r="AS651" s="4"/>
      <c r="AT651" s="4"/>
    </row>
    <row r="652" spans="12:46">
      <c r="L652" s="5"/>
      <c r="M652" s="5"/>
      <c r="W652" s="5"/>
      <c r="Z652" s="5"/>
      <c r="AA652" s="5"/>
      <c r="AD652" s="5"/>
      <c r="AG652" s="5"/>
      <c r="AH652" s="5"/>
      <c r="AN652" s="4"/>
      <c r="AO652" s="4"/>
      <c r="AP652" s="4"/>
      <c r="AQ652" s="4"/>
      <c r="AR652" s="4"/>
      <c r="AS652" s="4"/>
      <c r="AT652" s="4"/>
    </row>
    <row r="653" spans="12:46">
      <c r="L653" s="5"/>
      <c r="M653" s="5"/>
      <c r="W653" s="5"/>
      <c r="Z653" s="5"/>
      <c r="AA653" s="5"/>
      <c r="AD653" s="5"/>
      <c r="AG653" s="5"/>
      <c r="AH653" s="5"/>
      <c r="AN653" s="4"/>
      <c r="AO653" s="4"/>
      <c r="AP653" s="4"/>
      <c r="AQ653" s="4"/>
      <c r="AR653" s="4"/>
      <c r="AS653" s="4"/>
      <c r="AT653" s="4"/>
    </row>
    <row r="654" spans="12:46">
      <c r="L654" s="5"/>
      <c r="M654" s="5"/>
      <c r="W654" s="5"/>
      <c r="Z654" s="5"/>
      <c r="AA654" s="5"/>
      <c r="AD654" s="5"/>
      <c r="AG654" s="5"/>
      <c r="AH654" s="5"/>
      <c r="AN654" s="4"/>
      <c r="AO654" s="4"/>
      <c r="AP654" s="4"/>
      <c r="AQ654" s="4"/>
      <c r="AR654" s="4"/>
      <c r="AS654" s="4"/>
      <c r="AT654" s="4"/>
    </row>
    <row r="655" spans="12:46">
      <c r="L655" s="5"/>
      <c r="M655" s="5"/>
      <c r="W655" s="5"/>
      <c r="Z655" s="5"/>
      <c r="AA655" s="5"/>
      <c r="AD655" s="5"/>
      <c r="AG655" s="5"/>
      <c r="AH655" s="5"/>
      <c r="AN655" s="4"/>
      <c r="AO655" s="4"/>
      <c r="AP655" s="4"/>
      <c r="AQ655" s="4"/>
      <c r="AR655" s="4"/>
      <c r="AS655" s="4"/>
      <c r="AT655" s="4"/>
    </row>
    <row r="656" spans="12:46">
      <c r="L656" s="5"/>
      <c r="M656" s="5"/>
      <c r="W656" s="5"/>
      <c r="Z656" s="5"/>
      <c r="AA656" s="5"/>
      <c r="AD656" s="5"/>
      <c r="AG656" s="5"/>
      <c r="AH656" s="5"/>
      <c r="AN656" s="4"/>
      <c r="AO656" s="4"/>
      <c r="AP656" s="4"/>
      <c r="AQ656" s="4"/>
      <c r="AR656" s="4"/>
      <c r="AS656" s="4"/>
      <c r="AT656" s="4"/>
    </row>
    <row r="657" spans="12:46">
      <c r="L657" s="5"/>
      <c r="M657" s="5"/>
      <c r="W657" s="5"/>
      <c r="Z657" s="5"/>
      <c r="AA657" s="5"/>
      <c r="AD657" s="5"/>
      <c r="AG657" s="5"/>
      <c r="AH657" s="5"/>
      <c r="AN657" s="4"/>
      <c r="AO657" s="4"/>
      <c r="AP657" s="4"/>
      <c r="AQ657" s="4"/>
      <c r="AR657" s="4"/>
      <c r="AS657" s="4"/>
      <c r="AT657" s="4"/>
    </row>
    <row r="658" spans="12:46">
      <c r="L658" s="5"/>
      <c r="M658" s="5"/>
      <c r="W658" s="5"/>
      <c r="Z658" s="5"/>
      <c r="AA658" s="5"/>
      <c r="AD658" s="5"/>
      <c r="AG658" s="5"/>
      <c r="AH658" s="5"/>
      <c r="AN658" s="4"/>
      <c r="AO658" s="4"/>
      <c r="AP658" s="4"/>
      <c r="AQ658" s="4"/>
      <c r="AR658" s="4"/>
      <c r="AS658" s="4"/>
      <c r="AT658" s="4"/>
    </row>
    <row r="659" spans="12:46">
      <c r="L659" s="5"/>
      <c r="M659" s="5"/>
      <c r="W659" s="5"/>
      <c r="Z659" s="5"/>
      <c r="AA659" s="5"/>
      <c r="AD659" s="5"/>
      <c r="AG659" s="5"/>
      <c r="AH659" s="5"/>
      <c r="AN659" s="4"/>
      <c r="AO659" s="4"/>
      <c r="AP659" s="4"/>
      <c r="AQ659" s="4"/>
      <c r="AR659" s="4"/>
      <c r="AS659" s="4"/>
      <c r="AT659" s="4"/>
    </row>
    <row r="660" spans="12:46">
      <c r="L660" s="5"/>
      <c r="M660" s="5"/>
      <c r="W660" s="5"/>
      <c r="Z660" s="5"/>
      <c r="AA660" s="5"/>
      <c r="AD660" s="5"/>
      <c r="AG660" s="5"/>
      <c r="AH660" s="5"/>
      <c r="AN660" s="4"/>
      <c r="AO660" s="4"/>
      <c r="AP660" s="4"/>
      <c r="AQ660" s="4"/>
      <c r="AR660" s="4"/>
      <c r="AS660" s="4"/>
      <c r="AT660" s="4"/>
    </row>
    <row r="661" spans="12:46">
      <c r="L661" s="5"/>
      <c r="M661" s="5"/>
      <c r="W661" s="5"/>
      <c r="Z661" s="5"/>
      <c r="AA661" s="5"/>
      <c r="AD661" s="5"/>
      <c r="AG661" s="5"/>
      <c r="AH661" s="5"/>
      <c r="AN661" s="4"/>
      <c r="AO661" s="4"/>
      <c r="AP661" s="4"/>
      <c r="AQ661" s="4"/>
      <c r="AR661" s="4"/>
      <c r="AS661" s="4"/>
      <c r="AT661" s="4"/>
    </row>
    <row r="662" spans="12:46">
      <c r="L662" s="5"/>
      <c r="M662" s="5"/>
      <c r="W662" s="5"/>
      <c r="Z662" s="5"/>
      <c r="AA662" s="5"/>
      <c r="AD662" s="5"/>
      <c r="AG662" s="5"/>
      <c r="AH662" s="5"/>
      <c r="AN662" s="4"/>
      <c r="AO662" s="4"/>
      <c r="AP662" s="4"/>
      <c r="AQ662" s="4"/>
      <c r="AR662" s="4"/>
      <c r="AS662" s="4"/>
      <c r="AT662" s="4"/>
    </row>
    <row r="663" spans="12:46">
      <c r="L663" s="5"/>
      <c r="M663" s="5"/>
      <c r="W663" s="5"/>
      <c r="Z663" s="5"/>
      <c r="AA663" s="5"/>
      <c r="AD663" s="5"/>
      <c r="AG663" s="5"/>
      <c r="AH663" s="5"/>
      <c r="AN663" s="4"/>
      <c r="AO663" s="4"/>
      <c r="AP663" s="4"/>
      <c r="AQ663" s="4"/>
      <c r="AR663" s="4"/>
      <c r="AS663" s="4"/>
      <c r="AT663" s="4"/>
    </row>
    <row r="664" spans="12:46">
      <c r="L664" s="5"/>
      <c r="M664" s="5"/>
      <c r="W664" s="5"/>
      <c r="Z664" s="5"/>
      <c r="AA664" s="5"/>
      <c r="AD664" s="5"/>
      <c r="AG664" s="5"/>
      <c r="AH664" s="5"/>
      <c r="AN664" s="4"/>
      <c r="AO664" s="4"/>
      <c r="AP664" s="4"/>
      <c r="AQ664" s="4"/>
      <c r="AR664" s="4"/>
      <c r="AS664" s="4"/>
      <c r="AT664" s="4"/>
    </row>
    <row r="665" spans="12:46">
      <c r="L665" s="5"/>
      <c r="M665" s="5"/>
      <c r="W665" s="5"/>
      <c r="Z665" s="5"/>
      <c r="AA665" s="5"/>
      <c r="AD665" s="5"/>
      <c r="AG665" s="5"/>
      <c r="AH665" s="5"/>
      <c r="AN665" s="4"/>
      <c r="AO665" s="4"/>
      <c r="AP665" s="4"/>
      <c r="AQ665" s="4"/>
      <c r="AR665" s="4"/>
      <c r="AS665" s="4"/>
      <c r="AT665" s="4"/>
    </row>
    <row r="666" spans="12:46">
      <c r="L666" s="5"/>
      <c r="M666" s="5"/>
      <c r="W666" s="5"/>
      <c r="Z666" s="5"/>
      <c r="AA666" s="5"/>
      <c r="AD666" s="5"/>
      <c r="AG666" s="5"/>
      <c r="AH666" s="5"/>
      <c r="AN666" s="4"/>
      <c r="AO666" s="4"/>
      <c r="AP666" s="4"/>
      <c r="AQ666" s="4"/>
      <c r="AR666" s="4"/>
      <c r="AS666" s="4"/>
      <c r="AT666" s="4"/>
    </row>
    <row r="667" spans="12:46">
      <c r="L667" s="5"/>
      <c r="M667" s="5"/>
      <c r="W667" s="5"/>
      <c r="Z667" s="5"/>
      <c r="AA667" s="5"/>
      <c r="AD667" s="5"/>
      <c r="AG667" s="5"/>
      <c r="AH667" s="5"/>
      <c r="AN667" s="4"/>
      <c r="AO667" s="4"/>
      <c r="AP667" s="4"/>
      <c r="AQ667" s="4"/>
      <c r="AR667" s="4"/>
      <c r="AS667" s="4"/>
      <c r="AT667" s="4"/>
    </row>
    <row r="668" spans="12:46">
      <c r="L668" s="5"/>
      <c r="M668" s="5"/>
      <c r="W668" s="5"/>
      <c r="Z668" s="5"/>
      <c r="AA668" s="5"/>
      <c r="AD668" s="5"/>
      <c r="AG668" s="5"/>
      <c r="AH668" s="5"/>
      <c r="AN668" s="4"/>
      <c r="AO668" s="4"/>
      <c r="AP668" s="4"/>
      <c r="AQ668" s="4"/>
      <c r="AR668" s="4"/>
      <c r="AS668" s="4"/>
      <c r="AT668" s="4"/>
    </row>
    <row r="669" spans="12:46">
      <c r="L669" s="5"/>
      <c r="M669" s="5"/>
      <c r="W669" s="5"/>
      <c r="Z669" s="5"/>
      <c r="AA669" s="5"/>
      <c r="AD669" s="5"/>
      <c r="AG669" s="5"/>
      <c r="AH669" s="5"/>
      <c r="AN669" s="4"/>
      <c r="AO669" s="4"/>
      <c r="AP669" s="4"/>
      <c r="AQ669" s="4"/>
      <c r="AR669" s="4"/>
      <c r="AS669" s="4"/>
      <c r="AT669" s="4"/>
    </row>
    <row r="670" spans="12:46">
      <c r="L670" s="5"/>
      <c r="M670" s="5"/>
      <c r="W670" s="5"/>
      <c r="Z670" s="5"/>
      <c r="AA670" s="5"/>
      <c r="AD670" s="5"/>
      <c r="AG670" s="5"/>
      <c r="AH670" s="5"/>
      <c r="AN670" s="4"/>
      <c r="AO670" s="4"/>
      <c r="AP670" s="4"/>
      <c r="AQ670" s="4"/>
      <c r="AR670" s="4"/>
      <c r="AS670" s="4"/>
      <c r="AT670" s="4"/>
    </row>
    <row r="671" spans="12:46">
      <c r="L671" s="5"/>
      <c r="M671" s="5"/>
      <c r="W671" s="5"/>
      <c r="Z671" s="5"/>
      <c r="AA671" s="5"/>
      <c r="AD671" s="5"/>
      <c r="AG671" s="5"/>
      <c r="AH671" s="5"/>
      <c r="AN671" s="4"/>
      <c r="AO671" s="4"/>
      <c r="AP671" s="4"/>
      <c r="AQ671" s="4"/>
      <c r="AR671" s="4"/>
      <c r="AS671" s="4"/>
      <c r="AT671" s="4"/>
    </row>
    <row r="672" spans="12:46">
      <c r="L672" s="5"/>
      <c r="M672" s="5"/>
      <c r="W672" s="5"/>
      <c r="Z672" s="5"/>
      <c r="AA672" s="5"/>
      <c r="AD672" s="5"/>
      <c r="AG672" s="5"/>
      <c r="AH672" s="5"/>
      <c r="AN672" s="4"/>
      <c r="AO672" s="4"/>
      <c r="AP672" s="4"/>
      <c r="AQ672" s="4"/>
      <c r="AR672" s="4"/>
      <c r="AS672" s="4"/>
      <c r="AT672" s="4"/>
    </row>
    <row r="673" spans="12:46">
      <c r="L673" s="5"/>
      <c r="M673" s="5"/>
      <c r="W673" s="5"/>
      <c r="Z673" s="5"/>
      <c r="AA673" s="5"/>
      <c r="AD673" s="5"/>
      <c r="AG673" s="5"/>
      <c r="AH673" s="5"/>
      <c r="AN673" s="4"/>
      <c r="AO673" s="4"/>
      <c r="AP673" s="4"/>
      <c r="AQ673" s="4"/>
      <c r="AR673" s="4"/>
      <c r="AS673" s="4"/>
      <c r="AT673" s="4"/>
    </row>
    <row r="674" spans="12:46">
      <c r="L674" s="5"/>
      <c r="M674" s="5"/>
      <c r="W674" s="5"/>
      <c r="Z674" s="5"/>
      <c r="AA674" s="5"/>
      <c r="AD674" s="5"/>
      <c r="AG674" s="5"/>
      <c r="AH674" s="5"/>
      <c r="AN674" s="4"/>
      <c r="AO674" s="4"/>
      <c r="AP674" s="4"/>
      <c r="AQ674" s="4"/>
      <c r="AR674" s="4"/>
      <c r="AS674" s="4"/>
      <c r="AT674" s="4"/>
    </row>
    <row r="675" spans="12:46">
      <c r="L675" s="5"/>
      <c r="M675" s="5"/>
      <c r="W675" s="5"/>
      <c r="Z675" s="5"/>
      <c r="AA675" s="5"/>
      <c r="AD675" s="5"/>
      <c r="AG675" s="5"/>
      <c r="AH675" s="5"/>
      <c r="AN675" s="4"/>
      <c r="AO675" s="4"/>
      <c r="AP675" s="4"/>
      <c r="AQ675" s="4"/>
      <c r="AR675" s="4"/>
      <c r="AS675" s="4"/>
      <c r="AT675" s="4"/>
    </row>
    <row r="676" spans="12:46">
      <c r="L676" s="5"/>
      <c r="M676" s="5"/>
      <c r="W676" s="5"/>
      <c r="Z676" s="5"/>
      <c r="AA676" s="5"/>
      <c r="AD676" s="5"/>
      <c r="AG676" s="5"/>
      <c r="AH676" s="5"/>
      <c r="AN676" s="4"/>
      <c r="AO676" s="4"/>
      <c r="AP676" s="4"/>
      <c r="AQ676" s="4"/>
      <c r="AR676" s="4"/>
      <c r="AS676" s="4"/>
      <c r="AT676" s="4"/>
    </row>
    <row r="677" spans="12:46">
      <c r="L677" s="5"/>
      <c r="M677" s="5"/>
      <c r="W677" s="5"/>
      <c r="Z677" s="5"/>
      <c r="AA677" s="5"/>
      <c r="AD677" s="5"/>
      <c r="AG677" s="5"/>
      <c r="AH677" s="5"/>
      <c r="AN677" s="4"/>
      <c r="AO677" s="4"/>
      <c r="AP677" s="4"/>
      <c r="AQ677" s="4"/>
      <c r="AR677" s="4"/>
      <c r="AS677" s="4"/>
      <c r="AT677" s="4"/>
    </row>
    <row r="678" spans="12:46">
      <c r="L678" s="5"/>
      <c r="M678" s="5"/>
      <c r="W678" s="5"/>
      <c r="Z678" s="5"/>
      <c r="AA678" s="5"/>
      <c r="AD678" s="5"/>
      <c r="AG678" s="5"/>
      <c r="AH678" s="5"/>
      <c r="AN678" s="4"/>
      <c r="AO678" s="4"/>
      <c r="AP678" s="4"/>
      <c r="AQ678" s="4"/>
      <c r="AR678" s="4"/>
      <c r="AS678" s="4"/>
      <c r="AT678" s="4"/>
    </row>
    <row r="679" spans="12:46">
      <c r="L679" s="5"/>
      <c r="M679" s="5"/>
      <c r="W679" s="5"/>
      <c r="Z679" s="5"/>
      <c r="AA679" s="5"/>
      <c r="AD679" s="5"/>
      <c r="AG679" s="5"/>
      <c r="AH679" s="5"/>
      <c r="AN679" s="4"/>
      <c r="AO679" s="4"/>
      <c r="AP679" s="4"/>
      <c r="AQ679" s="4"/>
      <c r="AR679" s="4"/>
      <c r="AS679" s="4"/>
      <c r="AT679" s="4"/>
    </row>
    <row r="680" spans="12:46">
      <c r="L680" s="5"/>
      <c r="M680" s="5"/>
      <c r="W680" s="5"/>
      <c r="Z680" s="5"/>
      <c r="AA680" s="5"/>
      <c r="AD680" s="5"/>
      <c r="AG680" s="5"/>
      <c r="AH680" s="5"/>
      <c r="AN680" s="4"/>
      <c r="AO680" s="4"/>
      <c r="AP680" s="4"/>
      <c r="AQ680" s="4"/>
      <c r="AR680" s="4"/>
      <c r="AS680" s="4"/>
      <c r="AT680" s="4"/>
    </row>
    <row r="681" spans="12:46">
      <c r="L681" s="5"/>
      <c r="M681" s="5"/>
      <c r="W681" s="5"/>
      <c r="Z681" s="5"/>
      <c r="AA681" s="5"/>
      <c r="AD681" s="5"/>
      <c r="AG681" s="5"/>
      <c r="AH681" s="5"/>
      <c r="AN681" s="4"/>
      <c r="AO681" s="4"/>
      <c r="AP681" s="4"/>
      <c r="AQ681" s="4"/>
      <c r="AR681" s="4"/>
      <c r="AS681" s="4"/>
      <c r="AT681" s="4"/>
    </row>
    <row r="682" spans="12:46">
      <c r="L682" s="5"/>
      <c r="M682" s="5"/>
      <c r="W682" s="5"/>
      <c r="Z682" s="5"/>
      <c r="AA682" s="5"/>
      <c r="AD682" s="5"/>
      <c r="AG682" s="5"/>
      <c r="AH682" s="5"/>
      <c r="AN682" s="4"/>
      <c r="AO682" s="4"/>
      <c r="AP682" s="4"/>
      <c r="AQ682" s="4"/>
      <c r="AR682" s="4"/>
      <c r="AS682" s="4"/>
      <c r="AT682" s="4"/>
    </row>
    <row r="683" spans="12:46">
      <c r="L683" s="5"/>
      <c r="M683" s="5"/>
      <c r="W683" s="5"/>
      <c r="Z683" s="5"/>
      <c r="AA683" s="5"/>
      <c r="AD683" s="5"/>
      <c r="AG683" s="5"/>
      <c r="AH683" s="5"/>
      <c r="AN683" s="4"/>
      <c r="AO683" s="4"/>
      <c r="AP683" s="4"/>
      <c r="AQ683" s="4"/>
      <c r="AR683" s="4"/>
      <c r="AS683" s="4"/>
      <c r="AT683" s="4"/>
    </row>
    <row r="684" spans="12:46">
      <c r="L684" s="5"/>
      <c r="M684" s="5"/>
      <c r="W684" s="5"/>
      <c r="Z684" s="5"/>
      <c r="AA684" s="5"/>
      <c r="AD684" s="5"/>
      <c r="AG684" s="5"/>
      <c r="AH684" s="5"/>
      <c r="AN684" s="4"/>
      <c r="AO684" s="4"/>
      <c r="AP684" s="4"/>
      <c r="AQ684" s="4"/>
      <c r="AR684" s="4"/>
      <c r="AS684" s="4"/>
      <c r="AT684" s="4"/>
    </row>
    <row r="685" spans="12:46">
      <c r="L685" s="5"/>
      <c r="M685" s="5"/>
      <c r="W685" s="5"/>
      <c r="Z685" s="5"/>
      <c r="AA685" s="5"/>
      <c r="AD685" s="5"/>
      <c r="AG685" s="5"/>
      <c r="AH685" s="5"/>
      <c r="AN685" s="4"/>
      <c r="AO685" s="4"/>
      <c r="AP685" s="4"/>
      <c r="AQ685" s="4"/>
      <c r="AR685" s="4"/>
      <c r="AS685" s="4"/>
      <c r="AT685" s="4"/>
    </row>
    <row r="686" spans="12:46">
      <c r="L686" s="5"/>
      <c r="M686" s="5"/>
      <c r="W686" s="5"/>
      <c r="Z686" s="5"/>
      <c r="AA686" s="5"/>
      <c r="AD686" s="5"/>
      <c r="AG686" s="5"/>
      <c r="AH686" s="5"/>
      <c r="AN686" s="4"/>
      <c r="AO686" s="4"/>
      <c r="AP686" s="4"/>
      <c r="AQ686" s="4"/>
      <c r="AR686" s="4"/>
      <c r="AS686" s="4"/>
      <c r="AT686" s="4"/>
    </row>
    <row r="687" spans="12:46">
      <c r="L687" s="5"/>
      <c r="M687" s="5"/>
      <c r="W687" s="5"/>
      <c r="Z687" s="5"/>
      <c r="AA687" s="5"/>
      <c r="AD687" s="5"/>
      <c r="AG687" s="5"/>
      <c r="AH687" s="5"/>
      <c r="AN687" s="4"/>
      <c r="AO687" s="4"/>
      <c r="AP687" s="4"/>
      <c r="AQ687" s="4"/>
      <c r="AR687" s="4"/>
      <c r="AS687" s="4"/>
      <c r="AT687" s="4"/>
    </row>
    <row r="688" spans="12:46">
      <c r="L688" s="5"/>
      <c r="M688" s="5"/>
      <c r="W688" s="5"/>
      <c r="Z688" s="5"/>
      <c r="AA688" s="5"/>
      <c r="AD688" s="5"/>
      <c r="AG688" s="5"/>
      <c r="AH688" s="5"/>
      <c r="AN688" s="4"/>
      <c r="AO688" s="4"/>
      <c r="AP688" s="4"/>
      <c r="AQ688" s="4"/>
      <c r="AR688" s="4"/>
      <c r="AS688" s="4"/>
      <c r="AT688" s="4"/>
    </row>
    <row r="689" spans="12:46">
      <c r="L689" s="5"/>
      <c r="M689" s="5"/>
      <c r="W689" s="5"/>
      <c r="Z689" s="5"/>
      <c r="AA689" s="5"/>
      <c r="AD689" s="5"/>
      <c r="AG689" s="5"/>
      <c r="AH689" s="5"/>
      <c r="AN689" s="4"/>
      <c r="AO689" s="4"/>
      <c r="AP689" s="4"/>
      <c r="AQ689" s="4"/>
      <c r="AR689" s="4"/>
      <c r="AS689" s="4"/>
      <c r="AT689" s="4"/>
    </row>
    <row r="690" spans="12:46">
      <c r="L690" s="5"/>
      <c r="M690" s="5"/>
      <c r="W690" s="5"/>
      <c r="Z690" s="5"/>
      <c r="AA690" s="5"/>
      <c r="AD690" s="5"/>
      <c r="AG690" s="5"/>
      <c r="AH690" s="5"/>
      <c r="AN690" s="4"/>
      <c r="AO690" s="4"/>
      <c r="AP690" s="4"/>
      <c r="AQ690" s="4"/>
      <c r="AR690" s="4"/>
      <c r="AS690" s="4"/>
      <c r="AT690" s="4"/>
    </row>
    <row r="691" spans="12:46">
      <c r="L691" s="5"/>
      <c r="M691" s="5"/>
      <c r="W691" s="5"/>
      <c r="Z691" s="5"/>
      <c r="AA691" s="5"/>
      <c r="AD691" s="5"/>
      <c r="AG691" s="5"/>
      <c r="AH691" s="5"/>
      <c r="AN691" s="4"/>
      <c r="AO691" s="4"/>
      <c r="AP691" s="4"/>
      <c r="AQ691" s="4"/>
      <c r="AR691" s="4"/>
      <c r="AS691" s="4"/>
      <c r="AT691" s="4"/>
    </row>
    <row r="692" spans="12:46">
      <c r="L692" s="5"/>
      <c r="M692" s="5"/>
      <c r="W692" s="5"/>
      <c r="Z692" s="5"/>
      <c r="AA692" s="5"/>
      <c r="AD692" s="5"/>
      <c r="AG692" s="5"/>
      <c r="AH692" s="5"/>
      <c r="AN692" s="4"/>
      <c r="AO692" s="4"/>
      <c r="AP692" s="4"/>
      <c r="AQ692" s="4"/>
      <c r="AR692" s="4"/>
      <c r="AS692" s="4"/>
      <c r="AT692" s="4"/>
    </row>
    <row r="693" spans="12:46">
      <c r="L693" s="5"/>
      <c r="M693" s="5"/>
      <c r="W693" s="5"/>
      <c r="Z693" s="5"/>
      <c r="AA693" s="5"/>
      <c r="AD693" s="5"/>
      <c r="AG693" s="5"/>
      <c r="AH693" s="5"/>
      <c r="AN693" s="4"/>
      <c r="AO693" s="4"/>
      <c r="AP693" s="4"/>
      <c r="AQ693" s="4"/>
      <c r="AR693" s="4"/>
      <c r="AS693" s="4"/>
      <c r="AT693" s="4"/>
    </row>
    <row r="694" spans="12:46">
      <c r="L694" s="5"/>
      <c r="M694" s="5"/>
      <c r="W694" s="5"/>
      <c r="Z694" s="5"/>
      <c r="AA694" s="5"/>
      <c r="AD694" s="5"/>
      <c r="AG694" s="5"/>
      <c r="AH694" s="5"/>
      <c r="AN694" s="4"/>
      <c r="AO694" s="4"/>
      <c r="AP694" s="4"/>
      <c r="AQ694" s="4"/>
      <c r="AR694" s="4"/>
      <c r="AS694" s="4"/>
      <c r="AT694" s="4"/>
    </row>
    <row r="695" spans="12:46">
      <c r="L695" s="5"/>
      <c r="M695" s="5"/>
      <c r="W695" s="5"/>
      <c r="Z695" s="5"/>
      <c r="AA695" s="5"/>
      <c r="AD695" s="5"/>
      <c r="AG695" s="5"/>
      <c r="AH695" s="5"/>
      <c r="AN695" s="4"/>
      <c r="AO695" s="4"/>
      <c r="AP695" s="4"/>
      <c r="AQ695" s="4"/>
      <c r="AR695" s="4"/>
      <c r="AS695" s="4"/>
      <c r="AT695" s="4"/>
    </row>
    <row r="696" spans="12:46">
      <c r="L696" s="5"/>
      <c r="M696" s="5"/>
      <c r="W696" s="5"/>
      <c r="Z696" s="5"/>
      <c r="AA696" s="5"/>
      <c r="AD696" s="5"/>
      <c r="AG696" s="5"/>
      <c r="AH696" s="5"/>
      <c r="AN696" s="4"/>
      <c r="AO696" s="4"/>
      <c r="AP696" s="4"/>
      <c r="AQ696" s="4"/>
      <c r="AR696" s="4"/>
      <c r="AS696" s="4"/>
      <c r="AT696" s="4"/>
    </row>
    <row r="697" spans="12:46">
      <c r="L697" s="5"/>
      <c r="M697" s="5"/>
      <c r="W697" s="5"/>
      <c r="Z697" s="5"/>
      <c r="AA697" s="5"/>
      <c r="AD697" s="5"/>
      <c r="AG697" s="5"/>
      <c r="AH697" s="5"/>
      <c r="AN697" s="4"/>
      <c r="AO697" s="4"/>
      <c r="AP697" s="4"/>
      <c r="AQ697" s="4"/>
      <c r="AR697" s="4"/>
      <c r="AS697" s="4"/>
      <c r="AT697" s="4"/>
    </row>
    <row r="698" spans="12:46">
      <c r="L698" s="5"/>
      <c r="M698" s="5"/>
      <c r="W698" s="5"/>
      <c r="Z698" s="5"/>
      <c r="AA698" s="5"/>
      <c r="AD698" s="5"/>
      <c r="AG698" s="5"/>
      <c r="AH698" s="5"/>
      <c r="AN698" s="4"/>
      <c r="AO698" s="4"/>
      <c r="AP698" s="4"/>
      <c r="AQ698" s="4"/>
      <c r="AR698" s="4"/>
      <c r="AS698" s="4"/>
      <c r="AT698" s="4"/>
    </row>
    <row r="699" spans="12:46">
      <c r="L699" s="5"/>
      <c r="M699" s="5"/>
      <c r="W699" s="5"/>
      <c r="Z699" s="5"/>
      <c r="AA699" s="5"/>
      <c r="AD699" s="5"/>
      <c r="AG699" s="5"/>
      <c r="AH699" s="5"/>
      <c r="AN699" s="4"/>
      <c r="AO699" s="4"/>
      <c r="AP699" s="4"/>
      <c r="AQ699" s="4"/>
      <c r="AR699" s="4"/>
      <c r="AS699" s="4"/>
      <c r="AT699" s="4"/>
    </row>
    <row r="700" spans="12:46">
      <c r="L700" s="5"/>
      <c r="M700" s="5"/>
      <c r="W700" s="5"/>
      <c r="Z700" s="5"/>
      <c r="AA700" s="5"/>
      <c r="AD700" s="5"/>
      <c r="AG700" s="5"/>
      <c r="AH700" s="5"/>
      <c r="AN700" s="4"/>
      <c r="AO700" s="4"/>
      <c r="AP700" s="4"/>
      <c r="AQ700" s="4"/>
      <c r="AR700" s="4"/>
      <c r="AS700" s="4"/>
      <c r="AT700" s="4"/>
    </row>
    <row r="701" spans="12:46">
      <c r="L701" s="5"/>
      <c r="M701" s="5"/>
      <c r="W701" s="5"/>
      <c r="Z701" s="5"/>
      <c r="AA701" s="5"/>
      <c r="AD701" s="5"/>
      <c r="AG701" s="5"/>
      <c r="AH701" s="5"/>
      <c r="AN701" s="4"/>
      <c r="AO701" s="4"/>
      <c r="AP701" s="4"/>
      <c r="AQ701" s="4"/>
      <c r="AR701" s="4"/>
      <c r="AS701" s="4"/>
      <c r="AT701" s="4"/>
    </row>
    <row r="702" spans="12:46">
      <c r="L702" s="5"/>
      <c r="M702" s="5"/>
      <c r="W702" s="5"/>
      <c r="Z702" s="5"/>
      <c r="AA702" s="5"/>
      <c r="AD702" s="5"/>
      <c r="AG702" s="5"/>
      <c r="AH702" s="5"/>
      <c r="AN702" s="4"/>
      <c r="AO702" s="4"/>
      <c r="AP702" s="4"/>
      <c r="AQ702" s="4"/>
      <c r="AR702" s="4"/>
      <c r="AS702" s="4"/>
      <c r="AT702" s="4"/>
    </row>
    <row r="703" spans="12:46">
      <c r="L703" s="5"/>
      <c r="M703" s="5"/>
      <c r="W703" s="5"/>
      <c r="Z703" s="5"/>
      <c r="AA703" s="5"/>
      <c r="AD703" s="5"/>
      <c r="AG703" s="5"/>
      <c r="AH703" s="5"/>
      <c r="AN703" s="4"/>
      <c r="AO703" s="4"/>
      <c r="AP703" s="4"/>
      <c r="AQ703" s="4"/>
      <c r="AR703" s="4"/>
      <c r="AS703" s="4"/>
      <c r="AT703" s="4"/>
    </row>
    <row r="704" spans="12:46">
      <c r="L704" s="5"/>
      <c r="M704" s="5"/>
      <c r="W704" s="5"/>
      <c r="Z704" s="5"/>
      <c r="AA704" s="5"/>
      <c r="AD704" s="5"/>
      <c r="AG704" s="5"/>
      <c r="AH704" s="5"/>
      <c r="AN704" s="4"/>
      <c r="AO704" s="4"/>
      <c r="AP704" s="4"/>
      <c r="AQ704" s="4"/>
      <c r="AR704" s="4"/>
      <c r="AS704" s="4"/>
      <c r="AT704" s="4"/>
    </row>
    <row r="705" spans="12:46">
      <c r="L705" s="5"/>
      <c r="M705" s="5"/>
      <c r="W705" s="5"/>
      <c r="Z705" s="5"/>
      <c r="AA705" s="5"/>
      <c r="AD705" s="5"/>
      <c r="AG705" s="5"/>
      <c r="AH705" s="5"/>
      <c r="AN705" s="4"/>
      <c r="AO705" s="4"/>
      <c r="AP705" s="4"/>
      <c r="AQ705" s="4"/>
      <c r="AR705" s="4"/>
      <c r="AS705" s="4"/>
      <c r="AT705" s="4"/>
    </row>
    <row r="706" spans="12:46">
      <c r="L706" s="5"/>
      <c r="M706" s="5"/>
      <c r="W706" s="5"/>
      <c r="Z706" s="5"/>
      <c r="AA706" s="5"/>
      <c r="AD706" s="5"/>
      <c r="AG706" s="5"/>
      <c r="AH706" s="5"/>
      <c r="AN706" s="4"/>
      <c r="AO706" s="4"/>
      <c r="AP706" s="4"/>
      <c r="AQ706" s="4"/>
      <c r="AR706" s="4"/>
      <c r="AS706" s="4"/>
      <c r="AT706" s="4"/>
    </row>
    <row r="707" spans="12:46">
      <c r="L707" s="5"/>
      <c r="M707" s="5"/>
      <c r="W707" s="5"/>
      <c r="Z707" s="5"/>
      <c r="AA707" s="5"/>
      <c r="AD707" s="5"/>
      <c r="AG707" s="5"/>
      <c r="AH707" s="5"/>
      <c r="AN707" s="4"/>
      <c r="AO707" s="4"/>
      <c r="AP707" s="4"/>
      <c r="AQ707" s="4"/>
      <c r="AR707" s="4"/>
      <c r="AS707" s="4"/>
      <c r="AT707" s="4"/>
    </row>
    <row r="708" spans="12:46">
      <c r="L708" s="5"/>
      <c r="M708" s="5"/>
      <c r="W708" s="5"/>
      <c r="Z708" s="5"/>
      <c r="AA708" s="5"/>
      <c r="AD708" s="5"/>
      <c r="AG708" s="5"/>
      <c r="AH708" s="5"/>
      <c r="AN708" s="4"/>
      <c r="AO708" s="4"/>
      <c r="AP708" s="4"/>
      <c r="AQ708" s="4"/>
      <c r="AR708" s="4"/>
      <c r="AS708" s="4"/>
      <c r="AT708" s="4"/>
    </row>
    <row r="709" spans="12:46">
      <c r="L709" s="5"/>
      <c r="M709" s="5"/>
      <c r="W709" s="5"/>
      <c r="Z709" s="5"/>
      <c r="AA709" s="5"/>
      <c r="AD709" s="5"/>
      <c r="AG709" s="5"/>
      <c r="AH709" s="5"/>
      <c r="AN709" s="4"/>
      <c r="AO709" s="4"/>
      <c r="AP709" s="4"/>
      <c r="AQ709" s="4"/>
      <c r="AR709" s="4"/>
      <c r="AS709" s="4"/>
      <c r="AT709" s="4"/>
    </row>
    <row r="710" spans="12:46">
      <c r="L710" s="5"/>
      <c r="M710" s="5"/>
      <c r="W710" s="5"/>
      <c r="Z710" s="5"/>
      <c r="AA710" s="5"/>
      <c r="AD710" s="5"/>
      <c r="AG710" s="5"/>
      <c r="AH710" s="5"/>
      <c r="AN710" s="4"/>
      <c r="AO710" s="4"/>
      <c r="AP710" s="4"/>
      <c r="AQ710" s="4"/>
      <c r="AR710" s="4"/>
      <c r="AS710" s="4"/>
      <c r="AT710" s="4"/>
    </row>
    <row r="711" spans="12:46">
      <c r="L711" s="5"/>
      <c r="M711" s="5"/>
      <c r="W711" s="5"/>
      <c r="Z711" s="5"/>
      <c r="AA711" s="5"/>
      <c r="AD711" s="5"/>
      <c r="AG711" s="5"/>
      <c r="AH711" s="5"/>
      <c r="AN711" s="4"/>
      <c r="AO711" s="4"/>
      <c r="AP711" s="4"/>
      <c r="AQ711" s="4"/>
      <c r="AR711" s="4"/>
      <c r="AS711" s="4"/>
      <c r="AT711" s="4"/>
    </row>
    <row r="712" spans="12:46">
      <c r="L712" s="5"/>
      <c r="M712" s="5"/>
      <c r="W712" s="5"/>
      <c r="Z712" s="5"/>
      <c r="AA712" s="5"/>
      <c r="AD712" s="5"/>
      <c r="AG712" s="5"/>
      <c r="AH712" s="5"/>
      <c r="AN712" s="4"/>
      <c r="AO712" s="4"/>
      <c r="AP712" s="4"/>
      <c r="AQ712" s="4"/>
      <c r="AR712" s="4"/>
      <c r="AS712" s="4"/>
      <c r="AT712" s="4"/>
    </row>
    <row r="713" spans="12:46">
      <c r="L713" s="5"/>
      <c r="M713" s="5"/>
      <c r="W713" s="5"/>
      <c r="Z713" s="5"/>
      <c r="AA713" s="5"/>
      <c r="AD713" s="5"/>
      <c r="AG713" s="5"/>
      <c r="AH713" s="5"/>
      <c r="AN713" s="4"/>
      <c r="AO713" s="4"/>
      <c r="AP713" s="4"/>
      <c r="AQ713" s="4"/>
      <c r="AR713" s="4"/>
      <c r="AS713" s="4"/>
      <c r="AT713" s="4"/>
    </row>
    <row r="714" spans="12:46">
      <c r="L714" s="5"/>
      <c r="M714" s="5"/>
      <c r="W714" s="5"/>
      <c r="Z714" s="5"/>
      <c r="AA714" s="5"/>
      <c r="AD714" s="5"/>
      <c r="AG714" s="5"/>
      <c r="AH714" s="5"/>
      <c r="AN714" s="4"/>
      <c r="AO714" s="4"/>
      <c r="AP714" s="4"/>
      <c r="AQ714" s="4"/>
      <c r="AR714" s="4"/>
      <c r="AS714" s="4"/>
      <c r="AT714" s="4"/>
    </row>
    <row r="715" spans="12:46">
      <c r="L715" s="5"/>
      <c r="M715" s="5"/>
      <c r="W715" s="5"/>
      <c r="Z715" s="5"/>
      <c r="AA715" s="5"/>
      <c r="AD715" s="5"/>
      <c r="AG715" s="5"/>
      <c r="AH715" s="5"/>
      <c r="AN715" s="4"/>
      <c r="AO715" s="4"/>
      <c r="AP715" s="4"/>
      <c r="AQ715" s="4"/>
      <c r="AR715" s="4"/>
      <c r="AS715" s="4"/>
      <c r="AT715" s="4"/>
    </row>
    <row r="716" spans="12:46">
      <c r="L716" s="5"/>
      <c r="M716" s="5"/>
      <c r="W716" s="5"/>
      <c r="Z716" s="5"/>
      <c r="AA716" s="5"/>
      <c r="AD716" s="5"/>
      <c r="AG716" s="5"/>
      <c r="AH716" s="5"/>
      <c r="AN716" s="4"/>
      <c r="AO716" s="4"/>
      <c r="AP716" s="4"/>
      <c r="AQ716" s="4"/>
      <c r="AR716" s="4"/>
      <c r="AS716" s="4"/>
      <c r="AT716" s="4"/>
    </row>
    <row r="717" spans="12:46">
      <c r="L717" s="5"/>
      <c r="M717" s="5"/>
      <c r="W717" s="5"/>
      <c r="Z717" s="5"/>
      <c r="AA717" s="5"/>
      <c r="AD717" s="5"/>
      <c r="AG717" s="5"/>
      <c r="AH717" s="5"/>
      <c r="AN717" s="4"/>
      <c r="AO717" s="4"/>
      <c r="AP717" s="4"/>
      <c r="AQ717" s="4"/>
      <c r="AR717" s="4"/>
      <c r="AS717" s="4"/>
      <c r="AT717" s="4"/>
    </row>
    <row r="718" spans="12:46">
      <c r="L718" s="5"/>
      <c r="M718" s="5"/>
      <c r="W718" s="5"/>
      <c r="Z718" s="5"/>
      <c r="AA718" s="5"/>
      <c r="AD718" s="5"/>
      <c r="AG718" s="5"/>
      <c r="AH718" s="5"/>
      <c r="AN718" s="4"/>
      <c r="AO718" s="4"/>
      <c r="AP718" s="4"/>
      <c r="AQ718" s="4"/>
      <c r="AR718" s="4"/>
      <c r="AS718" s="4"/>
      <c r="AT718" s="4"/>
    </row>
    <row r="719" spans="12:46">
      <c r="L719" s="5"/>
      <c r="M719" s="5"/>
      <c r="W719" s="5"/>
      <c r="Z719" s="5"/>
      <c r="AA719" s="5"/>
      <c r="AD719" s="5"/>
      <c r="AG719" s="5"/>
      <c r="AH719" s="5"/>
      <c r="AN719" s="4"/>
      <c r="AO719" s="4"/>
      <c r="AP719" s="4"/>
      <c r="AQ719" s="4"/>
      <c r="AR719" s="4"/>
      <c r="AS719" s="4"/>
      <c r="AT719" s="4"/>
    </row>
    <row r="720" spans="12:46">
      <c r="L720" s="5"/>
      <c r="M720" s="5"/>
      <c r="W720" s="5"/>
      <c r="Z720" s="5"/>
      <c r="AA720" s="5"/>
      <c r="AD720" s="5"/>
      <c r="AG720" s="5"/>
      <c r="AH720" s="5"/>
      <c r="AN720" s="4"/>
      <c r="AO720" s="4"/>
      <c r="AP720" s="4"/>
      <c r="AQ720" s="4"/>
      <c r="AR720" s="4"/>
      <c r="AS720" s="4"/>
      <c r="AT720" s="4"/>
    </row>
    <row r="721" spans="12:46">
      <c r="L721" s="5"/>
      <c r="M721" s="5"/>
      <c r="W721" s="5"/>
      <c r="Z721" s="5"/>
      <c r="AA721" s="5"/>
      <c r="AD721" s="5"/>
      <c r="AG721" s="5"/>
      <c r="AH721" s="5"/>
      <c r="AN721" s="4"/>
      <c r="AO721" s="4"/>
      <c r="AP721" s="4"/>
      <c r="AQ721" s="4"/>
      <c r="AR721" s="4"/>
      <c r="AS721" s="4"/>
      <c r="AT721" s="4"/>
    </row>
    <row r="722" spans="12:46">
      <c r="L722" s="5"/>
      <c r="M722" s="5"/>
      <c r="W722" s="5"/>
      <c r="Z722" s="5"/>
      <c r="AA722" s="5"/>
      <c r="AD722" s="5"/>
      <c r="AG722" s="5"/>
      <c r="AH722" s="5"/>
      <c r="AN722" s="4"/>
      <c r="AO722" s="4"/>
      <c r="AP722" s="4"/>
      <c r="AQ722" s="4"/>
      <c r="AR722" s="4"/>
      <c r="AS722" s="4"/>
      <c r="AT722" s="4"/>
    </row>
    <row r="723" spans="12:46">
      <c r="L723" s="5"/>
      <c r="M723" s="5"/>
      <c r="W723" s="5"/>
      <c r="Z723" s="5"/>
      <c r="AA723" s="5"/>
      <c r="AD723" s="5"/>
      <c r="AG723" s="5"/>
      <c r="AH723" s="5"/>
      <c r="AN723" s="4"/>
      <c r="AO723" s="4"/>
      <c r="AP723" s="4"/>
      <c r="AQ723" s="4"/>
      <c r="AR723" s="4"/>
      <c r="AS723" s="4"/>
      <c r="AT723" s="4"/>
    </row>
    <row r="724" spans="12:46">
      <c r="L724" s="5"/>
      <c r="M724" s="5"/>
      <c r="W724" s="5"/>
      <c r="Z724" s="5"/>
      <c r="AA724" s="5"/>
      <c r="AD724" s="5"/>
      <c r="AG724" s="5"/>
      <c r="AH724" s="5"/>
      <c r="AN724" s="4"/>
      <c r="AO724" s="4"/>
      <c r="AP724" s="4"/>
      <c r="AQ724" s="4"/>
      <c r="AR724" s="4"/>
      <c r="AS724" s="4"/>
      <c r="AT724" s="4"/>
    </row>
    <row r="725" spans="12:46">
      <c r="L725" s="5"/>
      <c r="M725" s="5"/>
      <c r="W725" s="5"/>
      <c r="Z725" s="5"/>
      <c r="AA725" s="5"/>
      <c r="AD725" s="5"/>
      <c r="AG725" s="5"/>
      <c r="AH725" s="5"/>
      <c r="AN725" s="4"/>
      <c r="AO725" s="4"/>
      <c r="AP725" s="4"/>
      <c r="AQ725" s="4"/>
      <c r="AR725" s="4"/>
      <c r="AS725" s="4"/>
      <c r="AT725" s="4"/>
    </row>
    <row r="726" spans="12:46">
      <c r="L726" s="5"/>
      <c r="M726" s="5"/>
      <c r="W726" s="5"/>
      <c r="Z726" s="5"/>
      <c r="AA726" s="5"/>
      <c r="AD726" s="5"/>
      <c r="AG726" s="5"/>
      <c r="AH726" s="5"/>
      <c r="AN726" s="4"/>
      <c r="AO726" s="4"/>
      <c r="AP726" s="4"/>
      <c r="AQ726" s="4"/>
      <c r="AR726" s="4"/>
      <c r="AS726" s="4"/>
      <c r="AT726" s="4"/>
    </row>
    <row r="727" spans="12:46">
      <c r="L727" s="5"/>
      <c r="M727" s="5"/>
      <c r="W727" s="5"/>
      <c r="Z727" s="5"/>
      <c r="AA727" s="5"/>
      <c r="AD727" s="5"/>
      <c r="AG727" s="5"/>
      <c r="AH727" s="5"/>
      <c r="AN727" s="4"/>
      <c r="AO727" s="4"/>
      <c r="AP727" s="4"/>
      <c r="AQ727" s="4"/>
      <c r="AR727" s="4"/>
      <c r="AS727" s="4"/>
      <c r="AT727" s="4"/>
    </row>
    <row r="728" spans="12:46">
      <c r="L728" s="5"/>
      <c r="M728" s="5"/>
      <c r="W728" s="5"/>
      <c r="Z728" s="5"/>
      <c r="AA728" s="5"/>
      <c r="AD728" s="5"/>
      <c r="AG728" s="5"/>
      <c r="AH728" s="5"/>
      <c r="AN728" s="4"/>
      <c r="AO728" s="4"/>
      <c r="AP728" s="4"/>
      <c r="AQ728" s="4"/>
      <c r="AR728" s="4"/>
      <c r="AS728" s="4"/>
      <c r="AT728" s="4"/>
    </row>
    <row r="729" spans="12:46">
      <c r="L729" s="5"/>
      <c r="M729" s="5"/>
      <c r="W729" s="5"/>
      <c r="Z729" s="5"/>
      <c r="AA729" s="5"/>
      <c r="AD729" s="5"/>
      <c r="AG729" s="5"/>
      <c r="AH729" s="5"/>
      <c r="AN729" s="4"/>
      <c r="AO729" s="4"/>
      <c r="AP729" s="4"/>
      <c r="AQ729" s="4"/>
      <c r="AR729" s="4"/>
      <c r="AS729" s="4"/>
      <c r="AT729" s="4"/>
    </row>
    <row r="730" spans="12:46">
      <c r="L730" s="5"/>
      <c r="M730" s="5"/>
      <c r="W730" s="5"/>
      <c r="Z730" s="5"/>
      <c r="AA730" s="5"/>
      <c r="AD730" s="5"/>
      <c r="AG730" s="5"/>
      <c r="AH730" s="5"/>
      <c r="AN730" s="4"/>
      <c r="AO730" s="4"/>
      <c r="AP730" s="4"/>
      <c r="AQ730" s="4"/>
      <c r="AR730" s="4"/>
      <c r="AS730" s="4"/>
      <c r="AT730" s="4"/>
    </row>
    <row r="731" spans="12:46">
      <c r="L731" s="5"/>
      <c r="M731" s="5"/>
      <c r="W731" s="5"/>
      <c r="Z731" s="5"/>
      <c r="AA731" s="5"/>
      <c r="AD731" s="5"/>
      <c r="AG731" s="5"/>
      <c r="AH731" s="5"/>
      <c r="AN731" s="4"/>
      <c r="AO731" s="4"/>
      <c r="AP731" s="4"/>
      <c r="AQ731" s="4"/>
      <c r="AR731" s="4"/>
      <c r="AS731" s="4"/>
      <c r="AT731" s="4"/>
    </row>
    <row r="732" spans="12:46">
      <c r="L732" s="5"/>
      <c r="M732" s="5"/>
      <c r="W732" s="5"/>
      <c r="Z732" s="5"/>
      <c r="AA732" s="5"/>
      <c r="AD732" s="5"/>
      <c r="AG732" s="5"/>
      <c r="AH732" s="5"/>
      <c r="AN732" s="4"/>
      <c r="AO732" s="4"/>
      <c r="AP732" s="4"/>
      <c r="AQ732" s="4"/>
      <c r="AR732" s="4"/>
      <c r="AS732" s="4"/>
      <c r="AT732" s="4"/>
    </row>
    <row r="733" spans="12:46">
      <c r="L733" s="5"/>
      <c r="M733" s="5"/>
      <c r="W733" s="5"/>
      <c r="Z733" s="5"/>
      <c r="AA733" s="5"/>
      <c r="AD733" s="5"/>
      <c r="AG733" s="5"/>
      <c r="AH733" s="5"/>
      <c r="AN733" s="4"/>
      <c r="AO733" s="4"/>
      <c r="AP733" s="4"/>
      <c r="AQ733" s="4"/>
      <c r="AR733" s="4"/>
      <c r="AS733" s="4"/>
      <c r="AT733" s="4"/>
    </row>
    <row r="734" spans="12:46">
      <c r="L734" s="5"/>
      <c r="M734" s="5"/>
      <c r="W734" s="5"/>
      <c r="Z734" s="5"/>
      <c r="AA734" s="5"/>
      <c r="AD734" s="5"/>
      <c r="AG734" s="5"/>
      <c r="AH734" s="5"/>
      <c r="AN734" s="4"/>
      <c r="AO734" s="4"/>
      <c r="AP734" s="4"/>
      <c r="AQ734" s="4"/>
      <c r="AR734" s="4"/>
      <c r="AS734" s="4"/>
      <c r="AT734" s="4"/>
    </row>
    <row r="735" spans="12:46">
      <c r="L735" s="5"/>
      <c r="M735" s="5"/>
      <c r="W735" s="5"/>
      <c r="Z735" s="5"/>
      <c r="AA735" s="5"/>
      <c r="AD735" s="5"/>
      <c r="AG735" s="5"/>
      <c r="AH735" s="5"/>
      <c r="AN735" s="4"/>
      <c r="AO735" s="4"/>
      <c r="AP735" s="4"/>
      <c r="AQ735" s="4"/>
      <c r="AR735" s="4"/>
      <c r="AS735" s="4"/>
      <c r="AT735" s="4"/>
    </row>
    <row r="736" spans="12:46">
      <c r="L736" s="5"/>
      <c r="M736" s="5"/>
      <c r="W736" s="5"/>
      <c r="Z736" s="5"/>
      <c r="AA736" s="5"/>
      <c r="AD736" s="5"/>
      <c r="AG736" s="5"/>
      <c r="AH736" s="5"/>
      <c r="AN736" s="4"/>
      <c r="AO736" s="4"/>
      <c r="AP736" s="4"/>
      <c r="AQ736" s="4"/>
      <c r="AR736" s="4"/>
      <c r="AS736" s="4"/>
      <c r="AT736" s="4"/>
    </row>
    <row r="737" spans="12:46">
      <c r="L737" s="5"/>
      <c r="M737" s="5"/>
      <c r="W737" s="5"/>
      <c r="Z737" s="5"/>
      <c r="AA737" s="5"/>
      <c r="AD737" s="5"/>
      <c r="AG737" s="5"/>
      <c r="AH737" s="5"/>
      <c r="AN737" s="4"/>
      <c r="AO737" s="4"/>
      <c r="AP737" s="4"/>
      <c r="AQ737" s="4"/>
      <c r="AR737" s="4"/>
      <c r="AS737" s="4"/>
      <c r="AT737" s="4"/>
    </row>
    <row r="738" spans="12:46">
      <c r="L738" s="5"/>
      <c r="M738" s="5"/>
      <c r="W738" s="5"/>
      <c r="Z738" s="5"/>
      <c r="AA738" s="5"/>
      <c r="AD738" s="5"/>
      <c r="AG738" s="5"/>
      <c r="AH738" s="5"/>
      <c r="AN738" s="4"/>
      <c r="AO738" s="4"/>
      <c r="AP738" s="4"/>
      <c r="AQ738" s="4"/>
      <c r="AR738" s="4"/>
      <c r="AS738" s="4"/>
      <c r="AT738" s="4"/>
    </row>
    <row r="739" spans="12:46">
      <c r="L739" s="5"/>
      <c r="M739" s="5"/>
      <c r="W739" s="5"/>
      <c r="Z739" s="5"/>
      <c r="AA739" s="5"/>
      <c r="AD739" s="5"/>
      <c r="AG739" s="5"/>
      <c r="AH739" s="5"/>
      <c r="AN739" s="4"/>
      <c r="AO739" s="4"/>
      <c r="AP739" s="4"/>
      <c r="AQ739" s="4"/>
      <c r="AR739" s="4"/>
      <c r="AS739" s="4"/>
      <c r="AT739" s="4"/>
    </row>
    <row r="740" spans="12:46">
      <c r="L740" s="5"/>
      <c r="M740" s="5"/>
      <c r="W740" s="5"/>
      <c r="Z740" s="5"/>
      <c r="AA740" s="5"/>
      <c r="AD740" s="5"/>
      <c r="AG740" s="5"/>
      <c r="AH740" s="5"/>
      <c r="AN740" s="4"/>
      <c r="AO740" s="4"/>
      <c r="AP740" s="4"/>
      <c r="AQ740" s="4"/>
      <c r="AR740" s="4"/>
      <c r="AS740" s="4"/>
      <c r="AT740" s="4"/>
    </row>
    <row r="741" spans="12:46">
      <c r="L741" s="5"/>
      <c r="M741" s="5"/>
      <c r="W741" s="5"/>
      <c r="Z741" s="5"/>
      <c r="AA741" s="5"/>
      <c r="AD741" s="5"/>
      <c r="AG741" s="5"/>
      <c r="AH741" s="5"/>
      <c r="AN741" s="4"/>
      <c r="AO741" s="4"/>
      <c r="AP741" s="4"/>
      <c r="AQ741" s="4"/>
      <c r="AR741" s="4"/>
      <c r="AS741" s="4"/>
      <c r="AT741" s="4"/>
    </row>
    <row r="742" spans="12:46">
      <c r="L742" s="5"/>
      <c r="M742" s="5"/>
      <c r="W742" s="5"/>
      <c r="Z742" s="5"/>
      <c r="AA742" s="5"/>
      <c r="AD742" s="5"/>
      <c r="AG742" s="5"/>
      <c r="AH742" s="5"/>
      <c r="AN742" s="4"/>
      <c r="AO742" s="4"/>
      <c r="AP742" s="4"/>
      <c r="AQ742" s="4"/>
      <c r="AR742" s="4"/>
      <c r="AS742" s="4"/>
      <c r="AT742" s="4"/>
    </row>
    <row r="743" spans="12:46">
      <c r="L743" s="5"/>
      <c r="M743" s="5"/>
      <c r="W743" s="5"/>
      <c r="Z743" s="5"/>
      <c r="AA743" s="5"/>
      <c r="AD743" s="5"/>
      <c r="AG743" s="5"/>
      <c r="AH743" s="5"/>
      <c r="AN743" s="4"/>
      <c r="AO743" s="4"/>
      <c r="AP743" s="4"/>
      <c r="AQ743" s="4"/>
      <c r="AR743" s="4"/>
      <c r="AS743" s="4"/>
      <c r="AT743" s="4"/>
    </row>
    <row r="744" spans="12:46">
      <c r="L744" s="5"/>
      <c r="M744" s="5"/>
      <c r="W744" s="5"/>
      <c r="Z744" s="5"/>
      <c r="AA744" s="5"/>
      <c r="AD744" s="5"/>
      <c r="AG744" s="5"/>
      <c r="AH744" s="5"/>
      <c r="AN744" s="4"/>
      <c r="AO744" s="4"/>
      <c r="AP744" s="4"/>
      <c r="AQ744" s="4"/>
      <c r="AR744" s="4"/>
      <c r="AS744" s="4"/>
      <c r="AT744" s="4"/>
    </row>
    <row r="745" spans="12:46">
      <c r="L745" s="5"/>
      <c r="M745" s="5"/>
      <c r="W745" s="5"/>
      <c r="Z745" s="5"/>
      <c r="AA745" s="5"/>
      <c r="AD745" s="5"/>
      <c r="AG745" s="5"/>
      <c r="AH745" s="5"/>
      <c r="AN745" s="4"/>
      <c r="AO745" s="4"/>
      <c r="AP745" s="4"/>
      <c r="AQ745" s="4"/>
      <c r="AR745" s="4"/>
      <c r="AS745" s="4"/>
      <c r="AT745" s="4"/>
    </row>
    <row r="746" spans="12:46">
      <c r="L746" s="5"/>
      <c r="M746" s="5"/>
      <c r="W746" s="5"/>
      <c r="Z746" s="5"/>
      <c r="AA746" s="5"/>
      <c r="AD746" s="5"/>
      <c r="AG746" s="5"/>
      <c r="AH746" s="5"/>
      <c r="AN746" s="4"/>
      <c r="AO746" s="4"/>
      <c r="AP746" s="4"/>
      <c r="AQ746" s="4"/>
      <c r="AR746" s="4"/>
      <c r="AS746" s="4"/>
      <c r="AT746" s="4"/>
    </row>
    <row r="747" spans="12:46">
      <c r="L747" s="5"/>
      <c r="M747" s="5"/>
      <c r="W747" s="5"/>
      <c r="Z747" s="5"/>
      <c r="AA747" s="5"/>
      <c r="AD747" s="5"/>
      <c r="AG747" s="5"/>
      <c r="AH747" s="5"/>
      <c r="AN747" s="4"/>
      <c r="AO747" s="4"/>
      <c r="AP747" s="4"/>
      <c r="AQ747" s="4"/>
      <c r="AR747" s="4"/>
      <c r="AS747" s="4"/>
      <c r="AT747" s="4"/>
    </row>
    <row r="748" spans="12:46">
      <c r="L748" s="5"/>
      <c r="M748" s="5"/>
      <c r="W748" s="5"/>
      <c r="Z748" s="5"/>
      <c r="AA748" s="5"/>
      <c r="AD748" s="5"/>
      <c r="AG748" s="5"/>
      <c r="AH748" s="5"/>
      <c r="AN748" s="4"/>
      <c r="AO748" s="4"/>
      <c r="AP748" s="4"/>
      <c r="AQ748" s="4"/>
      <c r="AR748" s="4"/>
      <c r="AS748" s="4"/>
      <c r="AT748" s="4"/>
    </row>
    <row r="749" spans="12:46">
      <c r="L749" s="5"/>
      <c r="M749" s="5"/>
      <c r="W749" s="5"/>
      <c r="Z749" s="5"/>
      <c r="AA749" s="5"/>
      <c r="AD749" s="5"/>
      <c r="AG749" s="5"/>
      <c r="AH749" s="5"/>
      <c r="AN749" s="4"/>
      <c r="AO749" s="4"/>
      <c r="AP749" s="4"/>
      <c r="AQ749" s="4"/>
      <c r="AR749" s="4"/>
      <c r="AS749" s="4"/>
      <c r="AT749" s="4"/>
    </row>
    <row r="750" spans="12:46">
      <c r="L750" s="5"/>
      <c r="M750" s="5"/>
      <c r="W750" s="5"/>
      <c r="Z750" s="5"/>
      <c r="AA750" s="5"/>
      <c r="AD750" s="5"/>
      <c r="AG750" s="5"/>
      <c r="AH750" s="5"/>
      <c r="AN750" s="4"/>
      <c r="AO750" s="4"/>
      <c r="AP750" s="4"/>
      <c r="AQ750" s="4"/>
      <c r="AR750" s="4"/>
      <c r="AS750" s="4"/>
      <c r="AT750" s="4"/>
    </row>
    <row r="751" spans="12:46">
      <c r="L751" s="5"/>
      <c r="M751" s="5"/>
      <c r="W751" s="5"/>
      <c r="Z751" s="5"/>
      <c r="AA751" s="5"/>
      <c r="AD751" s="5"/>
      <c r="AG751" s="5"/>
      <c r="AH751" s="5"/>
      <c r="AN751" s="4"/>
      <c r="AO751" s="4"/>
      <c r="AP751" s="4"/>
      <c r="AQ751" s="4"/>
      <c r="AR751" s="4"/>
      <c r="AS751" s="4"/>
      <c r="AT751" s="4"/>
    </row>
    <row r="752" spans="12:46">
      <c r="L752" s="5"/>
      <c r="M752" s="5"/>
      <c r="W752" s="5"/>
      <c r="Z752" s="5"/>
      <c r="AA752" s="5"/>
      <c r="AD752" s="5"/>
      <c r="AG752" s="5"/>
      <c r="AH752" s="5"/>
      <c r="AN752" s="4"/>
      <c r="AO752" s="4"/>
      <c r="AP752" s="4"/>
      <c r="AQ752" s="4"/>
      <c r="AR752" s="4"/>
      <c r="AS752" s="4"/>
      <c r="AT752" s="4"/>
    </row>
    <row r="753" spans="12:46">
      <c r="L753" s="5"/>
      <c r="M753" s="5"/>
      <c r="W753" s="5"/>
      <c r="Z753" s="5"/>
      <c r="AA753" s="5"/>
      <c r="AD753" s="5"/>
      <c r="AG753" s="5"/>
      <c r="AH753" s="5"/>
      <c r="AN753" s="4"/>
      <c r="AO753" s="4"/>
      <c r="AP753" s="4"/>
      <c r="AQ753" s="4"/>
      <c r="AR753" s="4"/>
      <c r="AS753" s="4"/>
      <c r="AT753" s="4"/>
    </row>
    <row r="754" spans="12:46">
      <c r="L754" s="5"/>
      <c r="M754" s="5"/>
      <c r="W754" s="5"/>
      <c r="Z754" s="5"/>
      <c r="AA754" s="5"/>
      <c r="AD754" s="5"/>
      <c r="AG754" s="5"/>
      <c r="AH754" s="5"/>
      <c r="AN754" s="4"/>
      <c r="AO754" s="4"/>
      <c r="AP754" s="4"/>
      <c r="AQ754" s="4"/>
      <c r="AR754" s="4"/>
      <c r="AS754" s="4"/>
      <c r="AT754" s="4"/>
    </row>
    <row r="755" spans="12:46">
      <c r="L755" s="5"/>
      <c r="M755" s="5"/>
      <c r="W755" s="5"/>
      <c r="Z755" s="5"/>
      <c r="AA755" s="5"/>
      <c r="AD755" s="5"/>
      <c r="AG755" s="5"/>
      <c r="AH755" s="5"/>
      <c r="AN755" s="4"/>
      <c r="AO755" s="4"/>
      <c r="AP755" s="4"/>
      <c r="AQ755" s="4"/>
      <c r="AR755" s="4"/>
      <c r="AS755" s="4"/>
      <c r="AT755" s="4"/>
    </row>
    <row r="756" spans="12:46">
      <c r="L756" s="5"/>
      <c r="M756" s="5"/>
      <c r="W756" s="5"/>
      <c r="Z756" s="5"/>
      <c r="AA756" s="5"/>
      <c r="AD756" s="5"/>
      <c r="AG756" s="5"/>
      <c r="AH756" s="5"/>
      <c r="AN756" s="4"/>
      <c r="AO756" s="4"/>
      <c r="AP756" s="4"/>
      <c r="AQ756" s="4"/>
      <c r="AR756" s="4"/>
      <c r="AS756" s="4"/>
      <c r="AT756" s="4"/>
    </row>
    <row r="757" spans="12:46">
      <c r="L757" s="5"/>
      <c r="M757" s="5"/>
      <c r="W757" s="5"/>
      <c r="Z757" s="5"/>
      <c r="AA757" s="5"/>
      <c r="AD757" s="5"/>
      <c r="AG757" s="5"/>
      <c r="AH757" s="5"/>
      <c r="AN757" s="4"/>
      <c r="AO757" s="4"/>
      <c r="AP757" s="4"/>
      <c r="AQ757" s="4"/>
      <c r="AR757" s="4"/>
      <c r="AS757" s="4"/>
      <c r="AT757" s="4"/>
    </row>
    <row r="758" spans="12:46">
      <c r="L758" s="5"/>
      <c r="M758" s="5"/>
      <c r="W758" s="5"/>
      <c r="Z758" s="5"/>
      <c r="AA758" s="5"/>
      <c r="AD758" s="5"/>
      <c r="AG758" s="5"/>
      <c r="AH758" s="5"/>
      <c r="AN758" s="4"/>
      <c r="AO758" s="4"/>
      <c r="AP758" s="4"/>
      <c r="AQ758" s="4"/>
      <c r="AR758" s="4"/>
      <c r="AS758" s="4"/>
      <c r="AT758" s="4"/>
    </row>
    <row r="759" spans="12:46">
      <c r="L759" s="5"/>
      <c r="M759" s="5"/>
      <c r="W759" s="5"/>
      <c r="Z759" s="5"/>
      <c r="AA759" s="5"/>
      <c r="AD759" s="5"/>
      <c r="AG759" s="5"/>
      <c r="AH759" s="5"/>
      <c r="AN759" s="4"/>
      <c r="AO759" s="4"/>
      <c r="AP759" s="4"/>
      <c r="AQ759" s="4"/>
      <c r="AR759" s="4"/>
      <c r="AS759" s="4"/>
      <c r="AT759" s="4"/>
    </row>
    <row r="760" spans="12:46">
      <c r="L760" s="5"/>
      <c r="M760" s="5"/>
      <c r="W760" s="5"/>
      <c r="Z760" s="5"/>
      <c r="AA760" s="5"/>
      <c r="AD760" s="5"/>
      <c r="AG760" s="5"/>
      <c r="AH760" s="5"/>
      <c r="AN760" s="4"/>
      <c r="AO760" s="4"/>
      <c r="AP760" s="4"/>
      <c r="AQ760" s="4"/>
      <c r="AR760" s="4"/>
      <c r="AS760" s="4"/>
      <c r="AT760" s="4"/>
    </row>
    <row r="761" spans="12:46">
      <c r="L761" s="5"/>
      <c r="M761" s="5"/>
      <c r="W761" s="5"/>
      <c r="Z761" s="5"/>
      <c r="AA761" s="5"/>
      <c r="AD761" s="5"/>
      <c r="AG761" s="5"/>
      <c r="AH761" s="5"/>
      <c r="AN761" s="4"/>
      <c r="AO761" s="4"/>
      <c r="AP761" s="4"/>
      <c r="AQ761" s="4"/>
      <c r="AR761" s="4"/>
      <c r="AS761" s="4"/>
      <c r="AT761" s="4"/>
    </row>
    <row r="762" spans="12:46">
      <c r="L762" s="5"/>
      <c r="M762" s="5"/>
      <c r="W762" s="5"/>
      <c r="Z762" s="5"/>
      <c r="AA762" s="5"/>
      <c r="AD762" s="5"/>
      <c r="AG762" s="5"/>
      <c r="AH762" s="5"/>
      <c r="AN762" s="4"/>
      <c r="AO762" s="4"/>
      <c r="AP762" s="4"/>
      <c r="AQ762" s="4"/>
      <c r="AR762" s="4"/>
      <c r="AS762" s="4"/>
      <c r="AT762" s="4"/>
    </row>
    <row r="763" spans="12:46">
      <c r="L763" s="5"/>
      <c r="M763" s="5"/>
      <c r="W763" s="5"/>
      <c r="Z763" s="5"/>
      <c r="AA763" s="5"/>
      <c r="AD763" s="5"/>
      <c r="AG763" s="5"/>
      <c r="AH763" s="5"/>
      <c r="AN763" s="4"/>
      <c r="AO763" s="4"/>
      <c r="AP763" s="4"/>
      <c r="AQ763" s="4"/>
      <c r="AR763" s="4"/>
      <c r="AS763" s="4"/>
      <c r="AT763" s="4"/>
    </row>
    <row r="764" spans="12:46">
      <c r="L764" s="5"/>
      <c r="M764" s="5"/>
      <c r="W764" s="5"/>
      <c r="Z764" s="5"/>
      <c r="AA764" s="5"/>
      <c r="AD764" s="5"/>
      <c r="AG764" s="5"/>
      <c r="AH764" s="5"/>
      <c r="AN764" s="4"/>
      <c r="AO764" s="4"/>
      <c r="AP764" s="4"/>
      <c r="AQ764" s="4"/>
      <c r="AR764" s="4"/>
      <c r="AS764" s="4"/>
      <c r="AT764" s="4"/>
    </row>
    <row r="765" spans="12:46">
      <c r="L765" s="5"/>
      <c r="M765" s="5"/>
      <c r="W765" s="5"/>
      <c r="Z765" s="5"/>
      <c r="AA765" s="5"/>
      <c r="AD765" s="5"/>
      <c r="AG765" s="5"/>
      <c r="AH765" s="5"/>
      <c r="AN765" s="4"/>
      <c r="AO765" s="4"/>
      <c r="AP765" s="4"/>
      <c r="AQ765" s="4"/>
      <c r="AR765" s="4"/>
      <c r="AS765" s="4"/>
      <c r="AT765" s="4"/>
    </row>
    <row r="766" spans="12:46">
      <c r="L766" s="5"/>
      <c r="M766" s="5"/>
      <c r="W766" s="5"/>
      <c r="Z766" s="5"/>
      <c r="AA766" s="5"/>
      <c r="AD766" s="5"/>
      <c r="AG766" s="5"/>
      <c r="AH766" s="5"/>
      <c r="AN766" s="4"/>
      <c r="AO766" s="4"/>
      <c r="AP766" s="4"/>
      <c r="AQ766" s="4"/>
      <c r="AR766" s="4"/>
      <c r="AS766" s="4"/>
      <c r="AT766" s="4"/>
    </row>
    <row r="767" spans="12:46">
      <c r="L767" s="5"/>
      <c r="M767" s="5"/>
      <c r="W767" s="5"/>
      <c r="Z767" s="5"/>
      <c r="AA767" s="5"/>
      <c r="AD767" s="5"/>
      <c r="AG767" s="5"/>
      <c r="AH767" s="5"/>
      <c r="AN767" s="4"/>
      <c r="AO767" s="4"/>
      <c r="AP767" s="4"/>
      <c r="AQ767" s="4"/>
      <c r="AR767" s="4"/>
      <c r="AS767" s="4"/>
      <c r="AT767" s="4"/>
    </row>
    <row r="768" spans="12:46">
      <c r="L768" s="5"/>
      <c r="M768" s="5"/>
      <c r="W768" s="5"/>
      <c r="Z768" s="5"/>
      <c r="AA768" s="5"/>
      <c r="AD768" s="5"/>
      <c r="AG768" s="5"/>
      <c r="AH768" s="5"/>
      <c r="AN768" s="4"/>
      <c r="AO768" s="4"/>
      <c r="AP768" s="4"/>
      <c r="AQ768" s="4"/>
      <c r="AR768" s="4"/>
      <c r="AS768" s="4"/>
      <c r="AT768" s="4"/>
    </row>
    <row r="769" spans="12:46">
      <c r="L769" s="5"/>
      <c r="M769" s="5"/>
      <c r="W769" s="5"/>
      <c r="Z769" s="5"/>
      <c r="AA769" s="5"/>
      <c r="AD769" s="5"/>
      <c r="AG769" s="5"/>
      <c r="AH769" s="5"/>
      <c r="AN769" s="4"/>
      <c r="AO769" s="4"/>
      <c r="AP769" s="4"/>
      <c r="AQ769" s="4"/>
      <c r="AR769" s="4"/>
      <c r="AS769" s="4"/>
      <c r="AT769" s="4"/>
    </row>
    <row r="770" spans="12:46">
      <c r="L770" s="5"/>
      <c r="M770" s="5"/>
      <c r="W770" s="5"/>
      <c r="Z770" s="5"/>
      <c r="AA770" s="5"/>
      <c r="AD770" s="5"/>
      <c r="AG770" s="5"/>
      <c r="AH770" s="5"/>
      <c r="AN770" s="4"/>
      <c r="AO770" s="4"/>
      <c r="AP770" s="4"/>
      <c r="AQ770" s="4"/>
      <c r="AR770" s="4"/>
      <c r="AS770" s="4"/>
      <c r="AT770" s="4"/>
    </row>
    <row r="771" spans="12:46">
      <c r="L771" s="5"/>
      <c r="M771" s="5"/>
      <c r="W771" s="5"/>
      <c r="Z771" s="5"/>
      <c r="AA771" s="5"/>
      <c r="AD771" s="5"/>
      <c r="AG771" s="5"/>
      <c r="AH771" s="5"/>
      <c r="AN771" s="4"/>
      <c r="AO771" s="4"/>
      <c r="AP771" s="4"/>
      <c r="AQ771" s="4"/>
      <c r="AR771" s="4"/>
      <c r="AS771" s="4"/>
      <c r="AT771" s="4"/>
    </row>
    <row r="772" spans="12:46">
      <c r="L772" s="5"/>
      <c r="M772" s="5"/>
      <c r="W772" s="5"/>
      <c r="Z772" s="5"/>
      <c r="AA772" s="5"/>
      <c r="AD772" s="5"/>
      <c r="AG772" s="5"/>
      <c r="AH772" s="5"/>
      <c r="AN772" s="4"/>
      <c r="AO772" s="4"/>
      <c r="AP772" s="4"/>
      <c r="AQ772" s="4"/>
      <c r="AR772" s="4"/>
      <c r="AS772" s="4"/>
      <c r="AT772" s="4"/>
    </row>
    <row r="773" spans="12:46">
      <c r="L773" s="5"/>
      <c r="M773" s="5"/>
      <c r="W773" s="5"/>
      <c r="Z773" s="5"/>
      <c r="AA773" s="5"/>
      <c r="AD773" s="5"/>
      <c r="AG773" s="5"/>
      <c r="AH773" s="5"/>
      <c r="AN773" s="4"/>
      <c r="AO773" s="4"/>
      <c r="AP773" s="4"/>
      <c r="AQ773" s="4"/>
      <c r="AR773" s="4"/>
      <c r="AS773" s="4"/>
      <c r="AT773" s="4"/>
    </row>
    <row r="774" spans="12:46">
      <c r="L774" s="5"/>
      <c r="M774" s="5"/>
      <c r="W774" s="5"/>
      <c r="Z774" s="5"/>
      <c r="AA774" s="5"/>
      <c r="AD774" s="5"/>
      <c r="AG774" s="5"/>
      <c r="AH774" s="5"/>
      <c r="AN774" s="4"/>
      <c r="AO774" s="4"/>
      <c r="AP774" s="4"/>
      <c r="AQ774" s="4"/>
      <c r="AR774" s="4"/>
      <c r="AS774" s="4"/>
      <c r="AT774" s="4"/>
    </row>
    <row r="775" spans="12:46">
      <c r="L775" s="5"/>
      <c r="M775" s="5"/>
      <c r="W775" s="5"/>
      <c r="Z775" s="5"/>
      <c r="AA775" s="5"/>
      <c r="AD775" s="5"/>
      <c r="AG775" s="5"/>
      <c r="AH775" s="5"/>
      <c r="AN775" s="4"/>
      <c r="AO775" s="4"/>
      <c r="AP775" s="4"/>
      <c r="AQ775" s="4"/>
      <c r="AR775" s="4"/>
      <c r="AS775" s="4"/>
      <c r="AT775" s="4"/>
    </row>
    <row r="776" spans="12:46">
      <c r="L776" s="5"/>
      <c r="M776" s="5"/>
      <c r="W776" s="5"/>
      <c r="Z776" s="5"/>
      <c r="AA776" s="5"/>
      <c r="AD776" s="5"/>
      <c r="AG776" s="5"/>
      <c r="AH776" s="5"/>
      <c r="AN776" s="4"/>
      <c r="AO776" s="4"/>
      <c r="AP776" s="4"/>
      <c r="AQ776" s="4"/>
      <c r="AR776" s="4"/>
      <c r="AS776" s="4"/>
      <c r="AT776" s="4"/>
    </row>
    <row r="777" spans="12:46">
      <c r="L777" s="5"/>
      <c r="M777" s="5"/>
      <c r="W777" s="5"/>
      <c r="Z777" s="5"/>
      <c r="AA777" s="5"/>
      <c r="AD777" s="5"/>
      <c r="AG777" s="5"/>
      <c r="AH777" s="5"/>
      <c r="AN777" s="4"/>
      <c r="AO777" s="4"/>
      <c r="AP777" s="4"/>
      <c r="AQ777" s="4"/>
      <c r="AR777" s="4"/>
      <c r="AS777" s="4"/>
      <c r="AT777" s="4"/>
    </row>
    <row r="778" spans="12:46">
      <c r="L778" s="5"/>
      <c r="M778" s="5"/>
      <c r="W778" s="5"/>
      <c r="Z778" s="5"/>
      <c r="AA778" s="5"/>
      <c r="AD778" s="5"/>
      <c r="AG778" s="5"/>
      <c r="AH778" s="5"/>
      <c r="AN778" s="4"/>
      <c r="AO778" s="4"/>
      <c r="AP778" s="4"/>
      <c r="AQ778" s="4"/>
      <c r="AR778" s="4"/>
      <c r="AS778" s="4"/>
      <c r="AT778" s="4"/>
    </row>
    <row r="779" spans="12:46">
      <c r="L779" s="5"/>
      <c r="M779" s="5"/>
      <c r="W779" s="5"/>
      <c r="Z779" s="5"/>
      <c r="AA779" s="5"/>
      <c r="AD779" s="5"/>
      <c r="AG779" s="5"/>
      <c r="AH779" s="5"/>
      <c r="AN779" s="4"/>
      <c r="AO779" s="4"/>
      <c r="AP779" s="4"/>
      <c r="AQ779" s="4"/>
      <c r="AR779" s="4"/>
      <c r="AS779" s="4"/>
      <c r="AT779" s="4"/>
    </row>
    <row r="780" spans="12:46">
      <c r="L780" s="5"/>
      <c r="M780" s="5"/>
      <c r="W780" s="5"/>
      <c r="Z780" s="5"/>
      <c r="AA780" s="5"/>
      <c r="AD780" s="5"/>
      <c r="AG780" s="5"/>
      <c r="AH780" s="5"/>
      <c r="AN780" s="4"/>
      <c r="AO780" s="4"/>
      <c r="AP780" s="4"/>
      <c r="AQ780" s="4"/>
      <c r="AR780" s="4"/>
      <c r="AS780" s="4"/>
      <c r="AT780" s="4"/>
    </row>
    <row r="781" spans="12:46">
      <c r="L781" s="5"/>
      <c r="M781" s="5"/>
      <c r="W781" s="5"/>
      <c r="Z781" s="5"/>
      <c r="AA781" s="5"/>
      <c r="AD781" s="5"/>
      <c r="AG781" s="5"/>
      <c r="AH781" s="5"/>
      <c r="AN781" s="4"/>
      <c r="AO781" s="4"/>
      <c r="AP781" s="4"/>
      <c r="AQ781" s="4"/>
      <c r="AR781" s="4"/>
      <c r="AS781" s="4"/>
      <c r="AT781" s="4"/>
    </row>
    <row r="782" spans="12:46">
      <c r="L782" s="5"/>
      <c r="M782" s="5"/>
      <c r="W782" s="5"/>
      <c r="Z782" s="5"/>
      <c r="AA782" s="5"/>
      <c r="AD782" s="5"/>
      <c r="AG782" s="5"/>
      <c r="AH782" s="5"/>
      <c r="AN782" s="4"/>
      <c r="AO782" s="4"/>
      <c r="AP782" s="4"/>
      <c r="AQ782" s="4"/>
      <c r="AR782" s="4"/>
      <c r="AS782" s="4"/>
      <c r="AT782" s="4"/>
    </row>
    <row r="783" spans="12:46">
      <c r="L783" s="5"/>
      <c r="M783" s="5"/>
      <c r="W783" s="5"/>
      <c r="Z783" s="5"/>
      <c r="AA783" s="5"/>
      <c r="AD783" s="5"/>
      <c r="AG783" s="5"/>
      <c r="AH783" s="5"/>
      <c r="AN783" s="4"/>
      <c r="AO783" s="4"/>
      <c r="AP783" s="4"/>
      <c r="AQ783" s="4"/>
      <c r="AR783" s="4"/>
      <c r="AS783" s="4"/>
      <c r="AT783" s="4"/>
    </row>
    <row r="784" spans="12:46">
      <c r="L784" s="5"/>
      <c r="M784" s="5"/>
      <c r="W784" s="5"/>
      <c r="Z784" s="5"/>
      <c r="AA784" s="5"/>
      <c r="AD784" s="5"/>
      <c r="AG784" s="5"/>
      <c r="AH784" s="5"/>
      <c r="AN784" s="4"/>
      <c r="AO784" s="4"/>
      <c r="AP784" s="4"/>
      <c r="AQ784" s="4"/>
      <c r="AR784" s="4"/>
      <c r="AS784" s="4"/>
      <c r="AT784" s="4"/>
    </row>
    <row r="785" spans="12:46">
      <c r="L785" s="5"/>
      <c r="M785" s="5"/>
      <c r="W785" s="5"/>
      <c r="Z785" s="5"/>
      <c r="AA785" s="5"/>
      <c r="AD785" s="5"/>
      <c r="AG785" s="5"/>
      <c r="AH785" s="5"/>
      <c r="AN785" s="4"/>
      <c r="AO785" s="4"/>
      <c r="AP785" s="4"/>
      <c r="AQ785" s="4"/>
      <c r="AR785" s="4"/>
      <c r="AS785" s="4"/>
      <c r="AT785" s="4"/>
    </row>
    <row r="786" spans="12:46">
      <c r="L786" s="5"/>
      <c r="M786" s="5"/>
      <c r="W786" s="5"/>
      <c r="Z786" s="5"/>
      <c r="AA786" s="5"/>
      <c r="AD786" s="5"/>
      <c r="AG786" s="5"/>
      <c r="AH786" s="5"/>
      <c r="AN786" s="4"/>
      <c r="AO786" s="4"/>
      <c r="AP786" s="4"/>
      <c r="AQ786" s="4"/>
      <c r="AR786" s="4"/>
      <c r="AS786" s="4"/>
      <c r="AT786" s="4"/>
    </row>
    <row r="787" spans="12:46">
      <c r="L787" s="5"/>
      <c r="M787" s="5"/>
      <c r="W787" s="5"/>
      <c r="Z787" s="5"/>
      <c r="AA787" s="5"/>
      <c r="AD787" s="5"/>
      <c r="AG787" s="5"/>
      <c r="AH787" s="5"/>
      <c r="AN787" s="4"/>
      <c r="AO787" s="4"/>
      <c r="AP787" s="4"/>
      <c r="AQ787" s="4"/>
      <c r="AR787" s="4"/>
      <c r="AS787" s="4"/>
      <c r="AT787" s="4"/>
    </row>
    <row r="788" spans="12:46">
      <c r="L788" s="5"/>
      <c r="M788" s="5"/>
      <c r="W788" s="5"/>
      <c r="Z788" s="5"/>
      <c r="AA788" s="5"/>
      <c r="AD788" s="5"/>
      <c r="AG788" s="5"/>
      <c r="AH788" s="5"/>
      <c r="AN788" s="4"/>
      <c r="AO788" s="4"/>
      <c r="AP788" s="4"/>
      <c r="AQ788" s="4"/>
      <c r="AR788" s="4"/>
      <c r="AS788" s="4"/>
      <c r="AT788" s="4"/>
    </row>
    <row r="789" spans="12:46">
      <c r="L789" s="5"/>
      <c r="M789" s="5"/>
      <c r="W789" s="5"/>
      <c r="Z789" s="5"/>
      <c r="AA789" s="5"/>
      <c r="AD789" s="5"/>
      <c r="AG789" s="5"/>
      <c r="AH789" s="5"/>
      <c r="AN789" s="4"/>
      <c r="AO789" s="4"/>
      <c r="AP789" s="4"/>
      <c r="AQ789" s="4"/>
      <c r="AR789" s="4"/>
      <c r="AS789" s="4"/>
      <c r="AT789" s="4"/>
    </row>
    <row r="790" spans="12:46">
      <c r="L790" s="5"/>
      <c r="M790" s="5"/>
      <c r="W790" s="5"/>
      <c r="Z790" s="5"/>
      <c r="AA790" s="5"/>
      <c r="AD790" s="5"/>
      <c r="AG790" s="5"/>
      <c r="AH790" s="5"/>
      <c r="AN790" s="4"/>
      <c r="AO790" s="4"/>
      <c r="AP790" s="4"/>
      <c r="AQ790" s="4"/>
      <c r="AR790" s="4"/>
      <c r="AS790" s="4"/>
      <c r="AT790" s="4"/>
    </row>
    <row r="791" spans="12:46">
      <c r="L791" s="5"/>
      <c r="M791" s="5"/>
      <c r="W791" s="5"/>
      <c r="Z791" s="5"/>
      <c r="AA791" s="5"/>
      <c r="AD791" s="5"/>
      <c r="AG791" s="5"/>
      <c r="AH791" s="5"/>
      <c r="AN791" s="4"/>
      <c r="AO791" s="4"/>
      <c r="AP791" s="4"/>
      <c r="AQ791" s="4"/>
      <c r="AR791" s="4"/>
      <c r="AS791" s="4"/>
      <c r="AT791" s="4"/>
    </row>
    <row r="792" spans="12:46">
      <c r="L792" s="5"/>
      <c r="M792" s="5"/>
      <c r="W792" s="5"/>
      <c r="Z792" s="5"/>
      <c r="AA792" s="5"/>
      <c r="AD792" s="5"/>
      <c r="AG792" s="5"/>
      <c r="AH792" s="5"/>
      <c r="AN792" s="4"/>
      <c r="AO792" s="4"/>
      <c r="AP792" s="4"/>
      <c r="AQ792" s="4"/>
      <c r="AR792" s="4"/>
      <c r="AS792" s="4"/>
      <c r="AT792" s="4"/>
    </row>
    <row r="793" spans="12:46">
      <c r="L793" s="5"/>
      <c r="M793" s="5"/>
      <c r="W793" s="5"/>
      <c r="Z793" s="5"/>
      <c r="AA793" s="5"/>
      <c r="AD793" s="5"/>
      <c r="AG793" s="5"/>
      <c r="AH793" s="5"/>
      <c r="AN793" s="4"/>
      <c r="AO793" s="4"/>
      <c r="AP793" s="4"/>
      <c r="AQ793" s="4"/>
      <c r="AR793" s="4"/>
      <c r="AS793" s="4"/>
      <c r="AT793" s="4"/>
    </row>
    <row r="794" spans="12:46">
      <c r="L794" s="5"/>
      <c r="M794" s="5"/>
      <c r="W794" s="5"/>
      <c r="Z794" s="5"/>
      <c r="AA794" s="5"/>
      <c r="AD794" s="5"/>
      <c r="AG794" s="5"/>
      <c r="AH794" s="5"/>
      <c r="AN794" s="4"/>
      <c r="AO794" s="4"/>
      <c r="AP794" s="4"/>
      <c r="AQ794" s="4"/>
      <c r="AR794" s="4"/>
      <c r="AS794" s="4"/>
      <c r="AT794" s="4"/>
    </row>
    <row r="795" spans="12:46">
      <c r="L795" s="5"/>
      <c r="M795" s="5"/>
      <c r="W795" s="5"/>
      <c r="Z795" s="5"/>
      <c r="AA795" s="5"/>
      <c r="AD795" s="5"/>
      <c r="AG795" s="5"/>
      <c r="AH795" s="5"/>
      <c r="AN795" s="4"/>
      <c r="AO795" s="4"/>
      <c r="AP795" s="4"/>
      <c r="AQ795" s="4"/>
      <c r="AR795" s="4"/>
      <c r="AS795" s="4"/>
      <c r="AT795" s="4"/>
    </row>
    <row r="796" spans="12:46">
      <c r="L796" s="5"/>
      <c r="M796" s="5"/>
      <c r="W796" s="5"/>
      <c r="Z796" s="5"/>
      <c r="AA796" s="5"/>
      <c r="AD796" s="5"/>
      <c r="AG796" s="5"/>
      <c r="AH796" s="5"/>
      <c r="AN796" s="4"/>
      <c r="AO796" s="4"/>
      <c r="AP796" s="4"/>
      <c r="AQ796" s="4"/>
      <c r="AR796" s="4"/>
      <c r="AS796" s="4"/>
      <c r="AT796" s="4"/>
    </row>
    <row r="797" spans="12:46">
      <c r="L797" s="5"/>
      <c r="M797" s="5"/>
      <c r="W797" s="5"/>
      <c r="Z797" s="5"/>
      <c r="AA797" s="5"/>
      <c r="AD797" s="5"/>
      <c r="AG797" s="5"/>
      <c r="AH797" s="5"/>
      <c r="AN797" s="4"/>
      <c r="AO797" s="4"/>
      <c r="AP797" s="4"/>
      <c r="AQ797" s="4"/>
      <c r="AR797" s="4"/>
      <c r="AS797" s="4"/>
      <c r="AT797" s="4"/>
    </row>
    <row r="798" spans="12:46">
      <c r="L798" s="5"/>
      <c r="M798" s="5"/>
      <c r="W798" s="5"/>
      <c r="Z798" s="5"/>
      <c r="AA798" s="5"/>
      <c r="AD798" s="5"/>
      <c r="AG798" s="5"/>
      <c r="AH798" s="5"/>
      <c r="AN798" s="4"/>
      <c r="AO798" s="4"/>
      <c r="AP798" s="4"/>
      <c r="AQ798" s="4"/>
      <c r="AR798" s="4"/>
      <c r="AS798" s="4"/>
      <c r="AT798" s="4"/>
    </row>
    <row r="799" spans="12:46">
      <c r="L799" s="5"/>
      <c r="M799" s="5"/>
      <c r="W799" s="5"/>
      <c r="Z799" s="5"/>
      <c r="AA799" s="5"/>
      <c r="AD799" s="5"/>
      <c r="AG799" s="5"/>
      <c r="AH799" s="5"/>
      <c r="AN799" s="4"/>
      <c r="AO799" s="4"/>
      <c r="AP799" s="4"/>
      <c r="AQ799" s="4"/>
      <c r="AR799" s="4"/>
      <c r="AS799" s="4"/>
      <c r="AT799" s="4"/>
    </row>
    <row r="800" spans="12:46">
      <c r="L800" s="5"/>
      <c r="M800" s="5"/>
      <c r="W800" s="5"/>
      <c r="Z800" s="5"/>
      <c r="AA800" s="5"/>
      <c r="AD800" s="5"/>
      <c r="AG800" s="5"/>
      <c r="AH800" s="5"/>
      <c r="AN800" s="4"/>
      <c r="AO800" s="4"/>
      <c r="AP800" s="4"/>
      <c r="AQ800" s="4"/>
      <c r="AR800" s="4"/>
      <c r="AS800" s="4"/>
      <c r="AT800" s="4"/>
    </row>
    <row r="801" spans="12:46">
      <c r="L801" s="5"/>
      <c r="M801" s="5"/>
      <c r="W801" s="5"/>
      <c r="Z801" s="5"/>
      <c r="AA801" s="5"/>
      <c r="AD801" s="5"/>
      <c r="AG801" s="5"/>
      <c r="AH801" s="5"/>
      <c r="AN801" s="4"/>
      <c r="AO801" s="4"/>
      <c r="AP801" s="4"/>
      <c r="AQ801" s="4"/>
      <c r="AR801" s="4"/>
      <c r="AS801" s="4"/>
      <c r="AT801" s="4"/>
    </row>
    <row r="802" spans="12:46">
      <c r="L802" s="5"/>
      <c r="M802" s="5"/>
      <c r="W802" s="5"/>
      <c r="Z802" s="5"/>
      <c r="AA802" s="5"/>
      <c r="AD802" s="5"/>
      <c r="AG802" s="5"/>
      <c r="AH802" s="5"/>
      <c r="AN802" s="4"/>
      <c r="AO802" s="4"/>
      <c r="AP802" s="4"/>
      <c r="AQ802" s="4"/>
      <c r="AR802" s="4"/>
      <c r="AS802" s="4"/>
      <c r="AT802" s="4"/>
    </row>
    <row r="803" spans="12:46">
      <c r="L803" s="5"/>
      <c r="M803" s="5"/>
      <c r="W803" s="5"/>
      <c r="Z803" s="5"/>
      <c r="AA803" s="5"/>
      <c r="AD803" s="5"/>
      <c r="AG803" s="5"/>
      <c r="AH803" s="5"/>
      <c r="AN803" s="4"/>
      <c r="AO803" s="4"/>
      <c r="AP803" s="4"/>
      <c r="AQ803" s="4"/>
      <c r="AR803" s="4"/>
      <c r="AS803" s="4"/>
      <c r="AT803" s="4"/>
    </row>
    <row r="804" spans="12:46">
      <c r="L804" s="5"/>
      <c r="M804" s="5"/>
      <c r="W804" s="5"/>
      <c r="Z804" s="5"/>
      <c r="AA804" s="5"/>
      <c r="AD804" s="5"/>
      <c r="AG804" s="5"/>
      <c r="AH804" s="5"/>
      <c r="AN804" s="4"/>
      <c r="AO804" s="4"/>
      <c r="AP804" s="4"/>
      <c r="AQ804" s="4"/>
      <c r="AR804" s="4"/>
      <c r="AS804" s="4"/>
      <c r="AT804" s="4"/>
    </row>
    <row r="805" spans="12:46">
      <c r="L805" s="5"/>
      <c r="M805" s="5"/>
      <c r="W805" s="5"/>
      <c r="Z805" s="5"/>
      <c r="AA805" s="5"/>
      <c r="AD805" s="5"/>
      <c r="AG805" s="5"/>
      <c r="AH805" s="5"/>
      <c r="AN805" s="4"/>
      <c r="AO805" s="4"/>
      <c r="AP805" s="4"/>
      <c r="AQ805" s="4"/>
      <c r="AR805" s="4"/>
      <c r="AS805" s="4"/>
      <c r="AT805" s="4"/>
    </row>
    <row r="806" spans="12:46">
      <c r="L806" s="5"/>
      <c r="M806" s="5"/>
      <c r="W806" s="5"/>
      <c r="Z806" s="5"/>
      <c r="AA806" s="5"/>
      <c r="AD806" s="5"/>
      <c r="AG806" s="5"/>
      <c r="AH806" s="5"/>
      <c r="AN806" s="4"/>
      <c r="AO806" s="4"/>
      <c r="AP806" s="4"/>
      <c r="AQ806" s="4"/>
      <c r="AR806" s="4"/>
      <c r="AS806" s="4"/>
      <c r="AT806" s="4"/>
    </row>
    <row r="807" spans="12:46">
      <c r="L807" s="5"/>
      <c r="M807" s="5"/>
      <c r="W807" s="5"/>
      <c r="Z807" s="5"/>
      <c r="AA807" s="5"/>
      <c r="AD807" s="5"/>
      <c r="AG807" s="5"/>
      <c r="AH807" s="5"/>
      <c r="AN807" s="4"/>
      <c r="AO807" s="4"/>
      <c r="AP807" s="4"/>
      <c r="AQ807" s="4"/>
      <c r="AR807" s="4"/>
      <c r="AS807" s="4"/>
      <c r="AT807" s="4"/>
    </row>
    <row r="808" spans="12:46">
      <c r="L808" s="5"/>
      <c r="M808" s="5"/>
      <c r="W808" s="5"/>
      <c r="Z808" s="5"/>
      <c r="AA808" s="5"/>
      <c r="AD808" s="5"/>
      <c r="AG808" s="5"/>
      <c r="AH808" s="5"/>
      <c r="AN808" s="4"/>
      <c r="AO808" s="4"/>
      <c r="AP808" s="4"/>
      <c r="AQ808" s="4"/>
      <c r="AR808" s="4"/>
      <c r="AS808" s="4"/>
      <c r="AT808" s="4"/>
    </row>
    <row r="809" spans="12:46">
      <c r="L809" s="5"/>
      <c r="M809" s="5"/>
      <c r="W809" s="5"/>
      <c r="Z809" s="5"/>
      <c r="AA809" s="5"/>
      <c r="AD809" s="5"/>
      <c r="AG809" s="5"/>
      <c r="AH809" s="5"/>
      <c r="AN809" s="4"/>
      <c r="AO809" s="4"/>
      <c r="AP809" s="4"/>
      <c r="AQ809" s="4"/>
      <c r="AR809" s="4"/>
      <c r="AS809" s="4"/>
      <c r="AT809" s="4"/>
    </row>
    <row r="810" spans="12:46">
      <c r="L810" s="5"/>
      <c r="M810" s="5"/>
      <c r="W810" s="5"/>
      <c r="Z810" s="5"/>
      <c r="AA810" s="5"/>
      <c r="AD810" s="5"/>
      <c r="AG810" s="5"/>
      <c r="AH810" s="5"/>
      <c r="AN810" s="4"/>
      <c r="AO810" s="4"/>
      <c r="AP810" s="4"/>
      <c r="AQ810" s="4"/>
      <c r="AR810" s="4"/>
      <c r="AS810" s="4"/>
      <c r="AT810" s="4"/>
    </row>
    <row r="811" spans="12:46">
      <c r="L811" s="5"/>
      <c r="M811" s="5"/>
      <c r="W811" s="5"/>
      <c r="Z811" s="5"/>
      <c r="AA811" s="5"/>
      <c r="AD811" s="5"/>
      <c r="AG811" s="5"/>
      <c r="AH811" s="5"/>
      <c r="AN811" s="4"/>
      <c r="AO811" s="4"/>
      <c r="AP811" s="4"/>
      <c r="AQ811" s="4"/>
      <c r="AR811" s="4"/>
      <c r="AS811" s="4"/>
      <c r="AT811" s="4"/>
    </row>
    <row r="812" spans="12:46">
      <c r="L812" s="5"/>
      <c r="M812" s="5"/>
      <c r="W812" s="5"/>
      <c r="Z812" s="5"/>
      <c r="AA812" s="5"/>
      <c r="AD812" s="5"/>
      <c r="AG812" s="5"/>
      <c r="AH812" s="5"/>
      <c r="AN812" s="4"/>
      <c r="AO812" s="4"/>
      <c r="AP812" s="4"/>
      <c r="AQ812" s="4"/>
      <c r="AR812" s="4"/>
      <c r="AS812" s="4"/>
      <c r="AT812" s="4"/>
    </row>
    <row r="813" spans="12:46">
      <c r="L813" s="5"/>
      <c r="M813" s="5"/>
      <c r="W813" s="5"/>
      <c r="Z813" s="5"/>
      <c r="AA813" s="5"/>
      <c r="AD813" s="5"/>
      <c r="AG813" s="5"/>
      <c r="AH813" s="5"/>
      <c r="AN813" s="4"/>
      <c r="AO813" s="4"/>
      <c r="AP813" s="4"/>
      <c r="AQ813" s="4"/>
      <c r="AR813" s="4"/>
      <c r="AS813" s="4"/>
      <c r="AT813" s="4"/>
    </row>
    <row r="814" spans="12:46">
      <c r="L814" s="5"/>
      <c r="M814" s="5"/>
      <c r="W814" s="5"/>
      <c r="Z814" s="5"/>
      <c r="AA814" s="5"/>
      <c r="AD814" s="5"/>
      <c r="AG814" s="5"/>
      <c r="AH814" s="5"/>
      <c r="AN814" s="4"/>
      <c r="AO814" s="4"/>
      <c r="AP814" s="4"/>
      <c r="AQ814" s="4"/>
      <c r="AR814" s="4"/>
      <c r="AS814" s="4"/>
      <c r="AT814" s="4"/>
    </row>
    <row r="815" spans="12:46">
      <c r="L815" s="5"/>
      <c r="M815" s="5"/>
      <c r="W815" s="5"/>
      <c r="Z815" s="5"/>
      <c r="AA815" s="5"/>
      <c r="AD815" s="5"/>
      <c r="AG815" s="5"/>
      <c r="AH815" s="5"/>
      <c r="AN815" s="4"/>
      <c r="AO815" s="4"/>
      <c r="AP815" s="4"/>
      <c r="AQ815" s="4"/>
      <c r="AR815" s="4"/>
      <c r="AS815" s="4"/>
      <c r="AT815" s="4"/>
    </row>
    <row r="816" spans="12:46">
      <c r="L816" s="5"/>
      <c r="M816" s="5"/>
      <c r="W816" s="5"/>
      <c r="Z816" s="5"/>
      <c r="AA816" s="5"/>
      <c r="AD816" s="5"/>
      <c r="AG816" s="5"/>
      <c r="AH816" s="5"/>
      <c r="AN816" s="4"/>
      <c r="AO816" s="4"/>
      <c r="AP816" s="4"/>
      <c r="AQ816" s="4"/>
      <c r="AR816" s="4"/>
      <c r="AS816" s="4"/>
      <c r="AT816" s="4"/>
    </row>
    <row r="817" spans="12:46">
      <c r="L817" s="5"/>
      <c r="M817" s="5"/>
      <c r="W817" s="5"/>
      <c r="Z817" s="5"/>
      <c r="AA817" s="5"/>
      <c r="AD817" s="5"/>
      <c r="AG817" s="5"/>
      <c r="AH817" s="5"/>
      <c r="AN817" s="4"/>
      <c r="AO817" s="4"/>
      <c r="AP817" s="4"/>
      <c r="AQ817" s="4"/>
      <c r="AR817" s="4"/>
      <c r="AS817" s="4"/>
      <c r="AT817" s="4"/>
    </row>
    <row r="818" spans="12:46">
      <c r="L818" s="5"/>
      <c r="M818" s="5"/>
      <c r="W818" s="5"/>
      <c r="Z818" s="5"/>
      <c r="AA818" s="5"/>
      <c r="AD818" s="5"/>
      <c r="AG818" s="5"/>
      <c r="AH818" s="5"/>
      <c r="AN818" s="4"/>
      <c r="AO818" s="4"/>
      <c r="AP818" s="4"/>
      <c r="AQ818" s="4"/>
      <c r="AR818" s="4"/>
      <c r="AS818" s="4"/>
      <c r="AT818" s="4"/>
    </row>
    <row r="819" spans="12:46">
      <c r="L819" s="5"/>
      <c r="M819" s="5"/>
      <c r="W819" s="5"/>
      <c r="Z819" s="5"/>
      <c r="AA819" s="5"/>
      <c r="AD819" s="5"/>
      <c r="AG819" s="5"/>
      <c r="AH819" s="5"/>
      <c r="AN819" s="4"/>
      <c r="AO819" s="4"/>
      <c r="AP819" s="4"/>
      <c r="AQ819" s="4"/>
      <c r="AR819" s="4"/>
      <c r="AS819" s="4"/>
      <c r="AT819" s="4"/>
    </row>
    <row r="820" spans="12:46">
      <c r="L820" s="5"/>
      <c r="M820" s="5"/>
      <c r="W820" s="5"/>
      <c r="Z820" s="5"/>
      <c r="AA820" s="5"/>
      <c r="AD820" s="5"/>
      <c r="AG820" s="5"/>
      <c r="AH820" s="5"/>
      <c r="AN820" s="4"/>
      <c r="AO820" s="4"/>
      <c r="AP820" s="4"/>
      <c r="AQ820" s="4"/>
      <c r="AR820" s="4"/>
      <c r="AS820" s="4"/>
      <c r="AT820" s="4"/>
    </row>
    <row r="821" spans="12:46">
      <c r="L821" s="5"/>
      <c r="M821" s="5"/>
      <c r="W821" s="5"/>
      <c r="Z821" s="5"/>
      <c r="AA821" s="5"/>
      <c r="AD821" s="5"/>
      <c r="AG821" s="5"/>
      <c r="AH821" s="5"/>
      <c r="AN821" s="4"/>
      <c r="AO821" s="4"/>
      <c r="AP821" s="4"/>
      <c r="AQ821" s="4"/>
      <c r="AR821" s="4"/>
      <c r="AS821" s="4"/>
      <c r="AT821" s="4"/>
    </row>
    <row r="822" spans="12:46">
      <c r="L822" s="5"/>
      <c r="M822" s="5"/>
      <c r="W822" s="5"/>
      <c r="Z822" s="5"/>
      <c r="AA822" s="5"/>
      <c r="AD822" s="5"/>
      <c r="AG822" s="5"/>
      <c r="AH822" s="5"/>
      <c r="AN822" s="4"/>
      <c r="AO822" s="4"/>
      <c r="AP822" s="4"/>
      <c r="AQ822" s="4"/>
      <c r="AR822" s="4"/>
      <c r="AS822" s="4"/>
      <c r="AT822" s="4"/>
    </row>
    <row r="823" spans="12:46">
      <c r="L823" s="5"/>
      <c r="M823" s="5"/>
      <c r="W823" s="5"/>
      <c r="Z823" s="5"/>
      <c r="AA823" s="5"/>
      <c r="AD823" s="5"/>
      <c r="AG823" s="5"/>
      <c r="AH823" s="5"/>
      <c r="AN823" s="4"/>
      <c r="AO823" s="4"/>
      <c r="AP823" s="4"/>
      <c r="AQ823" s="4"/>
      <c r="AR823" s="4"/>
      <c r="AS823" s="4"/>
      <c r="AT823" s="4"/>
    </row>
    <row r="824" spans="12:46">
      <c r="L824" s="5"/>
      <c r="M824" s="5"/>
      <c r="W824" s="5"/>
      <c r="Z824" s="5"/>
      <c r="AA824" s="5"/>
      <c r="AD824" s="5"/>
      <c r="AG824" s="5"/>
      <c r="AH824" s="5"/>
      <c r="AN824" s="4"/>
      <c r="AO824" s="4"/>
      <c r="AP824" s="4"/>
      <c r="AQ824" s="4"/>
      <c r="AR824" s="4"/>
      <c r="AS824" s="4"/>
      <c r="AT824" s="4"/>
    </row>
    <row r="825" spans="12:46">
      <c r="L825" s="5"/>
      <c r="M825" s="5"/>
      <c r="W825" s="5"/>
      <c r="Z825" s="5"/>
      <c r="AA825" s="5"/>
      <c r="AD825" s="5"/>
      <c r="AG825" s="5"/>
      <c r="AH825" s="5"/>
      <c r="AN825" s="4"/>
      <c r="AO825" s="4"/>
      <c r="AP825" s="4"/>
      <c r="AQ825" s="4"/>
      <c r="AR825" s="4"/>
      <c r="AS825" s="4"/>
      <c r="AT825" s="4"/>
    </row>
    <row r="826" spans="12:46">
      <c r="L826" s="5"/>
      <c r="M826" s="5"/>
      <c r="W826" s="5"/>
      <c r="Z826" s="5"/>
      <c r="AA826" s="5"/>
      <c r="AD826" s="5"/>
      <c r="AG826" s="5"/>
      <c r="AH826" s="5"/>
      <c r="AN826" s="4"/>
      <c r="AO826" s="4"/>
      <c r="AP826" s="4"/>
      <c r="AQ826" s="4"/>
      <c r="AR826" s="4"/>
      <c r="AS826" s="4"/>
      <c r="AT826" s="4"/>
    </row>
    <row r="827" spans="12:46">
      <c r="L827" s="5"/>
      <c r="M827" s="5"/>
      <c r="W827" s="5"/>
      <c r="Z827" s="5"/>
      <c r="AA827" s="5"/>
      <c r="AD827" s="5"/>
      <c r="AG827" s="5"/>
      <c r="AH827" s="5"/>
      <c r="AN827" s="4"/>
      <c r="AO827" s="4"/>
      <c r="AP827" s="4"/>
      <c r="AQ827" s="4"/>
      <c r="AR827" s="4"/>
      <c r="AS827" s="4"/>
      <c r="AT827" s="4"/>
    </row>
    <row r="828" spans="12:46">
      <c r="L828" s="5"/>
      <c r="M828" s="5"/>
      <c r="W828" s="5"/>
      <c r="Z828" s="5"/>
      <c r="AA828" s="5"/>
      <c r="AD828" s="5"/>
      <c r="AG828" s="5"/>
      <c r="AH828" s="5"/>
      <c r="AN828" s="4"/>
      <c r="AO828" s="4"/>
      <c r="AP828" s="4"/>
      <c r="AQ828" s="4"/>
      <c r="AR828" s="4"/>
      <c r="AS828" s="4"/>
      <c r="AT828" s="4"/>
    </row>
    <row r="829" spans="12:46">
      <c r="L829" s="5"/>
      <c r="M829" s="5"/>
      <c r="W829" s="5"/>
      <c r="Z829" s="5"/>
      <c r="AA829" s="5"/>
      <c r="AD829" s="5"/>
      <c r="AG829" s="5"/>
      <c r="AH829" s="5"/>
      <c r="AN829" s="4"/>
      <c r="AO829" s="4"/>
      <c r="AP829" s="4"/>
      <c r="AQ829" s="4"/>
      <c r="AR829" s="4"/>
      <c r="AS829" s="4"/>
      <c r="AT829" s="4"/>
    </row>
    <row r="830" spans="12:46">
      <c r="L830" s="5"/>
      <c r="M830" s="5"/>
      <c r="W830" s="5"/>
      <c r="Z830" s="5"/>
      <c r="AA830" s="5"/>
      <c r="AD830" s="5"/>
      <c r="AG830" s="5"/>
      <c r="AH830" s="5"/>
      <c r="AN830" s="4"/>
      <c r="AO830" s="4"/>
      <c r="AP830" s="4"/>
      <c r="AQ830" s="4"/>
      <c r="AR830" s="4"/>
      <c r="AS830" s="4"/>
      <c r="AT830" s="4"/>
    </row>
    <row r="831" spans="12:46">
      <c r="L831" s="5"/>
      <c r="M831" s="5"/>
      <c r="W831" s="5"/>
      <c r="Z831" s="5"/>
      <c r="AA831" s="5"/>
      <c r="AD831" s="5"/>
      <c r="AG831" s="5"/>
      <c r="AH831" s="5"/>
      <c r="AN831" s="4"/>
      <c r="AO831" s="4"/>
      <c r="AP831" s="4"/>
      <c r="AQ831" s="4"/>
      <c r="AR831" s="4"/>
      <c r="AS831" s="4"/>
      <c r="AT831" s="4"/>
    </row>
    <row r="832" spans="12:46">
      <c r="L832" s="5"/>
      <c r="M832" s="5"/>
      <c r="W832" s="5"/>
      <c r="Z832" s="5"/>
      <c r="AA832" s="5"/>
      <c r="AD832" s="5"/>
      <c r="AG832" s="5"/>
      <c r="AH832" s="5"/>
      <c r="AN832" s="4"/>
      <c r="AO832" s="4"/>
      <c r="AP832" s="4"/>
      <c r="AQ832" s="4"/>
      <c r="AR832" s="4"/>
      <c r="AS832" s="4"/>
      <c r="AT832" s="4"/>
    </row>
    <row r="833" spans="12:46">
      <c r="L833" s="5"/>
      <c r="M833" s="5"/>
      <c r="W833" s="5"/>
      <c r="Z833" s="5"/>
      <c r="AA833" s="5"/>
      <c r="AD833" s="5"/>
      <c r="AG833" s="5"/>
      <c r="AH833" s="5"/>
      <c r="AN833" s="4"/>
      <c r="AO833" s="4"/>
      <c r="AP833" s="4"/>
      <c r="AQ833" s="4"/>
      <c r="AR833" s="4"/>
      <c r="AS833" s="4"/>
      <c r="AT833" s="4"/>
    </row>
    <row r="834" spans="12:46">
      <c r="L834" s="5"/>
      <c r="M834" s="5"/>
      <c r="W834" s="5"/>
      <c r="Z834" s="5"/>
      <c r="AA834" s="5"/>
      <c r="AD834" s="5"/>
      <c r="AG834" s="5"/>
      <c r="AH834" s="5"/>
      <c r="AN834" s="4"/>
      <c r="AO834" s="4"/>
      <c r="AP834" s="4"/>
      <c r="AQ834" s="4"/>
      <c r="AR834" s="4"/>
      <c r="AS834" s="4"/>
      <c r="AT834" s="4"/>
    </row>
    <row r="835" spans="12:46">
      <c r="L835" s="5"/>
      <c r="M835" s="5"/>
      <c r="W835" s="5"/>
      <c r="Z835" s="5"/>
      <c r="AA835" s="5"/>
      <c r="AD835" s="5"/>
      <c r="AG835" s="5"/>
      <c r="AH835" s="5"/>
      <c r="AN835" s="4"/>
      <c r="AO835" s="4"/>
      <c r="AP835" s="4"/>
      <c r="AQ835" s="4"/>
      <c r="AR835" s="4"/>
      <c r="AS835" s="4"/>
      <c r="AT835" s="4"/>
    </row>
    <row r="836" spans="12:46">
      <c r="L836" s="5"/>
      <c r="M836" s="5"/>
      <c r="W836" s="5"/>
      <c r="Z836" s="5"/>
      <c r="AA836" s="5"/>
      <c r="AD836" s="5"/>
      <c r="AG836" s="5"/>
      <c r="AH836" s="5"/>
      <c r="AN836" s="4"/>
      <c r="AO836" s="4"/>
      <c r="AP836" s="4"/>
      <c r="AQ836" s="4"/>
      <c r="AR836" s="4"/>
      <c r="AS836" s="4"/>
      <c r="AT836" s="4"/>
    </row>
    <row r="837" spans="12:46">
      <c r="L837" s="5"/>
      <c r="M837" s="5"/>
      <c r="W837" s="5"/>
      <c r="Z837" s="5"/>
      <c r="AA837" s="5"/>
      <c r="AD837" s="5"/>
      <c r="AG837" s="5"/>
      <c r="AH837" s="5"/>
      <c r="AN837" s="4"/>
      <c r="AO837" s="4"/>
      <c r="AP837" s="4"/>
      <c r="AQ837" s="4"/>
      <c r="AR837" s="4"/>
      <c r="AS837" s="4"/>
      <c r="AT837" s="4"/>
    </row>
    <row r="838" spans="12:46">
      <c r="L838" s="5"/>
      <c r="M838" s="5"/>
      <c r="W838" s="5"/>
      <c r="Z838" s="5"/>
      <c r="AA838" s="5"/>
      <c r="AD838" s="5"/>
      <c r="AG838" s="5"/>
      <c r="AH838" s="5"/>
      <c r="AN838" s="4"/>
      <c r="AO838" s="4"/>
      <c r="AP838" s="4"/>
      <c r="AQ838" s="4"/>
      <c r="AR838" s="4"/>
      <c r="AS838" s="4"/>
      <c r="AT838" s="4"/>
    </row>
    <row r="839" spans="12:46">
      <c r="L839" s="5"/>
      <c r="M839" s="5"/>
      <c r="W839" s="5"/>
      <c r="Z839" s="5"/>
      <c r="AA839" s="5"/>
      <c r="AD839" s="5"/>
      <c r="AG839" s="5"/>
      <c r="AH839" s="5"/>
      <c r="AN839" s="4"/>
      <c r="AO839" s="4"/>
      <c r="AP839" s="4"/>
      <c r="AQ839" s="4"/>
      <c r="AR839" s="4"/>
      <c r="AS839" s="4"/>
      <c r="AT839" s="4"/>
    </row>
    <row r="840" spans="12:46">
      <c r="L840" s="5"/>
      <c r="M840" s="5"/>
      <c r="W840" s="5"/>
      <c r="Z840" s="5"/>
      <c r="AA840" s="5"/>
      <c r="AD840" s="5"/>
      <c r="AG840" s="5"/>
      <c r="AH840" s="5"/>
      <c r="AN840" s="4"/>
      <c r="AO840" s="4"/>
      <c r="AP840" s="4"/>
      <c r="AQ840" s="4"/>
      <c r="AR840" s="4"/>
      <c r="AS840" s="4"/>
      <c r="AT840" s="4"/>
    </row>
    <row r="841" spans="12:46">
      <c r="L841" s="5"/>
      <c r="M841" s="5"/>
      <c r="W841" s="5"/>
      <c r="Z841" s="5"/>
      <c r="AA841" s="5"/>
      <c r="AD841" s="5"/>
      <c r="AG841" s="5"/>
      <c r="AH841" s="5"/>
      <c r="AN841" s="4"/>
      <c r="AO841" s="4"/>
      <c r="AP841" s="4"/>
      <c r="AQ841" s="4"/>
      <c r="AR841" s="4"/>
      <c r="AS841" s="4"/>
      <c r="AT841" s="4"/>
    </row>
    <row r="842" spans="12:46">
      <c r="L842" s="5"/>
      <c r="M842" s="5"/>
      <c r="W842" s="5"/>
      <c r="Z842" s="5"/>
      <c r="AA842" s="5"/>
      <c r="AD842" s="5"/>
      <c r="AG842" s="5"/>
      <c r="AH842" s="5"/>
      <c r="AN842" s="4"/>
      <c r="AO842" s="4"/>
      <c r="AP842" s="4"/>
      <c r="AQ842" s="4"/>
      <c r="AR842" s="4"/>
      <c r="AS842" s="4"/>
      <c r="AT842" s="4"/>
    </row>
    <row r="843" spans="12:46">
      <c r="L843" s="5"/>
      <c r="M843" s="5"/>
      <c r="W843" s="5"/>
      <c r="Z843" s="5"/>
      <c r="AA843" s="5"/>
      <c r="AD843" s="5"/>
      <c r="AG843" s="5"/>
      <c r="AH843" s="5"/>
      <c r="AN843" s="4"/>
      <c r="AO843" s="4"/>
      <c r="AP843" s="4"/>
      <c r="AQ843" s="4"/>
      <c r="AR843" s="4"/>
      <c r="AS843" s="4"/>
      <c r="AT843" s="4"/>
    </row>
    <row r="844" spans="12:46">
      <c r="L844" s="5"/>
      <c r="M844" s="5"/>
      <c r="W844" s="5"/>
      <c r="Z844" s="5"/>
      <c r="AA844" s="5"/>
      <c r="AD844" s="5"/>
      <c r="AG844" s="5"/>
      <c r="AH844" s="5"/>
      <c r="AN844" s="4"/>
      <c r="AO844" s="4"/>
      <c r="AP844" s="4"/>
      <c r="AQ844" s="4"/>
      <c r="AR844" s="4"/>
      <c r="AS844" s="4"/>
      <c r="AT844" s="4"/>
    </row>
    <row r="845" spans="12:46">
      <c r="L845" s="5"/>
      <c r="M845" s="5"/>
      <c r="W845" s="5"/>
      <c r="Z845" s="5"/>
      <c r="AA845" s="5"/>
      <c r="AD845" s="5"/>
      <c r="AG845" s="5"/>
      <c r="AH845" s="5"/>
      <c r="AN845" s="4"/>
      <c r="AO845" s="4"/>
      <c r="AP845" s="4"/>
      <c r="AQ845" s="4"/>
      <c r="AR845" s="4"/>
      <c r="AS845" s="4"/>
      <c r="AT845" s="4"/>
    </row>
    <row r="846" spans="12:46">
      <c r="L846" s="5"/>
      <c r="M846" s="5"/>
      <c r="W846" s="5"/>
      <c r="Z846" s="5"/>
      <c r="AA846" s="5"/>
      <c r="AD846" s="5"/>
      <c r="AG846" s="5"/>
      <c r="AH846" s="5"/>
      <c r="AN846" s="4"/>
      <c r="AO846" s="4"/>
      <c r="AP846" s="4"/>
      <c r="AQ846" s="4"/>
      <c r="AR846" s="4"/>
      <c r="AS846" s="4"/>
      <c r="AT846" s="4"/>
    </row>
    <row r="847" spans="12:46">
      <c r="L847" s="5"/>
      <c r="M847" s="5"/>
      <c r="W847" s="5"/>
      <c r="Z847" s="5"/>
      <c r="AA847" s="5"/>
      <c r="AD847" s="5"/>
      <c r="AG847" s="5"/>
      <c r="AH847" s="5"/>
      <c r="AN847" s="4"/>
      <c r="AO847" s="4"/>
      <c r="AP847" s="4"/>
      <c r="AQ847" s="4"/>
      <c r="AR847" s="4"/>
      <c r="AS847" s="4"/>
      <c r="AT847" s="4"/>
    </row>
    <row r="848" spans="12:46">
      <c r="L848" s="5"/>
      <c r="M848" s="5"/>
      <c r="W848" s="5"/>
      <c r="Z848" s="5"/>
      <c r="AA848" s="5"/>
      <c r="AD848" s="5"/>
      <c r="AG848" s="5"/>
      <c r="AH848" s="5"/>
      <c r="AN848" s="4"/>
      <c r="AO848" s="4"/>
      <c r="AP848" s="4"/>
      <c r="AQ848" s="4"/>
      <c r="AR848" s="4"/>
      <c r="AS848" s="4"/>
      <c r="AT848" s="4"/>
    </row>
    <row r="849" spans="12:46">
      <c r="L849" s="5"/>
      <c r="M849" s="5"/>
      <c r="W849" s="5"/>
      <c r="Z849" s="5"/>
      <c r="AA849" s="5"/>
      <c r="AD849" s="5"/>
      <c r="AG849" s="5"/>
      <c r="AH849" s="5"/>
      <c r="AN849" s="4"/>
      <c r="AO849" s="4"/>
      <c r="AP849" s="4"/>
      <c r="AQ849" s="4"/>
      <c r="AR849" s="4"/>
      <c r="AS849" s="4"/>
      <c r="AT849" s="4"/>
    </row>
    <row r="850" spans="12:46">
      <c r="L850" s="5"/>
      <c r="M850" s="5"/>
      <c r="W850" s="5"/>
      <c r="Z850" s="5"/>
      <c r="AA850" s="5"/>
      <c r="AD850" s="5"/>
      <c r="AG850" s="5"/>
      <c r="AH850" s="5"/>
      <c r="AN850" s="4"/>
      <c r="AO850" s="4"/>
      <c r="AP850" s="4"/>
      <c r="AQ850" s="4"/>
      <c r="AR850" s="4"/>
      <c r="AS850" s="4"/>
      <c r="AT850" s="4"/>
    </row>
    <row r="851" spans="12:46">
      <c r="L851" s="5"/>
      <c r="M851" s="5"/>
      <c r="W851" s="5"/>
      <c r="Z851" s="5"/>
      <c r="AA851" s="5"/>
      <c r="AD851" s="5"/>
      <c r="AG851" s="5"/>
      <c r="AH851" s="5"/>
      <c r="AN851" s="4"/>
      <c r="AO851" s="4"/>
      <c r="AP851" s="4"/>
      <c r="AQ851" s="4"/>
      <c r="AR851" s="4"/>
      <c r="AS851" s="4"/>
      <c r="AT851" s="4"/>
    </row>
    <row r="852" spans="12:46">
      <c r="L852" s="5"/>
      <c r="M852" s="5"/>
      <c r="W852" s="5"/>
      <c r="Z852" s="5"/>
      <c r="AA852" s="5"/>
      <c r="AD852" s="5"/>
      <c r="AG852" s="5"/>
      <c r="AH852" s="5"/>
      <c r="AN852" s="4"/>
      <c r="AO852" s="4"/>
      <c r="AP852" s="4"/>
      <c r="AQ852" s="4"/>
      <c r="AR852" s="4"/>
      <c r="AS852" s="4"/>
      <c r="AT852" s="4"/>
    </row>
    <row r="853" spans="12:46">
      <c r="L853" s="5"/>
      <c r="M853" s="5"/>
      <c r="W853" s="5"/>
      <c r="Z853" s="5"/>
      <c r="AA853" s="5"/>
      <c r="AD853" s="5"/>
      <c r="AG853" s="5"/>
      <c r="AH853" s="5"/>
      <c r="AN853" s="4"/>
      <c r="AO853" s="4"/>
      <c r="AP853" s="4"/>
      <c r="AQ853" s="4"/>
      <c r="AR853" s="4"/>
      <c r="AS853" s="4"/>
      <c r="AT853" s="4"/>
    </row>
    <row r="854" spans="12:46">
      <c r="L854" s="5"/>
      <c r="M854" s="5"/>
      <c r="W854" s="5"/>
      <c r="Z854" s="5"/>
      <c r="AA854" s="5"/>
      <c r="AD854" s="5"/>
      <c r="AG854" s="5"/>
      <c r="AH854" s="5"/>
      <c r="AN854" s="4"/>
      <c r="AO854" s="4"/>
      <c r="AP854" s="4"/>
      <c r="AQ854" s="4"/>
      <c r="AR854" s="4"/>
      <c r="AS854" s="4"/>
      <c r="AT854" s="4"/>
    </row>
    <row r="855" spans="12:46">
      <c r="L855" s="5"/>
      <c r="M855" s="5"/>
      <c r="W855" s="5"/>
      <c r="Z855" s="5"/>
      <c r="AA855" s="5"/>
      <c r="AD855" s="5"/>
      <c r="AG855" s="5"/>
      <c r="AH855" s="5"/>
      <c r="AN855" s="4"/>
      <c r="AO855" s="4"/>
      <c r="AP855" s="4"/>
      <c r="AQ855" s="4"/>
      <c r="AR855" s="4"/>
      <c r="AS855" s="4"/>
      <c r="AT855" s="4"/>
    </row>
    <row r="856" spans="12:46">
      <c r="L856" s="5"/>
      <c r="M856" s="5"/>
      <c r="W856" s="5"/>
      <c r="Z856" s="5"/>
      <c r="AA856" s="5"/>
      <c r="AD856" s="5"/>
      <c r="AG856" s="5"/>
      <c r="AH856" s="5"/>
      <c r="AN856" s="4"/>
      <c r="AO856" s="4"/>
      <c r="AP856" s="4"/>
      <c r="AQ856" s="4"/>
      <c r="AR856" s="4"/>
      <c r="AS856" s="4"/>
      <c r="AT856" s="4"/>
    </row>
    <row r="857" spans="12:46">
      <c r="L857" s="5"/>
      <c r="M857" s="5"/>
      <c r="W857" s="5"/>
      <c r="Z857" s="5"/>
      <c r="AA857" s="5"/>
      <c r="AD857" s="5"/>
      <c r="AG857" s="5"/>
      <c r="AH857" s="5"/>
      <c r="AN857" s="4"/>
      <c r="AO857" s="4"/>
      <c r="AP857" s="4"/>
      <c r="AQ857" s="4"/>
      <c r="AR857" s="4"/>
      <c r="AS857" s="4"/>
      <c r="AT857" s="4"/>
    </row>
    <row r="858" spans="12:46">
      <c r="L858" s="5"/>
      <c r="M858" s="5"/>
      <c r="W858" s="5"/>
      <c r="Z858" s="5"/>
      <c r="AA858" s="5"/>
      <c r="AD858" s="5"/>
      <c r="AG858" s="5"/>
      <c r="AH858" s="5"/>
      <c r="AN858" s="4"/>
      <c r="AO858" s="4"/>
      <c r="AP858" s="4"/>
      <c r="AQ858" s="4"/>
      <c r="AR858" s="4"/>
      <c r="AS858" s="4"/>
      <c r="AT858" s="4"/>
    </row>
    <row r="859" spans="12:46">
      <c r="L859" s="5"/>
      <c r="M859" s="5"/>
      <c r="W859" s="5"/>
      <c r="Z859" s="5"/>
      <c r="AA859" s="5"/>
      <c r="AD859" s="5"/>
      <c r="AG859" s="5"/>
      <c r="AH859" s="5"/>
      <c r="AN859" s="4"/>
      <c r="AO859" s="4"/>
      <c r="AP859" s="4"/>
      <c r="AQ859" s="4"/>
      <c r="AR859" s="4"/>
      <c r="AS859" s="4"/>
      <c r="AT859" s="4"/>
    </row>
    <row r="860" spans="12:46">
      <c r="L860" s="5"/>
      <c r="M860" s="5"/>
      <c r="W860" s="5"/>
      <c r="Z860" s="5"/>
      <c r="AA860" s="5"/>
      <c r="AD860" s="5"/>
      <c r="AG860" s="5"/>
      <c r="AH860" s="5"/>
      <c r="AN860" s="4"/>
      <c r="AO860" s="4"/>
      <c r="AP860" s="4"/>
      <c r="AQ860" s="4"/>
      <c r="AR860" s="4"/>
      <c r="AS860" s="4"/>
      <c r="AT860" s="4"/>
    </row>
    <row r="861" spans="12:46">
      <c r="L861" s="5"/>
      <c r="M861" s="5"/>
      <c r="W861" s="5"/>
      <c r="Z861" s="5"/>
      <c r="AA861" s="5"/>
      <c r="AD861" s="5"/>
      <c r="AG861" s="5"/>
      <c r="AH861" s="5"/>
      <c r="AN861" s="4"/>
      <c r="AO861" s="4"/>
      <c r="AP861" s="4"/>
      <c r="AQ861" s="4"/>
      <c r="AR861" s="4"/>
      <c r="AS861" s="4"/>
      <c r="AT861" s="4"/>
    </row>
    <row r="862" spans="12:46">
      <c r="L862" s="5"/>
      <c r="M862" s="5"/>
      <c r="W862" s="5"/>
      <c r="Z862" s="5"/>
      <c r="AA862" s="5"/>
      <c r="AD862" s="5"/>
      <c r="AG862" s="5"/>
      <c r="AH862" s="5"/>
      <c r="AN862" s="4"/>
      <c r="AO862" s="4"/>
      <c r="AP862" s="4"/>
      <c r="AQ862" s="4"/>
      <c r="AR862" s="4"/>
      <c r="AS862" s="4"/>
      <c r="AT862" s="4"/>
    </row>
    <row r="863" spans="12:46">
      <c r="L863" s="5"/>
      <c r="M863" s="5"/>
      <c r="W863" s="5"/>
      <c r="Z863" s="5"/>
      <c r="AA863" s="5"/>
      <c r="AD863" s="5"/>
      <c r="AG863" s="5"/>
      <c r="AH863" s="5"/>
      <c r="AN863" s="4"/>
      <c r="AO863" s="4"/>
      <c r="AP863" s="4"/>
      <c r="AQ863" s="4"/>
      <c r="AR863" s="4"/>
      <c r="AS863" s="4"/>
      <c r="AT863" s="4"/>
    </row>
    <row r="864" spans="12:46">
      <c r="L864" s="5"/>
      <c r="M864" s="5"/>
      <c r="W864" s="5"/>
      <c r="Z864" s="5"/>
      <c r="AA864" s="5"/>
      <c r="AD864" s="5"/>
      <c r="AG864" s="5"/>
      <c r="AH864" s="5"/>
      <c r="AN864" s="4"/>
      <c r="AO864" s="4"/>
      <c r="AP864" s="4"/>
      <c r="AQ864" s="4"/>
      <c r="AR864" s="4"/>
      <c r="AS864" s="4"/>
      <c r="AT864" s="4"/>
    </row>
    <row r="865" spans="12:46">
      <c r="L865" s="5"/>
      <c r="M865" s="5"/>
      <c r="W865" s="5"/>
      <c r="Z865" s="5"/>
      <c r="AA865" s="5"/>
      <c r="AD865" s="5"/>
      <c r="AG865" s="5"/>
      <c r="AH865" s="5"/>
      <c r="AN865" s="4"/>
      <c r="AO865" s="4"/>
      <c r="AP865" s="4"/>
      <c r="AQ865" s="4"/>
      <c r="AR865" s="4"/>
      <c r="AS865" s="4"/>
      <c r="AT865" s="4"/>
    </row>
    <row r="866" spans="12:46">
      <c r="L866" s="5"/>
      <c r="M866" s="5"/>
      <c r="W866" s="5"/>
      <c r="Z866" s="5"/>
      <c r="AA866" s="5"/>
      <c r="AD866" s="5"/>
      <c r="AG866" s="5"/>
      <c r="AH866" s="5"/>
      <c r="AN866" s="4"/>
      <c r="AO866" s="4"/>
      <c r="AP866" s="4"/>
      <c r="AQ866" s="4"/>
      <c r="AR866" s="4"/>
      <c r="AS866" s="4"/>
      <c r="AT866" s="4"/>
    </row>
    <row r="867" spans="12:46">
      <c r="L867" s="5"/>
      <c r="M867" s="5"/>
      <c r="W867" s="5"/>
      <c r="Z867" s="5"/>
      <c r="AA867" s="5"/>
      <c r="AD867" s="5"/>
      <c r="AG867" s="5"/>
      <c r="AH867" s="5"/>
      <c r="AN867" s="4"/>
      <c r="AO867" s="4"/>
      <c r="AP867" s="4"/>
      <c r="AQ867" s="4"/>
      <c r="AR867" s="4"/>
      <c r="AS867" s="4"/>
      <c r="AT867" s="4"/>
    </row>
    <row r="868" spans="12:46">
      <c r="L868" s="5"/>
      <c r="M868" s="5"/>
      <c r="W868" s="5"/>
      <c r="Z868" s="5"/>
      <c r="AA868" s="5"/>
      <c r="AD868" s="5"/>
      <c r="AG868" s="5"/>
      <c r="AH868" s="5"/>
      <c r="AN868" s="4"/>
      <c r="AO868" s="4"/>
      <c r="AP868" s="4"/>
      <c r="AQ868" s="4"/>
      <c r="AR868" s="4"/>
      <c r="AS868" s="4"/>
      <c r="AT868" s="4"/>
    </row>
    <row r="869" spans="12:46">
      <c r="L869" s="5"/>
      <c r="M869" s="5"/>
      <c r="W869" s="5"/>
      <c r="Z869" s="5"/>
      <c r="AA869" s="5"/>
      <c r="AD869" s="5"/>
      <c r="AG869" s="5"/>
      <c r="AH869" s="5"/>
      <c r="AN869" s="4"/>
      <c r="AO869" s="4"/>
      <c r="AP869" s="4"/>
      <c r="AQ869" s="4"/>
      <c r="AR869" s="4"/>
      <c r="AS869" s="4"/>
      <c r="AT869" s="4"/>
    </row>
    <row r="870" spans="12:46">
      <c r="L870" s="5"/>
      <c r="M870" s="5"/>
      <c r="W870" s="5"/>
      <c r="Z870" s="5"/>
      <c r="AA870" s="5"/>
      <c r="AD870" s="5"/>
      <c r="AG870" s="5"/>
      <c r="AH870" s="5"/>
      <c r="AN870" s="4"/>
      <c r="AO870" s="4"/>
      <c r="AP870" s="4"/>
      <c r="AQ870" s="4"/>
      <c r="AR870" s="4"/>
      <c r="AS870" s="4"/>
      <c r="AT870" s="4"/>
    </row>
    <row r="871" spans="12:46">
      <c r="L871" s="5"/>
      <c r="M871" s="5"/>
      <c r="W871" s="5"/>
      <c r="Z871" s="5"/>
      <c r="AA871" s="5"/>
      <c r="AD871" s="5"/>
      <c r="AG871" s="5"/>
      <c r="AH871" s="5"/>
      <c r="AN871" s="4"/>
      <c r="AO871" s="4"/>
      <c r="AP871" s="4"/>
      <c r="AQ871" s="4"/>
      <c r="AR871" s="4"/>
      <c r="AS871" s="4"/>
      <c r="AT871" s="4"/>
    </row>
    <row r="872" spans="12:46">
      <c r="L872" s="5"/>
      <c r="M872" s="5"/>
      <c r="W872" s="5"/>
      <c r="Z872" s="5"/>
      <c r="AA872" s="5"/>
      <c r="AD872" s="5"/>
      <c r="AG872" s="5"/>
      <c r="AH872" s="5"/>
      <c r="AN872" s="4"/>
      <c r="AO872" s="4"/>
      <c r="AP872" s="4"/>
      <c r="AQ872" s="4"/>
      <c r="AR872" s="4"/>
      <c r="AS872" s="4"/>
      <c r="AT872" s="4"/>
    </row>
    <row r="873" spans="12:46">
      <c r="L873" s="5"/>
      <c r="M873" s="5"/>
      <c r="W873" s="5"/>
      <c r="Z873" s="5"/>
      <c r="AA873" s="5"/>
      <c r="AD873" s="5"/>
      <c r="AG873" s="5"/>
      <c r="AH873" s="5"/>
      <c r="AN873" s="4"/>
      <c r="AO873" s="4"/>
      <c r="AP873" s="4"/>
      <c r="AQ873" s="4"/>
      <c r="AR873" s="4"/>
      <c r="AS873" s="4"/>
      <c r="AT873" s="4"/>
    </row>
    <row r="874" spans="12:46">
      <c r="L874" s="5"/>
      <c r="M874" s="5"/>
      <c r="W874" s="5"/>
      <c r="Z874" s="5"/>
      <c r="AA874" s="5"/>
      <c r="AD874" s="5"/>
      <c r="AG874" s="5"/>
      <c r="AH874" s="5"/>
      <c r="AN874" s="4"/>
      <c r="AO874" s="4"/>
      <c r="AP874" s="4"/>
      <c r="AQ874" s="4"/>
      <c r="AR874" s="4"/>
      <c r="AS874" s="4"/>
      <c r="AT874" s="4"/>
    </row>
    <row r="875" spans="12:46">
      <c r="L875" s="5"/>
      <c r="M875" s="5"/>
      <c r="W875" s="5"/>
      <c r="Z875" s="5"/>
      <c r="AA875" s="5"/>
      <c r="AD875" s="5"/>
      <c r="AG875" s="5"/>
      <c r="AH875" s="5"/>
      <c r="AN875" s="4"/>
      <c r="AO875" s="4"/>
      <c r="AP875" s="4"/>
      <c r="AQ875" s="4"/>
      <c r="AR875" s="4"/>
      <c r="AS875" s="4"/>
      <c r="AT875" s="4"/>
    </row>
    <row r="876" spans="12:46">
      <c r="L876" s="5"/>
      <c r="M876" s="5"/>
      <c r="W876" s="5"/>
      <c r="Z876" s="5"/>
      <c r="AA876" s="5"/>
      <c r="AD876" s="5"/>
      <c r="AG876" s="5"/>
      <c r="AH876" s="5"/>
      <c r="AN876" s="4"/>
      <c r="AO876" s="4"/>
      <c r="AP876" s="4"/>
      <c r="AQ876" s="4"/>
      <c r="AR876" s="4"/>
      <c r="AS876" s="4"/>
      <c r="AT876" s="4"/>
    </row>
    <row r="877" spans="12:46">
      <c r="L877" s="5"/>
      <c r="M877" s="5"/>
      <c r="W877" s="5"/>
      <c r="Z877" s="5"/>
      <c r="AA877" s="5"/>
      <c r="AD877" s="5"/>
      <c r="AG877" s="5"/>
      <c r="AH877" s="5"/>
      <c r="AN877" s="4"/>
      <c r="AO877" s="4"/>
      <c r="AP877" s="4"/>
      <c r="AQ877" s="4"/>
      <c r="AR877" s="4"/>
      <c r="AS877" s="4"/>
      <c r="AT877" s="4"/>
    </row>
    <row r="878" spans="12:46">
      <c r="L878" s="5"/>
      <c r="M878" s="5"/>
      <c r="W878" s="5"/>
      <c r="Z878" s="5"/>
      <c r="AA878" s="5"/>
      <c r="AD878" s="5"/>
      <c r="AG878" s="5"/>
      <c r="AH878" s="5"/>
      <c r="AN878" s="4"/>
      <c r="AO878" s="4"/>
      <c r="AP878" s="4"/>
      <c r="AQ878" s="4"/>
      <c r="AR878" s="4"/>
      <c r="AS878" s="4"/>
      <c r="AT878" s="4"/>
    </row>
    <row r="879" spans="12:46">
      <c r="L879" s="5"/>
      <c r="M879" s="5"/>
      <c r="W879" s="5"/>
      <c r="Z879" s="5"/>
      <c r="AA879" s="5"/>
      <c r="AD879" s="5"/>
      <c r="AG879" s="5"/>
      <c r="AH879" s="5"/>
      <c r="AN879" s="4"/>
      <c r="AO879" s="4"/>
      <c r="AP879" s="4"/>
      <c r="AQ879" s="4"/>
      <c r="AR879" s="4"/>
      <c r="AS879" s="4"/>
      <c r="AT879" s="4"/>
    </row>
    <row r="880" spans="12:46">
      <c r="L880" s="5"/>
      <c r="M880" s="5"/>
      <c r="W880" s="5"/>
      <c r="Z880" s="5"/>
      <c r="AA880" s="5"/>
      <c r="AD880" s="5"/>
      <c r="AG880" s="5"/>
      <c r="AH880" s="5"/>
      <c r="AN880" s="4"/>
      <c r="AO880" s="4"/>
      <c r="AP880" s="4"/>
      <c r="AQ880" s="4"/>
      <c r="AR880" s="4"/>
      <c r="AS880" s="4"/>
      <c r="AT880" s="4"/>
    </row>
    <row r="881" spans="12:46">
      <c r="L881" s="5"/>
      <c r="M881" s="5"/>
      <c r="W881" s="5"/>
      <c r="Z881" s="5"/>
      <c r="AA881" s="5"/>
      <c r="AD881" s="5"/>
      <c r="AG881" s="5"/>
      <c r="AH881" s="5"/>
      <c r="AN881" s="4"/>
      <c r="AO881" s="4"/>
      <c r="AP881" s="4"/>
      <c r="AQ881" s="4"/>
      <c r="AR881" s="4"/>
      <c r="AS881" s="4"/>
      <c r="AT881" s="4"/>
    </row>
    <row r="882" spans="12:46">
      <c r="L882" s="5"/>
      <c r="M882" s="5"/>
      <c r="W882" s="5"/>
      <c r="Z882" s="5"/>
      <c r="AA882" s="5"/>
      <c r="AD882" s="5"/>
      <c r="AG882" s="5"/>
      <c r="AH882" s="5"/>
      <c r="AN882" s="4"/>
      <c r="AO882" s="4"/>
      <c r="AP882" s="4"/>
      <c r="AQ882" s="4"/>
      <c r="AR882" s="4"/>
      <c r="AS882" s="4"/>
      <c r="AT882" s="4"/>
    </row>
    <row r="883" spans="12:46">
      <c r="L883" s="5"/>
      <c r="M883" s="5"/>
      <c r="W883" s="5"/>
      <c r="Z883" s="5"/>
      <c r="AA883" s="5"/>
      <c r="AD883" s="5"/>
      <c r="AG883" s="5"/>
      <c r="AH883" s="5"/>
      <c r="AN883" s="4"/>
      <c r="AO883" s="4"/>
      <c r="AP883" s="4"/>
      <c r="AQ883" s="4"/>
      <c r="AR883" s="4"/>
      <c r="AS883" s="4"/>
      <c r="AT883" s="4"/>
    </row>
    <row r="884" spans="12:46">
      <c r="L884" s="5"/>
      <c r="M884" s="5"/>
      <c r="W884" s="5"/>
      <c r="Z884" s="5"/>
      <c r="AA884" s="5"/>
      <c r="AD884" s="5"/>
      <c r="AG884" s="5"/>
      <c r="AH884" s="5"/>
      <c r="AN884" s="4"/>
      <c r="AO884" s="4"/>
      <c r="AP884" s="4"/>
      <c r="AQ884" s="4"/>
      <c r="AR884" s="4"/>
      <c r="AS884" s="4"/>
      <c r="AT884" s="4"/>
    </row>
    <row r="885" spans="12:46">
      <c r="L885" s="5"/>
      <c r="M885" s="5"/>
      <c r="W885" s="5"/>
      <c r="Z885" s="5"/>
      <c r="AA885" s="5"/>
      <c r="AD885" s="5"/>
      <c r="AG885" s="5"/>
      <c r="AH885" s="5"/>
      <c r="AN885" s="4"/>
      <c r="AO885" s="4"/>
      <c r="AP885" s="4"/>
      <c r="AQ885" s="4"/>
      <c r="AR885" s="4"/>
      <c r="AS885" s="4"/>
      <c r="AT885" s="4"/>
    </row>
    <row r="886" spans="12:46">
      <c r="L886" s="5"/>
      <c r="M886" s="5"/>
      <c r="W886" s="5"/>
      <c r="Z886" s="5"/>
      <c r="AA886" s="5"/>
      <c r="AD886" s="5"/>
      <c r="AG886" s="5"/>
      <c r="AH886" s="5"/>
      <c r="AN886" s="4"/>
      <c r="AO886" s="4"/>
      <c r="AP886" s="4"/>
      <c r="AQ886" s="4"/>
      <c r="AR886" s="4"/>
      <c r="AS886" s="4"/>
      <c r="AT886" s="4"/>
    </row>
    <row r="887" spans="12:46">
      <c r="L887" s="5"/>
      <c r="M887" s="5"/>
      <c r="W887" s="5"/>
      <c r="Z887" s="5"/>
      <c r="AA887" s="5"/>
      <c r="AD887" s="5"/>
      <c r="AG887" s="5"/>
      <c r="AH887" s="5"/>
      <c r="AN887" s="4"/>
      <c r="AO887" s="4"/>
      <c r="AP887" s="4"/>
      <c r="AQ887" s="4"/>
      <c r="AR887" s="4"/>
      <c r="AS887" s="4"/>
      <c r="AT887" s="4"/>
    </row>
    <row r="888" spans="12:46">
      <c r="L888" s="5"/>
      <c r="M888" s="5"/>
      <c r="W888" s="5"/>
      <c r="Z888" s="5"/>
      <c r="AA888" s="5"/>
      <c r="AD888" s="5"/>
      <c r="AG888" s="5"/>
      <c r="AH888" s="5"/>
      <c r="AN888" s="4"/>
      <c r="AO888" s="4"/>
      <c r="AP888" s="4"/>
      <c r="AQ888" s="4"/>
      <c r="AR888" s="4"/>
      <c r="AS888" s="4"/>
      <c r="AT888" s="4"/>
    </row>
    <row r="889" spans="12:46">
      <c r="L889" s="5"/>
      <c r="M889" s="5"/>
      <c r="W889" s="5"/>
      <c r="Z889" s="5"/>
      <c r="AA889" s="5"/>
      <c r="AD889" s="5"/>
      <c r="AG889" s="5"/>
      <c r="AH889" s="5"/>
      <c r="AN889" s="4"/>
      <c r="AO889" s="4"/>
      <c r="AP889" s="4"/>
      <c r="AQ889" s="4"/>
      <c r="AR889" s="4"/>
      <c r="AS889" s="4"/>
      <c r="AT889" s="4"/>
    </row>
    <row r="890" spans="12:46">
      <c r="L890" s="5"/>
      <c r="M890" s="5"/>
      <c r="W890" s="5"/>
      <c r="Z890" s="5"/>
      <c r="AA890" s="5"/>
      <c r="AD890" s="5"/>
      <c r="AG890" s="5"/>
      <c r="AH890" s="5"/>
      <c r="AN890" s="4"/>
      <c r="AO890" s="4"/>
      <c r="AP890" s="4"/>
      <c r="AQ890" s="4"/>
      <c r="AR890" s="4"/>
      <c r="AS890" s="4"/>
      <c r="AT890" s="4"/>
    </row>
    <row r="891" spans="12:46">
      <c r="L891" s="5"/>
      <c r="M891" s="5"/>
      <c r="W891" s="5"/>
      <c r="Z891" s="5"/>
      <c r="AA891" s="5"/>
      <c r="AD891" s="5"/>
      <c r="AG891" s="5"/>
      <c r="AH891" s="5"/>
      <c r="AN891" s="4"/>
      <c r="AO891" s="4"/>
      <c r="AP891" s="4"/>
      <c r="AQ891" s="4"/>
      <c r="AR891" s="4"/>
      <c r="AS891" s="4"/>
      <c r="AT891" s="4"/>
    </row>
    <row r="892" spans="12:46">
      <c r="L892" s="5"/>
      <c r="M892" s="5"/>
      <c r="W892" s="5"/>
      <c r="Z892" s="5"/>
      <c r="AA892" s="5"/>
      <c r="AD892" s="5"/>
      <c r="AG892" s="5"/>
      <c r="AH892" s="5"/>
      <c r="AN892" s="4"/>
      <c r="AO892" s="4"/>
      <c r="AP892" s="4"/>
      <c r="AQ892" s="4"/>
      <c r="AR892" s="4"/>
      <c r="AS892" s="4"/>
      <c r="AT892" s="4"/>
    </row>
    <row r="893" spans="12:46">
      <c r="L893" s="5"/>
      <c r="M893" s="5"/>
      <c r="W893" s="5"/>
      <c r="Z893" s="5"/>
      <c r="AA893" s="5"/>
      <c r="AD893" s="5"/>
      <c r="AG893" s="5"/>
      <c r="AH893" s="5"/>
      <c r="AN893" s="4"/>
      <c r="AO893" s="4"/>
      <c r="AP893" s="4"/>
      <c r="AQ893" s="4"/>
      <c r="AR893" s="4"/>
      <c r="AS893" s="4"/>
      <c r="AT893" s="4"/>
    </row>
    <row r="894" spans="12:46">
      <c r="L894" s="5"/>
      <c r="M894" s="5"/>
      <c r="W894" s="5"/>
      <c r="Z894" s="5"/>
      <c r="AA894" s="5"/>
      <c r="AD894" s="5"/>
      <c r="AG894" s="5"/>
      <c r="AH894" s="5"/>
      <c r="AN894" s="4"/>
      <c r="AO894" s="4"/>
      <c r="AP894" s="4"/>
      <c r="AQ894" s="4"/>
      <c r="AR894" s="4"/>
      <c r="AS894" s="4"/>
      <c r="AT894" s="4"/>
    </row>
    <row r="895" spans="12:46">
      <c r="L895" s="5"/>
      <c r="M895" s="5"/>
      <c r="W895" s="5"/>
      <c r="Z895" s="5"/>
      <c r="AA895" s="5"/>
      <c r="AD895" s="5"/>
      <c r="AG895" s="5"/>
      <c r="AH895" s="5"/>
      <c r="AN895" s="4"/>
      <c r="AO895" s="4"/>
      <c r="AP895" s="4"/>
      <c r="AQ895" s="4"/>
      <c r="AR895" s="4"/>
      <c r="AS895" s="4"/>
      <c r="AT895" s="4"/>
    </row>
    <row r="896" spans="12:46">
      <c r="L896" s="5"/>
      <c r="M896" s="5"/>
      <c r="W896" s="5"/>
      <c r="Z896" s="5"/>
      <c r="AA896" s="5"/>
      <c r="AD896" s="5"/>
      <c r="AG896" s="5"/>
      <c r="AH896" s="5"/>
      <c r="AN896" s="4"/>
      <c r="AO896" s="4"/>
      <c r="AP896" s="4"/>
      <c r="AQ896" s="4"/>
      <c r="AR896" s="4"/>
      <c r="AS896" s="4"/>
      <c r="AT896" s="4"/>
    </row>
    <row r="897" spans="12:46">
      <c r="L897" s="5"/>
      <c r="M897" s="5"/>
      <c r="W897" s="5"/>
      <c r="Z897" s="5"/>
      <c r="AA897" s="5"/>
      <c r="AD897" s="5"/>
      <c r="AG897" s="5"/>
      <c r="AH897" s="5"/>
      <c r="AN897" s="4"/>
      <c r="AO897" s="4"/>
      <c r="AP897" s="4"/>
      <c r="AQ897" s="4"/>
      <c r="AR897" s="4"/>
      <c r="AS897" s="4"/>
      <c r="AT897" s="4"/>
    </row>
    <row r="898" spans="12:46">
      <c r="L898" s="5"/>
      <c r="M898" s="5"/>
      <c r="W898" s="5"/>
      <c r="Z898" s="5"/>
      <c r="AA898" s="5"/>
      <c r="AD898" s="5"/>
      <c r="AG898" s="5"/>
      <c r="AH898" s="5"/>
      <c r="AN898" s="4"/>
      <c r="AO898" s="4"/>
      <c r="AP898" s="4"/>
      <c r="AQ898" s="4"/>
      <c r="AR898" s="4"/>
      <c r="AS898" s="4"/>
      <c r="AT898" s="4"/>
    </row>
    <row r="899" spans="12:46">
      <c r="L899" s="5"/>
      <c r="M899" s="5"/>
      <c r="W899" s="5"/>
      <c r="Z899" s="5"/>
      <c r="AA899" s="5"/>
      <c r="AD899" s="5"/>
      <c r="AG899" s="5"/>
      <c r="AH899" s="5"/>
      <c r="AN899" s="4"/>
      <c r="AO899" s="4"/>
      <c r="AP899" s="4"/>
      <c r="AQ899" s="4"/>
      <c r="AR899" s="4"/>
      <c r="AS899" s="4"/>
      <c r="AT899" s="4"/>
    </row>
    <row r="900" spans="12:46">
      <c r="L900" s="5"/>
      <c r="M900" s="5"/>
      <c r="W900" s="5"/>
      <c r="Z900" s="5"/>
      <c r="AA900" s="5"/>
      <c r="AD900" s="5"/>
      <c r="AG900" s="5"/>
      <c r="AH900" s="5"/>
      <c r="AN900" s="4"/>
      <c r="AO900" s="4"/>
      <c r="AP900" s="4"/>
      <c r="AQ900" s="4"/>
      <c r="AR900" s="4"/>
      <c r="AS900" s="4"/>
      <c r="AT900" s="4"/>
    </row>
    <row r="901" spans="12:46">
      <c r="L901" s="5"/>
      <c r="M901" s="5"/>
      <c r="W901" s="5"/>
      <c r="Z901" s="5"/>
      <c r="AA901" s="5"/>
      <c r="AD901" s="5"/>
      <c r="AG901" s="5"/>
      <c r="AH901" s="5"/>
      <c r="AN901" s="4"/>
      <c r="AO901" s="4"/>
      <c r="AP901" s="4"/>
      <c r="AQ901" s="4"/>
      <c r="AR901" s="4"/>
      <c r="AS901" s="4"/>
      <c r="AT901" s="4"/>
    </row>
    <row r="902" spans="12:46">
      <c r="L902" s="5"/>
      <c r="M902" s="5"/>
      <c r="W902" s="5"/>
      <c r="Z902" s="5"/>
      <c r="AA902" s="5"/>
      <c r="AD902" s="5"/>
      <c r="AG902" s="5"/>
      <c r="AH902" s="5"/>
      <c r="AN902" s="4"/>
      <c r="AO902" s="4"/>
      <c r="AP902" s="4"/>
      <c r="AQ902" s="4"/>
      <c r="AR902" s="4"/>
      <c r="AS902" s="4"/>
      <c r="AT902" s="4"/>
    </row>
    <row r="903" spans="12:46">
      <c r="L903" s="5"/>
      <c r="M903" s="5"/>
      <c r="W903" s="5"/>
      <c r="Z903" s="5"/>
      <c r="AA903" s="5"/>
      <c r="AD903" s="5"/>
      <c r="AG903" s="5"/>
      <c r="AH903" s="5"/>
      <c r="AN903" s="4"/>
      <c r="AO903" s="4"/>
      <c r="AP903" s="4"/>
      <c r="AQ903" s="4"/>
      <c r="AR903" s="4"/>
      <c r="AS903" s="4"/>
      <c r="AT903" s="4"/>
    </row>
    <row r="904" spans="12:46">
      <c r="L904" s="5"/>
      <c r="M904" s="5"/>
      <c r="W904" s="5"/>
      <c r="Z904" s="5"/>
      <c r="AA904" s="5"/>
      <c r="AD904" s="5"/>
      <c r="AG904" s="5"/>
      <c r="AH904" s="5"/>
      <c r="AN904" s="4"/>
      <c r="AO904" s="4"/>
      <c r="AP904" s="4"/>
      <c r="AQ904" s="4"/>
      <c r="AR904" s="4"/>
      <c r="AS904" s="4"/>
      <c r="AT904" s="4"/>
    </row>
    <row r="905" spans="12:46">
      <c r="L905" s="5"/>
      <c r="M905" s="5"/>
      <c r="W905" s="5"/>
      <c r="Z905" s="5"/>
      <c r="AA905" s="5"/>
      <c r="AD905" s="5"/>
      <c r="AG905" s="5"/>
      <c r="AH905" s="5"/>
      <c r="AN905" s="4"/>
      <c r="AO905" s="4"/>
      <c r="AP905" s="4"/>
      <c r="AQ905" s="4"/>
      <c r="AR905" s="4"/>
      <c r="AS905" s="4"/>
      <c r="AT905" s="4"/>
    </row>
    <row r="906" spans="12:46">
      <c r="L906" s="5"/>
      <c r="M906" s="5"/>
      <c r="W906" s="5"/>
      <c r="Z906" s="5"/>
      <c r="AA906" s="5"/>
      <c r="AD906" s="5"/>
      <c r="AG906" s="5"/>
      <c r="AH906" s="5"/>
      <c r="AN906" s="4"/>
      <c r="AO906" s="4"/>
      <c r="AP906" s="4"/>
      <c r="AQ906" s="4"/>
      <c r="AR906" s="4"/>
      <c r="AS906" s="4"/>
      <c r="AT906" s="4"/>
    </row>
    <row r="907" spans="12:46">
      <c r="L907" s="5"/>
      <c r="M907" s="5"/>
      <c r="W907" s="5"/>
      <c r="Z907" s="5"/>
      <c r="AA907" s="5"/>
      <c r="AD907" s="5"/>
      <c r="AG907" s="5"/>
      <c r="AH907" s="5"/>
      <c r="AN907" s="4"/>
      <c r="AO907" s="4"/>
      <c r="AP907" s="4"/>
      <c r="AQ907" s="4"/>
      <c r="AR907" s="4"/>
      <c r="AS907" s="4"/>
      <c r="AT907" s="4"/>
    </row>
    <row r="908" spans="12:46">
      <c r="L908" s="5"/>
      <c r="M908" s="5"/>
      <c r="W908" s="5"/>
      <c r="Z908" s="5"/>
      <c r="AA908" s="5"/>
      <c r="AD908" s="5"/>
      <c r="AG908" s="5"/>
      <c r="AH908" s="5"/>
      <c r="AN908" s="4"/>
      <c r="AO908" s="4"/>
      <c r="AP908" s="4"/>
      <c r="AQ908" s="4"/>
      <c r="AR908" s="4"/>
      <c r="AS908" s="4"/>
      <c r="AT908" s="4"/>
    </row>
    <row r="909" spans="12:46">
      <c r="L909" s="5"/>
      <c r="M909" s="5"/>
      <c r="W909" s="5"/>
      <c r="Z909" s="5"/>
      <c r="AA909" s="5"/>
      <c r="AD909" s="5"/>
      <c r="AG909" s="5"/>
      <c r="AH909" s="5"/>
      <c r="AN909" s="4"/>
      <c r="AO909" s="4"/>
      <c r="AP909" s="4"/>
      <c r="AQ909" s="4"/>
      <c r="AR909" s="4"/>
      <c r="AS909" s="4"/>
      <c r="AT909" s="4"/>
    </row>
    <row r="910" spans="12:46">
      <c r="L910" s="5"/>
      <c r="M910" s="5"/>
      <c r="W910" s="5"/>
      <c r="Z910" s="5"/>
      <c r="AA910" s="5"/>
      <c r="AD910" s="5"/>
      <c r="AG910" s="5"/>
      <c r="AH910" s="5"/>
      <c r="AN910" s="4"/>
      <c r="AO910" s="4"/>
      <c r="AP910" s="4"/>
      <c r="AQ910" s="4"/>
      <c r="AR910" s="4"/>
      <c r="AS910" s="4"/>
      <c r="AT910" s="4"/>
    </row>
    <row r="911" spans="12:46">
      <c r="L911" s="5"/>
      <c r="M911" s="5"/>
      <c r="W911" s="5"/>
      <c r="Z911" s="5"/>
      <c r="AA911" s="5"/>
      <c r="AD911" s="5"/>
      <c r="AG911" s="5"/>
      <c r="AH911" s="5"/>
      <c r="AN911" s="4"/>
      <c r="AO911" s="4"/>
      <c r="AP911" s="4"/>
      <c r="AQ911" s="4"/>
      <c r="AR911" s="4"/>
      <c r="AS911" s="4"/>
      <c r="AT911" s="4"/>
    </row>
    <row r="912" spans="12:46">
      <c r="L912" s="5"/>
      <c r="M912" s="5"/>
      <c r="W912" s="5"/>
      <c r="Z912" s="5"/>
      <c r="AA912" s="5"/>
      <c r="AD912" s="5"/>
      <c r="AG912" s="5"/>
      <c r="AH912" s="5"/>
      <c r="AN912" s="4"/>
      <c r="AO912" s="4"/>
      <c r="AP912" s="4"/>
      <c r="AQ912" s="4"/>
      <c r="AR912" s="4"/>
      <c r="AS912" s="4"/>
      <c r="AT912" s="4"/>
    </row>
    <row r="913" spans="12:46">
      <c r="L913" s="5"/>
      <c r="M913" s="5"/>
      <c r="W913" s="5"/>
      <c r="Z913" s="5"/>
      <c r="AA913" s="5"/>
      <c r="AD913" s="5"/>
      <c r="AG913" s="5"/>
      <c r="AH913" s="5"/>
      <c r="AN913" s="4"/>
      <c r="AO913" s="4"/>
      <c r="AP913" s="4"/>
      <c r="AQ913" s="4"/>
      <c r="AR913" s="4"/>
      <c r="AS913" s="4"/>
      <c r="AT913" s="4"/>
    </row>
    <row r="914" spans="12:46">
      <c r="L914" s="5"/>
      <c r="M914" s="5"/>
      <c r="W914" s="5"/>
      <c r="Z914" s="5"/>
      <c r="AA914" s="5"/>
      <c r="AD914" s="5"/>
      <c r="AG914" s="5"/>
      <c r="AH914" s="5"/>
      <c r="AN914" s="4"/>
      <c r="AO914" s="4"/>
      <c r="AP914" s="4"/>
      <c r="AQ914" s="4"/>
      <c r="AR914" s="4"/>
      <c r="AS914" s="4"/>
      <c r="AT914" s="4"/>
    </row>
    <row r="915" spans="12:46">
      <c r="L915" s="5"/>
      <c r="M915" s="5"/>
      <c r="W915" s="5"/>
      <c r="Z915" s="5"/>
      <c r="AA915" s="5"/>
      <c r="AD915" s="5"/>
      <c r="AG915" s="5"/>
      <c r="AH915" s="5"/>
      <c r="AN915" s="4"/>
      <c r="AO915" s="4"/>
      <c r="AP915" s="4"/>
      <c r="AQ915" s="4"/>
      <c r="AR915" s="4"/>
      <c r="AS915" s="4"/>
      <c r="AT915" s="4"/>
    </row>
    <row r="916" spans="12:46">
      <c r="L916" s="5"/>
      <c r="M916" s="5"/>
      <c r="W916" s="5"/>
      <c r="Z916" s="5"/>
      <c r="AA916" s="5"/>
      <c r="AD916" s="5"/>
      <c r="AG916" s="5"/>
      <c r="AH916" s="5"/>
      <c r="AN916" s="4"/>
      <c r="AO916" s="4"/>
      <c r="AP916" s="4"/>
      <c r="AQ916" s="4"/>
      <c r="AR916" s="4"/>
      <c r="AS916" s="4"/>
      <c r="AT916" s="4"/>
    </row>
    <row r="917" spans="12:46">
      <c r="L917" s="5"/>
      <c r="M917" s="5"/>
      <c r="W917" s="5"/>
      <c r="Z917" s="5"/>
      <c r="AA917" s="5"/>
      <c r="AD917" s="5"/>
      <c r="AG917" s="5"/>
      <c r="AH917" s="5"/>
      <c r="AN917" s="4"/>
      <c r="AO917" s="4"/>
      <c r="AP917" s="4"/>
      <c r="AQ917" s="4"/>
      <c r="AR917" s="4"/>
      <c r="AS917" s="4"/>
      <c r="AT917" s="4"/>
    </row>
    <row r="918" spans="12:46">
      <c r="L918" s="5"/>
      <c r="M918" s="5"/>
      <c r="W918" s="5"/>
      <c r="Z918" s="5"/>
      <c r="AA918" s="5"/>
      <c r="AD918" s="5"/>
      <c r="AG918" s="5"/>
      <c r="AH918" s="5"/>
      <c r="AN918" s="4"/>
      <c r="AO918" s="4"/>
      <c r="AP918" s="4"/>
      <c r="AQ918" s="4"/>
      <c r="AR918" s="4"/>
      <c r="AS918" s="4"/>
      <c r="AT918" s="4"/>
    </row>
    <row r="919" spans="12:46">
      <c r="L919" s="5"/>
      <c r="M919" s="5"/>
      <c r="W919" s="5"/>
      <c r="Z919" s="5"/>
      <c r="AA919" s="5"/>
      <c r="AD919" s="5"/>
      <c r="AG919" s="5"/>
      <c r="AH919" s="5"/>
      <c r="AN919" s="4"/>
      <c r="AO919" s="4"/>
      <c r="AP919" s="4"/>
      <c r="AQ919" s="4"/>
      <c r="AR919" s="4"/>
      <c r="AS919" s="4"/>
      <c r="AT919" s="4"/>
    </row>
    <row r="920" spans="12:46">
      <c r="L920" s="5"/>
      <c r="M920" s="5"/>
      <c r="W920" s="5"/>
      <c r="Z920" s="5"/>
      <c r="AA920" s="5"/>
      <c r="AD920" s="5"/>
      <c r="AG920" s="5"/>
      <c r="AH920" s="5"/>
      <c r="AN920" s="4"/>
      <c r="AO920" s="4"/>
      <c r="AP920" s="4"/>
      <c r="AQ920" s="4"/>
      <c r="AR920" s="4"/>
      <c r="AS920" s="4"/>
      <c r="AT920" s="4"/>
    </row>
    <row r="921" spans="12:46">
      <c r="L921" s="5"/>
      <c r="M921" s="5"/>
      <c r="W921" s="5"/>
      <c r="Z921" s="5"/>
      <c r="AA921" s="5"/>
      <c r="AD921" s="5"/>
      <c r="AG921" s="5"/>
      <c r="AH921" s="5"/>
      <c r="AN921" s="4"/>
      <c r="AO921" s="4"/>
      <c r="AP921" s="4"/>
      <c r="AQ921" s="4"/>
      <c r="AR921" s="4"/>
      <c r="AS921" s="4"/>
      <c r="AT921" s="4"/>
    </row>
    <row r="922" spans="12:46">
      <c r="L922" s="5"/>
      <c r="M922" s="5"/>
      <c r="W922" s="5"/>
      <c r="Z922" s="5"/>
      <c r="AA922" s="5"/>
      <c r="AD922" s="5"/>
      <c r="AG922" s="5"/>
      <c r="AH922" s="5"/>
      <c r="AN922" s="4"/>
      <c r="AO922" s="4"/>
      <c r="AP922" s="4"/>
      <c r="AQ922" s="4"/>
      <c r="AR922" s="4"/>
      <c r="AS922" s="4"/>
      <c r="AT922" s="4"/>
    </row>
    <row r="923" spans="12:46">
      <c r="L923" s="5"/>
      <c r="M923" s="5"/>
      <c r="W923" s="5"/>
      <c r="Z923" s="5"/>
      <c r="AA923" s="5"/>
      <c r="AD923" s="5"/>
      <c r="AG923" s="5"/>
      <c r="AH923" s="5"/>
      <c r="AN923" s="4"/>
      <c r="AO923" s="4"/>
      <c r="AP923" s="4"/>
      <c r="AQ923" s="4"/>
      <c r="AR923" s="4"/>
      <c r="AS923" s="4"/>
      <c r="AT923" s="4"/>
    </row>
    <row r="924" spans="12:46">
      <c r="L924" s="5"/>
      <c r="M924" s="5"/>
      <c r="W924" s="5"/>
      <c r="Z924" s="5"/>
      <c r="AA924" s="5"/>
      <c r="AD924" s="5"/>
      <c r="AG924" s="5"/>
      <c r="AH924" s="5"/>
      <c r="AN924" s="4"/>
      <c r="AO924" s="4"/>
      <c r="AP924" s="4"/>
      <c r="AQ924" s="4"/>
      <c r="AR924" s="4"/>
      <c r="AS924" s="4"/>
      <c r="AT924" s="4"/>
    </row>
    <row r="925" spans="12:46">
      <c r="L925" s="5"/>
      <c r="M925" s="5"/>
      <c r="W925" s="5"/>
      <c r="Z925" s="5"/>
      <c r="AA925" s="5"/>
      <c r="AD925" s="5"/>
      <c r="AG925" s="5"/>
      <c r="AH925" s="5"/>
      <c r="AN925" s="4"/>
      <c r="AO925" s="4"/>
      <c r="AP925" s="4"/>
      <c r="AQ925" s="4"/>
      <c r="AR925" s="4"/>
      <c r="AS925" s="4"/>
      <c r="AT925" s="4"/>
    </row>
    <row r="926" spans="12:46">
      <c r="L926" s="5"/>
      <c r="M926" s="5"/>
      <c r="W926" s="5"/>
      <c r="Z926" s="5"/>
      <c r="AA926" s="5"/>
      <c r="AD926" s="5"/>
      <c r="AG926" s="5"/>
      <c r="AH926" s="5"/>
      <c r="AN926" s="4"/>
      <c r="AO926" s="4"/>
      <c r="AP926" s="4"/>
      <c r="AQ926" s="4"/>
      <c r="AR926" s="4"/>
      <c r="AS926" s="4"/>
      <c r="AT926" s="4"/>
    </row>
    <row r="927" spans="12:46">
      <c r="L927" s="5"/>
      <c r="M927" s="5"/>
      <c r="W927" s="5"/>
      <c r="Z927" s="5"/>
      <c r="AA927" s="5"/>
      <c r="AD927" s="5"/>
      <c r="AG927" s="5"/>
      <c r="AH927" s="5"/>
      <c r="AN927" s="4"/>
      <c r="AO927" s="4"/>
      <c r="AP927" s="4"/>
      <c r="AQ927" s="4"/>
      <c r="AR927" s="4"/>
      <c r="AS927" s="4"/>
      <c r="AT927" s="4"/>
    </row>
    <row r="928" spans="12:46">
      <c r="L928" s="5"/>
      <c r="M928" s="5"/>
      <c r="W928" s="5"/>
      <c r="Z928" s="5"/>
      <c r="AA928" s="5"/>
      <c r="AD928" s="5"/>
      <c r="AG928" s="5"/>
      <c r="AH928" s="5"/>
      <c r="AN928" s="4"/>
      <c r="AO928" s="4"/>
      <c r="AP928" s="4"/>
      <c r="AQ928" s="4"/>
      <c r="AR928" s="4"/>
      <c r="AS928" s="4"/>
      <c r="AT928" s="4"/>
    </row>
    <row r="929" spans="12:46">
      <c r="L929" s="5"/>
      <c r="M929" s="5"/>
      <c r="W929" s="5"/>
      <c r="Z929" s="5"/>
      <c r="AA929" s="5"/>
      <c r="AD929" s="5"/>
      <c r="AG929" s="5"/>
      <c r="AH929" s="5"/>
      <c r="AN929" s="4"/>
      <c r="AO929" s="4"/>
      <c r="AP929" s="4"/>
      <c r="AQ929" s="4"/>
      <c r="AR929" s="4"/>
      <c r="AS929" s="4"/>
      <c r="AT929" s="4"/>
    </row>
    <row r="930" spans="12:46">
      <c r="L930" s="5"/>
      <c r="M930" s="5"/>
      <c r="W930" s="5"/>
      <c r="Z930" s="5"/>
      <c r="AA930" s="5"/>
      <c r="AD930" s="5"/>
      <c r="AG930" s="5"/>
      <c r="AH930" s="5"/>
      <c r="AN930" s="4"/>
      <c r="AO930" s="4"/>
      <c r="AP930" s="4"/>
      <c r="AQ930" s="4"/>
      <c r="AR930" s="4"/>
      <c r="AS930" s="4"/>
      <c r="AT930" s="4"/>
    </row>
    <row r="931" spans="12:46">
      <c r="L931" s="5"/>
      <c r="M931" s="5"/>
      <c r="W931" s="5"/>
      <c r="Z931" s="5"/>
      <c r="AA931" s="5"/>
      <c r="AD931" s="5"/>
      <c r="AG931" s="5"/>
      <c r="AH931" s="5"/>
      <c r="AN931" s="4"/>
      <c r="AO931" s="4"/>
      <c r="AP931" s="4"/>
      <c r="AQ931" s="4"/>
      <c r="AR931" s="4"/>
      <c r="AS931" s="4"/>
      <c r="AT931" s="4"/>
    </row>
    <row r="932" spans="12:46">
      <c r="L932" s="5"/>
      <c r="M932" s="5"/>
      <c r="W932" s="5"/>
      <c r="Z932" s="5"/>
      <c r="AA932" s="5"/>
      <c r="AD932" s="5"/>
      <c r="AG932" s="5"/>
      <c r="AH932" s="5"/>
      <c r="AN932" s="4"/>
      <c r="AO932" s="4"/>
      <c r="AP932" s="4"/>
      <c r="AQ932" s="4"/>
      <c r="AR932" s="4"/>
      <c r="AS932" s="4"/>
      <c r="AT932" s="4"/>
    </row>
    <row r="933" spans="12:46">
      <c r="L933" s="5"/>
      <c r="M933" s="5"/>
      <c r="W933" s="5"/>
      <c r="Z933" s="5"/>
      <c r="AA933" s="5"/>
      <c r="AD933" s="5"/>
      <c r="AG933" s="5"/>
      <c r="AH933" s="5"/>
      <c r="AN933" s="4"/>
      <c r="AO933" s="4"/>
      <c r="AP933" s="4"/>
      <c r="AQ933" s="4"/>
      <c r="AR933" s="4"/>
      <c r="AS933" s="4"/>
      <c r="AT933" s="4"/>
    </row>
    <row r="934" spans="12:46">
      <c r="L934" s="5"/>
      <c r="M934" s="5"/>
      <c r="W934" s="5"/>
      <c r="Z934" s="5"/>
      <c r="AA934" s="5"/>
      <c r="AD934" s="5"/>
      <c r="AG934" s="5"/>
      <c r="AH934" s="5"/>
      <c r="AN934" s="4"/>
      <c r="AO934" s="4"/>
      <c r="AP934" s="4"/>
      <c r="AQ934" s="4"/>
      <c r="AR934" s="4"/>
      <c r="AS934" s="4"/>
      <c r="AT934" s="4"/>
    </row>
    <row r="935" spans="12:46">
      <c r="L935" s="5"/>
      <c r="M935" s="5"/>
      <c r="W935" s="5"/>
      <c r="Z935" s="5"/>
      <c r="AA935" s="5"/>
      <c r="AD935" s="5"/>
      <c r="AG935" s="5"/>
      <c r="AH935" s="5"/>
      <c r="AN935" s="4"/>
      <c r="AO935" s="4"/>
      <c r="AP935" s="4"/>
      <c r="AQ935" s="4"/>
      <c r="AR935" s="4"/>
      <c r="AS935" s="4"/>
      <c r="AT935" s="4"/>
    </row>
    <row r="936" spans="12:46">
      <c r="L936" s="5"/>
      <c r="M936" s="5"/>
      <c r="W936" s="5"/>
      <c r="Z936" s="5"/>
      <c r="AA936" s="5"/>
      <c r="AD936" s="5"/>
      <c r="AG936" s="5"/>
      <c r="AH936" s="5"/>
      <c r="AN936" s="4"/>
      <c r="AO936" s="4"/>
      <c r="AP936" s="4"/>
      <c r="AQ936" s="4"/>
      <c r="AR936" s="4"/>
      <c r="AS936" s="4"/>
      <c r="AT936" s="4"/>
    </row>
    <row r="937" spans="12:46">
      <c r="L937" s="5"/>
      <c r="M937" s="5"/>
      <c r="W937" s="5"/>
      <c r="Z937" s="5"/>
      <c r="AA937" s="5"/>
      <c r="AD937" s="5"/>
      <c r="AG937" s="5"/>
      <c r="AH937" s="5"/>
      <c r="AN937" s="4"/>
      <c r="AO937" s="4"/>
      <c r="AP937" s="4"/>
      <c r="AQ937" s="4"/>
      <c r="AR937" s="4"/>
      <c r="AS937" s="4"/>
      <c r="AT937" s="4"/>
    </row>
    <row r="938" spans="12:46">
      <c r="L938" s="5"/>
      <c r="M938" s="5"/>
      <c r="W938" s="5"/>
      <c r="Z938" s="5"/>
      <c r="AA938" s="5"/>
      <c r="AD938" s="5"/>
      <c r="AG938" s="5"/>
      <c r="AH938" s="5"/>
      <c r="AN938" s="4"/>
      <c r="AO938" s="4"/>
      <c r="AP938" s="4"/>
      <c r="AQ938" s="4"/>
      <c r="AR938" s="4"/>
      <c r="AS938" s="4"/>
      <c r="AT938" s="4"/>
    </row>
    <row r="939" spans="12:46">
      <c r="L939" s="5"/>
      <c r="M939" s="5"/>
      <c r="W939" s="5"/>
      <c r="Z939" s="5"/>
      <c r="AA939" s="5"/>
      <c r="AD939" s="5"/>
      <c r="AG939" s="5"/>
      <c r="AH939" s="5"/>
      <c r="AN939" s="4"/>
      <c r="AO939" s="4"/>
      <c r="AP939" s="4"/>
      <c r="AQ939" s="4"/>
      <c r="AR939" s="4"/>
      <c r="AS939" s="4"/>
      <c r="AT939" s="4"/>
    </row>
    <row r="940" spans="12:46">
      <c r="L940" s="5"/>
      <c r="M940" s="5"/>
      <c r="W940" s="5"/>
      <c r="Z940" s="5"/>
      <c r="AA940" s="5"/>
      <c r="AD940" s="5"/>
      <c r="AG940" s="5"/>
      <c r="AH940" s="5"/>
      <c r="AN940" s="4"/>
      <c r="AO940" s="4"/>
      <c r="AP940" s="4"/>
      <c r="AQ940" s="4"/>
      <c r="AR940" s="4"/>
      <c r="AS940" s="4"/>
      <c r="AT940" s="4"/>
    </row>
    <row r="941" spans="12:46">
      <c r="L941" s="5"/>
      <c r="M941" s="5"/>
      <c r="W941" s="5"/>
      <c r="Z941" s="5"/>
      <c r="AA941" s="5"/>
      <c r="AD941" s="5"/>
      <c r="AG941" s="5"/>
      <c r="AH941" s="5"/>
      <c r="AN941" s="4"/>
      <c r="AO941" s="4"/>
      <c r="AP941" s="4"/>
      <c r="AQ941" s="4"/>
      <c r="AR941" s="4"/>
      <c r="AS941" s="4"/>
      <c r="AT941" s="4"/>
    </row>
    <row r="942" spans="12:46">
      <c r="L942" s="5"/>
      <c r="M942" s="5"/>
      <c r="W942" s="5"/>
      <c r="Z942" s="5"/>
      <c r="AA942" s="5"/>
      <c r="AD942" s="5"/>
      <c r="AG942" s="5"/>
      <c r="AH942" s="5"/>
      <c r="AN942" s="4"/>
      <c r="AO942" s="4"/>
      <c r="AP942" s="4"/>
      <c r="AQ942" s="4"/>
      <c r="AR942" s="4"/>
      <c r="AS942" s="4"/>
      <c r="AT942" s="4"/>
    </row>
    <row r="943" spans="12:46">
      <c r="L943" s="5"/>
      <c r="M943" s="5"/>
      <c r="W943" s="5"/>
      <c r="Z943" s="5"/>
      <c r="AA943" s="5"/>
      <c r="AD943" s="5"/>
      <c r="AG943" s="5"/>
      <c r="AH943" s="5"/>
      <c r="AN943" s="4"/>
      <c r="AO943" s="4"/>
      <c r="AP943" s="4"/>
      <c r="AQ943" s="4"/>
      <c r="AR943" s="4"/>
      <c r="AS943" s="4"/>
      <c r="AT943" s="4"/>
    </row>
    <row r="944" spans="12:46">
      <c r="L944" s="5"/>
      <c r="M944" s="5"/>
      <c r="W944" s="5"/>
      <c r="Z944" s="5"/>
      <c r="AA944" s="5"/>
      <c r="AD944" s="5"/>
      <c r="AG944" s="5"/>
      <c r="AH944" s="5"/>
      <c r="AN944" s="4"/>
      <c r="AO944" s="4"/>
      <c r="AP944" s="4"/>
      <c r="AQ944" s="4"/>
      <c r="AR944" s="4"/>
      <c r="AS944" s="4"/>
      <c r="AT944" s="4"/>
    </row>
    <row r="945" spans="12:46">
      <c r="L945" s="5"/>
      <c r="M945" s="5"/>
      <c r="W945" s="5"/>
      <c r="Z945" s="5"/>
      <c r="AA945" s="5"/>
      <c r="AD945" s="5"/>
      <c r="AG945" s="5"/>
      <c r="AH945" s="5"/>
      <c r="AN945" s="4"/>
      <c r="AO945" s="4"/>
      <c r="AP945" s="4"/>
      <c r="AQ945" s="4"/>
      <c r="AR945" s="4"/>
      <c r="AS945" s="4"/>
      <c r="AT945" s="4"/>
    </row>
    <row r="946" spans="12:46">
      <c r="L946" s="5"/>
      <c r="M946" s="5"/>
      <c r="W946" s="5"/>
      <c r="Z946" s="5"/>
      <c r="AA946" s="5"/>
      <c r="AD946" s="5"/>
      <c r="AG946" s="5"/>
      <c r="AH946" s="5"/>
      <c r="AN946" s="4"/>
      <c r="AO946" s="4"/>
      <c r="AP946" s="4"/>
      <c r="AQ946" s="4"/>
      <c r="AR946" s="4"/>
      <c r="AS946" s="4"/>
      <c r="AT946" s="4"/>
    </row>
    <row r="947" spans="12:46">
      <c r="L947" s="5"/>
      <c r="M947" s="5"/>
      <c r="W947" s="5"/>
      <c r="Z947" s="5"/>
      <c r="AA947" s="5"/>
      <c r="AD947" s="5"/>
      <c r="AG947" s="5"/>
      <c r="AH947" s="5"/>
      <c r="AN947" s="4"/>
      <c r="AO947" s="4"/>
      <c r="AP947" s="4"/>
      <c r="AQ947" s="4"/>
      <c r="AR947" s="4"/>
      <c r="AS947" s="4"/>
      <c r="AT947" s="4"/>
    </row>
    <row r="948" spans="12:46">
      <c r="L948" s="5"/>
      <c r="M948" s="5"/>
      <c r="W948" s="5"/>
      <c r="Z948" s="5"/>
      <c r="AA948" s="5"/>
      <c r="AD948" s="5"/>
      <c r="AG948" s="5"/>
      <c r="AH948" s="5"/>
      <c r="AN948" s="4"/>
      <c r="AO948" s="4"/>
      <c r="AP948" s="4"/>
      <c r="AQ948" s="4"/>
      <c r="AR948" s="4"/>
      <c r="AS948" s="4"/>
      <c r="AT948" s="4"/>
    </row>
    <row r="949" spans="12:46">
      <c r="L949" s="5"/>
      <c r="M949" s="5"/>
      <c r="W949" s="5"/>
      <c r="Z949" s="5"/>
      <c r="AA949" s="5"/>
      <c r="AD949" s="5"/>
      <c r="AG949" s="5"/>
      <c r="AH949" s="5"/>
      <c r="AN949" s="4"/>
      <c r="AO949" s="4"/>
      <c r="AP949" s="4"/>
      <c r="AQ949" s="4"/>
      <c r="AR949" s="4"/>
      <c r="AS949" s="4"/>
      <c r="AT949" s="4"/>
    </row>
    <row r="950" spans="12:46">
      <c r="L950" s="5"/>
      <c r="M950" s="5"/>
      <c r="W950" s="5"/>
      <c r="Z950" s="5"/>
      <c r="AA950" s="5"/>
      <c r="AD950" s="5"/>
      <c r="AG950" s="5"/>
      <c r="AH950" s="5"/>
      <c r="AN950" s="4"/>
      <c r="AO950" s="4"/>
      <c r="AP950" s="4"/>
      <c r="AQ950" s="4"/>
      <c r="AR950" s="4"/>
      <c r="AS950" s="4"/>
      <c r="AT950" s="4"/>
    </row>
    <row r="951" spans="12:46">
      <c r="L951" s="5"/>
      <c r="M951" s="5"/>
      <c r="W951" s="5"/>
      <c r="Z951" s="5"/>
      <c r="AA951" s="5"/>
      <c r="AD951" s="5"/>
      <c r="AG951" s="5"/>
      <c r="AH951" s="5"/>
      <c r="AN951" s="4"/>
      <c r="AO951" s="4"/>
      <c r="AP951" s="4"/>
      <c r="AQ951" s="4"/>
      <c r="AR951" s="4"/>
      <c r="AS951" s="4"/>
      <c r="AT951" s="4"/>
    </row>
    <row r="952" spans="12:46">
      <c r="L952" s="5"/>
      <c r="M952" s="5"/>
      <c r="W952" s="5"/>
      <c r="Z952" s="5"/>
      <c r="AA952" s="5"/>
      <c r="AD952" s="5"/>
      <c r="AG952" s="5"/>
      <c r="AH952" s="5"/>
      <c r="AN952" s="4"/>
      <c r="AO952" s="4"/>
      <c r="AP952" s="4"/>
      <c r="AQ952" s="4"/>
      <c r="AR952" s="4"/>
      <c r="AS952" s="4"/>
      <c r="AT952" s="4"/>
    </row>
    <row r="953" spans="12:46">
      <c r="L953" s="5"/>
      <c r="M953" s="5"/>
      <c r="W953" s="5"/>
      <c r="Z953" s="5"/>
      <c r="AA953" s="5"/>
      <c r="AD953" s="5"/>
      <c r="AG953" s="5"/>
      <c r="AH953" s="5"/>
      <c r="AN953" s="4"/>
      <c r="AO953" s="4"/>
      <c r="AP953" s="4"/>
      <c r="AQ953" s="4"/>
      <c r="AR953" s="4"/>
      <c r="AS953" s="4"/>
      <c r="AT953" s="4"/>
    </row>
    <row r="954" spans="12:46">
      <c r="L954" s="5"/>
      <c r="M954" s="5"/>
      <c r="W954" s="5"/>
      <c r="Z954" s="5"/>
      <c r="AA954" s="5"/>
      <c r="AD954" s="5"/>
      <c r="AG954" s="5"/>
      <c r="AH954" s="5"/>
      <c r="AN954" s="4"/>
      <c r="AO954" s="4"/>
      <c r="AP954" s="4"/>
      <c r="AQ954" s="4"/>
      <c r="AR954" s="4"/>
      <c r="AS954" s="4"/>
      <c r="AT954" s="4"/>
    </row>
    <row r="955" spans="12:46">
      <c r="L955" s="5"/>
      <c r="M955" s="5"/>
      <c r="W955" s="5"/>
      <c r="Z955" s="5"/>
      <c r="AA955" s="5"/>
      <c r="AD955" s="5"/>
      <c r="AG955" s="5"/>
      <c r="AH955" s="5"/>
      <c r="AN955" s="4"/>
      <c r="AO955" s="4"/>
      <c r="AP955" s="4"/>
      <c r="AQ955" s="4"/>
      <c r="AR955" s="4"/>
      <c r="AS955" s="4"/>
      <c r="AT955" s="4"/>
    </row>
    <row r="956" spans="12:46">
      <c r="L956" s="5"/>
      <c r="M956" s="5"/>
      <c r="W956" s="5"/>
      <c r="Z956" s="5"/>
      <c r="AA956" s="5"/>
      <c r="AD956" s="5"/>
      <c r="AG956" s="5"/>
      <c r="AH956" s="5"/>
      <c r="AN956" s="4"/>
      <c r="AO956" s="4"/>
      <c r="AP956" s="4"/>
      <c r="AQ956" s="4"/>
      <c r="AR956" s="4"/>
      <c r="AS956" s="4"/>
      <c r="AT956" s="4"/>
    </row>
    <row r="957" spans="12:46">
      <c r="L957" s="5"/>
      <c r="M957" s="5"/>
      <c r="W957" s="5"/>
      <c r="Z957" s="5"/>
      <c r="AA957" s="5"/>
      <c r="AD957" s="5"/>
      <c r="AG957" s="5"/>
      <c r="AH957" s="5"/>
      <c r="AN957" s="4"/>
      <c r="AO957" s="4"/>
      <c r="AP957" s="4"/>
      <c r="AQ957" s="4"/>
      <c r="AR957" s="4"/>
      <c r="AS957" s="4"/>
      <c r="AT957" s="4"/>
    </row>
    <row r="958" spans="12:46">
      <c r="L958" s="5"/>
      <c r="M958" s="5"/>
      <c r="W958" s="5"/>
      <c r="Z958" s="5"/>
      <c r="AA958" s="5"/>
      <c r="AD958" s="5"/>
      <c r="AG958" s="5"/>
      <c r="AH958" s="5"/>
      <c r="AN958" s="4"/>
      <c r="AO958" s="4"/>
      <c r="AP958" s="4"/>
      <c r="AQ958" s="4"/>
      <c r="AR958" s="4"/>
      <c r="AS958" s="4"/>
      <c r="AT958" s="4"/>
    </row>
    <row r="959" spans="12:46">
      <c r="L959" s="5"/>
      <c r="M959" s="5"/>
      <c r="W959" s="5"/>
      <c r="Z959" s="5"/>
      <c r="AA959" s="5"/>
      <c r="AD959" s="5"/>
      <c r="AG959" s="5"/>
      <c r="AH959" s="5"/>
      <c r="AN959" s="4"/>
      <c r="AO959" s="4"/>
      <c r="AP959" s="4"/>
      <c r="AQ959" s="4"/>
      <c r="AR959" s="4"/>
      <c r="AS959" s="4"/>
      <c r="AT959" s="4"/>
    </row>
    <row r="960" spans="12:46">
      <c r="L960" s="5"/>
      <c r="M960" s="5"/>
      <c r="W960" s="5"/>
      <c r="Z960" s="5"/>
      <c r="AA960" s="5"/>
      <c r="AD960" s="5"/>
      <c r="AG960" s="5"/>
      <c r="AH960" s="5"/>
      <c r="AN960" s="4"/>
      <c r="AO960" s="4"/>
      <c r="AP960" s="4"/>
      <c r="AQ960" s="4"/>
      <c r="AR960" s="4"/>
      <c r="AS960" s="4"/>
      <c r="AT960" s="4"/>
    </row>
    <row r="961" spans="12:46">
      <c r="L961" s="5"/>
      <c r="M961" s="5"/>
      <c r="W961" s="5"/>
      <c r="Z961" s="5"/>
      <c r="AA961" s="5"/>
      <c r="AD961" s="5"/>
      <c r="AG961" s="5"/>
      <c r="AH961" s="5"/>
      <c r="AN961" s="4"/>
      <c r="AO961" s="4"/>
      <c r="AP961" s="4"/>
      <c r="AQ961" s="4"/>
      <c r="AR961" s="4"/>
      <c r="AS961" s="4"/>
      <c r="AT961" s="4"/>
    </row>
    <row r="962" spans="12:46">
      <c r="L962" s="5"/>
      <c r="M962" s="5"/>
      <c r="W962" s="5"/>
      <c r="Z962" s="5"/>
      <c r="AA962" s="5"/>
      <c r="AD962" s="5"/>
      <c r="AG962" s="5"/>
      <c r="AH962" s="5"/>
      <c r="AN962" s="4"/>
      <c r="AO962" s="4"/>
      <c r="AP962" s="4"/>
      <c r="AQ962" s="4"/>
      <c r="AR962" s="4"/>
      <c r="AS962" s="4"/>
      <c r="AT962" s="4"/>
    </row>
    <row r="963" spans="12:46">
      <c r="L963" s="5"/>
      <c r="M963" s="5"/>
      <c r="W963" s="5"/>
      <c r="Z963" s="5"/>
      <c r="AA963" s="5"/>
      <c r="AD963" s="5"/>
      <c r="AG963" s="5"/>
      <c r="AH963" s="5"/>
      <c r="AN963" s="4"/>
      <c r="AO963" s="4"/>
      <c r="AP963" s="4"/>
      <c r="AQ963" s="4"/>
      <c r="AR963" s="4"/>
      <c r="AS963" s="4"/>
      <c r="AT963" s="4"/>
    </row>
    <row r="964" spans="12:46">
      <c r="L964" s="5"/>
      <c r="M964" s="5"/>
      <c r="W964" s="5"/>
      <c r="Z964" s="5"/>
      <c r="AA964" s="5"/>
      <c r="AD964" s="5"/>
      <c r="AG964" s="5"/>
      <c r="AH964" s="5"/>
      <c r="AN964" s="4"/>
      <c r="AO964" s="4"/>
      <c r="AP964" s="4"/>
      <c r="AQ964" s="4"/>
      <c r="AR964" s="4"/>
      <c r="AS964" s="4"/>
      <c r="AT964" s="4"/>
    </row>
    <row r="965" spans="12:46">
      <c r="L965" s="5"/>
      <c r="M965" s="5"/>
      <c r="W965" s="5"/>
      <c r="Z965" s="5"/>
      <c r="AA965" s="5"/>
      <c r="AD965" s="5"/>
      <c r="AG965" s="5"/>
      <c r="AH965" s="5"/>
      <c r="AN965" s="4"/>
      <c r="AO965" s="4"/>
      <c r="AP965" s="4"/>
      <c r="AQ965" s="4"/>
      <c r="AR965" s="4"/>
      <c r="AS965" s="4"/>
      <c r="AT965" s="4"/>
    </row>
    <row r="966" spans="12:46">
      <c r="L966" s="5"/>
      <c r="M966" s="5"/>
      <c r="W966" s="5"/>
      <c r="Z966" s="5"/>
      <c r="AA966" s="5"/>
      <c r="AD966" s="5"/>
      <c r="AG966" s="5"/>
      <c r="AH966" s="5"/>
      <c r="AN966" s="4"/>
      <c r="AO966" s="4"/>
      <c r="AP966" s="4"/>
      <c r="AQ966" s="4"/>
      <c r="AR966" s="4"/>
      <c r="AS966" s="4"/>
      <c r="AT966" s="4"/>
    </row>
    <row r="967" spans="12:46">
      <c r="L967" s="5"/>
      <c r="M967" s="5"/>
      <c r="W967" s="5"/>
      <c r="Z967" s="5"/>
      <c r="AA967" s="5"/>
      <c r="AD967" s="5"/>
      <c r="AG967" s="5"/>
      <c r="AH967" s="5"/>
      <c r="AN967" s="4"/>
      <c r="AO967" s="4"/>
      <c r="AP967" s="4"/>
      <c r="AQ967" s="4"/>
      <c r="AR967" s="4"/>
      <c r="AS967" s="4"/>
      <c r="AT967" s="4"/>
    </row>
    <row r="968" spans="12:46">
      <c r="L968" s="5"/>
      <c r="M968" s="5"/>
      <c r="W968" s="5"/>
      <c r="Z968" s="5"/>
      <c r="AA968" s="5"/>
      <c r="AD968" s="5"/>
      <c r="AG968" s="5"/>
      <c r="AH968" s="5"/>
      <c r="AN968" s="4"/>
      <c r="AO968" s="4"/>
      <c r="AP968" s="4"/>
      <c r="AQ968" s="4"/>
      <c r="AR968" s="4"/>
      <c r="AS968" s="4"/>
      <c r="AT968" s="4"/>
    </row>
    <row r="969" spans="12:46">
      <c r="L969" s="5"/>
      <c r="M969" s="5"/>
      <c r="W969" s="5"/>
      <c r="Z969" s="5"/>
      <c r="AA969" s="5"/>
      <c r="AD969" s="5"/>
      <c r="AG969" s="5"/>
      <c r="AH969" s="5"/>
      <c r="AN969" s="4"/>
      <c r="AO969" s="4"/>
      <c r="AP969" s="4"/>
      <c r="AQ969" s="4"/>
      <c r="AR969" s="4"/>
      <c r="AS969" s="4"/>
      <c r="AT969" s="4"/>
    </row>
    <row r="970" spans="12:46">
      <c r="L970" s="5"/>
      <c r="M970" s="5"/>
      <c r="W970" s="5"/>
      <c r="Z970" s="5"/>
      <c r="AA970" s="5"/>
      <c r="AD970" s="5"/>
      <c r="AG970" s="5"/>
      <c r="AH970" s="5"/>
      <c r="AN970" s="4"/>
      <c r="AO970" s="4"/>
      <c r="AP970" s="4"/>
      <c r="AQ970" s="4"/>
      <c r="AR970" s="4"/>
      <c r="AS970" s="4"/>
      <c r="AT970" s="4"/>
    </row>
    <row r="971" spans="12:46">
      <c r="L971" s="5"/>
      <c r="M971" s="5"/>
      <c r="W971" s="5"/>
      <c r="Z971" s="5"/>
      <c r="AA971" s="5"/>
      <c r="AD971" s="5"/>
      <c r="AG971" s="5"/>
      <c r="AH971" s="5"/>
      <c r="AN971" s="4"/>
      <c r="AO971" s="4"/>
      <c r="AP971" s="4"/>
      <c r="AQ971" s="4"/>
      <c r="AR971" s="4"/>
      <c r="AS971" s="4"/>
      <c r="AT971" s="4"/>
    </row>
    <row r="972" spans="12:46">
      <c r="L972" s="5"/>
      <c r="M972" s="5"/>
      <c r="W972" s="5"/>
      <c r="Z972" s="5"/>
      <c r="AA972" s="5"/>
      <c r="AD972" s="5"/>
      <c r="AG972" s="5"/>
      <c r="AH972" s="5"/>
      <c r="AN972" s="4"/>
      <c r="AO972" s="4"/>
      <c r="AP972" s="4"/>
      <c r="AQ972" s="4"/>
      <c r="AR972" s="4"/>
      <c r="AS972" s="4"/>
      <c r="AT972" s="4"/>
    </row>
    <row r="973" spans="12:46">
      <c r="L973" s="5"/>
      <c r="M973" s="5"/>
      <c r="W973" s="5"/>
      <c r="Z973" s="5"/>
      <c r="AA973" s="5"/>
      <c r="AD973" s="5"/>
      <c r="AG973" s="5"/>
      <c r="AH973" s="5"/>
      <c r="AN973" s="4"/>
      <c r="AO973" s="4"/>
      <c r="AP973" s="4"/>
      <c r="AQ973" s="4"/>
      <c r="AR973" s="4"/>
      <c r="AS973" s="4"/>
      <c r="AT973" s="4"/>
    </row>
    <row r="974" spans="12:46">
      <c r="L974" s="5"/>
      <c r="M974" s="5"/>
      <c r="W974" s="5"/>
      <c r="Z974" s="5"/>
      <c r="AA974" s="5"/>
      <c r="AD974" s="5"/>
      <c r="AG974" s="5"/>
      <c r="AH974" s="5"/>
      <c r="AN974" s="4"/>
      <c r="AO974" s="4"/>
      <c r="AP974" s="4"/>
      <c r="AQ974" s="4"/>
      <c r="AR974" s="4"/>
      <c r="AS974" s="4"/>
      <c r="AT974" s="4"/>
    </row>
    <row r="975" spans="12:46">
      <c r="L975" s="5"/>
      <c r="M975" s="5"/>
      <c r="W975" s="5"/>
      <c r="Z975" s="5"/>
      <c r="AA975" s="5"/>
      <c r="AD975" s="5"/>
      <c r="AG975" s="5"/>
      <c r="AH975" s="5"/>
      <c r="AN975" s="4"/>
      <c r="AO975" s="4"/>
      <c r="AP975" s="4"/>
      <c r="AQ975" s="4"/>
      <c r="AR975" s="4"/>
      <c r="AS975" s="4"/>
      <c r="AT975" s="4"/>
    </row>
    <row r="976" spans="12:46">
      <c r="L976" s="5"/>
      <c r="M976" s="5"/>
      <c r="W976" s="5"/>
      <c r="Z976" s="5"/>
      <c r="AA976" s="5"/>
      <c r="AD976" s="5"/>
      <c r="AG976" s="5"/>
      <c r="AH976" s="5"/>
      <c r="AN976" s="4"/>
      <c r="AO976" s="4"/>
      <c r="AP976" s="4"/>
      <c r="AQ976" s="4"/>
      <c r="AR976" s="4"/>
      <c r="AS976" s="4"/>
      <c r="AT976" s="4"/>
    </row>
    <row r="977" spans="12:46">
      <c r="L977" s="5"/>
      <c r="M977" s="5"/>
      <c r="W977" s="5"/>
      <c r="Z977" s="5"/>
      <c r="AA977" s="5"/>
      <c r="AD977" s="5"/>
      <c r="AG977" s="5"/>
      <c r="AH977" s="5"/>
      <c r="AN977" s="4"/>
      <c r="AO977" s="4"/>
      <c r="AP977" s="4"/>
      <c r="AQ977" s="4"/>
      <c r="AR977" s="4"/>
      <c r="AS977" s="4"/>
      <c r="AT977" s="4"/>
    </row>
    <row r="978" spans="12:46">
      <c r="L978" s="5"/>
      <c r="M978" s="5"/>
      <c r="W978" s="5"/>
      <c r="Z978" s="5"/>
      <c r="AA978" s="5"/>
      <c r="AD978" s="5"/>
      <c r="AG978" s="5"/>
      <c r="AH978" s="5"/>
      <c r="AN978" s="4"/>
      <c r="AO978" s="4"/>
      <c r="AP978" s="4"/>
      <c r="AQ978" s="4"/>
      <c r="AR978" s="4"/>
      <c r="AS978" s="4"/>
      <c r="AT978" s="4"/>
    </row>
    <row r="979" spans="12:46">
      <c r="L979" s="5"/>
      <c r="M979" s="5"/>
      <c r="W979" s="5"/>
      <c r="Z979" s="5"/>
      <c r="AA979" s="5"/>
      <c r="AD979" s="5"/>
      <c r="AG979" s="5"/>
      <c r="AH979" s="5"/>
      <c r="AN979" s="4"/>
      <c r="AO979" s="4"/>
      <c r="AP979" s="4"/>
      <c r="AQ979" s="4"/>
      <c r="AR979" s="4"/>
      <c r="AS979" s="4"/>
      <c r="AT979" s="4"/>
    </row>
    <row r="980" spans="12:46">
      <c r="L980" s="5"/>
      <c r="M980" s="5"/>
      <c r="W980" s="5"/>
      <c r="Z980" s="5"/>
      <c r="AA980" s="5"/>
      <c r="AD980" s="5"/>
      <c r="AG980" s="5"/>
      <c r="AH980" s="5"/>
      <c r="AN980" s="4"/>
      <c r="AO980" s="4"/>
      <c r="AP980" s="4"/>
      <c r="AQ980" s="4"/>
      <c r="AR980" s="4"/>
      <c r="AS980" s="4"/>
      <c r="AT980" s="4"/>
    </row>
    <row r="981" spans="12:46">
      <c r="L981" s="5"/>
      <c r="M981" s="5"/>
      <c r="W981" s="5"/>
      <c r="Z981" s="5"/>
      <c r="AA981" s="5"/>
      <c r="AD981" s="5"/>
      <c r="AG981" s="5"/>
      <c r="AH981" s="5"/>
      <c r="AN981" s="4"/>
      <c r="AO981" s="4"/>
      <c r="AP981" s="4"/>
      <c r="AQ981" s="4"/>
      <c r="AR981" s="4"/>
      <c r="AS981" s="4"/>
      <c r="AT981" s="4"/>
    </row>
    <row r="982" spans="12:46">
      <c r="L982" s="5"/>
      <c r="M982" s="5"/>
      <c r="W982" s="5"/>
      <c r="Z982" s="5"/>
      <c r="AA982" s="5"/>
      <c r="AD982" s="5"/>
      <c r="AG982" s="5"/>
      <c r="AH982" s="5"/>
      <c r="AN982" s="4"/>
      <c r="AO982" s="4"/>
      <c r="AP982" s="4"/>
      <c r="AQ982" s="4"/>
      <c r="AR982" s="4"/>
      <c r="AS982" s="4"/>
      <c r="AT982" s="4"/>
    </row>
    <row r="983" spans="12:46">
      <c r="L983" s="5"/>
      <c r="M983" s="5"/>
      <c r="W983" s="5"/>
      <c r="Z983" s="5"/>
      <c r="AA983" s="5"/>
      <c r="AD983" s="5"/>
      <c r="AG983" s="5"/>
      <c r="AH983" s="5"/>
      <c r="AN983" s="4"/>
      <c r="AO983" s="4"/>
      <c r="AP983" s="4"/>
      <c r="AQ983" s="4"/>
      <c r="AR983" s="4"/>
      <c r="AS983" s="4"/>
      <c r="AT983" s="4"/>
    </row>
    <row r="984" spans="12:46">
      <c r="L984" s="5"/>
      <c r="M984" s="5"/>
      <c r="W984" s="5"/>
      <c r="Z984" s="5"/>
      <c r="AA984" s="5"/>
      <c r="AD984" s="5"/>
      <c r="AG984" s="5"/>
      <c r="AH984" s="5"/>
      <c r="AN984" s="4"/>
      <c r="AO984" s="4"/>
      <c r="AP984" s="4"/>
      <c r="AQ984" s="4"/>
      <c r="AR984" s="4"/>
      <c r="AS984" s="4"/>
      <c r="AT984" s="4"/>
    </row>
    <row r="985" spans="12:46">
      <c r="L985" s="5"/>
      <c r="M985" s="5"/>
      <c r="W985" s="5"/>
      <c r="Z985" s="5"/>
      <c r="AA985" s="5"/>
      <c r="AD985" s="5"/>
      <c r="AG985" s="5"/>
      <c r="AH985" s="5"/>
      <c r="AN985" s="4"/>
      <c r="AO985" s="4"/>
      <c r="AP985" s="4"/>
      <c r="AQ985" s="4"/>
      <c r="AR985" s="4"/>
      <c r="AS985" s="4"/>
      <c r="AT985" s="4"/>
    </row>
    <row r="986" spans="12:46">
      <c r="L986" s="5"/>
      <c r="M986" s="5"/>
      <c r="W986" s="5"/>
      <c r="Z986" s="5"/>
      <c r="AA986" s="5"/>
      <c r="AD986" s="5"/>
      <c r="AG986" s="5"/>
      <c r="AH986" s="5"/>
      <c r="AN986" s="4"/>
      <c r="AO986" s="4"/>
      <c r="AP986" s="4"/>
      <c r="AQ986" s="4"/>
      <c r="AR986" s="4"/>
      <c r="AS986" s="4"/>
      <c r="AT986" s="4"/>
    </row>
    <row r="987" spans="12:46">
      <c r="L987" s="5"/>
      <c r="M987" s="5"/>
      <c r="W987" s="5"/>
      <c r="Z987" s="5"/>
      <c r="AA987" s="5"/>
      <c r="AD987" s="5"/>
      <c r="AG987" s="5"/>
      <c r="AH987" s="5"/>
      <c r="AN987" s="4"/>
      <c r="AO987" s="4"/>
      <c r="AP987" s="4"/>
      <c r="AQ987" s="4"/>
      <c r="AR987" s="4"/>
      <c r="AS987" s="4"/>
      <c r="AT987" s="4"/>
    </row>
    <row r="988" spans="12:46">
      <c r="L988" s="5"/>
      <c r="M988" s="5"/>
      <c r="W988" s="5"/>
      <c r="Z988" s="5"/>
      <c r="AA988" s="5"/>
      <c r="AD988" s="5"/>
      <c r="AG988" s="5"/>
      <c r="AH988" s="5"/>
      <c r="AN988" s="4"/>
      <c r="AO988" s="4"/>
      <c r="AP988" s="4"/>
      <c r="AQ988" s="4"/>
      <c r="AR988" s="4"/>
      <c r="AS988" s="4"/>
      <c r="AT988" s="4"/>
    </row>
    <row r="989" spans="12:46">
      <c r="L989" s="5"/>
      <c r="M989" s="5"/>
      <c r="W989" s="5"/>
      <c r="Z989" s="5"/>
      <c r="AA989" s="5"/>
      <c r="AD989" s="5"/>
      <c r="AG989" s="5"/>
      <c r="AH989" s="5"/>
      <c r="AN989" s="4"/>
      <c r="AO989" s="4"/>
      <c r="AP989" s="4"/>
      <c r="AQ989" s="4"/>
      <c r="AR989" s="4"/>
      <c r="AS989" s="4"/>
      <c r="AT989" s="4"/>
    </row>
    <row r="990" spans="12:46">
      <c r="L990" s="5"/>
      <c r="M990" s="5"/>
      <c r="W990" s="5"/>
      <c r="Z990" s="5"/>
      <c r="AA990" s="5"/>
      <c r="AD990" s="5"/>
      <c r="AG990" s="5"/>
      <c r="AH990" s="5"/>
      <c r="AN990" s="4"/>
      <c r="AO990" s="4"/>
      <c r="AP990" s="4"/>
      <c r="AQ990" s="4"/>
      <c r="AR990" s="4"/>
      <c r="AS990" s="4"/>
      <c r="AT990" s="4"/>
    </row>
    <row r="991" spans="12:46">
      <c r="L991" s="5"/>
      <c r="M991" s="5"/>
      <c r="W991" s="5"/>
      <c r="Z991" s="5"/>
      <c r="AA991" s="5"/>
      <c r="AD991" s="5"/>
      <c r="AG991" s="5"/>
      <c r="AH991" s="5"/>
      <c r="AN991" s="4"/>
      <c r="AO991" s="4"/>
      <c r="AP991" s="4"/>
      <c r="AQ991" s="4"/>
      <c r="AR991" s="4"/>
      <c r="AS991" s="4"/>
      <c r="AT991" s="4"/>
    </row>
    <row r="992" spans="12:46">
      <c r="L992" s="5"/>
      <c r="M992" s="5"/>
      <c r="W992" s="5"/>
      <c r="Z992" s="5"/>
      <c r="AA992" s="5"/>
      <c r="AD992" s="5"/>
      <c r="AG992" s="5"/>
      <c r="AH992" s="5"/>
      <c r="AN992" s="4"/>
      <c r="AO992" s="4"/>
      <c r="AP992" s="4"/>
      <c r="AQ992" s="4"/>
      <c r="AR992" s="4"/>
      <c r="AS992" s="4"/>
      <c r="AT992" s="4"/>
    </row>
    <row r="993" spans="12:46">
      <c r="L993" s="5"/>
      <c r="M993" s="5"/>
      <c r="W993" s="5"/>
      <c r="Z993" s="5"/>
      <c r="AA993" s="5"/>
      <c r="AD993" s="5"/>
      <c r="AG993" s="5"/>
      <c r="AH993" s="5"/>
      <c r="AN993" s="4"/>
      <c r="AO993" s="4"/>
      <c r="AP993" s="4"/>
      <c r="AQ993" s="4"/>
      <c r="AR993" s="4"/>
      <c r="AS993" s="4"/>
      <c r="AT993" s="4"/>
    </row>
    <row r="994" spans="12:46">
      <c r="L994" s="5"/>
      <c r="M994" s="5"/>
      <c r="W994" s="5"/>
      <c r="Z994" s="5"/>
      <c r="AA994" s="5"/>
      <c r="AD994" s="5"/>
      <c r="AG994" s="5"/>
      <c r="AH994" s="5"/>
      <c r="AN994" s="4"/>
      <c r="AO994" s="4"/>
      <c r="AP994" s="4"/>
      <c r="AQ994" s="4"/>
      <c r="AR994" s="4"/>
      <c r="AS994" s="4"/>
      <c r="AT994" s="4"/>
    </row>
    <row r="995" spans="12:46">
      <c r="L995" s="5"/>
      <c r="M995" s="5"/>
      <c r="W995" s="5"/>
      <c r="Z995" s="5"/>
      <c r="AA995" s="5"/>
      <c r="AD995" s="5"/>
      <c r="AG995" s="5"/>
      <c r="AH995" s="5"/>
      <c r="AN995" s="4"/>
      <c r="AO995" s="4"/>
      <c r="AP995" s="4"/>
      <c r="AQ995" s="4"/>
      <c r="AR995" s="4"/>
      <c r="AS995" s="4"/>
      <c r="AT995" s="4"/>
    </row>
    <row r="996" spans="12:46">
      <c r="L996" s="5"/>
      <c r="M996" s="5"/>
      <c r="W996" s="5"/>
      <c r="Z996" s="5"/>
      <c r="AA996" s="5"/>
      <c r="AD996" s="5"/>
      <c r="AG996" s="5"/>
      <c r="AH996" s="5"/>
      <c r="AN996" s="4"/>
      <c r="AO996" s="4"/>
      <c r="AP996" s="4"/>
      <c r="AQ996" s="4"/>
      <c r="AR996" s="4"/>
      <c r="AS996" s="4"/>
      <c r="AT996" s="4"/>
    </row>
    <row r="997" spans="12:46">
      <c r="L997" s="5"/>
      <c r="M997" s="5"/>
      <c r="W997" s="5"/>
      <c r="Z997" s="5"/>
      <c r="AA997" s="5"/>
      <c r="AD997" s="5"/>
      <c r="AG997" s="5"/>
      <c r="AH997" s="5"/>
      <c r="AN997" s="4"/>
      <c r="AO997" s="4"/>
      <c r="AP997" s="4"/>
      <c r="AQ997" s="4"/>
      <c r="AR997" s="4"/>
      <c r="AS997" s="4"/>
      <c r="AT997" s="4"/>
    </row>
    <row r="998" spans="12:46">
      <c r="L998" s="5"/>
      <c r="M998" s="5"/>
      <c r="W998" s="5"/>
      <c r="Z998" s="5"/>
      <c r="AA998" s="5"/>
      <c r="AD998" s="5"/>
      <c r="AG998" s="5"/>
      <c r="AH998" s="5"/>
      <c r="AN998" s="4"/>
      <c r="AO998" s="4"/>
      <c r="AP998" s="4"/>
      <c r="AQ998" s="4"/>
      <c r="AR998" s="4"/>
      <c r="AS998" s="4"/>
      <c r="AT998" s="4"/>
    </row>
    <row r="999" spans="12:46">
      <c r="L999" s="5"/>
      <c r="M999" s="5"/>
      <c r="W999" s="5"/>
      <c r="Z999" s="5"/>
      <c r="AA999" s="5"/>
      <c r="AD999" s="5"/>
      <c r="AG999" s="5"/>
      <c r="AH999" s="5"/>
      <c r="AN999" s="4"/>
      <c r="AO999" s="4"/>
      <c r="AP999" s="4"/>
      <c r="AQ999" s="4"/>
      <c r="AR999" s="4"/>
      <c r="AS999" s="4"/>
      <c r="AT999" s="4"/>
    </row>
    <row r="1000" spans="12:46">
      <c r="L1000" s="5"/>
      <c r="M1000" s="5"/>
      <c r="W1000" s="5"/>
      <c r="Z1000" s="5"/>
      <c r="AA1000" s="5"/>
      <c r="AD1000" s="5"/>
      <c r="AG1000" s="5"/>
      <c r="AH1000" s="5"/>
      <c r="AN1000" s="4"/>
      <c r="AO1000" s="4"/>
      <c r="AP1000" s="4"/>
      <c r="AQ1000" s="4"/>
      <c r="AR1000" s="4"/>
      <c r="AS1000" s="4"/>
      <c r="AT1000" s="4"/>
    </row>
    <row r="1001" spans="12:46">
      <c r="L1001" s="5"/>
      <c r="M1001" s="5"/>
      <c r="W1001" s="5"/>
      <c r="Z1001" s="5"/>
      <c r="AA1001" s="5"/>
      <c r="AD1001" s="5"/>
      <c r="AG1001" s="5"/>
      <c r="AH1001" s="5"/>
      <c r="AN1001" s="4"/>
      <c r="AO1001" s="4"/>
      <c r="AP1001" s="4"/>
      <c r="AQ1001" s="4"/>
      <c r="AR1001" s="4"/>
      <c r="AS1001" s="4"/>
      <c r="AT1001" s="4"/>
    </row>
    <row r="1002" spans="12:46">
      <c r="L1002" s="5"/>
      <c r="M1002" s="5"/>
      <c r="W1002" s="5"/>
      <c r="Z1002" s="5"/>
      <c r="AA1002" s="5"/>
      <c r="AD1002" s="5"/>
      <c r="AG1002" s="5"/>
      <c r="AH1002" s="5"/>
      <c r="AN1002" s="4"/>
      <c r="AO1002" s="4"/>
      <c r="AP1002" s="4"/>
      <c r="AQ1002" s="4"/>
      <c r="AR1002" s="4"/>
      <c r="AS1002" s="4"/>
      <c r="AT1002" s="4"/>
    </row>
    <row r="1003" spans="12:46">
      <c r="L1003" s="5"/>
      <c r="M1003" s="5"/>
      <c r="W1003" s="5"/>
      <c r="Z1003" s="5"/>
      <c r="AA1003" s="5"/>
      <c r="AD1003" s="5"/>
      <c r="AG1003" s="5"/>
      <c r="AH1003" s="5"/>
      <c r="AN1003" s="4"/>
      <c r="AO1003" s="4"/>
      <c r="AP1003" s="4"/>
      <c r="AQ1003" s="4"/>
      <c r="AR1003" s="4"/>
      <c r="AS1003" s="4"/>
      <c r="AT1003" s="4"/>
    </row>
    <row r="1004" spans="12:46">
      <c r="L1004" s="5"/>
      <c r="M1004" s="5"/>
      <c r="W1004" s="5"/>
      <c r="Z1004" s="5"/>
      <c r="AA1004" s="5"/>
      <c r="AD1004" s="5"/>
      <c r="AG1004" s="5"/>
      <c r="AH1004" s="5"/>
      <c r="AN1004" s="4"/>
      <c r="AO1004" s="4"/>
      <c r="AP1004" s="4"/>
      <c r="AQ1004" s="4"/>
      <c r="AR1004" s="4"/>
      <c r="AS1004" s="4"/>
      <c r="AT1004" s="4"/>
    </row>
    <row r="1005" spans="12:46">
      <c r="L1005" s="5"/>
      <c r="M1005" s="5"/>
      <c r="W1005" s="5"/>
      <c r="Z1005" s="5"/>
      <c r="AA1005" s="5"/>
      <c r="AD1005" s="5"/>
      <c r="AG1005" s="5"/>
      <c r="AH1005" s="5"/>
      <c r="AN1005" s="4"/>
      <c r="AO1005" s="4"/>
      <c r="AP1005" s="4"/>
      <c r="AQ1005" s="4"/>
      <c r="AR1005" s="4"/>
      <c r="AS1005" s="4"/>
      <c r="AT1005" s="4"/>
    </row>
    <row r="1006" spans="12:46">
      <c r="L1006" s="5"/>
      <c r="M1006" s="5"/>
      <c r="W1006" s="5"/>
      <c r="Z1006" s="5"/>
      <c r="AA1006" s="5"/>
      <c r="AD1006" s="5"/>
      <c r="AG1006" s="5"/>
      <c r="AH1006" s="5"/>
      <c r="AN1006" s="4"/>
      <c r="AO1006" s="4"/>
      <c r="AP1006" s="4"/>
      <c r="AQ1006" s="4"/>
      <c r="AR1006" s="4"/>
      <c r="AS1006" s="4"/>
      <c r="AT1006" s="4"/>
    </row>
    <row r="1007" spans="12:46">
      <c r="L1007" s="5"/>
      <c r="M1007" s="5"/>
      <c r="W1007" s="5"/>
      <c r="Z1007" s="5"/>
      <c r="AA1007" s="5"/>
      <c r="AD1007" s="5"/>
      <c r="AG1007" s="5"/>
      <c r="AH1007" s="5"/>
      <c r="AN1007" s="4"/>
      <c r="AO1007" s="4"/>
      <c r="AP1007" s="4"/>
      <c r="AQ1007" s="4"/>
      <c r="AR1007" s="4"/>
      <c r="AS1007" s="4"/>
      <c r="AT1007" s="4"/>
    </row>
    <row r="1008" spans="12:46">
      <c r="L1008" s="5"/>
      <c r="M1008" s="5"/>
      <c r="W1008" s="5"/>
      <c r="Z1008" s="5"/>
      <c r="AA1008" s="5"/>
      <c r="AD1008" s="5"/>
      <c r="AG1008" s="5"/>
      <c r="AH1008" s="5"/>
      <c r="AN1008" s="4"/>
      <c r="AO1008" s="4"/>
      <c r="AP1008" s="4"/>
      <c r="AQ1008" s="4"/>
      <c r="AR1008" s="4"/>
      <c r="AS1008" s="4"/>
      <c r="AT1008" s="4"/>
    </row>
    <row r="1009" spans="12:46">
      <c r="L1009" s="5"/>
      <c r="M1009" s="5"/>
      <c r="W1009" s="5"/>
      <c r="Z1009" s="5"/>
      <c r="AA1009" s="5"/>
      <c r="AD1009" s="5"/>
      <c r="AG1009" s="5"/>
      <c r="AH1009" s="5"/>
      <c r="AN1009" s="4"/>
      <c r="AO1009" s="4"/>
      <c r="AP1009" s="4"/>
      <c r="AQ1009" s="4"/>
      <c r="AR1009" s="4"/>
      <c r="AS1009" s="4"/>
      <c r="AT1009" s="4"/>
    </row>
    <row r="1010" spans="12:46">
      <c r="L1010" s="5"/>
      <c r="M1010" s="5"/>
      <c r="W1010" s="5"/>
      <c r="Z1010" s="5"/>
      <c r="AA1010" s="5"/>
      <c r="AD1010" s="5"/>
      <c r="AG1010" s="5"/>
      <c r="AH1010" s="5"/>
      <c r="AN1010" s="4"/>
      <c r="AO1010" s="4"/>
      <c r="AP1010" s="4"/>
      <c r="AQ1010" s="4"/>
      <c r="AR1010" s="4"/>
      <c r="AS1010" s="4"/>
      <c r="AT1010" s="4"/>
    </row>
    <row r="1011" spans="12:46">
      <c r="L1011" s="5"/>
      <c r="M1011" s="5"/>
      <c r="W1011" s="5"/>
      <c r="Z1011" s="5"/>
      <c r="AA1011" s="5"/>
      <c r="AD1011" s="5"/>
      <c r="AG1011" s="5"/>
      <c r="AH1011" s="5"/>
      <c r="AN1011" s="4"/>
      <c r="AO1011" s="4"/>
      <c r="AP1011" s="4"/>
      <c r="AQ1011" s="4"/>
      <c r="AR1011" s="4"/>
      <c r="AS1011" s="4"/>
      <c r="AT1011" s="4"/>
    </row>
    <row r="1012" spans="12:46">
      <c r="L1012" s="5"/>
      <c r="M1012" s="5"/>
      <c r="W1012" s="5"/>
      <c r="Z1012" s="5"/>
      <c r="AA1012" s="5"/>
      <c r="AD1012" s="5"/>
      <c r="AG1012" s="5"/>
      <c r="AH1012" s="5"/>
      <c r="AN1012" s="4"/>
      <c r="AO1012" s="4"/>
      <c r="AP1012" s="4"/>
      <c r="AQ1012" s="4"/>
      <c r="AR1012" s="4"/>
      <c r="AS1012" s="4"/>
      <c r="AT1012" s="4"/>
    </row>
    <row r="1013" spans="12:46">
      <c r="L1013" s="5"/>
      <c r="M1013" s="5"/>
      <c r="W1013" s="5"/>
      <c r="Z1013" s="5"/>
      <c r="AA1013" s="5"/>
      <c r="AD1013" s="5"/>
      <c r="AG1013" s="5"/>
      <c r="AH1013" s="5"/>
      <c r="AN1013" s="4"/>
      <c r="AO1013" s="4"/>
      <c r="AP1013" s="4"/>
      <c r="AQ1013" s="4"/>
      <c r="AR1013" s="4"/>
      <c r="AS1013" s="4"/>
      <c r="AT1013" s="4"/>
    </row>
    <row r="1014" spans="12:46">
      <c r="L1014" s="5"/>
      <c r="M1014" s="5"/>
      <c r="W1014" s="5"/>
      <c r="Z1014" s="5"/>
      <c r="AA1014" s="5"/>
      <c r="AD1014" s="5"/>
      <c r="AG1014" s="5"/>
      <c r="AH1014" s="5"/>
      <c r="AN1014" s="4"/>
      <c r="AO1014" s="4"/>
      <c r="AP1014" s="4"/>
      <c r="AQ1014" s="4"/>
      <c r="AR1014" s="4"/>
      <c r="AS1014" s="4"/>
      <c r="AT1014" s="4"/>
    </row>
    <row r="1015" spans="12:46">
      <c r="L1015" s="5"/>
      <c r="M1015" s="5"/>
      <c r="W1015" s="5"/>
      <c r="Z1015" s="5"/>
      <c r="AA1015" s="5"/>
      <c r="AD1015" s="5"/>
      <c r="AG1015" s="5"/>
      <c r="AH1015" s="5"/>
      <c r="AN1015" s="4"/>
      <c r="AO1015" s="4"/>
      <c r="AP1015" s="4"/>
      <c r="AQ1015" s="4"/>
      <c r="AR1015" s="4"/>
      <c r="AS1015" s="4"/>
      <c r="AT1015" s="4"/>
    </row>
    <row r="1016" spans="12:46">
      <c r="L1016" s="5"/>
      <c r="M1016" s="5"/>
      <c r="W1016" s="5"/>
      <c r="Z1016" s="5"/>
      <c r="AA1016" s="5"/>
      <c r="AD1016" s="5"/>
      <c r="AG1016" s="5"/>
      <c r="AH1016" s="5"/>
      <c r="AN1016" s="4"/>
      <c r="AO1016" s="4"/>
      <c r="AP1016" s="4"/>
      <c r="AQ1016" s="4"/>
      <c r="AR1016" s="4"/>
      <c r="AS1016" s="4"/>
      <c r="AT1016" s="4"/>
    </row>
    <row r="1017" spans="12:46">
      <c r="L1017" s="5"/>
      <c r="M1017" s="5"/>
      <c r="W1017" s="5"/>
      <c r="Z1017" s="5"/>
      <c r="AA1017" s="5"/>
      <c r="AD1017" s="5"/>
      <c r="AG1017" s="5"/>
      <c r="AH1017" s="5"/>
      <c r="AN1017" s="4"/>
      <c r="AO1017" s="4"/>
      <c r="AP1017" s="4"/>
      <c r="AQ1017" s="4"/>
      <c r="AR1017" s="4"/>
      <c r="AS1017" s="4"/>
      <c r="AT1017" s="4"/>
    </row>
    <row r="1018" spans="12:46">
      <c r="L1018" s="5"/>
      <c r="M1018" s="5"/>
      <c r="W1018" s="5"/>
      <c r="Z1018" s="5"/>
      <c r="AA1018" s="5"/>
      <c r="AD1018" s="5"/>
      <c r="AG1018" s="5"/>
      <c r="AH1018" s="5"/>
      <c r="AN1018" s="4"/>
      <c r="AO1018" s="4"/>
      <c r="AP1018" s="4"/>
      <c r="AQ1018" s="4"/>
      <c r="AR1018" s="4"/>
      <c r="AS1018" s="4"/>
      <c r="AT1018" s="4"/>
    </row>
    <row r="1019" spans="12:46">
      <c r="L1019" s="5"/>
      <c r="M1019" s="5"/>
      <c r="W1019" s="5"/>
      <c r="Z1019" s="5"/>
      <c r="AA1019" s="5"/>
      <c r="AD1019" s="5"/>
      <c r="AG1019" s="5"/>
      <c r="AH1019" s="5"/>
      <c r="AN1019" s="4"/>
      <c r="AO1019" s="4"/>
      <c r="AP1019" s="4"/>
      <c r="AQ1019" s="4"/>
      <c r="AR1019" s="4"/>
      <c r="AS1019" s="4"/>
      <c r="AT1019" s="4"/>
    </row>
    <row r="1020" spans="12:46">
      <c r="L1020" s="5"/>
      <c r="M1020" s="5"/>
      <c r="W1020" s="5"/>
      <c r="Z1020" s="5"/>
      <c r="AA1020" s="5"/>
      <c r="AD1020" s="5"/>
      <c r="AG1020" s="5"/>
      <c r="AH1020" s="5"/>
      <c r="AN1020" s="4"/>
      <c r="AO1020" s="4"/>
      <c r="AP1020" s="4"/>
      <c r="AQ1020" s="4"/>
      <c r="AR1020" s="4"/>
      <c r="AS1020" s="4"/>
      <c r="AT1020" s="4"/>
    </row>
    <row r="1021" spans="12:46">
      <c r="L1021" s="5"/>
      <c r="M1021" s="5"/>
      <c r="W1021" s="5"/>
      <c r="Z1021" s="5"/>
      <c r="AA1021" s="5"/>
      <c r="AD1021" s="5"/>
      <c r="AG1021" s="5"/>
      <c r="AH1021" s="5"/>
      <c r="AN1021" s="4"/>
      <c r="AO1021" s="4"/>
      <c r="AP1021" s="4"/>
      <c r="AQ1021" s="4"/>
      <c r="AR1021" s="4"/>
      <c r="AS1021" s="4"/>
      <c r="AT1021" s="4"/>
    </row>
    <row r="1022" spans="12:46">
      <c r="L1022" s="5"/>
      <c r="M1022" s="5"/>
      <c r="W1022" s="5"/>
      <c r="Z1022" s="5"/>
      <c r="AA1022" s="5"/>
      <c r="AD1022" s="5"/>
      <c r="AG1022" s="5"/>
      <c r="AH1022" s="5"/>
      <c r="AN1022" s="4"/>
      <c r="AO1022" s="4"/>
      <c r="AP1022" s="4"/>
      <c r="AQ1022" s="4"/>
      <c r="AR1022" s="4"/>
      <c r="AS1022" s="4"/>
      <c r="AT1022" s="4"/>
    </row>
    <row r="1023" spans="12:46">
      <c r="L1023" s="5"/>
      <c r="M1023" s="5"/>
      <c r="W1023" s="5"/>
      <c r="Z1023" s="5"/>
      <c r="AA1023" s="5"/>
      <c r="AD1023" s="5"/>
      <c r="AG1023" s="5"/>
      <c r="AH1023" s="5"/>
      <c r="AN1023" s="4"/>
      <c r="AO1023" s="4"/>
      <c r="AP1023" s="4"/>
      <c r="AQ1023" s="4"/>
      <c r="AR1023" s="4"/>
      <c r="AS1023" s="4"/>
      <c r="AT1023" s="4"/>
    </row>
    <row r="1024" spans="12:46">
      <c r="L1024" s="5"/>
      <c r="M1024" s="5"/>
      <c r="W1024" s="5"/>
      <c r="Z1024" s="5"/>
      <c r="AA1024" s="5"/>
      <c r="AD1024" s="5"/>
      <c r="AG1024" s="5"/>
      <c r="AH1024" s="5"/>
      <c r="AN1024" s="4"/>
      <c r="AO1024" s="4"/>
      <c r="AP1024" s="4"/>
      <c r="AQ1024" s="4"/>
      <c r="AR1024" s="4"/>
      <c r="AS1024" s="4"/>
      <c r="AT1024" s="4"/>
    </row>
    <row r="1025" spans="12:46">
      <c r="L1025" s="5"/>
      <c r="M1025" s="5"/>
      <c r="W1025" s="5"/>
      <c r="Z1025" s="5"/>
      <c r="AA1025" s="5"/>
      <c r="AD1025" s="5"/>
      <c r="AG1025" s="5"/>
      <c r="AH1025" s="5"/>
      <c r="AN1025" s="4"/>
      <c r="AO1025" s="4"/>
      <c r="AP1025" s="4"/>
      <c r="AQ1025" s="4"/>
      <c r="AR1025" s="4"/>
      <c r="AS1025" s="4"/>
      <c r="AT1025" s="4"/>
    </row>
    <row r="1026" spans="12:46">
      <c r="L1026" s="5"/>
      <c r="M1026" s="5"/>
      <c r="W1026" s="5"/>
      <c r="Z1026" s="5"/>
      <c r="AA1026" s="5"/>
      <c r="AD1026" s="5"/>
      <c r="AG1026" s="5"/>
      <c r="AH1026" s="5"/>
      <c r="AN1026" s="4"/>
      <c r="AO1026" s="4"/>
      <c r="AP1026" s="4"/>
      <c r="AQ1026" s="4"/>
      <c r="AR1026" s="4"/>
      <c r="AS1026" s="4"/>
      <c r="AT1026" s="4"/>
    </row>
    <row r="1027" spans="12:46">
      <c r="L1027" s="5"/>
      <c r="M1027" s="5"/>
      <c r="W1027" s="5"/>
      <c r="Z1027" s="5"/>
      <c r="AA1027" s="5"/>
      <c r="AD1027" s="5"/>
      <c r="AG1027" s="5"/>
      <c r="AH1027" s="5"/>
      <c r="AN1027" s="4"/>
      <c r="AO1027" s="4"/>
      <c r="AP1027" s="4"/>
      <c r="AQ1027" s="4"/>
      <c r="AR1027" s="4"/>
      <c r="AS1027" s="4"/>
      <c r="AT1027" s="4"/>
    </row>
    <row r="1028" spans="12:46">
      <c r="L1028" s="5"/>
      <c r="M1028" s="5"/>
      <c r="W1028" s="5"/>
      <c r="Z1028" s="5"/>
      <c r="AA1028" s="5"/>
      <c r="AD1028" s="5"/>
      <c r="AG1028" s="5"/>
      <c r="AH1028" s="5"/>
      <c r="AN1028" s="4"/>
      <c r="AO1028" s="4"/>
      <c r="AP1028" s="4"/>
      <c r="AQ1028" s="4"/>
      <c r="AR1028" s="4"/>
      <c r="AS1028" s="4"/>
      <c r="AT1028" s="4"/>
    </row>
    <row r="1029" spans="12:46">
      <c r="L1029" s="5"/>
      <c r="M1029" s="5"/>
      <c r="W1029" s="5"/>
      <c r="Z1029" s="5"/>
      <c r="AA1029" s="5"/>
      <c r="AD1029" s="5"/>
      <c r="AG1029" s="5"/>
      <c r="AH1029" s="5"/>
      <c r="AN1029" s="4"/>
      <c r="AO1029" s="4"/>
      <c r="AP1029" s="4"/>
      <c r="AQ1029" s="4"/>
      <c r="AR1029" s="4"/>
      <c r="AS1029" s="4"/>
      <c r="AT1029" s="4"/>
    </row>
    <row r="1030" spans="12:46">
      <c r="L1030" s="5"/>
      <c r="M1030" s="5"/>
      <c r="W1030" s="5"/>
      <c r="Z1030" s="5"/>
      <c r="AA1030" s="5"/>
      <c r="AD1030" s="5"/>
      <c r="AG1030" s="5"/>
      <c r="AH1030" s="5"/>
      <c r="AN1030" s="4"/>
      <c r="AO1030" s="4"/>
      <c r="AP1030" s="4"/>
      <c r="AQ1030" s="4"/>
      <c r="AR1030" s="4"/>
      <c r="AS1030" s="4"/>
      <c r="AT1030" s="4"/>
    </row>
    <row r="1031" spans="12:46">
      <c r="L1031" s="5"/>
      <c r="M1031" s="5"/>
      <c r="W1031" s="5"/>
      <c r="Z1031" s="5"/>
      <c r="AA1031" s="5"/>
      <c r="AD1031" s="5"/>
      <c r="AG1031" s="5"/>
      <c r="AH1031" s="5"/>
      <c r="AN1031" s="4"/>
      <c r="AO1031" s="4"/>
      <c r="AP1031" s="4"/>
      <c r="AQ1031" s="4"/>
      <c r="AR1031" s="4"/>
      <c r="AS1031" s="4"/>
      <c r="AT1031" s="4"/>
    </row>
    <row r="1032" spans="12:46">
      <c r="L1032" s="5"/>
      <c r="M1032" s="5"/>
      <c r="W1032" s="5"/>
      <c r="Z1032" s="5"/>
      <c r="AA1032" s="5"/>
      <c r="AD1032" s="5"/>
      <c r="AG1032" s="5"/>
      <c r="AH1032" s="5"/>
      <c r="AN1032" s="4"/>
      <c r="AO1032" s="4"/>
      <c r="AP1032" s="4"/>
      <c r="AQ1032" s="4"/>
      <c r="AR1032" s="4"/>
      <c r="AS1032" s="4"/>
      <c r="AT1032" s="4"/>
    </row>
    <row r="1033" spans="12:46">
      <c r="L1033" s="5"/>
      <c r="M1033" s="5"/>
      <c r="W1033" s="5"/>
      <c r="Z1033" s="5"/>
      <c r="AA1033" s="5"/>
      <c r="AD1033" s="5"/>
      <c r="AG1033" s="5"/>
      <c r="AH1033" s="5"/>
      <c r="AN1033" s="4"/>
      <c r="AO1033" s="4"/>
      <c r="AP1033" s="4"/>
      <c r="AQ1033" s="4"/>
      <c r="AR1033" s="4"/>
      <c r="AS1033" s="4"/>
      <c r="AT1033" s="4"/>
    </row>
    <row r="1034" spans="12:46">
      <c r="L1034" s="5"/>
      <c r="M1034" s="5"/>
      <c r="W1034" s="5"/>
      <c r="Z1034" s="5"/>
      <c r="AA1034" s="5"/>
      <c r="AD1034" s="5"/>
      <c r="AG1034" s="5"/>
      <c r="AH1034" s="5"/>
      <c r="AN1034" s="4"/>
      <c r="AO1034" s="4"/>
      <c r="AP1034" s="4"/>
      <c r="AQ1034" s="4"/>
      <c r="AR1034" s="4"/>
      <c r="AS1034" s="4"/>
      <c r="AT1034" s="4"/>
    </row>
    <row r="1035" spans="12:46">
      <c r="L1035" s="5"/>
      <c r="M1035" s="5"/>
      <c r="W1035" s="5"/>
      <c r="Z1035" s="5"/>
      <c r="AA1035" s="5"/>
      <c r="AD1035" s="5"/>
      <c r="AG1035" s="5"/>
      <c r="AH1035" s="5"/>
      <c r="AN1035" s="4"/>
      <c r="AO1035" s="4"/>
      <c r="AP1035" s="4"/>
      <c r="AQ1035" s="4"/>
      <c r="AR1035" s="4"/>
      <c r="AS1035" s="4"/>
      <c r="AT1035" s="4"/>
    </row>
    <row r="1036" spans="12:46">
      <c r="L1036" s="5"/>
      <c r="M1036" s="5"/>
      <c r="W1036" s="5"/>
      <c r="Z1036" s="5"/>
      <c r="AA1036" s="5"/>
      <c r="AD1036" s="5"/>
      <c r="AG1036" s="5"/>
      <c r="AH1036" s="5"/>
      <c r="AN1036" s="4"/>
      <c r="AO1036" s="4"/>
      <c r="AP1036" s="4"/>
      <c r="AQ1036" s="4"/>
      <c r="AR1036" s="4"/>
      <c r="AS1036" s="4"/>
      <c r="AT1036" s="4"/>
    </row>
    <row r="1037" spans="12:46">
      <c r="L1037" s="5"/>
      <c r="M1037" s="5"/>
      <c r="W1037" s="5"/>
      <c r="Z1037" s="5"/>
      <c r="AA1037" s="5"/>
      <c r="AD1037" s="5"/>
      <c r="AG1037" s="5"/>
      <c r="AH1037" s="5"/>
      <c r="AN1037" s="4"/>
      <c r="AO1037" s="4"/>
      <c r="AP1037" s="4"/>
      <c r="AQ1037" s="4"/>
      <c r="AR1037" s="4"/>
      <c r="AS1037" s="4"/>
      <c r="AT1037" s="4"/>
    </row>
    <row r="1038" spans="12:46">
      <c r="L1038" s="5"/>
      <c r="M1038" s="5"/>
      <c r="W1038" s="5"/>
      <c r="Z1038" s="5"/>
      <c r="AA1038" s="5"/>
      <c r="AD1038" s="5"/>
      <c r="AG1038" s="5"/>
      <c r="AH1038" s="5"/>
      <c r="AN1038" s="4"/>
      <c r="AO1038" s="4"/>
      <c r="AP1038" s="4"/>
      <c r="AQ1038" s="4"/>
      <c r="AR1038" s="4"/>
      <c r="AS1038" s="4"/>
      <c r="AT1038" s="4"/>
    </row>
    <row r="1039" spans="12:46">
      <c r="L1039" s="5"/>
      <c r="M1039" s="5"/>
      <c r="W1039" s="5"/>
      <c r="Z1039" s="5"/>
      <c r="AA1039" s="5"/>
      <c r="AD1039" s="5"/>
      <c r="AG1039" s="5"/>
      <c r="AH1039" s="5"/>
      <c r="AN1039" s="4"/>
      <c r="AO1039" s="4"/>
      <c r="AP1039" s="4"/>
      <c r="AQ1039" s="4"/>
      <c r="AR1039" s="4"/>
      <c r="AS1039" s="4"/>
      <c r="AT1039" s="4"/>
    </row>
    <row r="1040" spans="12:46">
      <c r="L1040" s="5"/>
      <c r="M1040" s="5"/>
      <c r="W1040" s="5"/>
      <c r="Z1040" s="5"/>
      <c r="AA1040" s="5"/>
      <c r="AD1040" s="5"/>
      <c r="AG1040" s="5"/>
      <c r="AH1040" s="5"/>
      <c r="AN1040" s="4"/>
      <c r="AO1040" s="4"/>
      <c r="AP1040" s="4"/>
      <c r="AQ1040" s="4"/>
      <c r="AR1040" s="4"/>
      <c r="AS1040" s="4"/>
      <c r="AT1040" s="4"/>
    </row>
    <row r="1041" spans="12:46">
      <c r="L1041" s="5"/>
      <c r="M1041" s="5"/>
      <c r="W1041" s="5"/>
      <c r="Z1041" s="5"/>
      <c r="AA1041" s="5"/>
      <c r="AD1041" s="5"/>
      <c r="AG1041" s="5"/>
      <c r="AH1041" s="5"/>
      <c r="AN1041" s="4"/>
      <c r="AO1041" s="4"/>
      <c r="AP1041" s="4"/>
      <c r="AQ1041" s="4"/>
      <c r="AR1041" s="4"/>
      <c r="AS1041" s="4"/>
      <c r="AT1041" s="4"/>
    </row>
    <row r="1042" spans="12:46">
      <c r="L1042" s="5"/>
      <c r="M1042" s="5"/>
      <c r="W1042" s="5"/>
      <c r="Z1042" s="5"/>
      <c r="AA1042" s="5"/>
      <c r="AD1042" s="5"/>
      <c r="AG1042" s="5"/>
      <c r="AH1042" s="5"/>
      <c r="AN1042" s="4"/>
      <c r="AO1042" s="4"/>
      <c r="AP1042" s="4"/>
      <c r="AQ1042" s="4"/>
      <c r="AR1042" s="4"/>
      <c r="AS1042" s="4"/>
      <c r="AT1042" s="4"/>
    </row>
    <row r="1043" spans="12:46">
      <c r="L1043" s="5"/>
      <c r="M1043" s="5"/>
      <c r="W1043" s="5"/>
      <c r="Z1043" s="5"/>
      <c r="AA1043" s="5"/>
      <c r="AD1043" s="5"/>
      <c r="AG1043" s="5"/>
      <c r="AH1043" s="5"/>
      <c r="AN1043" s="4"/>
      <c r="AO1043" s="4"/>
      <c r="AP1043" s="4"/>
      <c r="AQ1043" s="4"/>
      <c r="AR1043" s="4"/>
      <c r="AS1043" s="4"/>
      <c r="AT1043" s="4"/>
    </row>
    <row r="1044" spans="12:46">
      <c r="L1044" s="5"/>
      <c r="M1044" s="5"/>
      <c r="W1044" s="5"/>
      <c r="Z1044" s="5"/>
      <c r="AA1044" s="5"/>
      <c r="AD1044" s="5"/>
      <c r="AG1044" s="5"/>
      <c r="AH1044" s="5"/>
      <c r="AN1044" s="4"/>
      <c r="AO1044" s="4"/>
      <c r="AP1044" s="4"/>
      <c r="AQ1044" s="4"/>
      <c r="AR1044" s="4"/>
      <c r="AS1044" s="4"/>
      <c r="AT1044" s="4"/>
    </row>
    <row r="1045" spans="12:46">
      <c r="L1045" s="5"/>
      <c r="M1045" s="5"/>
      <c r="W1045" s="5"/>
      <c r="Z1045" s="5"/>
      <c r="AA1045" s="5"/>
      <c r="AD1045" s="5"/>
      <c r="AG1045" s="5"/>
      <c r="AH1045" s="5"/>
      <c r="AN1045" s="4"/>
      <c r="AO1045" s="4"/>
      <c r="AP1045" s="4"/>
      <c r="AQ1045" s="4"/>
      <c r="AR1045" s="4"/>
      <c r="AS1045" s="4"/>
      <c r="AT1045" s="4"/>
    </row>
    <row r="1046" spans="12:46">
      <c r="L1046" s="5"/>
      <c r="M1046" s="5"/>
      <c r="W1046" s="5"/>
      <c r="Z1046" s="5"/>
      <c r="AA1046" s="5"/>
      <c r="AD1046" s="5"/>
      <c r="AG1046" s="5"/>
      <c r="AH1046" s="5"/>
      <c r="AN1046" s="4"/>
      <c r="AO1046" s="4"/>
      <c r="AP1046" s="4"/>
      <c r="AQ1046" s="4"/>
      <c r="AR1046" s="4"/>
      <c r="AS1046" s="4"/>
      <c r="AT1046" s="4"/>
    </row>
    <row r="1047" spans="12:46">
      <c r="L1047" s="5"/>
      <c r="M1047" s="5"/>
      <c r="W1047" s="5"/>
      <c r="Z1047" s="5"/>
      <c r="AA1047" s="5"/>
      <c r="AD1047" s="5"/>
      <c r="AG1047" s="5"/>
      <c r="AH1047" s="5"/>
      <c r="AN1047" s="4"/>
      <c r="AO1047" s="4"/>
      <c r="AP1047" s="4"/>
      <c r="AQ1047" s="4"/>
      <c r="AR1047" s="4"/>
      <c r="AS1047" s="4"/>
      <c r="AT1047" s="4"/>
    </row>
    <row r="1048" spans="12:46">
      <c r="L1048" s="5"/>
      <c r="M1048" s="5"/>
      <c r="W1048" s="5"/>
      <c r="Z1048" s="5"/>
      <c r="AA1048" s="5"/>
      <c r="AD1048" s="5"/>
      <c r="AG1048" s="5"/>
      <c r="AH1048" s="5"/>
      <c r="AN1048" s="4"/>
      <c r="AO1048" s="4"/>
      <c r="AP1048" s="4"/>
      <c r="AQ1048" s="4"/>
      <c r="AR1048" s="4"/>
      <c r="AS1048" s="4"/>
      <c r="AT1048" s="4"/>
    </row>
    <row r="1049" spans="12:46">
      <c r="L1049" s="5"/>
      <c r="M1049" s="5"/>
      <c r="W1049" s="5"/>
      <c r="Z1049" s="5"/>
      <c r="AA1049" s="5"/>
      <c r="AD1049" s="5"/>
      <c r="AG1049" s="5"/>
      <c r="AH1049" s="5"/>
      <c r="AN1049" s="4"/>
      <c r="AO1049" s="4"/>
      <c r="AP1049" s="4"/>
      <c r="AQ1049" s="4"/>
      <c r="AR1049" s="4"/>
      <c r="AS1049" s="4"/>
      <c r="AT1049" s="4"/>
    </row>
    <row r="1050" spans="12:46">
      <c r="L1050" s="5"/>
      <c r="M1050" s="5"/>
      <c r="W1050" s="5"/>
      <c r="Z1050" s="5"/>
      <c r="AA1050" s="5"/>
      <c r="AD1050" s="5"/>
      <c r="AG1050" s="5"/>
      <c r="AH1050" s="5"/>
      <c r="AN1050" s="4"/>
      <c r="AO1050" s="4"/>
      <c r="AP1050" s="4"/>
      <c r="AQ1050" s="4"/>
      <c r="AR1050" s="4"/>
      <c r="AS1050" s="4"/>
      <c r="AT1050" s="4"/>
    </row>
    <row r="1051" spans="12:46">
      <c r="L1051" s="5"/>
      <c r="M1051" s="5"/>
      <c r="W1051" s="5"/>
      <c r="Z1051" s="5"/>
      <c r="AA1051" s="5"/>
      <c r="AD1051" s="5"/>
      <c r="AG1051" s="5"/>
      <c r="AH1051" s="5"/>
      <c r="AN1051" s="4"/>
      <c r="AO1051" s="4"/>
      <c r="AP1051" s="4"/>
      <c r="AQ1051" s="4"/>
      <c r="AR1051" s="4"/>
      <c r="AS1051" s="4"/>
      <c r="AT1051" s="4"/>
    </row>
    <row r="1052" spans="12:46">
      <c r="L1052" s="5"/>
      <c r="M1052" s="5"/>
      <c r="W1052" s="5"/>
      <c r="Z1052" s="5"/>
      <c r="AA1052" s="5"/>
      <c r="AD1052" s="5"/>
      <c r="AG1052" s="5"/>
      <c r="AH1052" s="5"/>
      <c r="AN1052" s="4"/>
      <c r="AO1052" s="4"/>
      <c r="AP1052" s="4"/>
      <c r="AQ1052" s="4"/>
      <c r="AR1052" s="4"/>
      <c r="AS1052" s="4"/>
      <c r="AT1052" s="4"/>
    </row>
    <row r="1053" spans="12:46">
      <c r="L1053" s="5"/>
      <c r="M1053" s="5"/>
      <c r="W1053" s="5"/>
      <c r="Z1053" s="5"/>
      <c r="AA1053" s="5"/>
      <c r="AD1053" s="5"/>
      <c r="AG1053" s="5"/>
      <c r="AH1053" s="5"/>
      <c r="AN1053" s="4"/>
      <c r="AO1053" s="4"/>
      <c r="AP1053" s="4"/>
      <c r="AQ1053" s="4"/>
      <c r="AR1053" s="4"/>
      <c r="AS1053" s="4"/>
      <c r="AT1053" s="4"/>
    </row>
    <row r="1054" spans="12:46">
      <c r="L1054" s="5"/>
      <c r="M1054" s="5"/>
      <c r="W1054" s="5"/>
      <c r="Z1054" s="5"/>
      <c r="AA1054" s="5"/>
      <c r="AD1054" s="5"/>
      <c r="AG1054" s="5"/>
      <c r="AH1054" s="5"/>
      <c r="AN1054" s="4"/>
      <c r="AO1054" s="4"/>
      <c r="AP1054" s="4"/>
      <c r="AQ1054" s="4"/>
      <c r="AR1054" s="4"/>
      <c r="AS1054" s="4"/>
      <c r="AT1054" s="4"/>
    </row>
    <row r="1055" spans="12:46">
      <c r="L1055" s="5"/>
      <c r="M1055" s="5"/>
      <c r="W1055" s="5"/>
      <c r="Z1055" s="5"/>
      <c r="AA1055" s="5"/>
      <c r="AD1055" s="5"/>
      <c r="AG1055" s="5"/>
      <c r="AH1055" s="5"/>
      <c r="AN1055" s="4"/>
      <c r="AO1055" s="4"/>
      <c r="AP1055" s="4"/>
      <c r="AQ1055" s="4"/>
      <c r="AR1055" s="4"/>
      <c r="AS1055" s="4"/>
      <c r="AT1055" s="4"/>
    </row>
    <row r="1056" spans="12:46">
      <c r="L1056" s="5"/>
      <c r="M1056" s="5"/>
      <c r="W1056" s="5"/>
      <c r="Z1056" s="5"/>
      <c r="AA1056" s="5"/>
      <c r="AD1056" s="5"/>
      <c r="AG1056" s="5"/>
      <c r="AH1056" s="5"/>
      <c r="AN1056" s="4"/>
      <c r="AO1056" s="4"/>
      <c r="AP1056" s="4"/>
      <c r="AQ1056" s="4"/>
      <c r="AR1056" s="4"/>
      <c r="AS1056" s="4"/>
      <c r="AT1056" s="4"/>
    </row>
    <row r="1057" spans="12:46">
      <c r="L1057" s="5"/>
      <c r="M1057" s="5"/>
      <c r="W1057" s="5"/>
      <c r="Z1057" s="5"/>
      <c r="AA1057" s="5"/>
      <c r="AD1057" s="5"/>
      <c r="AG1057" s="5"/>
      <c r="AH1057" s="5"/>
      <c r="AN1057" s="4"/>
      <c r="AO1057" s="4"/>
      <c r="AP1057" s="4"/>
      <c r="AQ1057" s="4"/>
      <c r="AR1057" s="4"/>
      <c r="AS1057" s="4"/>
      <c r="AT1057" s="4"/>
    </row>
    <row r="1058" spans="12:46">
      <c r="L1058" s="5"/>
      <c r="M1058" s="5"/>
      <c r="W1058" s="5"/>
      <c r="Z1058" s="5"/>
      <c r="AA1058" s="5"/>
      <c r="AD1058" s="5"/>
      <c r="AG1058" s="5"/>
      <c r="AH1058" s="5"/>
      <c r="AN1058" s="4"/>
      <c r="AO1058" s="4"/>
      <c r="AP1058" s="4"/>
      <c r="AQ1058" s="4"/>
      <c r="AR1058" s="4"/>
      <c r="AS1058" s="4"/>
      <c r="AT1058" s="4"/>
    </row>
    <row r="1059" spans="12:46">
      <c r="L1059" s="5"/>
      <c r="M1059" s="5"/>
      <c r="W1059" s="5"/>
      <c r="Z1059" s="5"/>
      <c r="AA1059" s="5"/>
      <c r="AD1059" s="5"/>
      <c r="AG1059" s="5"/>
      <c r="AH1059" s="5"/>
      <c r="AN1059" s="4"/>
      <c r="AO1059" s="4"/>
      <c r="AP1059" s="4"/>
      <c r="AQ1059" s="4"/>
      <c r="AR1059" s="4"/>
      <c r="AS1059" s="4"/>
      <c r="AT1059" s="4"/>
    </row>
    <row r="1060" spans="12:46">
      <c r="L1060" s="5"/>
      <c r="M1060" s="5"/>
      <c r="W1060" s="5"/>
      <c r="Z1060" s="5"/>
      <c r="AA1060" s="5"/>
      <c r="AD1060" s="5"/>
      <c r="AG1060" s="5"/>
      <c r="AH1060" s="5"/>
      <c r="AN1060" s="4"/>
      <c r="AO1060" s="4"/>
      <c r="AP1060" s="4"/>
      <c r="AQ1060" s="4"/>
      <c r="AR1060" s="4"/>
      <c r="AS1060" s="4"/>
      <c r="AT1060" s="4"/>
    </row>
    <row r="1061" spans="12:46">
      <c r="L1061" s="5"/>
      <c r="M1061" s="5"/>
      <c r="W1061" s="5"/>
      <c r="Z1061" s="5"/>
      <c r="AA1061" s="5"/>
      <c r="AD1061" s="5"/>
      <c r="AG1061" s="5"/>
      <c r="AH1061" s="5"/>
      <c r="AN1061" s="4"/>
      <c r="AO1061" s="4"/>
      <c r="AP1061" s="4"/>
      <c r="AQ1061" s="4"/>
      <c r="AR1061" s="4"/>
      <c r="AS1061" s="4"/>
      <c r="AT1061" s="4"/>
    </row>
    <row r="1062" spans="12:46">
      <c r="L1062" s="5"/>
      <c r="M1062" s="5"/>
      <c r="W1062" s="5"/>
      <c r="Z1062" s="5"/>
      <c r="AA1062" s="5"/>
      <c r="AD1062" s="5"/>
      <c r="AG1062" s="5"/>
      <c r="AH1062" s="5"/>
      <c r="AN1062" s="4"/>
      <c r="AO1062" s="4"/>
      <c r="AP1062" s="4"/>
      <c r="AQ1062" s="4"/>
      <c r="AR1062" s="4"/>
      <c r="AS1062" s="4"/>
      <c r="AT1062" s="4"/>
    </row>
    <row r="1063" spans="12:46">
      <c r="L1063" s="5"/>
      <c r="M1063" s="5"/>
      <c r="W1063" s="5"/>
      <c r="Z1063" s="5"/>
      <c r="AA1063" s="5"/>
      <c r="AD1063" s="5"/>
      <c r="AG1063" s="5"/>
      <c r="AH1063" s="5"/>
      <c r="AN1063" s="4"/>
      <c r="AO1063" s="4"/>
      <c r="AP1063" s="4"/>
      <c r="AQ1063" s="4"/>
      <c r="AR1063" s="4"/>
      <c r="AS1063" s="4"/>
      <c r="AT1063" s="4"/>
    </row>
    <row r="1064" spans="12:46">
      <c r="L1064" s="5"/>
      <c r="M1064" s="5"/>
      <c r="W1064" s="5"/>
      <c r="Z1064" s="5"/>
      <c r="AA1064" s="5"/>
      <c r="AD1064" s="5"/>
      <c r="AG1064" s="5"/>
      <c r="AH1064" s="5"/>
      <c r="AN1064" s="4"/>
      <c r="AO1064" s="4"/>
      <c r="AP1064" s="4"/>
      <c r="AQ1064" s="4"/>
      <c r="AR1064" s="4"/>
      <c r="AS1064" s="4"/>
      <c r="AT1064" s="4"/>
    </row>
    <row r="1065" spans="12:46">
      <c r="L1065" s="5"/>
      <c r="M1065" s="5"/>
      <c r="W1065" s="5"/>
      <c r="Z1065" s="5"/>
      <c r="AA1065" s="5"/>
      <c r="AD1065" s="5"/>
      <c r="AG1065" s="5"/>
      <c r="AH1065" s="5"/>
      <c r="AN1065" s="4"/>
      <c r="AO1065" s="4"/>
      <c r="AP1065" s="4"/>
      <c r="AQ1065" s="4"/>
      <c r="AR1065" s="4"/>
      <c r="AS1065" s="4"/>
      <c r="AT1065" s="4"/>
    </row>
    <row r="1066" spans="12:46">
      <c r="L1066" s="5"/>
      <c r="M1066" s="5"/>
      <c r="W1066" s="5"/>
      <c r="Z1066" s="5"/>
      <c r="AA1066" s="5"/>
      <c r="AD1066" s="5"/>
      <c r="AG1066" s="5"/>
      <c r="AH1066" s="5"/>
      <c r="AN1066" s="4"/>
      <c r="AO1066" s="4"/>
      <c r="AP1066" s="4"/>
      <c r="AQ1066" s="4"/>
      <c r="AR1066" s="4"/>
      <c r="AS1066" s="4"/>
      <c r="AT1066" s="4"/>
    </row>
    <row r="1067" spans="12:46">
      <c r="L1067" s="5"/>
      <c r="M1067" s="5"/>
      <c r="W1067" s="5"/>
      <c r="Z1067" s="5"/>
      <c r="AA1067" s="5"/>
      <c r="AD1067" s="5"/>
      <c r="AG1067" s="5"/>
      <c r="AH1067" s="5"/>
      <c r="AN1067" s="4"/>
      <c r="AO1067" s="4"/>
      <c r="AP1067" s="4"/>
      <c r="AQ1067" s="4"/>
      <c r="AR1067" s="4"/>
      <c r="AS1067" s="4"/>
      <c r="AT1067" s="4"/>
    </row>
    <row r="1068" spans="12:46">
      <c r="L1068" s="5"/>
      <c r="M1068" s="5"/>
      <c r="W1068" s="5"/>
      <c r="Z1068" s="5"/>
      <c r="AA1068" s="5"/>
      <c r="AD1068" s="5"/>
      <c r="AG1068" s="5"/>
      <c r="AH1068" s="5"/>
      <c r="AN1068" s="4"/>
      <c r="AO1068" s="4"/>
      <c r="AP1068" s="4"/>
      <c r="AQ1068" s="4"/>
      <c r="AR1068" s="4"/>
      <c r="AS1068" s="4"/>
      <c r="AT1068" s="4"/>
    </row>
    <row r="1069" spans="12:46">
      <c r="L1069" s="5"/>
      <c r="M1069" s="5"/>
      <c r="W1069" s="5"/>
      <c r="Z1069" s="5"/>
      <c r="AA1069" s="5"/>
      <c r="AD1069" s="5"/>
      <c r="AG1069" s="5"/>
      <c r="AH1069" s="5"/>
      <c r="AN1069" s="4"/>
      <c r="AO1069" s="4"/>
      <c r="AP1069" s="4"/>
      <c r="AQ1069" s="4"/>
      <c r="AR1069" s="4"/>
      <c r="AS1069" s="4"/>
      <c r="AT1069" s="4"/>
    </row>
    <row r="1070" spans="12:46">
      <c r="L1070" s="5"/>
      <c r="M1070" s="5"/>
      <c r="W1070" s="5"/>
      <c r="Z1070" s="5"/>
      <c r="AA1070" s="5"/>
      <c r="AD1070" s="5"/>
      <c r="AG1070" s="5"/>
      <c r="AH1070" s="5"/>
      <c r="AN1070" s="4"/>
      <c r="AO1070" s="4"/>
      <c r="AP1070" s="4"/>
      <c r="AQ1070" s="4"/>
      <c r="AR1070" s="4"/>
      <c r="AS1070" s="4"/>
      <c r="AT1070" s="4"/>
    </row>
    <row r="1071" spans="12:46">
      <c r="L1071" s="5"/>
      <c r="M1071" s="5"/>
      <c r="W1071" s="5"/>
      <c r="Z1071" s="5"/>
      <c r="AA1071" s="5"/>
      <c r="AD1071" s="5"/>
      <c r="AG1071" s="5"/>
      <c r="AH1071" s="5"/>
      <c r="AN1071" s="4"/>
      <c r="AO1071" s="4"/>
      <c r="AP1071" s="4"/>
      <c r="AQ1071" s="4"/>
      <c r="AR1071" s="4"/>
      <c r="AS1071" s="4"/>
      <c r="AT1071" s="4"/>
    </row>
    <row r="1072" spans="12:46">
      <c r="L1072" s="5"/>
      <c r="M1072" s="5"/>
      <c r="W1072" s="5"/>
      <c r="Z1072" s="5"/>
      <c r="AA1072" s="5"/>
      <c r="AD1072" s="5"/>
      <c r="AG1072" s="5"/>
      <c r="AH1072" s="5"/>
      <c r="AN1072" s="4"/>
      <c r="AO1072" s="4"/>
      <c r="AP1072" s="4"/>
      <c r="AQ1072" s="4"/>
      <c r="AR1072" s="4"/>
      <c r="AS1072" s="4"/>
      <c r="AT1072" s="4"/>
    </row>
    <row r="1073" spans="12:46">
      <c r="L1073" s="5"/>
      <c r="M1073" s="5"/>
      <c r="W1073" s="5"/>
      <c r="Z1073" s="5"/>
      <c r="AA1073" s="5"/>
      <c r="AD1073" s="5"/>
      <c r="AG1073" s="5"/>
      <c r="AH1073" s="5"/>
      <c r="AN1073" s="4"/>
      <c r="AO1073" s="4"/>
      <c r="AP1073" s="4"/>
      <c r="AQ1073" s="4"/>
      <c r="AR1073" s="4"/>
      <c r="AS1073" s="4"/>
      <c r="AT1073" s="4"/>
    </row>
    <row r="1074" spans="12:46">
      <c r="L1074" s="5"/>
      <c r="M1074" s="5"/>
      <c r="W1074" s="5"/>
      <c r="Z1074" s="5"/>
      <c r="AA1074" s="5"/>
      <c r="AD1074" s="5"/>
      <c r="AG1074" s="5"/>
      <c r="AH1074" s="5"/>
      <c r="AN1074" s="4"/>
      <c r="AO1074" s="4"/>
      <c r="AP1074" s="4"/>
      <c r="AQ1074" s="4"/>
      <c r="AR1074" s="4"/>
      <c r="AS1074" s="4"/>
      <c r="AT1074" s="4"/>
    </row>
    <row r="1075" spans="12:46">
      <c r="L1075" s="5"/>
      <c r="M1075" s="5"/>
      <c r="W1075" s="5"/>
      <c r="Z1075" s="5"/>
      <c r="AA1075" s="5"/>
      <c r="AD1075" s="5"/>
      <c r="AG1075" s="5"/>
      <c r="AH1075" s="5"/>
      <c r="AN1075" s="4"/>
      <c r="AO1075" s="4"/>
      <c r="AP1075" s="4"/>
      <c r="AQ1075" s="4"/>
      <c r="AR1075" s="4"/>
      <c r="AS1075" s="4"/>
      <c r="AT1075" s="4"/>
    </row>
    <row r="1076" spans="12:46">
      <c r="L1076" s="5"/>
      <c r="M1076" s="5"/>
      <c r="W1076" s="5"/>
      <c r="Z1076" s="5"/>
      <c r="AA1076" s="5"/>
      <c r="AD1076" s="5"/>
      <c r="AG1076" s="5"/>
      <c r="AH1076" s="5"/>
      <c r="AN1076" s="4"/>
      <c r="AO1076" s="4"/>
      <c r="AP1076" s="4"/>
      <c r="AQ1076" s="4"/>
      <c r="AR1076" s="4"/>
      <c r="AS1076" s="4"/>
      <c r="AT1076" s="4"/>
    </row>
    <row r="1077" spans="12:46">
      <c r="L1077" s="5"/>
      <c r="M1077" s="5"/>
      <c r="W1077" s="5"/>
      <c r="Z1077" s="5"/>
      <c r="AA1077" s="5"/>
      <c r="AD1077" s="5"/>
      <c r="AG1077" s="5"/>
      <c r="AH1077" s="5"/>
      <c r="AN1077" s="4"/>
      <c r="AO1077" s="4"/>
      <c r="AP1077" s="4"/>
      <c r="AQ1077" s="4"/>
      <c r="AR1077" s="4"/>
      <c r="AS1077" s="4"/>
      <c r="AT1077" s="4"/>
    </row>
    <row r="1078" spans="12:46">
      <c r="L1078" s="5"/>
      <c r="M1078" s="5"/>
      <c r="W1078" s="5"/>
      <c r="Z1078" s="5"/>
      <c r="AA1078" s="5"/>
      <c r="AD1078" s="5"/>
      <c r="AG1078" s="5"/>
      <c r="AH1078" s="5"/>
      <c r="AN1078" s="4"/>
      <c r="AO1078" s="4"/>
      <c r="AP1078" s="4"/>
      <c r="AQ1078" s="4"/>
      <c r="AR1078" s="4"/>
      <c r="AS1078" s="4"/>
      <c r="AT1078" s="4"/>
    </row>
    <row r="1079" spans="12:46">
      <c r="L1079" s="5"/>
      <c r="M1079" s="5"/>
      <c r="W1079" s="5"/>
      <c r="Z1079" s="5"/>
      <c r="AA1079" s="5"/>
      <c r="AD1079" s="5"/>
      <c r="AG1079" s="5"/>
      <c r="AH1079" s="5"/>
      <c r="AN1079" s="4"/>
      <c r="AO1079" s="4"/>
      <c r="AP1079" s="4"/>
      <c r="AQ1079" s="4"/>
      <c r="AR1079" s="4"/>
      <c r="AS1079" s="4"/>
      <c r="AT1079" s="4"/>
    </row>
    <row r="1080" spans="12:46">
      <c r="L1080" s="5"/>
      <c r="M1080" s="5"/>
      <c r="W1080" s="5"/>
      <c r="Z1080" s="5"/>
      <c r="AA1080" s="5"/>
      <c r="AD1080" s="5"/>
      <c r="AG1080" s="5"/>
      <c r="AH1080" s="5"/>
      <c r="AN1080" s="4"/>
      <c r="AO1080" s="4"/>
      <c r="AP1080" s="4"/>
      <c r="AQ1080" s="4"/>
      <c r="AR1080" s="4"/>
      <c r="AS1080" s="4"/>
      <c r="AT1080" s="4"/>
    </row>
    <row r="1081" spans="12:46">
      <c r="L1081" s="5"/>
      <c r="M1081" s="5"/>
      <c r="W1081" s="5"/>
      <c r="Z1081" s="5"/>
      <c r="AA1081" s="5"/>
      <c r="AD1081" s="5"/>
      <c r="AG1081" s="5"/>
      <c r="AH1081" s="5"/>
      <c r="AN1081" s="4"/>
      <c r="AO1081" s="4"/>
      <c r="AP1081" s="4"/>
      <c r="AQ1081" s="4"/>
      <c r="AR1081" s="4"/>
      <c r="AS1081" s="4"/>
      <c r="AT1081" s="4"/>
    </row>
    <row r="1082" spans="12:46">
      <c r="L1082" s="5"/>
      <c r="M1082" s="5"/>
      <c r="W1082" s="5"/>
      <c r="Z1082" s="5"/>
      <c r="AA1082" s="5"/>
      <c r="AD1082" s="5"/>
      <c r="AG1082" s="5"/>
      <c r="AH1082" s="5"/>
      <c r="AN1082" s="4"/>
      <c r="AO1082" s="4"/>
      <c r="AP1082" s="4"/>
      <c r="AQ1082" s="4"/>
      <c r="AR1082" s="4"/>
      <c r="AS1082" s="4"/>
      <c r="AT1082" s="4"/>
    </row>
    <row r="1083" spans="12:46">
      <c r="L1083" s="5"/>
      <c r="M1083" s="5"/>
      <c r="W1083" s="5"/>
      <c r="Z1083" s="5"/>
      <c r="AA1083" s="5"/>
      <c r="AD1083" s="5"/>
      <c r="AG1083" s="5"/>
      <c r="AH1083" s="5"/>
      <c r="AN1083" s="4"/>
      <c r="AO1083" s="4"/>
      <c r="AP1083" s="4"/>
      <c r="AQ1083" s="4"/>
      <c r="AR1083" s="4"/>
      <c r="AS1083" s="4"/>
      <c r="AT1083" s="4"/>
    </row>
    <row r="1084" spans="12:46">
      <c r="L1084" s="5"/>
      <c r="M1084" s="5"/>
      <c r="W1084" s="5"/>
      <c r="Z1084" s="5"/>
      <c r="AA1084" s="5"/>
      <c r="AD1084" s="5"/>
      <c r="AG1084" s="5"/>
      <c r="AH1084" s="5"/>
      <c r="AN1084" s="4"/>
      <c r="AO1084" s="4"/>
      <c r="AP1084" s="4"/>
      <c r="AQ1084" s="4"/>
      <c r="AR1084" s="4"/>
      <c r="AS1084" s="4"/>
      <c r="AT1084" s="4"/>
    </row>
    <row r="1085" spans="12:46">
      <c r="L1085" s="5"/>
      <c r="M1085" s="5"/>
      <c r="W1085" s="5"/>
      <c r="Z1085" s="5"/>
      <c r="AA1085" s="5"/>
      <c r="AD1085" s="5"/>
      <c r="AG1085" s="5"/>
      <c r="AH1085" s="5"/>
      <c r="AN1085" s="4"/>
      <c r="AO1085" s="4"/>
      <c r="AP1085" s="4"/>
      <c r="AQ1085" s="4"/>
      <c r="AR1085" s="4"/>
      <c r="AS1085" s="4"/>
      <c r="AT1085" s="4"/>
    </row>
    <row r="1086" spans="12:46">
      <c r="L1086" s="5"/>
      <c r="M1086" s="5"/>
      <c r="W1086" s="5"/>
      <c r="Z1086" s="5"/>
      <c r="AA1086" s="5"/>
      <c r="AD1086" s="5"/>
      <c r="AG1086" s="5"/>
      <c r="AH1086" s="5"/>
      <c r="AN1086" s="4"/>
      <c r="AO1086" s="4"/>
      <c r="AP1086" s="4"/>
      <c r="AQ1086" s="4"/>
      <c r="AR1086" s="4"/>
      <c r="AS1086" s="4"/>
      <c r="AT1086" s="4"/>
    </row>
    <row r="1087" spans="12:46">
      <c r="L1087" s="5"/>
      <c r="M1087" s="5"/>
      <c r="W1087" s="5"/>
      <c r="Z1087" s="5"/>
      <c r="AA1087" s="5"/>
      <c r="AD1087" s="5"/>
      <c r="AG1087" s="5"/>
      <c r="AH1087" s="5"/>
      <c r="AN1087" s="4"/>
      <c r="AO1087" s="4"/>
      <c r="AP1087" s="4"/>
      <c r="AQ1087" s="4"/>
      <c r="AR1087" s="4"/>
      <c r="AS1087" s="4"/>
      <c r="AT1087" s="4"/>
    </row>
    <row r="1088" spans="12:46">
      <c r="L1088" s="5"/>
      <c r="M1088" s="5"/>
      <c r="W1088" s="5"/>
      <c r="Z1088" s="5"/>
      <c r="AA1088" s="5"/>
      <c r="AD1088" s="5"/>
      <c r="AG1088" s="5"/>
      <c r="AH1088" s="5"/>
      <c r="AN1088" s="4"/>
      <c r="AO1088" s="4"/>
      <c r="AP1088" s="4"/>
      <c r="AQ1088" s="4"/>
      <c r="AR1088" s="4"/>
      <c r="AS1088" s="4"/>
      <c r="AT1088" s="4"/>
    </row>
    <row r="1089" spans="12:46">
      <c r="L1089" s="5"/>
      <c r="M1089" s="5"/>
      <c r="W1089" s="5"/>
      <c r="Z1089" s="5"/>
      <c r="AA1089" s="5"/>
      <c r="AD1089" s="5"/>
      <c r="AG1089" s="5"/>
      <c r="AH1089" s="5"/>
      <c r="AN1089" s="4"/>
      <c r="AO1089" s="4"/>
      <c r="AP1089" s="4"/>
      <c r="AQ1089" s="4"/>
      <c r="AR1089" s="4"/>
      <c r="AS1089" s="4"/>
      <c r="AT1089" s="4"/>
    </row>
    <row r="1090" spans="12:46">
      <c r="L1090" s="5"/>
      <c r="M1090" s="5"/>
      <c r="W1090" s="5"/>
      <c r="Z1090" s="5"/>
      <c r="AA1090" s="5"/>
      <c r="AD1090" s="5"/>
      <c r="AG1090" s="5"/>
      <c r="AH1090" s="5"/>
      <c r="AN1090" s="4"/>
      <c r="AO1090" s="4"/>
      <c r="AP1090" s="4"/>
      <c r="AQ1090" s="4"/>
      <c r="AR1090" s="4"/>
      <c r="AS1090" s="4"/>
      <c r="AT1090" s="4"/>
    </row>
    <row r="1091" spans="12:46">
      <c r="L1091" s="5"/>
      <c r="M1091" s="5"/>
      <c r="W1091" s="5"/>
      <c r="Z1091" s="5"/>
      <c r="AA1091" s="5"/>
      <c r="AD1091" s="5"/>
      <c r="AG1091" s="5"/>
      <c r="AH1091" s="5"/>
      <c r="AN1091" s="4"/>
      <c r="AO1091" s="4"/>
      <c r="AP1091" s="4"/>
      <c r="AQ1091" s="4"/>
      <c r="AR1091" s="4"/>
      <c r="AS1091" s="4"/>
      <c r="AT1091" s="4"/>
    </row>
    <row r="1092" spans="12:46">
      <c r="L1092" s="5"/>
      <c r="M1092" s="5"/>
      <c r="W1092" s="5"/>
      <c r="Z1092" s="5"/>
      <c r="AA1092" s="5"/>
      <c r="AD1092" s="5"/>
      <c r="AG1092" s="5"/>
      <c r="AH1092" s="5"/>
      <c r="AN1092" s="4"/>
      <c r="AO1092" s="4"/>
      <c r="AP1092" s="4"/>
      <c r="AQ1092" s="4"/>
      <c r="AR1092" s="4"/>
      <c r="AS1092" s="4"/>
      <c r="AT1092" s="4"/>
    </row>
    <row r="1093" spans="12:46">
      <c r="L1093" s="5"/>
      <c r="M1093" s="5"/>
      <c r="W1093" s="5"/>
      <c r="Z1093" s="5"/>
      <c r="AA1093" s="5"/>
      <c r="AD1093" s="5"/>
      <c r="AG1093" s="5"/>
      <c r="AH1093" s="5"/>
      <c r="AN1093" s="4"/>
      <c r="AO1093" s="4"/>
      <c r="AP1093" s="4"/>
      <c r="AQ1093" s="4"/>
      <c r="AR1093" s="4"/>
      <c r="AS1093" s="4"/>
      <c r="AT1093" s="4"/>
    </row>
    <row r="1094" spans="12:46">
      <c r="L1094" s="5"/>
      <c r="M1094" s="5"/>
      <c r="W1094" s="5"/>
      <c r="Z1094" s="5"/>
      <c r="AA1094" s="5"/>
      <c r="AD1094" s="5"/>
      <c r="AG1094" s="5"/>
      <c r="AH1094" s="5"/>
      <c r="AN1094" s="4"/>
      <c r="AO1094" s="4"/>
      <c r="AP1094" s="4"/>
      <c r="AQ1094" s="4"/>
      <c r="AR1094" s="4"/>
      <c r="AS1094" s="4"/>
      <c r="AT1094" s="4"/>
    </row>
    <row r="1095" spans="12:46">
      <c r="L1095" s="5"/>
      <c r="M1095" s="5"/>
      <c r="W1095" s="5"/>
      <c r="Z1095" s="5"/>
      <c r="AA1095" s="5"/>
      <c r="AD1095" s="5"/>
      <c r="AG1095" s="5"/>
      <c r="AH1095" s="5"/>
      <c r="AN1095" s="4"/>
      <c r="AO1095" s="4"/>
      <c r="AP1095" s="4"/>
      <c r="AQ1095" s="4"/>
      <c r="AR1095" s="4"/>
      <c r="AS1095" s="4"/>
      <c r="AT1095" s="4"/>
    </row>
    <row r="1096" spans="12:46">
      <c r="L1096" s="5"/>
      <c r="M1096" s="5"/>
      <c r="W1096" s="5"/>
      <c r="Z1096" s="5"/>
      <c r="AA1096" s="5"/>
      <c r="AD1096" s="5"/>
      <c r="AG1096" s="5"/>
      <c r="AH1096" s="5"/>
      <c r="AN1096" s="4"/>
      <c r="AO1096" s="4"/>
      <c r="AP1096" s="4"/>
      <c r="AQ1096" s="4"/>
      <c r="AR1096" s="4"/>
      <c r="AS1096" s="4"/>
      <c r="AT1096" s="4"/>
    </row>
    <row r="1097" spans="12:46">
      <c r="L1097" s="5"/>
      <c r="M1097" s="5"/>
      <c r="W1097" s="5"/>
      <c r="Z1097" s="5"/>
      <c r="AA1097" s="5"/>
      <c r="AD1097" s="5"/>
      <c r="AG1097" s="5"/>
      <c r="AH1097" s="5"/>
      <c r="AN1097" s="4"/>
      <c r="AO1097" s="4"/>
      <c r="AP1097" s="4"/>
      <c r="AQ1097" s="4"/>
      <c r="AR1097" s="4"/>
      <c r="AS1097" s="4"/>
      <c r="AT1097" s="4"/>
    </row>
    <row r="1098" spans="12:46">
      <c r="L1098" s="5"/>
      <c r="M1098" s="5"/>
      <c r="W1098" s="5"/>
      <c r="Z1098" s="5"/>
      <c r="AA1098" s="5"/>
      <c r="AD1098" s="5"/>
      <c r="AG1098" s="5"/>
      <c r="AH1098" s="5"/>
      <c r="AN1098" s="4"/>
      <c r="AO1098" s="4"/>
      <c r="AP1098" s="4"/>
      <c r="AQ1098" s="4"/>
      <c r="AR1098" s="4"/>
      <c r="AS1098" s="4"/>
      <c r="AT1098" s="4"/>
    </row>
    <row r="1099" spans="12:46">
      <c r="L1099" s="5"/>
      <c r="M1099" s="5"/>
      <c r="W1099" s="5"/>
      <c r="Z1099" s="5"/>
      <c r="AA1099" s="5"/>
      <c r="AD1099" s="5"/>
      <c r="AG1099" s="5"/>
      <c r="AH1099" s="5"/>
      <c r="AN1099" s="4"/>
      <c r="AO1099" s="4"/>
      <c r="AP1099" s="4"/>
      <c r="AQ1099" s="4"/>
      <c r="AR1099" s="4"/>
      <c r="AS1099" s="4"/>
      <c r="AT1099" s="4"/>
    </row>
    <row r="1100" spans="12:46">
      <c r="L1100" s="5"/>
      <c r="M1100" s="5"/>
      <c r="W1100" s="5"/>
      <c r="Z1100" s="5"/>
      <c r="AA1100" s="5"/>
      <c r="AD1100" s="5"/>
      <c r="AG1100" s="5"/>
      <c r="AH1100" s="5"/>
      <c r="AN1100" s="4"/>
      <c r="AO1100" s="4"/>
      <c r="AP1100" s="4"/>
      <c r="AQ1100" s="4"/>
      <c r="AR1100" s="4"/>
      <c r="AS1100" s="4"/>
      <c r="AT1100" s="4"/>
    </row>
    <row r="1101" spans="12:46">
      <c r="L1101" s="5"/>
      <c r="M1101" s="5"/>
      <c r="W1101" s="5"/>
      <c r="Z1101" s="5"/>
      <c r="AA1101" s="5"/>
      <c r="AD1101" s="5"/>
      <c r="AG1101" s="5"/>
      <c r="AH1101" s="5"/>
      <c r="AN1101" s="4"/>
      <c r="AO1101" s="4"/>
      <c r="AP1101" s="4"/>
      <c r="AQ1101" s="4"/>
      <c r="AR1101" s="4"/>
      <c r="AS1101" s="4"/>
      <c r="AT1101" s="4"/>
    </row>
    <row r="1102" spans="12:46">
      <c r="L1102" s="5"/>
      <c r="M1102" s="5"/>
      <c r="W1102" s="5"/>
      <c r="Z1102" s="5"/>
      <c r="AA1102" s="5"/>
      <c r="AD1102" s="5"/>
      <c r="AG1102" s="5"/>
      <c r="AH1102" s="5"/>
      <c r="AN1102" s="4"/>
      <c r="AO1102" s="4"/>
      <c r="AP1102" s="4"/>
      <c r="AQ1102" s="4"/>
      <c r="AR1102" s="4"/>
      <c r="AS1102" s="4"/>
      <c r="AT1102" s="4"/>
    </row>
    <row r="1103" spans="12:46">
      <c r="L1103" s="5"/>
      <c r="M1103" s="5"/>
      <c r="W1103" s="5"/>
      <c r="Z1103" s="5"/>
      <c r="AA1103" s="5"/>
      <c r="AD1103" s="5"/>
      <c r="AG1103" s="5"/>
      <c r="AH1103" s="5"/>
      <c r="AN1103" s="4"/>
      <c r="AO1103" s="4"/>
      <c r="AP1103" s="4"/>
      <c r="AQ1103" s="4"/>
      <c r="AR1103" s="4"/>
      <c r="AS1103" s="4"/>
      <c r="AT1103" s="4"/>
    </row>
    <row r="1104" spans="12:46">
      <c r="L1104" s="5"/>
      <c r="M1104" s="5"/>
      <c r="W1104" s="5"/>
      <c r="Z1104" s="5"/>
      <c r="AA1104" s="5"/>
      <c r="AD1104" s="5"/>
      <c r="AG1104" s="5"/>
      <c r="AH1104" s="5"/>
      <c r="AN1104" s="4"/>
      <c r="AO1104" s="4"/>
      <c r="AP1104" s="4"/>
      <c r="AQ1104" s="4"/>
      <c r="AR1104" s="4"/>
      <c r="AS1104" s="4"/>
      <c r="AT1104" s="4"/>
    </row>
    <row r="1105" spans="12:46">
      <c r="L1105" s="5"/>
      <c r="M1105" s="5"/>
      <c r="W1105" s="5"/>
      <c r="Z1105" s="5"/>
      <c r="AA1105" s="5"/>
      <c r="AD1105" s="5"/>
      <c r="AG1105" s="5"/>
      <c r="AH1105" s="5"/>
      <c r="AN1105" s="4"/>
      <c r="AO1105" s="4"/>
      <c r="AP1105" s="4"/>
      <c r="AQ1105" s="4"/>
      <c r="AR1105" s="4"/>
      <c r="AS1105" s="4"/>
      <c r="AT1105" s="4"/>
    </row>
    <row r="1106" spans="12:46">
      <c r="L1106" s="5"/>
      <c r="M1106" s="5"/>
      <c r="W1106" s="5"/>
      <c r="Z1106" s="5"/>
      <c r="AA1106" s="5"/>
      <c r="AD1106" s="5"/>
      <c r="AG1106" s="5"/>
      <c r="AH1106" s="5"/>
      <c r="AN1106" s="4"/>
      <c r="AO1106" s="4"/>
      <c r="AP1106" s="4"/>
      <c r="AQ1106" s="4"/>
      <c r="AR1106" s="4"/>
      <c r="AS1106" s="4"/>
      <c r="AT1106" s="4"/>
    </row>
    <row r="1107" spans="12:46">
      <c r="L1107" s="5"/>
      <c r="M1107" s="5"/>
      <c r="W1107" s="5"/>
      <c r="Z1107" s="5"/>
      <c r="AA1107" s="5"/>
      <c r="AD1107" s="5"/>
      <c r="AG1107" s="5"/>
      <c r="AH1107" s="5"/>
      <c r="AN1107" s="4"/>
      <c r="AO1107" s="4"/>
      <c r="AP1107" s="4"/>
      <c r="AQ1107" s="4"/>
      <c r="AR1107" s="4"/>
      <c r="AS1107" s="4"/>
      <c r="AT1107" s="4"/>
    </row>
    <row r="1108" spans="12:46">
      <c r="L1108" s="5"/>
      <c r="M1108" s="5"/>
      <c r="W1108" s="5"/>
      <c r="Z1108" s="5"/>
      <c r="AA1108" s="5"/>
      <c r="AD1108" s="5"/>
      <c r="AG1108" s="5"/>
      <c r="AH1108" s="5"/>
      <c r="AN1108" s="4"/>
      <c r="AO1108" s="4"/>
      <c r="AP1108" s="4"/>
      <c r="AQ1108" s="4"/>
      <c r="AR1108" s="4"/>
      <c r="AS1108" s="4"/>
      <c r="AT1108" s="4"/>
    </row>
    <row r="1109" spans="12:46">
      <c r="L1109" s="5"/>
      <c r="M1109" s="5"/>
      <c r="W1109" s="5"/>
      <c r="Z1109" s="5"/>
      <c r="AA1109" s="5"/>
      <c r="AD1109" s="5"/>
      <c r="AG1109" s="5"/>
      <c r="AH1109" s="5"/>
      <c r="AN1109" s="4"/>
      <c r="AO1109" s="4"/>
      <c r="AP1109" s="4"/>
      <c r="AQ1109" s="4"/>
      <c r="AR1109" s="4"/>
      <c r="AS1109" s="4"/>
      <c r="AT1109" s="4"/>
    </row>
    <row r="1110" spans="12:46">
      <c r="L1110" s="5"/>
      <c r="M1110" s="5"/>
      <c r="W1110" s="5"/>
      <c r="Z1110" s="5"/>
      <c r="AA1110" s="5"/>
      <c r="AD1110" s="5"/>
      <c r="AG1110" s="5"/>
      <c r="AH1110" s="5"/>
      <c r="AN1110" s="4"/>
      <c r="AO1110" s="4"/>
      <c r="AP1110" s="4"/>
      <c r="AQ1110" s="4"/>
      <c r="AR1110" s="4"/>
      <c r="AS1110" s="4"/>
      <c r="AT1110" s="4"/>
    </row>
    <row r="1111" spans="12:46">
      <c r="L1111" s="5"/>
      <c r="M1111" s="5"/>
      <c r="W1111" s="5"/>
      <c r="Z1111" s="5"/>
      <c r="AA1111" s="5"/>
      <c r="AD1111" s="5"/>
      <c r="AG1111" s="5"/>
      <c r="AH1111" s="5"/>
      <c r="AN1111" s="4"/>
      <c r="AO1111" s="4"/>
      <c r="AP1111" s="4"/>
      <c r="AQ1111" s="4"/>
      <c r="AR1111" s="4"/>
      <c r="AS1111" s="4"/>
      <c r="AT1111" s="4"/>
    </row>
    <row r="1112" spans="12:46">
      <c r="L1112" s="5"/>
      <c r="M1112" s="5"/>
      <c r="W1112" s="5"/>
      <c r="Z1112" s="5"/>
      <c r="AA1112" s="5"/>
      <c r="AD1112" s="5"/>
      <c r="AG1112" s="5"/>
      <c r="AH1112" s="5"/>
      <c r="AN1112" s="4"/>
      <c r="AO1112" s="4"/>
      <c r="AP1112" s="4"/>
      <c r="AQ1112" s="4"/>
      <c r="AR1112" s="4"/>
      <c r="AS1112" s="4"/>
      <c r="AT1112" s="4"/>
    </row>
    <row r="1113" spans="12:46">
      <c r="L1113" s="5"/>
      <c r="M1113" s="5"/>
      <c r="W1113" s="5"/>
      <c r="Z1113" s="5"/>
      <c r="AA1113" s="5"/>
      <c r="AD1113" s="5"/>
      <c r="AG1113" s="5"/>
      <c r="AH1113" s="5"/>
      <c r="AN1113" s="4"/>
      <c r="AO1113" s="4"/>
      <c r="AP1113" s="4"/>
      <c r="AQ1113" s="4"/>
      <c r="AR1113" s="4"/>
      <c r="AS1113" s="4"/>
      <c r="AT1113" s="4"/>
    </row>
    <row r="1114" spans="12:46">
      <c r="L1114" s="5"/>
      <c r="M1114" s="5"/>
      <c r="W1114" s="5"/>
      <c r="Z1114" s="5"/>
      <c r="AA1114" s="5"/>
      <c r="AD1114" s="5"/>
      <c r="AG1114" s="5"/>
      <c r="AH1114" s="5"/>
      <c r="AN1114" s="4"/>
      <c r="AO1114" s="4"/>
      <c r="AP1114" s="4"/>
      <c r="AQ1114" s="4"/>
      <c r="AR1114" s="4"/>
      <c r="AS1114" s="4"/>
      <c r="AT1114" s="4"/>
    </row>
    <row r="1115" spans="12:46">
      <c r="L1115" s="5"/>
      <c r="M1115" s="5"/>
      <c r="W1115" s="5"/>
      <c r="Z1115" s="5"/>
      <c r="AA1115" s="5"/>
      <c r="AD1115" s="5"/>
      <c r="AG1115" s="5"/>
      <c r="AH1115" s="5"/>
      <c r="AN1115" s="4"/>
      <c r="AO1115" s="4"/>
      <c r="AP1115" s="4"/>
      <c r="AQ1115" s="4"/>
      <c r="AR1115" s="4"/>
      <c r="AS1115" s="4"/>
      <c r="AT1115" s="4"/>
    </row>
    <row r="1116" spans="12:46">
      <c r="L1116" s="5"/>
      <c r="M1116" s="5"/>
      <c r="W1116" s="5"/>
      <c r="Z1116" s="5"/>
      <c r="AA1116" s="5"/>
      <c r="AD1116" s="5"/>
      <c r="AG1116" s="5"/>
      <c r="AH1116" s="5"/>
      <c r="AN1116" s="4"/>
      <c r="AO1116" s="4"/>
      <c r="AP1116" s="4"/>
      <c r="AQ1116" s="4"/>
      <c r="AR1116" s="4"/>
      <c r="AS1116" s="4"/>
      <c r="AT1116" s="4"/>
    </row>
    <row r="1117" spans="12:46">
      <c r="L1117" s="5"/>
      <c r="M1117" s="5"/>
      <c r="W1117" s="5"/>
      <c r="Z1117" s="5"/>
      <c r="AA1117" s="5"/>
      <c r="AD1117" s="5"/>
      <c r="AG1117" s="5"/>
      <c r="AH1117" s="5"/>
      <c r="AN1117" s="4"/>
      <c r="AO1117" s="4"/>
      <c r="AP1117" s="4"/>
      <c r="AQ1117" s="4"/>
      <c r="AR1117" s="4"/>
      <c r="AS1117" s="4"/>
      <c r="AT1117" s="4"/>
    </row>
    <row r="1118" spans="12:46">
      <c r="L1118" s="5"/>
      <c r="M1118" s="5"/>
      <c r="W1118" s="5"/>
      <c r="Z1118" s="5"/>
      <c r="AA1118" s="5"/>
      <c r="AD1118" s="5"/>
      <c r="AG1118" s="5"/>
      <c r="AH1118" s="5"/>
      <c r="AN1118" s="4"/>
      <c r="AO1118" s="4"/>
      <c r="AP1118" s="4"/>
      <c r="AQ1118" s="4"/>
      <c r="AR1118" s="4"/>
      <c r="AS1118" s="4"/>
      <c r="AT1118" s="4"/>
    </row>
    <row r="1119" spans="12:46">
      <c r="L1119" s="5"/>
      <c r="M1119" s="5"/>
      <c r="W1119" s="5"/>
      <c r="Z1119" s="5"/>
      <c r="AA1119" s="5"/>
      <c r="AD1119" s="5"/>
      <c r="AG1119" s="5"/>
      <c r="AH1119" s="5"/>
      <c r="AN1119" s="4"/>
      <c r="AO1119" s="4"/>
      <c r="AP1119" s="4"/>
      <c r="AQ1119" s="4"/>
      <c r="AR1119" s="4"/>
      <c r="AS1119" s="4"/>
      <c r="AT1119" s="4"/>
    </row>
    <row r="1120" spans="12:46">
      <c r="L1120" s="5"/>
      <c r="M1120" s="5"/>
      <c r="W1120" s="5"/>
      <c r="Z1120" s="5"/>
      <c r="AA1120" s="5"/>
      <c r="AD1120" s="5"/>
      <c r="AG1120" s="5"/>
      <c r="AH1120" s="5"/>
      <c r="AN1120" s="4"/>
      <c r="AO1120" s="4"/>
      <c r="AP1120" s="4"/>
      <c r="AQ1120" s="4"/>
      <c r="AR1120" s="4"/>
      <c r="AS1120" s="4"/>
      <c r="AT1120" s="4"/>
    </row>
    <row r="1121" spans="12:46">
      <c r="L1121" s="5"/>
      <c r="M1121" s="5"/>
      <c r="W1121" s="5"/>
      <c r="Z1121" s="5"/>
      <c r="AA1121" s="5"/>
      <c r="AD1121" s="5"/>
      <c r="AG1121" s="5"/>
      <c r="AH1121" s="5"/>
      <c r="AN1121" s="4"/>
      <c r="AO1121" s="4"/>
      <c r="AP1121" s="4"/>
      <c r="AQ1121" s="4"/>
      <c r="AR1121" s="4"/>
      <c r="AS1121" s="4"/>
      <c r="AT1121" s="4"/>
    </row>
    <row r="1122" spans="12:46">
      <c r="L1122" s="5"/>
      <c r="M1122" s="5"/>
      <c r="W1122" s="5"/>
      <c r="Z1122" s="5"/>
      <c r="AA1122" s="5"/>
      <c r="AD1122" s="5"/>
      <c r="AG1122" s="5"/>
      <c r="AH1122" s="5"/>
      <c r="AN1122" s="4"/>
      <c r="AO1122" s="4"/>
      <c r="AP1122" s="4"/>
      <c r="AQ1122" s="4"/>
      <c r="AR1122" s="4"/>
      <c r="AS1122" s="4"/>
      <c r="AT1122" s="4"/>
    </row>
    <row r="1123" spans="12:46">
      <c r="L1123" s="5"/>
      <c r="M1123" s="5"/>
      <c r="W1123" s="5"/>
      <c r="Z1123" s="5"/>
      <c r="AA1123" s="5"/>
      <c r="AD1123" s="5"/>
      <c r="AG1123" s="5"/>
      <c r="AH1123" s="5"/>
      <c r="AN1123" s="4"/>
      <c r="AO1123" s="4"/>
      <c r="AP1123" s="4"/>
      <c r="AQ1123" s="4"/>
      <c r="AR1123" s="4"/>
      <c r="AS1123" s="4"/>
      <c r="AT1123" s="4"/>
    </row>
    <row r="1124" spans="12:46">
      <c r="L1124" s="5"/>
      <c r="M1124" s="5"/>
      <c r="W1124" s="5"/>
      <c r="Z1124" s="5"/>
      <c r="AA1124" s="5"/>
      <c r="AD1124" s="5"/>
      <c r="AG1124" s="5"/>
      <c r="AH1124" s="5"/>
      <c r="AN1124" s="4"/>
      <c r="AO1124" s="4"/>
      <c r="AP1124" s="4"/>
      <c r="AQ1124" s="4"/>
      <c r="AR1124" s="4"/>
      <c r="AS1124" s="4"/>
      <c r="AT1124" s="4"/>
    </row>
    <row r="1125" spans="12:46">
      <c r="L1125" s="5"/>
      <c r="M1125" s="5"/>
      <c r="W1125" s="5"/>
      <c r="Z1125" s="5"/>
      <c r="AA1125" s="5"/>
      <c r="AD1125" s="5"/>
      <c r="AG1125" s="5"/>
      <c r="AH1125" s="5"/>
      <c r="AN1125" s="4"/>
      <c r="AO1125" s="4"/>
      <c r="AP1125" s="4"/>
      <c r="AQ1125" s="4"/>
      <c r="AR1125" s="4"/>
      <c r="AS1125" s="4"/>
      <c r="AT1125" s="4"/>
    </row>
    <row r="1126" spans="12:46">
      <c r="L1126" s="5"/>
      <c r="M1126" s="5"/>
      <c r="W1126" s="5"/>
      <c r="Z1126" s="5"/>
      <c r="AA1126" s="5"/>
      <c r="AD1126" s="5"/>
      <c r="AG1126" s="5"/>
      <c r="AH1126" s="5"/>
      <c r="AN1126" s="4"/>
      <c r="AO1126" s="4"/>
      <c r="AP1126" s="4"/>
      <c r="AQ1126" s="4"/>
      <c r="AR1126" s="4"/>
      <c r="AS1126" s="4"/>
      <c r="AT1126" s="4"/>
    </row>
    <row r="1127" spans="12:46">
      <c r="L1127" s="5"/>
      <c r="M1127" s="5"/>
      <c r="W1127" s="5"/>
      <c r="Z1127" s="5"/>
      <c r="AA1127" s="5"/>
      <c r="AD1127" s="5"/>
      <c r="AG1127" s="5"/>
      <c r="AH1127" s="5"/>
      <c r="AN1127" s="4"/>
      <c r="AO1127" s="4"/>
      <c r="AP1127" s="4"/>
      <c r="AQ1127" s="4"/>
      <c r="AR1127" s="4"/>
      <c r="AS1127" s="4"/>
      <c r="AT1127" s="4"/>
    </row>
    <row r="1128" spans="12:46">
      <c r="L1128" s="5"/>
      <c r="M1128" s="5"/>
      <c r="W1128" s="5"/>
      <c r="Z1128" s="5"/>
      <c r="AA1128" s="5"/>
      <c r="AD1128" s="5"/>
      <c r="AG1128" s="5"/>
      <c r="AH1128" s="5"/>
      <c r="AN1128" s="4"/>
      <c r="AO1128" s="4"/>
      <c r="AP1128" s="4"/>
      <c r="AQ1128" s="4"/>
      <c r="AR1128" s="4"/>
      <c r="AS1128" s="4"/>
      <c r="AT1128" s="4"/>
    </row>
    <row r="1129" spans="12:46">
      <c r="L1129" s="5"/>
      <c r="M1129" s="5"/>
      <c r="W1129" s="5"/>
      <c r="Z1129" s="5"/>
      <c r="AA1129" s="5"/>
      <c r="AD1129" s="5"/>
      <c r="AG1129" s="5"/>
      <c r="AH1129" s="5"/>
      <c r="AN1129" s="4"/>
      <c r="AO1129" s="4"/>
      <c r="AP1129" s="4"/>
      <c r="AQ1129" s="4"/>
      <c r="AR1129" s="4"/>
      <c r="AS1129" s="4"/>
      <c r="AT1129" s="4"/>
    </row>
    <row r="1130" spans="12:46">
      <c r="L1130" s="5"/>
      <c r="M1130" s="5"/>
      <c r="W1130" s="5"/>
      <c r="Z1130" s="5"/>
      <c r="AA1130" s="5"/>
      <c r="AD1130" s="5"/>
      <c r="AG1130" s="5"/>
      <c r="AH1130" s="5"/>
      <c r="AN1130" s="4"/>
      <c r="AO1130" s="4"/>
      <c r="AP1130" s="4"/>
      <c r="AQ1130" s="4"/>
      <c r="AR1130" s="4"/>
      <c r="AS1130" s="4"/>
      <c r="AT1130" s="4"/>
    </row>
    <row r="1131" spans="12:46">
      <c r="L1131" s="5"/>
      <c r="M1131" s="5"/>
      <c r="W1131" s="5"/>
      <c r="Z1131" s="5"/>
      <c r="AA1131" s="5"/>
      <c r="AD1131" s="5"/>
      <c r="AG1131" s="5"/>
      <c r="AH1131" s="5"/>
      <c r="AN1131" s="4"/>
      <c r="AO1131" s="4"/>
      <c r="AP1131" s="4"/>
      <c r="AQ1131" s="4"/>
      <c r="AR1131" s="4"/>
      <c r="AS1131" s="4"/>
      <c r="AT1131" s="4"/>
    </row>
    <row r="1132" spans="12:46">
      <c r="L1132" s="5"/>
      <c r="M1132" s="5"/>
      <c r="W1132" s="5"/>
      <c r="Z1132" s="5"/>
      <c r="AA1132" s="5"/>
      <c r="AD1132" s="5"/>
      <c r="AG1132" s="5"/>
      <c r="AH1132" s="5"/>
      <c r="AN1132" s="4"/>
      <c r="AO1132" s="4"/>
      <c r="AP1132" s="4"/>
      <c r="AQ1132" s="4"/>
      <c r="AR1132" s="4"/>
      <c r="AS1132" s="4"/>
      <c r="AT1132" s="4"/>
    </row>
    <row r="1133" spans="12:46">
      <c r="L1133" s="5"/>
      <c r="M1133" s="5"/>
      <c r="W1133" s="5"/>
      <c r="Z1133" s="5"/>
      <c r="AA1133" s="5"/>
      <c r="AD1133" s="5"/>
      <c r="AG1133" s="5"/>
      <c r="AH1133" s="5"/>
      <c r="AN1133" s="4"/>
      <c r="AO1133" s="4"/>
      <c r="AP1133" s="4"/>
      <c r="AQ1133" s="4"/>
      <c r="AR1133" s="4"/>
      <c r="AS1133" s="4"/>
      <c r="AT1133" s="4"/>
    </row>
    <row r="1134" spans="12:46">
      <c r="L1134" s="5"/>
      <c r="M1134" s="5"/>
      <c r="W1134" s="5"/>
      <c r="Z1134" s="5"/>
      <c r="AA1134" s="5"/>
      <c r="AD1134" s="5"/>
      <c r="AG1134" s="5"/>
      <c r="AH1134" s="5"/>
      <c r="AN1134" s="4"/>
      <c r="AO1134" s="4"/>
      <c r="AP1134" s="4"/>
      <c r="AQ1134" s="4"/>
      <c r="AR1134" s="4"/>
      <c r="AS1134" s="4"/>
      <c r="AT1134" s="4"/>
    </row>
    <row r="1135" spans="12:46">
      <c r="L1135" s="5"/>
      <c r="M1135" s="5"/>
      <c r="W1135" s="5"/>
      <c r="Z1135" s="5"/>
      <c r="AA1135" s="5"/>
      <c r="AD1135" s="5"/>
      <c r="AG1135" s="5"/>
      <c r="AH1135" s="5"/>
      <c r="AN1135" s="4"/>
      <c r="AO1135" s="4"/>
      <c r="AP1135" s="4"/>
      <c r="AQ1135" s="4"/>
      <c r="AR1135" s="4"/>
      <c r="AS1135" s="4"/>
      <c r="AT1135" s="4"/>
    </row>
    <row r="1136" spans="12:46">
      <c r="L1136" s="5"/>
      <c r="M1136" s="5"/>
      <c r="W1136" s="5"/>
      <c r="Z1136" s="5"/>
      <c r="AA1136" s="5"/>
      <c r="AD1136" s="5"/>
      <c r="AG1136" s="5"/>
      <c r="AH1136" s="5"/>
      <c r="AN1136" s="4"/>
      <c r="AO1136" s="4"/>
      <c r="AP1136" s="4"/>
      <c r="AQ1136" s="4"/>
      <c r="AR1136" s="4"/>
      <c r="AS1136" s="4"/>
      <c r="AT1136" s="4"/>
    </row>
    <row r="1137" spans="12:46">
      <c r="L1137" s="5"/>
      <c r="M1137" s="5"/>
      <c r="W1137" s="5"/>
      <c r="Z1137" s="5"/>
      <c r="AA1137" s="5"/>
      <c r="AD1137" s="5"/>
      <c r="AG1137" s="5"/>
      <c r="AH1137" s="5"/>
      <c r="AN1137" s="4"/>
      <c r="AO1137" s="4"/>
      <c r="AP1137" s="4"/>
      <c r="AQ1137" s="4"/>
      <c r="AR1137" s="4"/>
      <c r="AS1137" s="4"/>
      <c r="AT1137" s="4"/>
    </row>
    <row r="1138" spans="12:46">
      <c r="L1138" s="5"/>
      <c r="M1138" s="5"/>
      <c r="W1138" s="5"/>
      <c r="Z1138" s="5"/>
      <c r="AA1138" s="5"/>
      <c r="AD1138" s="5"/>
      <c r="AG1138" s="5"/>
      <c r="AH1138" s="5"/>
      <c r="AN1138" s="4"/>
      <c r="AO1138" s="4"/>
      <c r="AP1138" s="4"/>
      <c r="AQ1138" s="4"/>
      <c r="AR1138" s="4"/>
      <c r="AS1138" s="4"/>
      <c r="AT1138" s="4"/>
    </row>
    <row r="1139" spans="12:46">
      <c r="L1139" s="5"/>
      <c r="M1139" s="5"/>
      <c r="W1139" s="5"/>
      <c r="Z1139" s="5"/>
      <c r="AA1139" s="5"/>
      <c r="AD1139" s="5"/>
      <c r="AG1139" s="5"/>
      <c r="AH1139" s="5"/>
      <c r="AN1139" s="4"/>
      <c r="AO1139" s="4"/>
      <c r="AP1139" s="4"/>
      <c r="AQ1139" s="4"/>
      <c r="AR1139" s="4"/>
      <c r="AS1139" s="4"/>
      <c r="AT1139" s="4"/>
    </row>
    <row r="1140" spans="12:46">
      <c r="L1140" s="5"/>
      <c r="M1140" s="5"/>
      <c r="W1140" s="5"/>
      <c r="Z1140" s="5"/>
      <c r="AA1140" s="5"/>
      <c r="AD1140" s="5"/>
      <c r="AG1140" s="5"/>
      <c r="AH1140" s="5"/>
      <c r="AN1140" s="4"/>
      <c r="AO1140" s="4"/>
      <c r="AP1140" s="4"/>
      <c r="AQ1140" s="4"/>
      <c r="AR1140" s="4"/>
      <c r="AS1140" s="4"/>
      <c r="AT1140" s="4"/>
    </row>
    <row r="1141" spans="12:46">
      <c r="L1141" s="5"/>
      <c r="M1141" s="5"/>
      <c r="W1141" s="5"/>
      <c r="Z1141" s="5"/>
      <c r="AA1141" s="5"/>
      <c r="AD1141" s="5"/>
      <c r="AG1141" s="5"/>
      <c r="AH1141" s="5"/>
      <c r="AN1141" s="4"/>
      <c r="AO1141" s="4"/>
      <c r="AP1141" s="4"/>
      <c r="AQ1141" s="4"/>
      <c r="AR1141" s="4"/>
      <c r="AS1141" s="4"/>
      <c r="AT1141" s="4"/>
    </row>
    <row r="1142" spans="12:46">
      <c r="L1142" s="5"/>
      <c r="M1142" s="5"/>
      <c r="W1142" s="5"/>
      <c r="Z1142" s="5"/>
      <c r="AA1142" s="5"/>
      <c r="AD1142" s="5"/>
      <c r="AG1142" s="5"/>
      <c r="AH1142" s="5"/>
      <c r="AN1142" s="4"/>
      <c r="AO1142" s="4"/>
      <c r="AP1142" s="4"/>
      <c r="AQ1142" s="4"/>
      <c r="AR1142" s="4"/>
      <c r="AS1142" s="4"/>
      <c r="AT1142" s="4"/>
    </row>
    <row r="1143" spans="12:46">
      <c r="L1143" s="5"/>
      <c r="M1143" s="5"/>
      <c r="W1143" s="5"/>
      <c r="Z1143" s="5"/>
      <c r="AA1143" s="5"/>
      <c r="AD1143" s="5"/>
      <c r="AG1143" s="5"/>
      <c r="AH1143" s="5"/>
      <c r="AN1143" s="4"/>
      <c r="AO1143" s="4"/>
      <c r="AP1143" s="4"/>
      <c r="AQ1143" s="4"/>
      <c r="AR1143" s="4"/>
      <c r="AS1143" s="4"/>
      <c r="AT1143" s="4"/>
    </row>
    <row r="1144" spans="12:46">
      <c r="L1144" s="5"/>
      <c r="M1144" s="5"/>
      <c r="W1144" s="5"/>
      <c r="Z1144" s="5"/>
      <c r="AA1144" s="5"/>
      <c r="AD1144" s="5"/>
      <c r="AG1144" s="5"/>
      <c r="AH1144" s="5"/>
      <c r="AN1144" s="4"/>
      <c r="AO1144" s="4"/>
      <c r="AP1144" s="4"/>
      <c r="AQ1144" s="4"/>
      <c r="AR1144" s="4"/>
      <c r="AS1144" s="4"/>
      <c r="AT1144" s="4"/>
    </row>
    <row r="1145" spans="12:46">
      <c r="L1145" s="5"/>
      <c r="M1145" s="5"/>
      <c r="W1145" s="5"/>
      <c r="Z1145" s="5"/>
      <c r="AA1145" s="5"/>
      <c r="AD1145" s="5"/>
      <c r="AG1145" s="5"/>
      <c r="AH1145" s="5"/>
      <c r="AN1145" s="4"/>
      <c r="AO1145" s="4"/>
      <c r="AP1145" s="4"/>
      <c r="AQ1145" s="4"/>
      <c r="AR1145" s="4"/>
      <c r="AS1145" s="4"/>
      <c r="AT1145" s="4"/>
    </row>
    <row r="1146" spans="12:46">
      <c r="L1146" s="5"/>
      <c r="M1146" s="5"/>
      <c r="W1146" s="5"/>
      <c r="Z1146" s="5"/>
      <c r="AA1146" s="5"/>
      <c r="AD1146" s="5"/>
      <c r="AG1146" s="5"/>
      <c r="AH1146" s="5"/>
      <c r="AN1146" s="4"/>
      <c r="AO1146" s="4"/>
      <c r="AP1146" s="4"/>
      <c r="AQ1146" s="4"/>
      <c r="AR1146" s="4"/>
      <c r="AS1146" s="4"/>
      <c r="AT1146" s="4"/>
    </row>
    <row r="1147" spans="12:46">
      <c r="L1147" s="5"/>
      <c r="M1147" s="5"/>
      <c r="W1147" s="5"/>
      <c r="Z1147" s="5"/>
      <c r="AA1147" s="5"/>
      <c r="AD1147" s="5"/>
      <c r="AG1147" s="5"/>
      <c r="AH1147" s="5"/>
      <c r="AN1147" s="4"/>
      <c r="AO1147" s="4"/>
      <c r="AP1147" s="4"/>
      <c r="AQ1147" s="4"/>
      <c r="AR1147" s="4"/>
      <c r="AS1147" s="4"/>
      <c r="AT1147" s="4"/>
    </row>
    <row r="1148" spans="12:46">
      <c r="L1148" s="5"/>
      <c r="M1148" s="5"/>
      <c r="W1148" s="5"/>
      <c r="Z1148" s="5"/>
      <c r="AA1148" s="5"/>
      <c r="AD1148" s="5"/>
      <c r="AG1148" s="5"/>
      <c r="AH1148" s="5"/>
      <c r="AN1148" s="4"/>
      <c r="AO1148" s="4"/>
      <c r="AP1148" s="4"/>
      <c r="AQ1148" s="4"/>
      <c r="AR1148" s="4"/>
      <c r="AS1148" s="4"/>
      <c r="AT1148" s="4"/>
    </row>
    <row r="1149" spans="12:46">
      <c r="L1149" s="5"/>
      <c r="M1149" s="5"/>
      <c r="W1149" s="5"/>
      <c r="Z1149" s="5"/>
      <c r="AA1149" s="5"/>
      <c r="AD1149" s="5"/>
      <c r="AG1149" s="5"/>
      <c r="AH1149" s="5"/>
      <c r="AN1149" s="4"/>
      <c r="AO1149" s="4"/>
      <c r="AP1149" s="4"/>
      <c r="AQ1149" s="4"/>
      <c r="AR1149" s="4"/>
      <c r="AS1149" s="4"/>
      <c r="AT1149" s="4"/>
    </row>
    <row r="1150" spans="12:46">
      <c r="L1150" s="5"/>
      <c r="M1150" s="5"/>
      <c r="W1150" s="5"/>
      <c r="Z1150" s="5"/>
      <c r="AA1150" s="5"/>
      <c r="AD1150" s="5"/>
      <c r="AG1150" s="5"/>
      <c r="AH1150" s="5"/>
      <c r="AN1150" s="4"/>
      <c r="AO1150" s="4"/>
      <c r="AP1150" s="4"/>
      <c r="AQ1150" s="4"/>
      <c r="AR1150" s="4"/>
      <c r="AS1150" s="4"/>
      <c r="AT1150" s="4"/>
    </row>
    <row r="1151" spans="12:46">
      <c r="L1151" s="5"/>
      <c r="M1151" s="5"/>
      <c r="W1151" s="5"/>
      <c r="Z1151" s="5"/>
      <c r="AA1151" s="5"/>
      <c r="AD1151" s="5"/>
      <c r="AG1151" s="5"/>
      <c r="AH1151" s="5"/>
      <c r="AN1151" s="4"/>
      <c r="AO1151" s="4"/>
      <c r="AP1151" s="4"/>
      <c r="AQ1151" s="4"/>
      <c r="AR1151" s="4"/>
      <c r="AS1151" s="4"/>
      <c r="AT1151" s="4"/>
    </row>
    <row r="1152" spans="12:46">
      <c r="L1152" s="5"/>
      <c r="M1152" s="5"/>
      <c r="W1152" s="5"/>
      <c r="Z1152" s="5"/>
      <c r="AA1152" s="5"/>
      <c r="AD1152" s="5"/>
      <c r="AG1152" s="5"/>
      <c r="AH1152" s="5"/>
      <c r="AN1152" s="4"/>
      <c r="AO1152" s="4"/>
      <c r="AP1152" s="4"/>
      <c r="AQ1152" s="4"/>
      <c r="AR1152" s="4"/>
      <c r="AS1152" s="4"/>
      <c r="AT1152" s="4"/>
    </row>
    <row r="1153" spans="12:46">
      <c r="L1153" s="5"/>
      <c r="M1153" s="5"/>
      <c r="W1153" s="5"/>
      <c r="Z1153" s="5"/>
      <c r="AA1153" s="5"/>
      <c r="AD1153" s="5"/>
      <c r="AG1153" s="5"/>
      <c r="AH1153" s="5"/>
      <c r="AN1153" s="4"/>
      <c r="AO1153" s="4"/>
      <c r="AP1153" s="4"/>
      <c r="AQ1153" s="4"/>
      <c r="AR1153" s="4"/>
      <c r="AS1153" s="4"/>
      <c r="AT1153" s="4"/>
    </row>
    <row r="1154" spans="12:46">
      <c r="L1154" s="5"/>
      <c r="M1154" s="5"/>
      <c r="W1154" s="5"/>
      <c r="Z1154" s="5"/>
      <c r="AA1154" s="5"/>
      <c r="AD1154" s="5"/>
      <c r="AG1154" s="5"/>
      <c r="AH1154" s="5"/>
      <c r="AN1154" s="4"/>
      <c r="AO1154" s="4"/>
      <c r="AP1154" s="4"/>
      <c r="AQ1154" s="4"/>
      <c r="AR1154" s="4"/>
      <c r="AS1154" s="4"/>
      <c r="AT1154" s="4"/>
    </row>
    <row r="1155" spans="12:46">
      <c r="L1155" s="5"/>
      <c r="M1155" s="5"/>
      <c r="W1155" s="5"/>
      <c r="Z1155" s="5"/>
      <c r="AA1155" s="5"/>
      <c r="AD1155" s="5"/>
      <c r="AG1155" s="5"/>
      <c r="AH1155" s="5"/>
      <c r="AN1155" s="4"/>
      <c r="AO1155" s="4"/>
      <c r="AP1155" s="4"/>
      <c r="AQ1155" s="4"/>
      <c r="AR1155" s="4"/>
      <c r="AS1155" s="4"/>
      <c r="AT1155" s="4"/>
    </row>
    <row r="1156" spans="12:46">
      <c r="L1156" s="5"/>
      <c r="M1156" s="5"/>
      <c r="W1156" s="5"/>
      <c r="Z1156" s="5"/>
      <c r="AA1156" s="5"/>
      <c r="AD1156" s="5"/>
      <c r="AG1156" s="5"/>
      <c r="AH1156" s="5"/>
      <c r="AN1156" s="4"/>
      <c r="AO1156" s="4"/>
      <c r="AP1156" s="4"/>
      <c r="AQ1156" s="4"/>
      <c r="AR1156" s="4"/>
      <c r="AS1156" s="4"/>
      <c r="AT1156" s="4"/>
    </row>
    <row r="1157" spans="12:46">
      <c r="L1157" s="5"/>
      <c r="M1157" s="5"/>
      <c r="W1157" s="5"/>
      <c r="Z1157" s="5"/>
      <c r="AA1157" s="5"/>
      <c r="AD1157" s="5"/>
      <c r="AG1157" s="5"/>
      <c r="AH1157" s="5"/>
      <c r="AN1157" s="4"/>
      <c r="AO1157" s="4"/>
      <c r="AP1157" s="4"/>
      <c r="AQ1157" s="4"/>
      <c r="AR1157" s="4"/>
      <c r="AS1157" s="4"/>
      <c r="AT1157" s="4"/>
    </row>
    <row r="1158" spans="12:46">
      <c r="L1158" s="5"/>
      <c r="M1158" s="5"/>
      <c r="W1158" s="5"/>
      <c r="Z1158" s="5"/>
      <c r="AA1158" s="5"/>
      <c r="AD1158" s="5"/>
      <c r="AG1158" s="5"/>
      <c r="AH1158" s="5"/>
      <c r="AN1158" s="4"/>
      <c r="AO1158" s="4"/>
      <c r="AP1158" s="4"/>
      <c r="AQ1158" s="4"/>
      <c r="AR1158" s="4"/>
      <c r="AS1158" s="4"/>
      <c r="AT1158" s="4"/>
    </row>
    <row r="1159" spans="12:46">
      <c r="L1159" s="5"/>
      <c r="M1159" s="5"/>
      <c r="W1159" s="5"/>
      <c r="Z1159" s="5"/>
      <c r="AA1159" s="5"/>
      <c r="AD1159" s="5"/>
      <c r="AG1159" s="5"/>
      <c r="AH1159" s="5"/>
      <c r="AN1159" s="4"/>
      <c r="AO1159" s="4"/>
      <c r="AP1159" s="4"/>
      <c r="AQ1159" s="4"/>
      <c r="AR1159" s="4"/>
      <c r="AS1159" s="4"/>
      <c r="AT1159" s="4"/>
    </row>
    <row r="1160" spans="12:46">
      <c r="L1160" s="5"/>
      <c r="M1160" s="5"/>
      <c r="W1160" s="5"/>
      <c r="Z1160" s="5"/>
      <c r="AA1160" s="5"/>
      <c r="AD1160" s="5"/>
      <c r="AG1160" s="5"/>
      <c r="AH1160" s="5"/>
      <c r="AN1160" s="4"/>
      <c r="AO1160" s="4"/>
      <c r="AP1160" s="4"/>
      <c r="AQ1160" s="4"/>
      <c r="AR1160" s="4"/>
      <c r="AS1160" s="4"/>
      <c r="AT1160" s="4"/>
    </row>
    <row r="1161" spans="12:46">
      <c r="L1161" s="5"/>
      <c r="M1161" s="5"/>
      <c r="W1161" s="5"/>
      <c r="Z1161" s="5"/>
      <c r="AA1161" s="5"/>
      <c r="AD1161" s="5"/>
      <c r="AG1161" s="5"/>
      <c r="AH1161" s="5"/>
      <c r="AN1161" s="4"/>
      <c r="AO1161" s="4"/>
      <c r="AP1161" s="4"/>
      <c r="AQ1161" s="4"/>
      <c r="AR1161" s="4"/>
      <c r="AS1161" s="4"/>
      <c r="AT1161" s="4"/>
    </row>
    <row r="1162" spans="12:46">
      <c r="L1162" s="5"/>
      <c r="M1162" s="5"/>
      <c r="W1162" s="5"/>
      <c r="Z1162" s="5"/>
      <c r="AA1162" s="5"/>
      <c r="AD1162" s="5"/>
      <c r="AG1162" s="5"/>
      <c r="AH1162" s="5"/>
      <c r="AN1162" s="4"/>
      <c r="AO1162" s="4"/>
      <c r="AP1162" s="4"/>
      <c r="AQ1162" s="4"/>
      <c r="AR1162" s="4"/>
      <c r="AS1162" s="4"/>
      <c r="AT1162" s="4"/>
    </row>
    <row r="1163" spans="12:46">
      <c r="L1163" s="5"/>
      <c r="M1163" s="5"/>
      <c r="W1163" s="5"/>
      <c r="Z1163" s="5"/>
      <c r="AA1163" s="5"/>
      <c r="AD1163" s="5"/>
      <c r="AG1163" s="5"/>
      <c r="AH1163" s="5"/>
      <c r="AN1163" s="4"/>
      <c r="AO1163" s="4"/>
      <c r="AP1163" s="4"/>
      <c r="AQ1163" s="4"/>
      <c r="AR1163" s="4"/>
      <c r="AS1163" s="4"/>
      <c r="AT1163" s="4"/>
    </row>
    <row r="1164" spans="12:46">
      <c r="L1164" s="5"/>
      <c r="M1164" s="5"/>
      <c r="W1164" s="5"/>
      <c r="Z1164" s="5"/>
      <c r="AA1164" s="5"/>
      <c r="AD1164" s="5"/>
      <c r="AG1164" s="5"/>
      <c r="AH1164" s="5"/>
      <c r="AN1164" s="4"/>
      <c r="AO1164" s="4"/>
      <c r="AP1164" s="4"/>
      <c r="AQ1164" s="4"/>
      <c r="AR1164" s="4"/>
      <c r="AS1164" s="4"/>
      <c r="AT1164" s="4"/>
    </row>
    <row r="1165" spans="12:46">
      <c r="L1165" s="5"/>
      <c r="M1165" s="5"/>
      <c r="W1165" s="5"/>
      <c r="Z1165" s="5"/>
      <c r="AA1165" s="5"/>
      <c r="AD1165" s="5"/>
      <c r="AG1165" s="5"/>
      <c r="AH1165" s="5"/>
      <c r="AN1165" s="4"/>
      <c r="AO1165" s="4"/>
      <c r="AP1165" s="4"/>
      <c r="AQ1165" s="4"/>
      <c r="AR1165" s="4"/>
      <c r="AS1165" s="4"/>
      <c r="AT1165" s="4"/>
    </row>
    <row r="1166" spans="12:46">
      <c r="L1166" s="5"/>
      <c r="M1166" s="5"/>
      <c r="W1166" s="5"/>
      <c r="Z1166" s="5"/>
      <c r="AA1166" s="5"/>
      <c r="AD1166" s="5"/>
      <c r="AG1166" s="5"/>
      <c r="AH1166" s="5"/>
      <c r="AN1166" s="4"/>
      <c r="AO1166" s="4"/>
      <c r="AP1166" s="4"/>
      <c r="AQ1166" s="4"/>
      <c r="AR1166" s="4"/>
      <c r="AS1166" s="4"/>
      <c r="AT1166" s="4"/>
    </row>
    <row r="1167" spans="12:46">
      <c r="L1167" s="5"/>
      <c r="M1167" s="5"/>
      <c r="W1167" s="5"/>
      <c r="Z1167" s="5"/>
      <c r="AA1167" s="5"/>
      <c r="AD1167" s="5"/>
      <c r="AG1167" s="5"/>
      <c r="AH1167" s="5"/>
      <c r="AN1167" s="4"/>
      <c r="AO1167" s="4"/>
      <c r="AP1167" s="4"/>
      <c r="AQ1167" s="4"/>
      <c r="AR1167" s="4"/>
      <c r="AS1167" s="4"/>
      <c r="AT1167" s="4"/>
    </row>
    <row r="1168" spans="12:46">
      <c r="L1168" s="5"/>
      <c r="M1168" s="5"/>
      <c r="W1168" s="5"/>
      <c r="Z1168" s="5"/>
      <c r="AA1168" s="5"/>
      <c r="AD1168" s="5"/>
      <c r="AG1168" s="5"/>
      <c r="AH1168" s="5"/>
      <c r="AN1168" s="4"/>
      <c r="AO1168" s="4"/>
      <c r="AP1168" s="4"/>
      <c r="AQ1168" s="4"/>
      <c r="AR1168" s="4"/>
      <c r="AS1168" s="4"/>
      <c r="AT1168" s="4"/>
    </row>
    <row r="1169" spans="12:46">
      <c r="L1169" s="5"/>
      <c r="M1169" s="5"/>
      <c r="W1169" s="5"/>
      <c r="Z1169" s="5"/>
      <c r="AA1169" s="5"/>
      <c r="AD1169" s="5"/>
      <c r="AG1169" s="5"/>
      <c r="AH1169" s="5"/>
      <c r="AN1169" s="4"/>
      <c r="AO1169" s="4"/>
      <c r="AP1169" s="4"/>
      <c r="AQ1169" s="4"/>
      <c r="AR1169" s="4"/>
      <c r="AS1169" s="4"/>
      <c r="AT1169" s="4"/>
    </row>
    <row r="1170" spans="12:46">
      <c r="L1170" s="5"/>
      <c r="M1170" s="5"/>
      <c r="W1170" s="5"/>
      <c r="Z1170" s="5"/>
      <c r="AA1170" s="5"/>
      <c r="AD1170" s="5"/>
      <c r="AG1170" s="5"/>
      <c r="AH1170" s="5"/>
      <c r="AN1170" s="4"/>
      <c r="AO1170" s="4"/>
      <c r="AP1170" s="4"/>
      <c r="AQ1170" s="4"/>
      <c r="AR1170" s="4"/>
      <c r="AS1170" s="4"/>
      <c r="AT1170" s="4"/>
    </row>
    <row r="1171" spans="12:46">
      <c r="L1171" s="5"/>
      <c r="M1171" s="5"/>
      <c r="W1171" s="5"/>
      <c r="Z1171" s="5"/>
      <c r="AA1171" s="5"/>
      <c r="AD1171" s="5"/>
      <c r="AG1171" s="5"/>
      <c r="AH1171" s="5"/>
      <c r="AN1171" s="4"/>
      <c r="AO1171" s="4"/>
      <c r="AP1171" s="4"/>
      <c r="AQ1171" s="4"/>
      <c r="AR1171" s="4"/>
      <c r="AS1171" s="4"/>
      <c r="AT1171" s="4"/>
    </row>
    <row r="1172" spans="12:46">
      <c r="L1172" s="5"/>
      <c r="M1172" s="5"/>
      <c r="W1172" s="5"/>
      <c r="Z1172" s="5"/>
      <c r="AA1172" s="5"/>
      <c r="AD1172" s="5"/>
      <c r="AG1172" s="5"/>
      <c r="AH1172" s="5"/>
      <c r="AN1172" s="4"/>
      <c r="AO1172" s="4"/>
      <c r="AP1172" s="4"/>
      <c r="AQ1172" s="4"/>
      <c r="AR1172" s="4"/>
      <c r="AS1172" s="4"/>
      <c r="AT1172" s="4"/>
    </row>
    <row r="1173" spans="12:46">
      <c r="L1173" s="5"/>
      <c r="M1173" s="5"/>
      <c r="W1173" s="5"/>
      <c r="Z1173" s="5"/>
      <c r="AA1173" s="5"/>
      <c r="AD1173" s="5"/>
      <c r="AG1173" s="5"/>
      <c r="AH1173" s="5"/>
      <c r="AN1173" s="4"/>
      <c r="AO1173" s="4"/>
      <c r="AP1173" s="4"/>
      <c r="AQ1173" s="4"/>
      <c r="AR1173" s="4"/>
      <c r="AS1173" s="4"/>
      <c r="AT1173" s="4"/>
    </row>
    <row r="1174" spans="12:46">
      <c r="L1174" s="5"/>
      <c r="M1174" s="5"/>
      <c r="W1174" s="5"/>
      <c r="Z1174" s="5"/>
      <c r="AA1174" s="5"/>
      <c r="AD1174" s="5"/>
      <c r="AG1174" s="5"/>
      <c r="AH1174" s="5"/>
      <c r="AN1174" s="4"/>
      <c r="AO1174" s="4"/>
      <c r="AP1174" s="4"/>
      <c r="AQ1174" s="4"/>
      <c r="AR1174" s="4"/>
      <c r="AS1174" s="4"/>
      <c r="AT1174" s="4"/>
    </row>
    <row r="1175" spans="12:46">
      <c r="L1175" s="5"/>
      <c r="M1175" s="5"/>
      <c r="W1175" s="5"/>
      <c r="Z1175" s="5"/>
      <c r="AA1175" s="5"/>
      <c r="AD1175" s="5"/>
      <c r="AG1175" s="5"/>
      <c r="AH1175" s="5"/>
      <c r="AN1175" s="4"/>
      <c r="AO1175" s="4"/>
      <c r="AP1175" s="4"/>
      <c r="AQ1175" s="4"/>
      <c r="AR1175" s="4"/>
      <c r="AS1175" s="4"/>
      <c r="AT1175" s="4"/>
    </row>
    <row r="1176" spans="12:46">
      <c r="L1176" s="5"/>
      <c r="M1176" s="5"/>
      <c r="W1176" s="5"/>
      <c r="Z1176" s="5"/>
      <c r="AA1176" s="5"/>
      <c r="AD1176" s="5"/>
      <c r="AG1176" s="5"/>
      <c r="AH1176" s="5"/>
      <c r="AN1176" s="4"/>
      <c r="AO1176" s="4"/>
      <c r="AP1176" s="4"/>
      <c r="AQ1176" s="4"/>
      <c r="AR1176" s="4"/>
      <c r="AS1176" s="4"/>
      <c r="AT1176" s="4"/>
    </row>
    <row r="1177" spans="12:46">
      <c r="L1177" s="5"/>
      <c r="M1177" s="5"/>
      <c r="W1177" s="5"/>
      <c r="Z1177" s="5"/>
      <c r="AA1177" s="5"/>
      <c r="AD1177" s="5"/>
      <c r="AG1177" s="5"/>
      <c r="AH1177" s="5"/>
      <c r="AN1177" s="4"/>
      <c r="AO1177" s="4"/>
      <c r="AP1177" s="4"/>
      <c r="AQ1177" s="4"/>
      <c r="AR1177" s="4"/>
      <c r="AS1177" s="4"/>
      <c r="AT1177" s="4"/>
    </row>
    <row r="1178" spans="12:46">
      <c r="L1178" s="5"/>
      <c r="M1178" s="5"/>
      <c r="W1178" s="5"/>
      <c r="Z1178" s="5"/>
      <c r="AA1178" s="5"/>
      <c r="AD1178" s="5"/>
      <c r="AG1178" s="5"/>
      <c r="AH1178" s="5"/>
      <c r="AN1178" s="4"/>
      <c r="AO1178" s="4"/>
      <c r="AP1178" s="4"/>
      <c r="AQ1178" s="4"/>
      <c r="AR1178" s="4"/>
      <c r="AS1178" s="4"/>
      <c r="AT1178" s="4"/>
    </row>
    <row r="1179" spans="12:46">
      <c r="L1179" s="5"/>
      <c r="M1179" s="5"/>
      <c r="W1179" s="5"/>
      <c r="Z1179" s="5"/>
      <c r="AA1179" s="5"/>
      <c r="AD1179" s="5"/>
      <c r="AG1179" s="5"/>
      <c r="AH1179" s="5"/>
      <c r="AN1179" s="4"/>
      <c r="AO1179" s="4"/>
      <c r="AP1179" s="4"/>
      <c r="AQ1179" s="4"/>
      <c r="AR1179" s="4"/>
      <c r="AS1179" s="4"/>
      <c r="AT1179" s="4"/>
    </row>
    <row r="1180" spans="12:46">
      <c r="L1180" s="5"/>
      <c r="M1180" s="5"/>
      <c r="W1180" s="5"/>
      <c r="Z1180" s="5"/>
      <c r="AA1180" s="5"/>
      <c r="AD1180" s="5"/>
      <c r="AG1180" s="5"/>
      <c r="AH1180" s="5"/>
      <c r="AN1180" s="4"/>
      <c r="AO1180" s="4"/>
      <c r="AP1180" s="4"/>
      <c r="AQ1180" s="4"/>
      <c r="AR1180" s="4"/>
      <c r="AS1180" s="4"/>
      <c r="AT1180" s="4"/>
    </row>
    <row r="1181" spans="12:46">
      <c r="L1181" s="5"/>
      <c r="M1181" s="5"/>
      <c r="W1181" s="5"/>
      <c r="Z1181" s="5"/>
      <c r="AA1181" s="5"/>
      <c r="AD1181" s="5"/>
      <c r="AG1181" s="5"/>
      <c r="AH1181" s="5"/>
      <c r="AN1181" s="4"/>
      <c r="AO1181" s="4"/>
      <c r="AP1181" s="4"/>
      <c r="AQ1181" s="4"/>
      <c r="AR1181" s="4"/>
      <c r="AS1181" s="4"/>
      <c r="AT1181" s="4"/>
    </row>
    <row r="1182" spans="12:46">
      <c r="L1182" s="5"/>
      <c r="M1182" s="5"/>
      <c r="W1182" s="5"/>
      <c r="Z1182" s="5"/>
      <c r="AA1182" s="5"/>
      <c r="AD1182" s="5"/>
      <c r="AG1182" s="5"/>
      <c r="AH1182" s="5"/>
      <c r="AN1182" s="4"/>
      <c r="AO1182" s="4"/>
      <c r="AP1182" s="4"/>
      <c r="AQ1182" s="4"/>
      <c r="AR1182" s="4"/>
      <c r="AS1182" s="4"/>
      <c r="AT1182" s="4"/>
    </row>
    <row r="1183" spans="12:46">
      <c r="L1183" s="5"/>
      <c r="M1183" s="5"/>
      <c r="W1183" s="5"/>
      <c r="Z1183" s="5"/>
      <c r="AA1183" s="5"/>
      <c r="AD1183" s="5"/>
      <c r="AG1183" s="5"/>
      <c r="AH1183" s="5"/>
      <c r="AN1183" s="4"/>
      <c r="AO1183" s="4"/>
      <c r="AP1183" s="4"/>
      <c r="AQ1183" s="4"/>
      <c r="AR1183" s="4"/>
      <c r="AS1183" s="4"/>
      <c r="AT1183" s="4"/>
    </row>
    <row r="1184" spans="12:46">
      <c r="L1184" s="5"/>
      <c r="M1184" s="5"/>
      <c r="W1184" s="5"/>
      <c r="Z1184" s="5"/>
      <c r="AA1184" s="5"/>
      <c r="AD1184" s="5"/>
      <c r="AG1184" s="5"/>
      <c r="AH1184" s="5"/>
      <c r="AN1184" s="4"/>
      <c r="AO1184" s="4"/>
      <c r="AP1184" s="4"/>
      <c r="AQ1184" s="4"/>
      <c r="AR1184" s="4"/>
      <c r="AS1184" s="4"/>
      <c r="AT1184" s="4"/>
    </row>
    <row r="1185" spans="12:46">
      <c r="L1185" s="5"/>
      <c r="M1185" s="5"/>
      <c r="W1185" s="5"/>
      <c r="Z1185" s="5"/>
      <c r="AA1185" s="5"/>
      <c r="AD1185" s="5"/>
      <c r="AG1185" s="5"/>
      <c r="AH1185" s="5"/>
      <c r="AN1185" s="4"/>
      <c r="AO1185" s="4"/>
      <c r="AP1185" s="4"/>
      <c r="AQ1185" s="4"/>
      <c r="AR1185" s="4"/>
      <c r="AS1185" s="4"/>
      <c r="AT1185" s="4"/>
    </row>
    <row r="1186" spans="12:46">
      <c r="L1186" s="5"/>
      <c r="M1186" s="5"/>
      <c r="W1186" s="5"/>
      <c r="Z1186" s="5"/>
      <c r="AA1186" s="5"/>
      <c r="AD1186" s="5"/>
      <c r="AG1186" s="5"/>
      <c r="AH1186" s="5"/>
      <c r="AN1186" s="4"/>
      <c r="AO1186" s="4"/>
      <c r="AP1186" s="4"/>
      <c r="AQ1186" s="4"/>
      <c r="AR1186" s="4"/>
      <c r="AS1186" s="4"/>
      <c r="AT1186" s="4"/>
    </row>
    <row r="1187" spans="12:46">
      <c r="L1187" s="5"/>
      <c r="M1187" s="5"/>
      <c r="W1187" s="5"/>
      <c r="Z1187" s="5"/>
      <c r="AA1187" s="5"/>
      <c r="AD1187" s="5"/>
      <c r="AG1187" s="5"/>
      <c r="AH1187" s="5"/>
      <c r="AN1187" s="4"/>
      <c r="AO1187" s="4"/>
      <c r="AP1187" s="4"/>
      <c r="AQ1187" s="4"/>
      <c r="AR1187" s="4"/>
      <c r="AS1187" s="4"/>
      <c r="AT1187" s="4"/>
    </row>
    <row r="1188" spans="12:46">
      <c r="L1188" s="5"/>
      <c r="M1188" s="5"/>
      <c r="W1188" s="5"/>
      <c r="Z1188" s="5"/>
      <c r="AA1188" s="5"/>
      <c r="AD1188" s="5"/>
      <c r="AG1188" s="5"/>
      <c r="AH1188" s="5"/>
      <c r="AN1188" s="4"/>
      <c r="AO1188" s="4"/>
      <c r="AP1188" s="4"/>
      <c r="AQ1188" s="4"/>
      <c r="AR1188" s="4"/>
      <c r="AS1188" s="4"/>
      <c r="AT1188" s="4"/>
    </row>
    <row r="1189" spans="12:46">
      <c r="L1189" s="5"/>
      <c r="M1189" s="5"/>
      <c r="W1189" s="5"/>
      <c r="Z1189" s="5"/>
      <c r="AA1189" s="5"/>
      <c r="AD1189" s="5"/>
      <c r="AG1189" s="5"/>
      <c r="AH1189" s="5"/>
      <c r="AN1189" s="4"/>
      <c r="AO1189" s="4"/>
      <c r="AP1189" s="4"/>
      <c r="AQ1189" s="4"/>
      <c r="AR1189" s="4"/>
      <c r="AS1189" s="4"/>
      <c r="AT1189" s="4"/>
    </row>
    <row r="1190" spans="12:46">
      <c r="L1190" s="5"/>
      <c r="M1190" s="5"/>
      <c r="W1190" s="5"/>
      <c r="Z1190" s="5"/>
      <c r="AA1190" s="5"/>
      <c r="AD1190" s="5"/>
      <c r="AG1190" s="5"/>
      <c r="AH1190" s="5"/>
      <c r="AN1190" s="4"/>
      <c r="AO1190" s="4"/>
      <c r="AP1190" s="4"/>
      <c r="AQ1190" s="4"/>
      <c r="AR1190" s="4"/>
      <c r="AS1190" s="4"/>
      <c r="AT1190" s="4"/>
    </row>
    <row r="1191" spans="12:46">
      <c r="L1191" s="5"/>
      <c r="M1191" s="5"/>
      <c r="W1191" s="5"/>
      <c r="Z1191" s="5"/>
      <c r="AA1191" s="5"/>
      <c r="AD1191" s="5"/>
      <c r="AG1191" s="5"/>
      <c r="AH1191" s="5"/>
      <c r="AN1191" s="4"/>
      <c r="AO1191" s="4"/>
      <c r="AP1191" s="4"/>
      <c r="AQ1191" s="4"/>
      <c r="AR1191" s="4"/>
      <c r="AS1191" s="4"/>
      <c r="AT1191" s="4"/>
    </row>
    <row r="1192" spans="12:46">
      <c r="L1192" s="5"/>
      <c r="M1192" s="5"/>
      <c r="W1192" s="5"/>
      <c r="Z1192" s="5"/>
      <c r="AA1192" s="5"/>
      <c r="AD1192" s="5"/>
      <c r="AG1192" s="5"/>
      <c r="AH1192" s="5"/>
      <c r="AN1192" s="4"/>
      <c r="AO1192" s="4"/>
      <c r="AP1192" s="4"/>
      <c r="AQ1192" s="4"/>
      <c r="AR1192" s="4"/>
      <c r="AS1192" s="4"/>
      <c r="AT1192" s="4"/>
    </row>
    <row r="1193" spans="12:46">
      <c r="L1193" s="5"/>
      <c r="M1193" s="5"/>
      <c r="W1193" s="5"/>
      <c r="Z1193" s="5"/>
      <c r="AA1193" s="5"/>
      <c r="AD1193" s="5"/>
      <c r="AG1193" s="5"/>
      <c r="AH1193" s="5"/>
      <c r="AN1193" s="4"/>
      <c r="AO1193" s="4"/>
      <c r="AP1193" s="4"/>
      <c r="AQ1193" s="4"/>
      <c r="AR1193" s="4"/>
      <c r="AS1193" s="4"/>
      <c r="AT1193" s="4"/>
    </row>
    <row r="1194" spans="12:46">
      <c r="L1194" s="5"/>
      <c r="M1194" s="5"/>
      <c r="W1194" s="5"/>
      <c r="Z1194" s="5"/>
      <c r="AA1194" s="5"/>
      <c r="AD1194" s="5"/>
      <c r="AG1194" s="5"/>
      <c r="AH1194" s="5"/>
      <c r="AN1194" s="4"/>
      <c r="AO1194" s="4"/>
      <c r="AP1194" s="4"/>
      <c r="AQ1194" s="4"/>
      <c r="AR1194" s="4"/>
      <c r="AS1194" s="4"/>
      <c r="AT1194" s="4"/>
    </row>
    <row r="1195" spans="12:46">
      <c r="L1195" s="5"/>
      <c r="M1195" s="5"/>
      <c r="W1195" s="5"/>
      <c r="Z1195" s="5"/>
      <c r="AA1195" s="5"/>
      <c r="AD1195" s="5"/>
      <c r="AG1195" s="5"/>
      <c r="AH1195" s="5"/>
      <c r="AN1195" s="4"/>
      <c r="AO1195" s="4"/>
      <c r="AP1195" s="4"/>
      <c r="AQ1195" s="4"/>
      <c r="AR1195" s="4"/>
      <c r="AS1195" s="4"/>
      <c r="AT1195" s="4"/>
    </row>
    <row r="1196" spans="12:46">
      <c r="L1196" s="5"/>
      <c r="M1196" s="5"/>
      <c r="W1196" s="5"/>
      <c r="Z1196" s="5"/>
      <c r="AA1196" s="5"/>
      <c r="AD1196" s="5"/>
      <c r="AG1196" s="5"/>
      <c r="AH1196" s="5"/>
      <c r="AN1196" s="4"/>
      <c r="AO1196" s="4"/>
      <c r="AP1196" s="4"/>
      <c r="AQ1196" s="4"/>
      <c r="AR1196" s="4"/>
      <c r="AS1196" s="4"/>
      <c r="AT1196" s="4"/>
    </row>
    <row r="1197" spans="12:46">
      <c r="L1197" s="5"/>
      <c r="M1197" s="5"/>
      <c r="W1197" s="5"/>
      <c r="Z1197" s="5"/>
      <c r="AA1197" s="5"/>
      <c r="AD1197" s="5"/>
      <c r="AG1197" s="5"/>
      <c r="AH1197" s="5"/>
      <c r="AN1197" s="4"/>
      <c r="AO1197" s="4"/>
      <c r="AP1197" s="4"/>
      <c r="AQ1197" s="4"/>
      <c r="AR1197" s="4"/>
      <c r="AS1197" s="4"/>
      <c r="AT1197" s="4"/>
    </row>
    <row r="1198" spans="12:46">
      <c r="L1198" s="5"/>
      <c r="M1198" s="5"/>
      <c r="W1198" s="5"/>
      <c r="Z1198" s="5"/>
      <c r="AA1198" s="5"/>
      <c r="AD1198" s="5"/>
      <c r="AG1198" s="5"/>
      <c r="AH1198" s="5"/>
      <c r="AN1198" s="4"/>
      <c r="AO1198" s="4"/>
      <c r="AP1198" s="4"/>
      <c r="AQ1198" s="4"/>
      <c r="AR1198" s="4"/>
      <c r="AS1198" s="4"/>
      <c r="AT1198" s="4"/>
    </row>
    <row r="1199" spans="12:46">
      <c r="L1199" s="5"/>
      <c r="M1199" s="5"/>
      <c r="W1199" s="5"/>
      <c r="Z1199" s="5"/>
      <c r="AA1199" s="5"/>
      <c r="AD1199" s="5"/>
      <c r="AG1199" s="5"/>
      <c r="AH1199" s="5"/>
      <c r="AN1199" s="4"/>
      <c r="AO1199" s="4"/>
      <c r="AP1199" s="4"/>
      <c r="AQ1199" s="4"/>
      <c r="AR1199" s="4"/>
      <c r="AS1199" s="4"/>
      <c r="AT1199" s="4"/>
    </row>
    <row r="1200" spans="12:46">
      <c r="L1200" s="5"/>
      <c r="M1200" s="5"/>
      <c r="W1200" s="5"/>
      <c r="Z1200" s="5"/>
      <c r="AA1200" s="5"/>
      <c r="AD1200" s="5"/>
      <c r="AG1200" s="5"/>
      <c r="AH1200" s="5"/>
      <c r="AN1200" s="4"/>
      <c r="AO1200" s="4"/>
      <c r="AP1200" s="4"/>
      <c r="AQ1200" s="4"/>
      <c r="AR1200" s="4"/>
      <c r="AS1200" s="4"/>
      <c r="AT1200" s="4"/>
    </row>
    <row r="1201" spans="12:46">
      <c r="L1201" s="5"/>
      <c r="M1201" s="5"/>
      <c r="W1201" s="5"/>
      <c r="Z1201" s="5"/>
      <c r="AA1201" s="5"/>
      <c r="AD1201" s="5"/>
      <c r="AG1201" s="5"/>
      <c r="AH1201" s="5"/>
      <c r="AN1201" s="4"/>
      <c r="AO1201" s="4"/>
      <c r="AP1201" s="4"/>
      <c r="AQ1201" s="4"/>
      <c r="AR1201" s="4"/>
      <c r="AS1201" s="4"/>
      <c r="AT1201" s="4"/>
    </row>
    <row r="1202" spans="12:46">
      <c r="L1202" s="5"/>
      <c r="M1202" s="5"/>
      <c r="W1202" s="5"/>
      <c r="Z1202" s="5"/>
      <c r="AA1202" s="5"/>
      <c r="AD1202" s="5"/>
      <c r="AG1202" s="5"/>
      <c r="AH1202" s="5"/>
      <c r="AN1202" s="4"/>
      <c r="AO1202" s="4"/>
      <c r="AP1202" s="4"/>
      <c r="AQ1202" s="4"/>
      <c r="AR1202" s="4"/>
      <c r="AS1202" s="4"/>
      <c r="AT1202" s="4"/>
    </row>
    <row r="1203" spans="12:46">
      <c r="L1203" s="5"/>
      <c r="M1203" s="5"/>
      <c r="W1203" s="5"/>
      <c r="Z1203" s="5"/>
      <c r="AA1203" s="5"/>
      <c r="AD1203" s="5"/>
      <c r="AG1203" s="5"/>
      <c r="AH1203" s="5"/>
      <c r="AN1203" s="4"/>
      <c r="AO1203" s="4"/>
      <c r="AP1203" s="4"/>
      <c r="AQ1203" s="4"/>
      <c r="AR1203" s="4"/>
      <c r="AS1203" s="4"/>
      <c r="AT1203" s="4"/>
    </row>
    <row r="1204" spans="12:46">
      <c r="L1204" s="5"/>
      <c r="M1204" s="5"/>
      <c r="W1204" s="5"/>
      <c r="Z1204" s="5"/>
      <c r="AA1204" s="5"/>
      <c r="AD1204" s="5"/>
      <c r="AG1204" s="5"/>
      <c r="AH1204" s="5"/>
      <c r="AN1204" s="4"/>
      <c r="AO1204" s="4"/>
      <c r="AP1204" s="4"/>
      <c r="AQ1204" s="4"/>
      <c r="AR1204" s="4"/>
      <c r="AS1204" s="4"/>
      <c r="AT1204" s="4"/>
    </row>
    <row r="1205" spans="12:46">
      <c r="L1205" s="5"/>
      <c r="M1205" s="5"/>
      <c r="W1205" s="5"/>
      <c r="Z1205" s="5"/>
      <c r="AA1205" s="5"/>
      <c r="AD1205" s="5"/>
      <c r="AG1205" s="5"/>
      <c r="AH1205" s="5"/>
      <c r="AN1205" s="4"/>
      <c r="AO1205" s="4"/>
      <c r="AP1205" s="4"/>
      <c r="AQ1205" s="4"/>
      <c r="AR1205" s="4"/>
      <c r="AS1205" s="4"/>
      <c r="AT1205" s="4"/>
    </row>
    <row r="1206" spans="12:46">
      <c r="L1206" s="5"/>
      <c r="M1206" s="5"/>
      <c r="W1206" s="5"/>
      <c r="Z1206" s="5"/>
      <c r="AA1206" s="5"/>
      <c r="AD1206" s="5"/>
      <c r="AG1206" s="5"/>
      <c r="AH1206" s="5"/>
      <c r="AN1206" s="4"/>
      <c r="AO1206" s="4"/>
      <c r="AP1206" s="4"/>
      <c r="AQ1206" s="4"/>
      <c r="AR1206" s="4"/>
      <c r="AS1206" s="4"/>
      <c r="AT1206" s="4"/>
    </row>
    <row r="1207" spans="12:46">
      <c r="L1207" s="5"/>
      <c r="M1207" s="5"/>
      <c r="W1207" s="5"/>
      <c r="Z1207" s="5"/>
      <c r="AA1207" s="5"/>
      <c r="AD1207" s="5"/>
      <c r="AG1207" s="5"/>
      <c r="AH1207" s="5"/>
      <c r="AN1207" s="4"/>
      <c r="AO1207" s="4"/>
      <c r="AP1207" s="4"/>
      <c r="AQ1207" s="4"/>
      <c r="AR1207" s="4"/>
      <c r="AS1207" s="4"/>
      <c r="AT1207" s="4"/>
    </row>
    <row r="1208" spans="12:46">
      <c r="L1208" s="5"/>
      <c r="M1208" s="5"/>
      <c r="W1208" s="5"/>
      <c r="Z1208" s="5"/>
      <c r="AA1208" s="5"/>
      <c r="AD1208" s="5"/>
      <c r="AG1208" s="5"/>
      <c r="AH1208" s="5"/>
      <c r="AN1208" s="4"/>
      <c r="AO1208" s="4"/>
      <c r="AP1208" s="4"/>
      <c r="AQ1208" s="4"/>
      <c r="AR1208" s="4"/>
      <c r="AS1208" s="4"/>
      <c r="AT1208" s="4"/>
    </row>
    <row r="1209" spans="12:46">
      <c r="L1209" s="5"/>
      <c r="M1209" s="5"/>
      <c r="W1209" s="5"/>
      <c r="Z1209" s="5"/>
      <c r="AA1209" s="5"/>
      <c r="AD1209" s="5"/>
      <c r="AG1209" s="5"/>
      <c r="AH1209" s="5"/>
      <c r="AN1209" s="4"/>
      <c r="AO1209" s="4"/>
      <c r="AP1209" s="4"/>
      <c r="AQ1209" s="4"/>
      <c r="AR1209" s="4"/>
      <c r="AS1209" s="4"/>
      <c r="AT1209" s="4"/>
    </row>
    <row r="1210" spans="12:46">
      <c r="L1210" s="5"/>
      <c r="M1210" s="5"/>
      <c r="W1210" s="5"/>
      <c r="Z1210" s="5"/>
      <c r="AA1210" s="5"/>
      <c r="AD1210" s="5"/>
      <c r="AG1210" s="5"/>
      <c r="AH1210" s="5"/>
      <c r="AN1210" s="4"/>
      <c r="AO1210" s="4"/>
      <c r="AP1210" s="4"/>
      <c r="AQ1210" s="4"/>
      <c r="AR1210" s="4"/>
      <c r="AS1210" s="4"/>
      <c r="AT1210" s="4"/>
    </row>
    <row r="1211" spans="12:46">
      <c r="L1211" s="5"/>
      <c r="M1211" s="5"/>
      <c r="W1211" s="5"/>
      <c r="Z1211" s="5"/>
      <c r="AA1211" s="5"/>
      <c r="AD1211" s="5"/>
      <c r="AG1211" s="5"/>
      <c r="AH1211" s="5"/>
      <c r="AN1211" s="4"/>
      <c r="AO1211" s="4"/>
      <c r="AP1211" s="4"/>
      <c r="AQ1211" s="4"/>
      <c r="AR1211" s="4"/>
      <c r="AS1211" s="4"/>
      <c r="AT1211" s="4"/>
    </row>
    <row r="1212" spans="12:46">
      <c r="L1212" s="5"/>
      <c r="M1212" s="5"/>
      <c r="W1212" s="5"/>
      <c r="Z1212" s="5"/>
      <c r="AA1212" s="5"/>
      <c r="AD1212" s="5"/>
      <c r="AG1212" s="5"/>
      <c r="AH1212" s="5"/>
      <c r="AN1212" s="4"/>
      <c r="AO1212" s="4"/>
      <c r="AP1212" s="4"/>
      <c r="AQ1212" s="4"/>
      <c r="AR1212" s="4"/>
      <c r="AS1212" s="4"/>
      <c r="AT1212" s="4"/>
    </row>
    <row r="1213" spans="12:46">
      <c r="L1213" s="5"/>
      <c r="M1213" s="5"/>
      <c r="W1213" s="5"/>
      <c r="Z1213" s="5"/>
      <c r="AA1213" s="5"/>
      <c r="AD1213" s="5"/>
      <c r="AG1213" s="5"/>
      <c r="AH1213" s="5"/>
      <c r="AN1213" s="4"/>
      <c r="AO1213" s="4"/>
      <c r="AP1213" s="4"/>
      <c r="AQ1213" s="4"/>
      <c r="AR1213" s="4"/>
      <c r="AS1213" s="4"/>
      <c r="AT1213" s="4"/>
    </row>
    <row r="1214" spans="12:46">
      <c r="L1214" s="5"/>
      <c r="M1214" s="5"/>
      <c r="W1214" s="5"/>
      <c r="Z1214" s="5"/>
      <c r="AA1214" s="5"/>
      <c r="AD1214" s="5"/>
      <c r="AG1214" s="5"/>
      <c r="AH1214" s="5"/>
      <c r="AN1214" s="4"/>
      <c r="AO1214" s="4"/>
      <c r="AP1214" s="4"/>
      <c r="AQ1214" s="4"/>
      <c r="AR1214" s="4"/>
      <c r="AS1214" s="4"/>
      <c r="AT1214" s="4"/>
    </row>
    <row r="1215" spans="12:46">
      <c r="L1215" s="5"/>
      <c r="M1215" s="5"/>
      <c r="W1215" s="5"/>
      <c r="Z1215" s="5"/>
      <c r="AA1215" s="5"/>
      <c r="AD1215" s="5"/>
      <c r="AG1215" s="5"/>
      <c r="AH1215" s="5"/>
      <c r="AN1215" s="4"/>
      <c r="AO1215" s="4"/>
      <c r="AP1215" s="4"/>
      <c r="AQ1215" s="4"/>
      <c r="AR1215" s="4"/>
      <c r="AS1215" s="4"/>
      <c r="AT1215" s="4"/>
    </row>
    <row r="1216" spans="12:46">
      <c r="L1216" s="5"/>
      <c r="M1216" s="5"/>
      <c r="W1216" s="5"/>
      <c r="Z1216" s="5"/>
      <c r="AA1216" s="5"/>
      <c r="AD1216" s="5"/>
      <c r="AG1216" s="5"/>
      <c r="AH1216" s="5"/>
      <c r="AN1216" s="4"/>
      <c r="AO1216" s="4"/>
      <c r="AP1216" s="4"/>
      <c r="AQ1216" s="4"/>
      <c r="AR1216" s="4"/>
      <c r="AS1216" s="4"/>
      <c r="AT1216" s="4"/>
    </row>
    <row r="1217" spans="12:46">
      <c r="L1217" s="5"/>
      <c r="M1217" s="5"/>
      <c r="W1217" s="5"/>
      <c r="Z1217" s="5"/>
      <c r="AA1217" s="5"/>
      <c r="AD1217" s="5"/>
      <c r="AG1217" s="5"/>
      <c r="AH1217" s="5"/>
      <c r="AN1217" s="4"/>
      <c r="AO1217" s="4"/>
      <c r="AP1217" s="4"/>
      <c r="AQ1217" s="4"/>
      <c r="AR1217" s="4"/>
      <c r="AS1217" s="4"/>
      <c r="AT1217" s="4"/>
    </row>
    <row r="1218" spans="12:46">
      <c r="L1218" s="5"/>
      <c r="M1218" s="5"/>
      <c r="W1218" s="5"/>
      <c r="Z1218" s="5"/>
      <c r="AA1218" s="5"/>
      <c r="AD1218" s="5"/>
      <c r="AG1218" s="5"/>
      <c r="AH1218" s="5"/>
      <c r="AN1218" s="4"/>
      <c r="AO1218" s="4"/>
      <c r="AP1218" s="4"/>
      <c r="AQ1218" s="4"/>
      <c r="AR1218" s="4"/>
      <c r="AS1218" s="4"/>
      <c r="AT1218" s="4"/>
    </row>
    <row r="1219" spans="12:46">
      <c r="L1219" s="5"/>
      <c r="M1219" s="5"/>
      <c r="W1219" s="5"/>
      <c r="Z1219" s="5"/>
      <c r="AA1219" s="5"/>
      <c r="AD1219" s="5"/>
      <c r="AG1219" s="5"/>
      <c r="AH1219" s="5"/>
      <c r="AN1219" s="4"/>
      <c r="AO1219" s="4"/>
      <c r="AP1219" s="4"/>
      <c r="AQ1219" s="4"/>
      <c r="AR1219" s="4"/>
      <c r="AS1219" s="4"/>
      <c r="AT1219" s="4"/>
    </row>
    <row r="1220" spans="12:46">
      <c r="L1220" s="5"/>
      <c r="M1220" s="5"/>
      <c r="W1220" s="5"/>
      <c r="Z1220" s="5"/>
      <c r="AA1220" s="5"/>
      <c r="AD1220" s="5"/>
      <c r="AG1220" s="5"/>
      <c r="AH1220" s="5"/>
      <c r="AN1220" s="4"/>
      <c r="AO1220" s="4"/>
      <c r="AP1220" s="4"/>
      <c r="AQ1220" s="4"/>
      <c r="AR1220" s="4"/>
      <c r="AS1220" s="4"/>
      <c r="AT1220" s="4"/>
    </row>
    <row r="1221" spans="12:46">
      <c r="L1221" s="5"/>
      <c r="M1221" s="5"/>
      <c r="W1221" s="5"/>
      <c r="Z1221" s="5"/>
      <c r="AA1221" s="5"/>
      <c r="AD1221" s="5"/>
      <c r="AG1221" s="5"/>
      <c r="AH1221" s="5"/>
      <c r="AN1221" s="4"/>
      <c r="AO1221" s="4"/>
      <c r="AP1221" s="4"/>
      <c r="AQ1221" s="4"/>
      <c r="AR1221" s="4"/>
      <c r="AS1221" s="4"/>
      <c r="AT1221" s="4"/>
    </row>
    <row r="1222" spans="12:46">
      <c r="L1222" s="5"/>
      <c r="M1222" s="5"/>
      <c r="W1222" s="5"/>
      <c r="Z1222" s="5"/>
      <c r="AA1222" s="5"/>
      <c r="AD1222" s="5"/>
      <c r="AG1222" s="5"/>
      <c r="AH1222" s="5"/>
      <c r="AN1222" s="4"/>
      <c r="AO1222" s="4"/>
      <c r="AP1222" s="4"/>
      <c r="AQ1222" s="4"/>
      <c r="AR1222" s="4"/>
      <c r="AS1222" s="4"/>
      <c r="AT1222" s="4"/>
    </row>
    <row r="1223" spans="12:46">
      <c r="L1223" s="5"/>
      <c r="M1223" s="5"/>
      <c r="W1223" s="5"/>
      <c r="Z1223" s="5"/>
      <c r="AA1223" s="5"/>
      <c r="AD1223" s="5"/>
      <c r="AG1223" s="5"/>
      <c r="AH1223" s="5"/>
      <c r="AN1223" s="4"/>
      <c r="AO1223" s="4"/>
      <c r="AP1223" s="4"/>
      <c r="AQ1223" s="4"/>
      <c r="AR1223" s="4"/>
      <c r="AS1223" s="4"/>
      <c r="AT1223" s="4"/>
    </row>
    <row r="1224" spans="12:46">
      <c r="L1224" s="5"/>
      <c r="M1224" s="5"/>
      <c r="W1224" s="5"/>
      <c r="Z1224" s="5"/>
      <c r="AA1224" s="5"/>
      <c r="AD1224" s="5"/>
      <c r="AG1224" s="5"/>
      <c r="AH1224" s="5"/>
      <c r="AN1224" s="4"/>
      <c r="AO1224" s="4"/>
      <c r="AP1224" s="4"/>
      <c r="AQ1224" s="4"/>
      <c r="AR1224" s="4"/>
      <c r="AS1224" s="4"/>
      <c r="AT1224" s="4"/>
    </row>
    <row r="1225" spans="12:46">
      <c r="L1225" s="5"/>
      <c r="M1225" s="5"/>
      <c r="W1225" s="5"/>
      <c r="Z1225" s="5"/>
      <c r="AA1225" s="5"/>
      <c r="AD1225" s="5"/>
      <c r="AG1225" s="5"/>
      <c r="AH1225" s="5"/>
      <c r="AN1225" s="4"/>
      <c r="AO1225" s="4"/>
      <c r="AP1225" s="4"/>
      <c r="AQ1225" s="4"/>
      <c r="AR1225" s="4"/>
      <c r="AS1225" s="4"/>
      <c r="AT1225" s="4"/>
    </row>
    <row r="1226" spans="12:46">
      <c r="L1226" s="5"/>
      <c r="M1226" s="5"/>
      <c r="W1226" s="5"/>
      <c r="Z1226" s="5"/>
      <c r="AA1226" s="5"/>
      <c r="AD1226" s="5"/>
      <c r="AG1226" s="5"/>
      <c r="AH1226" s="5"/>
      <c r="AN1226" s="4"/>
      <c r="AO1226" s="4"/>
      <c r="AP1226" s="4"/>
      <c r="AQ1226" s="4"/>
      <c r="AR1226" s="4"/>
      <c r="AS1226" s="4"/>
      <c r="AT1226" s="4"/>
    </row>
    <row r="1227" spans="12:46">
      <c r="L1227" s="5"/>
      <c r="M1227" s="5"/>
      <c r="W1227" s="5"/>
      <c r="Z1227" s="5"/>
      <c r="AA1227" s="5"/>
      <c r="AD1227" s="5"/>
      <c r="AG1227" s="5"/>
      <c r="AH1227" s="5"/>
      <c r="AN1227" s="4"/>
      <c r="AO1227" s="4"/>
      <c r="AP1227" s="4"/>
      <c r="AQ1227" s="4"/>
      <c r="AR1227" s="4"/>
      <c r="AS1227" s="4"/>
      <c r="AT1227" s="4"/>
    </row>
    <row r="1228" spans="12:46">
      <c r="L1228" s="5"/>
      <c r="M1228" s="5"/>
      <c r="W1228" s="5"/>
      <c r="Z1228" s="5"/>
      <c r="AA1228" s="5"/>
      <c r="AD1228" s="5"/>
      <c r="AG1228" s="5"/>
      <c r="AH1228" s="5"/>
      <c r="AN1228" s="4"/>
      <c r="AO1228" s="4"/>
      <c r="AP1228" s="4"/>
      <c r="AQ1228" s="4"/>
      <c r="AR1228" s="4"/>
      <c r="AS1228" s="4"/>
      <c r="AT1228" s="4"/>
    </row>
    <row r="1229" spans="12:46">
      <c r="L1229" s="5"/>
      <c r="M1229" s="5"/>
      <c r="W1229" s="5"/>
      <c r="Z1229" s="5"/>
      <c r="AA1229" s="5"/>
      <c r="AD1229" s="5"/>
      <c r="AG1229" s="5"/>
      <c r="AH1229" s="5"/>
      <c r="AN1229" s="4"/>
      <c r="AO1229" s="4"/>
      <c r="AP1229" s="4"/>
      <c r="AQ1229" s="4"/>
      <c r="AR1229" s="4"/>
      <c r="AS1229" s="4"/>
      <c r="AT1229" s="4"/>
    </row>
    <row r="1230" spans="12:46">
      <c r="L1230" s="5"/>
      <c r="M1230" s="5"/>
      <c r="W1230" s="5"/>
      <c r="Z1230" s="5"/>
      <c r="AA1230" s="5"/>
      <c r="AD1230" s="5"/>
      <c r="AG1230" s="5"/>
      <c r="AH1230" s="5"/>
      <c r="AN1230" s="4"/>
      <c r="AO1230" s="4"/>
      <c r="AP1230" s="4"/>
      <c r="AQ1230" s="4"/>
      <c r="AR1230" s="4"/>
      <c r="AS1230" s="4"/>
      <c r="AT1230" s="4"/>
    </row>
    <row r="1231" spans="12:46">
      <c r="L1231" s="5"/>
      <c r="M1231" s="5"/>
      <c r="W1231" s="5"/>
      <c r="Z1231" s="5"/>
      <c r="AA1231" s="5"/>
      <c r="AD1231" s="5"/>
      <c r="AG1231" s="5"/>
      <c r="AH1231" s="5"/>
      <c r="AN1231" s="4"/>
      <c r="AO1231" s="4"/>
      <c r="AP1231" s="4"/>
      <c r="AQ1231" s="4"/>
      <c r="AR1231" s="4"/>
      <c r="AS1231" s="4"/>
      <c r="AT1231" s="4"/>
    </row>
    <row r="1232" spans="12:46">
      <c r="L1232" s="5"/>
      <c r="M1232" s="5"/>
      <c r="W1232" s="5"/>
      <c r="Z1232" s="5"/>
      <c r="AA1232" s="5"/>
      <c r="AD1232" s="5"/>
      <c r="AG1232" s="5"/>
      <c r="AH1232" s="5"/>
      <c r="AN1232" s="4"/>
      <c r="AO1232" s="4"/>
      <c r="AP1232" s="4"/>
      <c r="AQ1232" s="4"/>
      <c r="AR1232" s="4"/>
      <c r="AS1232" s="4"/>
      <c r="AT1232" s="4"/>
    </row>
    <row r="1233" spans="12:46">
      <c r="L1233" s="5"/>
      <c r="M1233" s="5"/>
      <c r="W1233" s="5"/>
      <c r="Z1233" s="5"/>
      <c r="AA1233" s="5"/>
      <c r="AD1233" s="5"/>
      <c r="AG1233" s="5"/>
      <c r="AH1233" s="5"/>
      <c r="AN1233" s="4"/>
      <c r="AO1233" s="4"/>
      <c r="AP1233" s="4"/>
      <c r="AQ1233" s="4"/>
      <c r="AR1233" s="4"/>
      <c r="AS1233" s="4"/>
      <c r="AT1233" s="4"/>
    </row>
    <row r="1234" spans="12:46">
      <c r="L1234" s="5"/>
      <c r="M1234" s="5"/>
      <c r="W1234" s="5"/>
      <c r="Z1234" s="5"/>
      <c r="AA1234" s="5"/>
      <c r="AD1234" s="5"/>
      <c r="AG1234" s="5"/>
      <c r="AH1234" s="5"/>
      <c r="AN1234" s="4"/>
      <c r="AO1234" s="4"/>
      <c r="AP1234" s="4"/>
      <c r="AQ1234" s="4"/>
      <c r="AR1234" s="4"/>
      <c r="AS1234" s="4"/>
      <c r="AT1234" s="4"/>
    </row>
    <row r="1235" spans="12:46">
      <c r="L1235" s="5"/>
      <c r="M1235" s="5"/>
      <c r="W1235" s="5"/>
      <c r="Z1235" s="5"/>
      <c r="AA1235" s="5"/>
      <c r="AD1235" s="5"/>
      <c r="AG1235" s="5"/>
      <c r="AH1235" s="5"/>
      <c r="AN1235" s="4"/>
      <c r="AO1235" s="4"/>
      <c r="AP1235" s="4"/>
      <c r="AQ1235" s="4"/>
      <c r="AR1235" s="4"/>
      <c r="AS1235" s="4"/>
      <c r="AT1235" s="4"/>
    </row>
    <row r="1236" spans="12:46">
      <c r="L1236" s="5"/>
      <c r="M1236" s="5"/>
      <c r="W1236" s="5"/>
      <c r="Z1236" s="5"/>
      <c r="AA1236" s="5"/>
      <c r="AD1236" s="5"/>
      <c r="AG1236" s="5"/>
      <c r="AH1236" s="5"/>
      <c r="AN1236" s="4"/>
      <c r="AO1236" s="4"/>
      <c r="AP1236" s="4"/>
      <c r="AQ1236" s="4"/>
      <c r="AR1236" s="4"/>
      <c r="AS1236" s="4"/>
      <c r="AT1236" s="4"/>
    </row>
    <row r="1237" spans="12:46">
      <c r="L1237" s="5"/>
      <c r="M1237" s="5"/>
      <c r="W1237" s="5"/>
      <c r="Z1237" s="5"/>
      <c r="AA1237" s="5"/>
      <c r="AD1237" s="5"/>
      <c r="AG1237" s="5"/>
      <c r="AH1237" s="5"/>
      <c r="AN1237" s="4"/>
      <c r="AO1237" s="4"/>
      <c r="AP1237" s="4"/>
      <c r="AQ1237" s="4"/>
      <c r="AR1237" s="4"/>
      <c r="AS1237" s="4"/>
      <c r="AT1237" s="4"/>
    </row>
    <row r="1238" spans="12:46">
      <c r="L1238" s="5"/>
      <c r="M1238" s="5"/>
      <c r="W1238" s="5"/>
      <c r="Z1238" s="5"/>
      <c r="AA1238" s="5"/>
      <c r="AD1238" s="5"/>
      <c r="AG1238" s="5"/>
      <c r="AH1238" s="5"/>
      <c r="AN1238" s="4"/>
      <c r="AO1238" s="4"/>
      <c r="AP1238" s="4"/>
      <c r="AQ1238" s="4"/>
      <c r="AR1238" s="4"/>
      <c r="AS1238" s="4"/>
      <c r="AT1238" s="4"/>
    </row>
    <row r="1239" spans="12:46">
      <c r="L1239" s="5"/>
      <c r="M1239" s="5"/>
      <c r="W1239" s="5"/>
      <c r="Z1239" s="5"/>
      <c r="AA1239" s="5"/>
      <c r="AD1239" s="5"/>
      <c r="AG1239" s="5"/>
      <c r="AH1239" s="5"/>
      <c r="AN1239" s="4"/>
      <c r="AO1239" s="4"/>
      <c r="AP1239" s="4"/>
      <c r="AQ1239" s="4"/>
      <c r="AR1239" s="4"/>
      <c r="AS1239" s="4"/>
      <c r="AT1239" s="4"/>
    </row>
    <row r="1240" spans="12:46">
      <c r="L1240" s="5"/>
      <c r="M1240" s="5"/>
      <c r="W1240" s="5"/>
      <c r="Z1240" s="5"/>
      <c r="AA1240" s="5"/>
      <c r="AD1240" s="5"/>
      <c r="AG1240" s="5"/>
      <c r="AH1240" s="5"/>
      <c r="AN1240" s="4"/>
      <c r="AO1240" s="4"/>
      <c r="AP1240" s="4"/>
      <c r="AQ1240" s="4"/>
      <c r="AR1240" s="4"/>
      <c r="AS1240" s="4"/>
      <c r="AT1240" s="4"/>
    </row>
    <row r="1241" spans="12:46">
      <c r="L1241" s="5"/>
      <c r="M1241" s="5"/>
      <c r="W1241" s="5"/>
      <c r="Z1241" s="5"/>
      <c r="AA1241" s="5"/>
      <c r="AD1241" s="5"/>
      <c r="AG1241" s="5"/>
      <c r="AH1241" s="5"/>
      <c r="AN1241" s="4"/>
      <c r="AO1241" s="4"/>
      <c r="AP1241" s="4"/>
      <c r="AQ1241" s="4"/>
      <c r="AR1241" s="4"/>
      <c r="AS1241" s="4"/>
      <c r="AT1241" s="4"/>
    </row>
    <row r="1242" spans="12:46">
      <c r="L1242" s="5"/>
      <c r="M1242" s="5"/>
      <c r="W1242" s="5"/>
      <c r="Z1242" s="5"/>
      <c r="AA1242" s="5"/>
      <c r="AD1242" s="5"/>
      <c r="AG1242" s="5"/>
      <c r="AH1242" s="5"/>
      <c r="AN1242" s="4"/>
      <c r="AO1242" s="4"/>
      <c r="AP1242" s="4"/>
      <c r="AQ1242" s="4"/>
      <c r="AR1242" s="4"/>
      <c r="AS1242" s="4"/>
      <c r="AT1242" s="4"/>
    </row>
    <row r="1243" spans="12:46">
      <c r="L1243" s="5"/>
      <c r="M1243" s="5"/>
      <c r="W1243" s="5"/>
      <c r="Z1243" s="5"/>
      <c r="AA1243" s="5"/>
      <c r="AD1243" s="5"/>
      <c r="AG1243" s="5"/>
      <c r="AH1243" s="5"/>
      <c r="AN1243" s="4"/>
      <c r="AO1243" s="4"/>
      <c r="AP1243" s="4"/>
      <c r="AQ1243" s="4"/>
      <c r="AR1243" s="4"/>
      <c r="AS1243" s="4"/>
      <c r="AT1243" s="4"/>
    </row>
    <row r="1244" spans="12:46">
      <c r="L1244" s="5"/>
      <c r="M1244" s="5"/>
      <c r="W1244" s="5"/>
      <c r="Z1244" s="5"/>
      <c r="AA1244" s="5"/>
      <c r="AD1244" s="5"/>
      <c r="AG1244" s="5"/>
      <c r="AH1244" s="5"/>
      <c r="AN1244" s="4"/>
      <c r="AO1244" s="4"/>
      <c r="AP1244" s="4"/>
      <c r="AQ1244" s="4"/>
      <c r="AR1244" s="4"/>
      <c r="AS1244" s="4"/>
      <c r="AT1244" s="4"/>
    </row>
    <row r="1245" spans="12:46">
      <c r="L1245" s="5"/>
      <c r="M1245" s="5"/>
      <c r="W1245" s="5"/>
      <c r="Z1245" s="5"/>
      <c r="AA1245" s="5"/>
      <c r="AD1245" s="5"/>
      <c r="AG1245" s="5"/>
      <c r="AH1245" s="5"/>
      <c r="AN1245" s="4"/>
      <c r="AO1245" s="4"/>
      <c r="AP1245" s="4"/>
      <c r="AQ1245" s="4"/>
      <c r="AR1245" s="4"/>
      <c r="AS1245" s="4"/>
      <c r="AT1245" s="4"/>
    </row>
    <row r="1246" spans="12:46">
      <c r="L1246" s="5"/>
      <c r="M1246" s="5"/>
      <c r="W1246" s="5"/>
      <c r="Z1246" s="5"/>
      <c r="AA1246" s="5"/>
      <c r="AD1246" s="5"/>
      <c r="AG1246" s="5"/>
      <c r="AH1246" s="5"/>
      <c r="AN1246" s="4"/>
      <c r="AO1246" s="4"/>
      <c r="AP1246" s="4"/>
      <c r="AQ1246" s="4"/>
      <c r="AR1246" s="4"/>
      <c r="AS1246" s="4"/>
      <c r="AT1246" s="4"/>
    </row>
    <row r="1247" spans="12:46">
      <c r="L1247" s="5"/>
      <c r="M1247" s="5"/>
      <c r="W1247" s="5"/>
      <c r="Z1247" s="5"/>
      <c r="AA1247" s="5"/>
      <c r="AD1247" s="5"/>
      <c r="AG1247" s="5"/>
      <c r="AH1247" s="5"/>
      <c r="AN1247" s="4"/>
      <c r="AO1247" s="4"/>
      <c r="AP1247" s="4"/>
      <c r="AQ1247" s="4"/>
      <c r="AR1247" s="4"/>
      <c r="AS1247" s="4"/>
      <c r="AT1247" s="4"/>
    </row>
    <row r="1248" spans="12:46">
      <c r="L1248" s="5"/>
      <c r="M1248" s="5"/>
      <c r="W1248" s="5"/>
      <c r="Z1248" s="5"/>
      <c r="AA1248" s="5"/>
      <c r="AD1248" s="5"/>
      <c r="AG1248" s="5"/>
      <c r="AH1248" s="5"/>
      <c r="AN1248" s="4"/>
      <c r="AO1248" s="4"/>
      <c r="AP1248" s="4"/>
      <c r="AQ1248" s="4"/>
      <c r="AR1248" s="4"/>
      <c r="AS1248" s="4"/>
      <c r="AT1248" s="4"/>
    </row>
    <row r="1249" spans="12:46">
      <c r="L1249" s="5"/>
      <c r="M1249" s="5"/>
      <c r="W1249" s="5"/>
      <c r="Z1249" s="5"/>
      <c r="AA1249" s="5"/>
      <c r="AD1249" s="5"/>
      <c r="AG1249" s="5"/>
      <c r="AH1249" s="5"/>
      <c r="AN1249" s="4"/>
      <c r="AO1249" s="4"/>
      <c r="AP1249" s="4"/>
      <c r="AQ1249" s="4"/>
      <c r="AR1249" s="4"/>
      <c r="AS1249" s="4"/>
      <c r="AT1249" s="4"/>
    </row>
    <row r="1250" spans="12:46">
      <c r="L1250" s="5"/>
      <c r="M1250" s="5"/>
      <c r="W1250" s="5"/>
      <c r="Z1250" s="5"/>
      <c r="AA1250" s="5"/>
      <c r="AD1250" s="5"/>
      <c r="AG1250" s="5"/>
      <c r="AH1250" s="5"/>
      <c r="AN1250" s="4"/>
      <c r="AO1250" s="4"/>
      <c r="AP1250" s="4"/>
      <c r="AQ1250" s="4"/>
      <c r="AR1250" s="4"/>
      <c r="AS1250" s="4"/>
      <c r="AT1250" s="4"/>
    </row>
    <row r="1251" spans="12:46">
      <c r="L1251" s="5"/>
      <c r="M1251" s="5"/>
      <c r="W1251" s="5"/>
      <c r="Z1251" s="5"/>
      <c r="AA1251" s="5"/>
      <c r="AD1251" s="5"/>
      <c r="AG1251" s="5"/>
      <c r="AH1251" s="5"/>
      <c r="AN1251" s="4"/>
      <c r="AO1251" s="4"/>
      <c r="AP1251" s="4"/>
      <c r="AQ1251" s="4"/>
      <c r="AR1251" s="4"/>
      <c r="AS1251" s="4"/>
      <c r="AT1251" s="4"/>
    </row>
    <row r="1252" spans="12:46">
      <c r="L1252" s="5"/>
      <c r="M1252" s="5"/>
      <c r="W1252" s="5"/>
      <c r="Z1252" s="5"/>
      <c r="AA1252" s="5"/>
      <c r="AD1252" s="5"/>
      <c r="AG1252" s="5"/>
      <c r="AH1252" s="5"/>
      <c r="AN1252" s="4"/>
      <c r="AO1252" s="4"/>
      <c r="AP1252" s="4"/>
      <c r="AQ1252" s="4"/>
      <c r="AR1252" s="4"/>
      <c r="AS1252" s="4"/>
      <c r="AT1252" s="4"/>
    </row>
    <row r="1253" spans="12:46">
      <c r="L1253" s="5"/>
      <c r="M1253" s="5"/>
      <c r="W1253" s="5"/>
      <c r="Z1253" s="5"/>
      <c r="AA1253" s="5"/>
      <c r="AD1253" s="5"/>
      <c r="AG1253" s="5"/>
      <c r="AH1253" s="5"/>
      <c r="AN1253" s="4"/>
      <c r="AO1253" s="4"/>
      <c r="AP1253" s="4"/>
      <c r="AQ1253" s="4"/>
      <c r="AR1253" s="4"/>
      <c r="AS1253" s="4"/>
      <c r="AT1253" s="4"/>
    </row>
    <row r="1254" spans="12:46">
      <c r="L1254" s="5"/>
      <c r="M1254" s="5"/>
      <c r="W1254" s="5"/>
      <c r="Z1254" s="5"/>
      <c r="AA1254" s="5"/>
      <c r="AD1254" s="5"/>
      <c r="AG1254" s="5"/>
      <c r="AH1254" s="5"/>
      <c r="AN1254" s="4"/>
      <c r="AO1254" s="4"/>
      <c r="AP1254" s="4"/>
      <c r="AQ1254" s="4"/>
      <c r="AR1254" s="4"/>
      <c r="AS1254" s="4"/>
      <c r="AT1254" s="4"/>
    </row>
    <row r="1255" spans="12:46">
      <c r="L1255" s="5"/>
      <c r="M1255" s="5"/>
      <c r="W1255" s="5"/>
      <c r="Z1255" s="5"/>
      <c r="AA1255" s="5"/>
      <c r="AD1255" s="5"/>
      <c r="AG1255" s="5"/>
      <c r="AH1255" s="5"/>
      <c r="AN1255" s="4"/>
      <c r="AO1255" s="4"/>
      <c r="AP1255" s="4"/>
      <c r="AQ1255" s="4"/>
      <c r="AR1255" s="4"/>
      <c r="AS1255" s="4"/>
      <c r="AT1255" s="4"/>
    </row>
    <row r="1256" spans="12:46">
      <c r="L1256" s="5"/>
      <c r="M1256" s="5"/>
      <c r="W1256" s="5"/>
      <c r="Z1256" s="5"/>
      <c r="AA1256" s="5"/>
      <c r="AD1256" s="5"/>
      <c r="AG1256" s="5"/>
      <c r="AH1256" s="5"/>
      <c r="AN1256" s="4"/>
      <c r="AO1256" s="4"/>
      <c r="AP1256" s="4"/>
      <c r="AQ1256" s="4"/>
      <c r="AR1256" s="4"/>
      <c r="AS1256" s="4"/>
      <c r="AT1256" s="4"/>
    </row>
    <row r="1257" spans="12:46">
      <c r="L1257" s="5"/>
      <c r="M1257" s="5"/>
      <c r="W1257" s="5"/>
      <c r="Z1257" s="5"/>
      <c r="AA1257" s="5"/>
      <c r="AD1257" s="5"/>
      <c r="AG1257" s="5"/>
      <c r="AH1257" s="5"/>
      <c r="AN1257" s="4"/>
      <c r="AO1257" s="4"/>
      <c r="AP1257" s="4"/>
      <c r="AQ1257" s="4"/>
      <c r="AR1257" s="4"/>
      <c r="AS1257" s="4"/>
      <c r="AT1257" s="4"/>
    </row>
    <row r="1258" spans="12:46">
      <c r="L1258" s="5"/>
      <c r="M1258" s="5"/>
      <c r="W1258" s="5"/>
      <c r="Z1258" s="5"/>
      <c r="AA1258" s="5"/>
      <c r="AD1258" s="5"/>
      <c r="AG1258" s="5"/>
      <c r="AH1258" s="5"/>
      <c r="AN1258" s="4"/>
      <c r="AO1258" s="4"/>
      <c r="AP1258" s="4"/>
      <c r="AQ1258" s="4"/>
      <c r="AR1258" s="4"/>
      <c r="AS1258" s="4"/>
      <c r="AT1258" s="4"/>
    </row>
    <row r="1259" spans="12:46">
      <c r="L1259" s="5"/>
      <c r="M1259" s="5"/>
      <c r="W1259" s="5"/>
      <c r="Z1259" s="5"/>
      <c r="AA1259" s="5"/>
      <c r="AD1259" s="5"/>
      <c r="AG1259" s="5"/>
      <c r="AH1259" s="5"/>
      <c r="AN1259" s="4"/>
      <c r="AO1259" s="4"/>
      <c r="AP1259" s="4"/>
      <c r="AQ1259" s="4"/>
      <c r="AR1259" s="4"/>
      <c r="AS1259" s="4"/>
      <c r="AT1259" s="4"/>
    </row>
    <row r="1260" spans="12:46">
      <c r="L1260" s="5"/>
      <c r="M1260" s="5"/>
      <c r="W1260" s="5"/>
      <c r="Z1260" s="5"/>
      <c r="AA1260" s="5"/>
      <c r="AD1260" s="5"/>
      <c r="AG1260" s="5"/>
      <c r="AH1260" s="5"/>
      <c r="AN1260" s="4"/>
      <c r="AO1260" s="4"/>
      <c r="AP1260" s="4"/>
      <c r="AQ1260" s="4"/>
      <c r="AR1260" s="4"/>
      <c r="AS1260" s="4"/>
      <c r="AT1260" s="4"/>
    </row>
    <row r="1261" spans="12:46">
      <c r="L1261" s="5"/>
      <c r="M1261" s="5"/>
      <c r="W1261" s="5"/>
      <c r="Z1261" s="5"/>
      <c r="AA1261" s="5"/>
      <c r="AD1261" s="5"/>
      <c r="AG1261" s="5"/>
      <c r="AH1261" s="5"/>
      <c r="AN1261" s="4"/>
      <c r="AO1261" s="4"/>
      <c r="AP1261" s="4"/>
      <c r="AQ1261" s="4"/>
      <c r="AR1261" s="4"/>
      <c r="AS1261" s="4"/>
      <c r="AT1261" s="4"/>
    </row>
    <row r="1262" spans="12:46">
      <c r="L1262" s="5"/>
      <c r="M1262" s="5"/>
      <c r="W1262" s="5"/>
      <c r="Z1262" s="5"/>
      <c r="AA1262" s="5"/>
      <c r="AD1262" s="5"/>
      <c r="AG1262" s="5"/>
      <c r="AH1262" s="5"/>
      <c r="AN1262" s="4"/>
      <c r="AO1262" s="4"/>
      <c r="AP1262" s="4"/>
      <c r="AQ1262" s="4"/>
      <c r="AR1262" s="4"/>
      <c r="AS1262" s="4"/>
      <c r="AT1262" s="4"/>
    </row>
    <row r="1263" spans="12:46">
      <c r="L1263" s="5"/>
      <c r="M1263" s="5"/>
      <c r="W1263" s="5"/>
      <c r="Z1263" s="5"/>
      <c r="AA1263" s="5"/>
      <c r="AD1263" s="5"/>
      <c r="AG1263" s="5"/>
      <c r="AH1263" s="5"/>
      <c r="AN1263" s="4"/>
      <c r="AO1263" s="4"/>
      <c r="AP1263" s="4"/>
      <c r="AQ1263" s="4"/>
      <c r="AR1263" s="4"/>
      <c r="AS1263" s="4"/>
      <c r="AT1263" s="4"/>
    </row>
    <row r="1264" spans="12:46">
      <c r="L1264" s="5"/>
      <c r="M1264" s="5"/>
      <c r="W1264" s="5"/>
      <c r="Z1264" s="5"/>
      <c r="AA1264" s="5"/>
      <c r="AD1264" s="5"/>
      <c r="AG1264" s="5"/>
      <c r="AH1264" s="5"/>
      <c r="AN1264" s="4"/>
      <c r="AO1264" s="4"/>
      <c r="AP1264" s="4"/>
      <c r="AQ1264" s="4"/>
      <c r="AR1264" s="4"/>
      <c r="AS1264" s="4"/>
      <c r="AT1264" s="4"/>
    </row>
    <row r="1265" spans="12:46">
      <c r="L1265" s="5"/>
      <c r="M1265" s="5"/>
      <c r="W1265" s="5"/>
      <c r="Z1265" s="5"/>
      <c r="AA1265" s="5"/>
      <c r="AD1265" s="5"/>
      <c r="AG1265" s="5"/>
      <c r="AH1265" s="5"/>
      <c r="AN1265" s="4"/>
      <c r="AO1265" s="4"/>
      <c r="AP1265" s="4"/>
      <c r="AQ1265" s="4"/>
      <c r="AR1265" s="4"/>
      <c r="AS1265" s="4"/>
      <c r="AT1265" s="4"/>
    </row>
    <row r="1266" spans="12:46">
      <c r="L1266" s="5"/>
      <c r="M1266" s="5"/>
      <c r="W1266" s="5"/>
      <c r="Z1266" s="5"/>
      <c r="AA1266" s="5"/>
      <c r="AD1266" s="5"/>
      <c r="AG1266" s="5"/>
      <c r="AH1266" s="5"/>
      <c r="AN1266" s="4"/>
      <c r="AO1266" s="4"/>
      <c r="AP1266" s="4"/>
      <c r="AQ1266" s="4"/>
      <c r="AR1266" s="4"/>
      <c r="AS1266" s="4"/>
      <c r="AT1266" s="4"/>
    </row>
    <row r="1267" spans="12:46">
      <c r="L1267" s="5"/>
      <c r="M1267" s="5"/>
      <c r="W1267" s="5"/>
      <c r="Z1267" s="5"/>
      <c r="AA1267" s="5"/>
      <c r="AD1267" s="5"/>
      <c r="AG1267" s="5"/>
      <c r="AH1267" s="5"/>
      <c r="AN1267" s="4"/>
      <c r="AO1267" s="4"/>
      <c r="AP1267" s="4"/>
      <c r="AQ1267" s="4"/>
      <c r="AR1267" s="4"/>
      <c r="AS1267" s="4"/>
      <c r="AT1267" s="4"/>
    </row>
    <row r="1268" spans="12:46">
      <c r="L1268" s="5"/>
      <c r="M1268" s="5"/>
      <c r="W1268" s="5"/>
      <c r="Z1268" s="5"/>
      <c r="AA1268" s="5"/>
      <c r="AD1268" s="5"/>
      <c r="AG1268" s="5"/>
      <c r="AH1268" s="5"/>
      <c r="AN1268" s="4"/>
      <c r="AO1268" s="4"/>
      <c r="AP1268" s="4"/>
      <c r="AQ1268" s="4"/>
      <c r="AR1268" s="4"/>
      <c r="AS1268" s="4"/>
      <c r="AT1268" s="4"/>
    </row>
    <row r="1269" spans="12:46">
      <c r="L1269" s="5"/>
      <c r="M1269" s="5"/>
      <c r="W1269" s="5"/>
      <c r="Z1269" s="5"/>
      <c r="AA1269" s="5"/>
      <c r="AD1269" s="5"/>
      <c r="AG1269" s="5"/>
      <c r="AH1269" s="5"/>
      <c r="AN1269" s="4"/>
      <c r="AO1269" s="4"/>
      <c r="AP1269" s="4"/>
      <c r="AQ1269" s="4"/>
      <c r="AR1269" s="4"/>
      <c r="AS1269" s="4"/>
      <c r="AT1269" s="4"/>
    </row>
    <row r="1270" spans="12:46">
      <c r="L1270" s="5"/>
      <c r="M1270" s="5"/>
      <c r="W1270" s="5"/>
      <c r="Z1270" s="5"/>
      <c r="AA1270" s="5"/>
      <c r="AD1270" s="5"/>
      <c r="AG1270" s="5"/>
      <c r="AH1270" s="5"/>
      <c r="AN1270" s="4"/>
      <c r="AO1270" s="4"/>
      <c r="AP1270" s="4"/>
      <c r="AQ1270" s="4"/>
      <c r="AR1270" s="4"/>
      <c r="AS1270" s="4"/>
      <c r="AT1270" s="4"/>
    </row>
    <row r="1271" spans="12:46">
      <c r="L1271" s="5"/>
      <c r="M1271" s="5"/>
      <c r="W1271" s="5"/>
      <c r="Z1271" s="5"/>
      <c r="AA1271" s="5"/>
      <c r="AD1271" s="5"/>
      <c r="AG1271" s="5"/>
      <c r="AH1271" s="5"/>
      <c r="AN1271" s="4"/>
      <c r="AO1271" s="4"/>
      <c r="AP1271" s="4"/>
      <c r="AQ1271" s="4"/>
      <c r="AR1271" s="4"/>
      <c r="AS1271" s="4"/>
      <c r="AT1271" s="4"/>
    </row>
    <row r="1272" spans="12:46">
      <c r="L1272" s="5"/>
      <c r="M1272" s="5"/>
      <c r="W1272" s="5"/>
      <c r="Z1272" s="5"/>
      <c r="AA1272" s="5"/>
      <c r="AD1272" s="5"/>
      <c r="AG1272" s="5"/>
      <c r="AH1272" s="5"/>
      <c r="AN1272" s="4"/>
      <c r="AO1272" s="4"/>
      <c r="AP1272" s="4"/>
      <c r="AQ1272" s="4"/>
      <c r="AR1272" s="4"/>
      <c r="AS1272" s="4"/>
      <c r="AT1272" s="4"/>
    </row>
    <row r="1273" spans="12:46">
      <c r="L1273" s="5"/>
      <c r="M1273" s="5"/>
      <c r="W1273" s="5"/>
      <c r="Z1273" s="5"/>
      <c r="AA1273" s="5"/>
      <c r="AD1273" s="5"/>
      <c r="AG1273" s="5"/>
      <c r="AH1273" s="5"/>
      <c r="AN1273" s="4"/>
      <c r="AO1273" s="4"/>
      <c r="AP1273" s="4"/>
      <c r="AQ1273" s="4"/>
      <c r="AR1273" s="4"/>
      <c r="AS1273" s="4"/>
      <c r="AT1273" s="4"/>
    </row>
    <row r="1274" spans="12:46">
      <c r="L1274" s="5"/>
      <c r="M1274" s="5"/>
      <c r="W1274" s="5"/>
      <c r="Z1274" s="5"/>
      <c r="AA1274" s="5"/>
      <c r="AD1274" s="5"/>
      <c r="AG1274" s="5"/>
      <c r="AH1274" s="5"/>
      <c r="AN1274" s="4"/>
      <c r="AO1274" s="4"/>
      <c r="AP1274" s="4"/>
      <c r="AQ1274" s="4"/>
      <c r="AR1274" s="4"/>
      <c r="AS1274" s="4"/>
      <c r="AT1274" s="4"/>
    </row>
    <row r="1275" spans="12:46">
      <c r="L1275" s="5"/>
      <c r="M1275" s="5"/>
      <c r="W1275" s="5"/>
      <c r="Z1275" s="5"/>
      <c r="AA1275" s="5"/>
      <c r="AD1275" s="5"/>
      <c r="AG1275" s="5"/>
      <c r="AH1275" s="5"/>
      <c r="AN1275" s="4"/>
      <c r="AO1275" s="4"/>
      <c r="AP1275" s="4"/>
      <c r="AQ1275" s="4"/>
      <c r="AR1275" s="4"/>
      <c r="AS1275" s="4"/>
      <c r="AT1275" s="4"/>
    </row>
    <row r="1276" spans="12:46">
      <c r="L1276" s="5"/>
      <c r="M1276" s="5"/>
      <c r="W1276" s="5"/>
      <c r="Z1276" s="5"/>
      <c r="AA1276" s="5"/>
      <c r="AD1276" s="5"/>
      <c r="AG1276" s="5"/>
      <c r="AH1276" s="5"/>
      <c r="AN1276" s="4"/>
      <c r="AO1276" s="4"/>
      <c r="AP1276" s="4"/>
      <c r="AQ1276" s="4"/>
      <c r="AR1276" s="4"/>
      <c r="AS1276" s="4"/>
      <c r="AT1276" s="4"/>
    </row>
    <row r="1277" spans="12:46">
      <c r="L1277" s="5"/>
      <c r="M1277" s="5"/>
      <c r="W1277" s="5"/>
      <c r="Z1277" s="5"/>
      <c r="AA1277" s="5"/>
      <c r="AD1277" s="5"/>
      <c r="AG1277" s="5"/>
      <c r="AH1277" s="5"/>
      <c r="AN1277" s="4"/>
      <c r="AO1277" s="4"/>
      <c r="AP1277" s="4"/>
      <c r="AQ1277" s="4"/>
      <c r="AR1277" s="4"/>
      <c r="AS1277" s="4"/>
      <c r="AT1277" s="4"/>
    </row>
    <row r="1278" spans="12:46">
      <c r="L1278" s="5"/>
      <c r="M1278" s="5"/>
      <c r="W1278" s="5"/>
      <c r="Z1278" s="5"/>
      <c r="AA1278" s="5"/>
      <c r="AD1278" s="5"/>
      <c r="AG1278" s="5"/>
      <c r="AH1278" s="5"/>
      <c r="AN1278" s="4"/>
      <c r="AO1278" s="4"/>
      <c r="AP1278" s="4"/>
      <c r="AQ1278" s="4"/>
      <c r="AR1278" s="4"/>
      <c r="AS1278" s="4"/>
      <c r="AT1278" s="4"/>
    </row>
    <row r="1279" spans="12:46">
      <c r="L1279" s="5"/>
      <c r="M1279" s="5"/>
      <c r="W1279" s="5"/>
      <c r="Z1279" s="5"/>
      <c r="AA1279" s="5"/>
      <c r="AD1279" s="5"/>
      <c r="AG1279" s="5"/>
      <c r="AH1279" s="5"/>
      <c r="AN1279" s="4"/>
      <c r="AO1279" s="4"/>
      <c r="AP1279" s="4"/>
      <c r="AQ1279" s="4"/>
      <c r="AR1279" s="4"/>
      <c r="AS1279" s="4"/>
      <c r="AT1279" s="4"/>
    </row>
    <row r="1280" spans="12:46">
      <c r="L1280" s="5"/>
      <c r="M1280" s="5"/>
      <c r="W1280" s="5"/>
      <c r="Z1280" s="5"/>
      <c r="AA1280" s="5"/>
      <c r="AD1280" s="5"/>
      <c r="AG1280" s="5"/>
      <c r="AH1280" s="5"/>
      <c r="AN1280" s="4"/>
      <c r="AO1280" s="4"/>
      <c r="AP1280" s="4"/>
      <c r="AQ1280" s="4"/>
      <c r="AR1280" s="4"/>
      <c r="AS1280" s="4"/>
      <c r="AT1280" s="4"/>
    </row>
    <row r="1281" spans="12:46">
      <c r="L1281" s="5"/>
      <c r="M1281" s="5"/>
      <c r="W1281" s="5"/>
      <c r="Z1281" s="5"/>
      <c r="AA1281" s="5"/>
      <c r="AD1281" s="5"/>
      <c r="AG1281" s="5"/>
      <c r="AH1281" s="5"/>
      <c r="AN1281" s="4"/>
      <c r="AO1281" s="4"/>
      <c r="AP1281" s="4"/>
      <c r="AQ1281" s="4"/>
      <c r="AR1281" s="4"/>
      <c r="AS1281" s="4"/>
      <c r="AT1281" s="4"/>
    </row>
    <row r="1282" spans="12:46">
      <c r="L1282" s="5"/>
      <c r="M1282" s="5"/>
      <c r="W1282" s="5"/>
      <c r="Z1282" s="5"/>
      <c r="AA1282" s="5"/>
      <c r="AD1282" s="5"/>
      <c r="AG1282" s="5"/>
      <c r="AH1282" s="5"/>
      <c r="AN1282" s="4"/>
      <c r="AO1282" s="4"/>
      <c r="AP1282" s="4"/>
      <c r="AQ1282" s="4"/>
      <c r="AR1282" s="4"/>
      <c r="AS1282" s="4"/>
      <c r="AT1282" s="4"/>
    </row>
    <row r="1283" spans="12:46">
      <c r="L1283" s="5"/>
      <c r="M1283" s="5"/>
      <c r="W1283" s="5"/>
      <c r="Z1283" s="5"/>
      <c r="AA1283" s="5"/>
      <c r="AD1283" s="5"/>
      <c r="AG1283" s="5"/>
      <c r="AH1283" s="5"/>
      <c r="AN1283" s="4"/>
      <c r="AO1283" s="4"/>
      <c r="AP1283" s="4"/>
      <c r="AQ1283" s="4"/>
      <c r="AR1283" s="4"/>
      <c r="AS1283" s="4"/>
      <c r="AT1283" s="4"/>
    </row>
    <row r="1284" spans="12:46">
      <c r="L1284" s="5"/>
      <c r="M1284" s="5"/>
      <c r="W1284" s="5"/>
      <c r="Z1284" s="5"/>
      <c r="AA1284" s="5"/>
      <c r="AD1284" s="5"/>
      <c r="AG1284" s="5"/>
      <c r="AH1284" s="5"/>
      <c r="AN1284" s="4"/>
      <c r="AO1284" s="4"/>
      <c r="AP1284" s="4"/>
      <c r="AQ1284" s="4"/>
      <c r="AR1284" s="4"/>
      <c r="AS1284" s="4"/>
      <c r="AT1284" s="4"/>
    </row>
    <row r="1285" spans="12:46">
      <c r="L1285" s="5"/>
      <c r="M1285" s="5"/>
      <c r="W1285" s="5"/>
      <c r="Z1285" s="5"/>
      <c r="AA1285" s="5"/>
      <c r="AD1285" s="5"/>
      <c r="AG1285" s="5"/>
      <c r="AH1285" s="5"/>
      <c r="AN1285" s="4"/>
      <c r="AO1285" s="4"/>
      <c r="AP1285" s="4"/>
      <c r="AQ1285" s="4"/>
      <c r="AR1285" s="4"/>
      <c r="AS1285" s="4"/>
      <c r="AT1285" s="4"/>
    </row>
    <row r="1286" spans="12:46">
      <c r="L1286" s="5"/>
      <c r="M1286" s="5"/>
      <c r="W1286" s="5"/>
      <c r="Z1286" s="5"/>
      <c r="AA1286" s="5"/>
      <c r="AD1286" s="5"/>
      <c r="AG1286" s="5"/>
      <c r="AH1286" s="5"/>
      <c r="AN1286" s="4"/>
      <c r="AO1286" s="4"/>
      <c r="AP1286" s="4"/>
      <c r="AQ1286" s="4"/>
      <c r="AR1286" s="4"/>
      <c r="AS1286" s="4"/>
      <c r="AT1286" s="4"/>
    </row>
    <row r="1287" spans="12:46">
      <c r="L1287" s="5"/>
      <c r="M1287" s="5"/>
      <c r="W1287" s="5"/>
      <c r="Z1287" s="5"/>
      <c r="AA1287" s="5"/>
      <c r="AD1287" s="5"/>
      <c r="AG1287" s="5"/>
      <c r="AH1287" s="5"/>
      <c r="AN1287" s="4"/>
      <c r="AO1287" s="4"/>
      <c r="AP1287" s="4"/>
      <c r="AQ1287" s="4"/>
      <c r="AR1287" s="4"/>
      <c r="AS1287" s="4"/>
      <c r="AT1287" s="4"/>
    </row>
    <row r="1288" spans="12:46">
      <c r="L1288" s="5"/>
      <c r="M1288" s="5"/>
      <c r="W1288" s="5"/>
      <c r="Z1288" s="5"/>
      <c r="AA1288" s="5"/>
      <c r="AD1288" s="5"/>
      <c r="AG1288" s="5"/>
      <c r="AH1288" s="5"/>
      <c r="AN1288" s="4"/>
      <c r="AO1288" s="4"/>
      <c r="AP1288" s="4"/>
      <c r="AQ1288" s="4"/>
      <c r="AR1288" s="4"/>
      <c r="AS1288" s="4"/>
      <c r="AT1288" s="4"/>
    </row>
    <row r="1289" spans="12:46">
      <c r="L1289" s="5"/>
      <c r="M1289" s="5"/>
      <c r="W1289" s="5"/>
      <c r="Z1289" s="5"/>
      <c r="AA1289" s="5"/>
      <c r="AD1289" s="5"/>
      <c r="AG1289" s="5"/>
      <c r="AH1289" s="5"/>
      <c r="AN1289" s="4"/>
      <c r="AO1289" s="4"/>
      <c r="AP1289" s="4"/>
      <c r="AQ1289" s="4"/>
      <c r="AR1289" s="4"/>
      <c r="AS1289" s="4"/>
      <c r="AT1289" s="4"/>
    </row>
    <row r="1290" spans="12:46">
      <c r="L1290" s="5"/>
      <c r="M1290" s="5"/>
      <c r="W1290" s="5"/>
      <c r="Z1290" s="5"/>
      <c r="AA1290" s="5"/>
      <c r="AD1290" s="5"/>
      <c r="AG1290" s="5"/>
      <c r="AH1290" s="5"/>
      <c r="AN1290" s="4"/>
      <c r="AO1290" s="4"/>
      <c r="AP1290" s="4"/>
      <c r="AQ1290" s="4"/>
      <c r="AR1290" s="4"/>
      <c r="AS1290" s="4"/>
      <c r="AT1290" s="4"/>
    </row>
    <row r="1291" spans="12:46">
      <c r="L1291" s="5"/>
      <c r="M1291" s="5"/>
      <c r="W1291" s="5"/>
      <c r="Z1291" s="5"/>
      <c r="AA1291" s="5"/>
      <c r="AD1291" s="5"/>
      <c r="AG1291" s="5"/>
      <c r="AH1291" s="5"/>
      <c r="AN1291" s="4"/>
      <c r="AO1291" s="4"/>
      <c r="AP1291" s="4"/>
      <c r="AQ1291" s="4"/>
      <c r="AR1291" s="4"/>
      <c r="AS1291" s="4"/>
      <c r="AT1291" s="4"/>
    </row>
    <row r="1292" spans="12:46">
      <c r="L1292" s="5"/>
      <c r="M1292" s="5"/>
      <c r="W1292" s="5"/>
      <c r="Z1292" s="5"/>
      <c r="AA1292" s="5"/>
      <c r="AD1292" s="5"/>
      <c r="AG1292" s="5"/>
      <c r="AH1292" s="5"/>
      <c r="AN1292" s="4"/>
      <c r="AO1292" s="4"/>
      <c r="AP1292" s="4"/>
      <c r="AQ1292" s="4"/>
      <c r="AR1292" s="4"/>
      <c r="AS1292" s="4"/>
      <c r="AT1292" s="4"/>
    </row>
    <row r="1293" spans="12:46">
      <c r="L1293" s="5"/>
      <c r="M1293" s="5"/>
      <c r="W1293" s="5"/>
      <c r="Z1293" s="5"/>
      <c r="AA1293" s="5"/>
      <c r="AD1293" s="5"/>
      <c r="AG1293" s="5"/>
      <c r="AH1293" s="5"/>
      <c r="AN1293" s="4"/>
      <c r="AO1293" s="4"/>
      <c r="AP1293" s="4"/>
      <c r="AQ1293" s="4"/>
      <c r="AR1293" s="4"/>
      <c r="AS1293" s="4"/>
      <c r="AT1293" s="4"/>
    </row>
    <row r="1294" spans="12:46">
      <c r="L1294" s="5"/>
      <c r="M1294" s="5"/>
      <c r="W1294" s="5"/>
      <c r="Z1294" s="5"/>
      <c r="AA1294" s="5"/>
      <c r="AD1294" s="5"/>
      <c r="AG1294" s="5"/>
      <c r="AH1294" s="5"/>
      <c r="AN1294" s="4"/>
      <c r="AO1294" s="4"/>
      <c r="AP1294" s="4"/>
      <c r="AQ1294" s="4"/>
      <c r="AR1294" s="4"/>
      <c r="AS1294" s="4"/>
      <c r="AT1294" s="4"/>
    </row>
    <row r="1295" spans="12:46">
      <c r="L1295" s="5"/>
      <c r="M1295" s="5"/>
      <c r="W1295" s="5"/>
      <c r="Z1295" s="5"/>
      <c r="AA1295" s="5"/>
      <c r="AD1295" s="5"/>
      <c r="AG1295" s="5"/>
      <c r="AH1295" s="5"/>
      <c r="AN1295" s="4"/>
      <c r="AO1295" s="4"/>
      <c r="AP1295" s="4"/>
      <c r="AQ1295" s="4"/>
      <c r="AR1295" s="4"/>
      <c r="AS1295" s="4"/>
      <c r="AT1295" s="4"/>
    </row>
    <row r="1296" spans="12:46">
      <c r="L1296" s="5"/>
      <c r="M1296" s="5"/>
      <c r="W1296" s="5"/>
      <c r="Z1296" s="5"/>
      <c r="AA1296" s="5"/>
      <c r="AD1296" s="5"/>
      <c r="AG1296" s="5"/>
      <c r="AH1296" s="5"/>
      <c r="AN1296" s="4"/>
      <c r="AO1296" s="4"/>
      <c r="AP1296" s="4"/>
      <c r="AQ1296" s="4"/>
      <c r="AR1296" s="4"/>
      <c r="AS1296" s="4"/>
      <c r="AT1296" s="4"/>
    </row>
    <row r="1297" spans="12:46">
      <c r="L1297" s="5"/>
      <c r="M1297" s="5"/>
      <c r="W1297" s="5"/>
      <c r="Z1297" s="5"/>
      <c r="AA1297" s="5"/>
      <c r="AD1297" s="5"/>
      <c r="AG1297" s="5"/>
      <c r="AH1297" s="5"/>
      <c r="AN1297" s="4"/>
      <c r="AO1297" s="4"/>
      <c r="AP1297" s="4"/>
      <c r="AQ1297" s="4"/>
      <c r="AR1297" s="4"/>
      <c r="AS1297" s="4"/>
      <c r="AT1297" s="4"/>
    </row>
    <row r="1298" spans="12:46">
      <c r="L1298" s="5"/>
      <c r="M1298" s="5"/>
      <c r="W1298" s="5"/>
      <c r="Z1298" s="5"/>
      <c r="AA1298" s="5"/>
      <c r="AD1298" s="5"/>
      <c r="AG1298" s="5"/>
      <c r="AH1298" s="5"/>
      <c r="AN1298" s="4"/>
      <c r="AO1298" s="4"/>
      <c r="AP1298" s="4"/>
      <c r="AQ1298" s="4"/>
      <c r="AR1298" s="4"/>
      <c r="AS1298" s="4"/>
      <c r="AT1298" s="4"/>
    </row>
    <row r="1299" spans="12:46">
      <c r="L1299" s="5"/>
      <c r="M1299" s="5"/>
      <c r="W1299" s="5"/>
      <c r="Z1299" s="5"/>
      <c r="AA1299" s="5"/>
      <c r="AD1299" s="5"/>
      <c r="AG1299" s="5"/>
      <c r="AH1299" s="5"/>
      <c r="AN1299" s="4"/>
      <c r="AO1299" s="4"/>
      <c r="AP1299" s="4"/>
      <c r="AQ1299" s="4"/>
      <c r="AR1299" s="4"/>
      <c r="AS1299" s="4"/>
      <c r="AT1299" s="4"/>
    </row>
    <row r="1300" spans="12:46">
      <c r="L1300" s="5"/>
      <c r="M1300" s="5"/>
      <c r="W1300" s="5"/>
      <c r="Z1300" s="5"/>
      <c r="AA1300" s="5"/>
      <c r="AD1300" s="5"/>
      <c r="AG1300" s="5"/>
      <c r="AH1300" s="5"/>
      <c r="AN1300" s="4"/>
      <c r="AO1300" s="4"/>
      <c r="AP1300" s="4"/>
      <c r="AQ1300" s="4"/>
      <c r="AR1300" s="4"/>
      <c r="AS1300" s="4"/>
      <c r="AT1300" s="4"/>
    </row>
    <row r="1301" spans="12:46">
      <c r="L1301" s="5"/>
      <c r="M1301" s="5"/>
      <c r="W1301" s="5"/>
      <c r="Z1301" s="5"/>
      <c r="AA1301" s="5"/>
      <c r="AD1301" s="5"/>
      <c r="AG1301" s="5"/>
      <c r="AH1301" s="5"/>
      <c r="AN1301" s="4"/>
      <c r="AO1301" s="4"/>
      <c r="AP1301" s="4"/>
      <c r="AQ1301" s="4"/>
      <c r="AR1301" s="4"/>
      <c r="AS1301" s="4"/>
      <c r="AT1301" s="4"/>
    </row>
    <row r="1302" spans="12:46">
      <c r="L1302" s="5"/>
      <c r="M1302" s="5"/>
      <c r="W1302" s="5"/>
      <c r="Z1302" s="5"/>
      <c r="AA1302" s="5"/>
      <c r="AD1302" s="5"/>
      <c r="AG1302" s="5"/>
      <c r="AH1302" s="5"/>
      <c r="AN1302" s="4"/>
      <c r="AO1302" s="4"/>
      <c r="AP1302" s="4"/>
      <c r="AQ1302" s="4"/>
      <c r="AR1302" s="4"/>
      <c r="AS1302" s="4"/>
      <c r="AT1302" s="4"/>
    </row>
    <row r="1303" spans="12:46">
      <c r="L1303" s="5"/>
      <c r="M1303" s="5"/>
      <c r="W1303" s="5"/>
      <c r="Z1303" s="5"/>
      <c r="AA1303" s="5"/>
      <c r="AD1303" s="5"/>
      <c r="AG1303" s="5"/>
      <c r="AH1303" s="5"/>
      <c r="AN1303" s="4"/>
      <c r="AO1303" s="4"/>
      <c r="AP1303" s="4"/>
      <c r="AQ1303" s="4"/>
      <c r="AR1303" s="4"/>
      <c r="AS1303" s="4"/>
      <c r="AT1303" s="4"/>
    </row>
    <row r="1304" spans="12:46">
      <c r="L1304" s="5"/>
      <c r="M1304" s="5"/>
      <c r="W1304" s="5"/>
      <c r="Z1304" s="5"/>
      <c r="AA1304" s="5"/>
      <c r="AD1304" s="5"/>
      <c r="AG1304" s="5"/>
      <c r="AH1304" s="5"/>
      <c r="AN1304" s="4"/>
      <c r="AO1304" s="4"/>
      <c r="AP1304" s="4"/>
      <c r="AQ1304" s="4"/>
      <c r="AR1304" s="4"/>
      <c r="AS1304" s="4"/>
      <c r="AT1304" s="4"/>
    </row>
    <row r="1305" spans="12:46">
      <c r="L1305" s="5"/>
      <c r="M1305" s="5"/>
      <c r="W1305" s="5"/>
      <c r="Z1305" s="5"/>
      <c r="AA1305" s="5"/>
      <c r="AD1305" s="5"/>
      <c r="AG1305" s="5"/>
      <c r="AH1305" s="5"/>
      <c r="AN1305" s="4"/>
      <c r="AO1305" s="4"/>
      <c r="AP1305" s="4"/>
      <c r="AQ1305" s="4"/>
      <c r="AR1305" s="4"/>
      <c r="AS1305" s="4"/>
      <c r="AT1305" s="4"/>
    </row>
    <row r="1306" spans="12:46">
      <c r="L1306" s="5"/>
      <c r="M1306" s="5"/>
      <c r="W1306" s="5"/>
      <c r="Z1306" s="5"/>
      <c r="AA1306" s="5"/>
      <c r="AD1306" s="5"/>
      <c r="AG1306" s="5"/>
      <c r="AH1306" s="5"/>
      <c r="AN1306" s="4"/>
      <c r="AO1306" s="4"/>
      <c r="AP1306" s="4"/>
      <c r="AQ1306" s="4"/>
      <c r="AR1306" s="4"/>
      <c r="AS1306" s="4"/>
      <c r="AT1306" s="4"/>
    </row>
    <row r="1307" spans="12:46">
      <c r="L1307" s="5"/>
      <c r="M1307" s="5"/>
      <c r="W1307" s="5"/>
      <c r="Z1307" s="5"/>
      <c r="AA1307" s="5"/>
      <c r="AD1307" s="5"/>
      <c r="AG1307" s="5"/>
      <c r="AH1307" s="5"/>
      <c r="AN1307" s="4"/>
      <c r="AO1307" s="4"/>
      <c r="AP1307" s="4"/>
      <c r="AQ1307" s="4"/>
      <c r="AR1307" s="4"/>
      <c r="AS1307" s="4"/>
      <c r="AT1307" s="4"/>
    </row>
    <row r="1308" spans="12:46">
      <c r="L1308" s="5"/>
      <c r="M1308" s="5"/>
      <c r="W1308" s="5"/>
      <c r="Z1308" s="5"/>
      <c r="AA1308" s="5"/>
      <c r="AD1308" s="5"/>
      <c r="AG1308" s="5"/>
      <c r="AH1308" s="5"/>
      <c r="AN1308" s="4"/>
      <c r="AO1308" s="4"/>
      <c r="AP1308" s="4"/>
      <c r="AQ1308" s="4"/>
      <c r="AR1308" s="4"/>
      <c r="AS1308" s="4"/>
      <c r="AT1308" s="4"/>
    </row>
    <row r="1309" spans="12:46">
      <c r="L1309" s="5"/>
      <c r="M1309" s="5"/>
      <c r="W1309" s="5"/>
      <c r="Z1309" s="5"/>
      <c r="AA1309" s="5"/>
      <c r="AD1309" s="5"/>
      <c r="AG1309" s="5"/>
      <c r="AH1309" s="5"/>
      <c r="AN1309" s="4"/>
      <c r="AO1309" s="4"/>
      <c r="AP1309" s="4"/>
      <c r="AQ1309" s="4"/>
      <c r="AR1309" s="4"/>
      <c r="AS1309" s="4"/>
      <c r="AT1309" s="4"/>
    </row>
    <row r="1310" spans="12:46">
      <c r="L1310" s="5"/>
      <c r="M1310" s="5"/>
      <c r="W1310" s="5"/>
      <c r="Z1310" s="5"/>
      <c r="AA1310" s="5"/>
      <c r="AD1310" s="5"/>
      <c r="AG1310" s="5"/>
      <c r="AH1310" s="5"/>
      <c r="AN1310" s="4"/>
      <c r="AO1310" s="4"/>
      <c r="AP1310" s="4"/>
      <c r="AQ1310" s="4"/>
      <c r="AR1310" s="4"/>
      <c r="AS1310" s="4"/>
      <c r="AT1310" s="4"/>
    </row>
    <row r="1311" spans="12:46">
      <c r="L1311" s="5"/>
      <c r="M1311" s="5"/>
      <c r="W1311" s="5"/>
      <c r="Z1311" s="5"/>
      <c r="AA1311" s="5"/>
      <c r="AD1311" s="5"/>
      <c r="AG1311" s="5"/>
      <c r="AH1311" s="5"/>
      <c r="AN1311" s="4"/>
      <c r="AO1311" s="4"/>
      <c r="AP1311" s="4"/>
      <c r="AQ1311" s="4"/>
      <c r="AR1311" s="4"/>
      <c r="AS1311" s="4"/>
      <c r="AT1311" s="4"/>
    </row>
    <row r="1312" spans="12:46">
      <c r="L1312" s="5"/>
      <c r="M1312" s="5"/>
      <c r="W1312" s="5"/>
      <c r="Z1312" s="5"/>
      <c r="AA1312" s="5"/>
      <c r="AD1312" s="5"/>
      <c r="AG1312" s="5"/>
      <c r="AH1312" s="5"/>
      <c r="AN1312" s="4"/>
      <c r="AO1312" s="4"/>
      <c r="AP1312" s="4"/>
      <c r="AQ1312" s="4"/>
      <c r="AR1312" s="4"/>
      <c r="AS1312" s="4"/>
      <c r="AT1312" s="4"/>
    </row>
    <row r="1313" spans="12:46">
      <c r="L1313" s="5"/>
      <c r="M1313" s="5"/>
      <c r="W1313" s="5"/>
      <c r="Z1313" s="5"/>
      <c r="AA1313" s="5"/>
      <c r="AD1313" s="5"/>
      <c r="AG1313" s="5"/>
      <c r="AH1313" s="5"/>
      <c r="AN1313" s="4"/>
      <c r="AO1313" s="4"/>
      <c r="AP1313" s="4"/>
      <c r="AQ1313" s="4"/>
      <c r="AR1313" s="4"/>
      <c r="AS1313" s="4"/>
      <c r="AT1313" s="4"/>
    </row>
    <row r="1314" spans="12:46">
      <c r="L1314" s="5"/>
      <c r="M1314" s="5"/>
      <c r="W1314" s="5"/>
      <c r="Z1314" s="5"/>
      <c r="AA1314" s="5"/>
      <c r="AD1314" s="5"/>
      <c r="AG1314" s="5"/>
      <c r="AH1314" s="5"/>
      <c r="AN1314" s="4"/>
      <c r="AO1314" s="4"/>
      <c r="AP1314" s="4"/>
      <c r="AQ1314" s="4"/>
      <c r="AR1314" s="4"/>
      <c r="AS1314" s="4"/>
      <c r="AT1314" s="4"/>
    </row>
    <row r="1315" spans="12:46">
      <c r="L1315" s="5"/>
      <c r="M1315" s="5"/>
      <c r="W1315" s="5"/>
      <c r="Z1315" s="5"/>
      <c r="AA1315" s="5"/>
      <c r="AD1315" s="5"/>
      <c r="AG1315" s="5"/>
      <c r="AH1315" s="5"/>
      <c r="AN1315" s="4"/>
      <c r="AO1315" s="4"/>
      <c r="AP1315" s="4"/>
      <c r="AQ1315" s="4"/>
      <c r="AR1315" s="4"/>
      <c r="AS1315" s="4"/>
      <c r="AT1315" s="4"/>
    </row>
    <row r="1316" spans="12:46">
      <c r="L1316" s="5"/>
      <c r="M1316" s="5"/>
      <c r="W1316" s="5"/>
      <c r="Z1316" s="5"/>
      <c r="AA1316" s="5"/>
      <c r="AD1316" s="5"/>
      <c r="AG1316" s="5"/>
      <c r="AH1316" s="5"/>
      <c r="AN1316" s="4"/>
      <c r="AO1316" s="4"/>
      <c r="AP1316" s="4"/>
      <c r="AQ1316" s="4"/>
      <c r="AR1316" s="4"/>
      <c r="AS1316" s="4"/>
      <c r="AT1316" s="4"/>
    </row>
    <row r="1317" spans="12:46">
      <c r="L1317" s="5"/>
      <c r="M1317" s="5"/>
      <c r="W1317" s="5"/>
      <c r="Z1317" s="5"/>
      <c r="AA1317" s="5"/>
      <c r="AD1317" s="5"/>
      <c r="AG1317" s="5"/>
      <c r="AH1317" s="5"/>
      <c r="AN1317" s="4"/>
      <c r="AO1317" s="4"/>
      <c r="AP1317" s="4"/>
      <c r="AQ1317" s="4"/>
      <c r="AR1317" s="4"/>
      <c r="AS1317" s="4"/>
      <c r="AT1317" s="4"/>
    </row>
    <row r="1318" spans="12:46">
      <c r="L1318" s="5"/>
      <c r="M1318" s="5"/>
      <c r="W1318" s="5"/>
      <c r="Z1318" s="5"/>
      <c r="AA1318" s="5"/>
      <c r="AD1318" s="5"/>
      <c r="AG1318" s="5"/>
      <c r="AH1318" s="5"/>
      <c r="AN1318" s="4"/>
      <c r="AO1318" s="4"/>
      <c r="AP1318" s="4"/>
      <c r="AQ1318" s="4"/>
      <c r="AR1318" s="4"/>
      <c r="AS1318" s="4"/>
      <c r="AT1318" s="4"/>
    </row>
    <row r="1319" spans="12:46">
      <c r="L1319" s="5"/>
      <c r="M1319" s="5"/>
      <c r="W1319" s="5"/>
      <c r="Z1319" s="5"/>
      <c r="AA1319" s="5"/>
      <c r="AD1319" s="5"/>
      <c r="AG1319" s="5"/>
      <c r="AH1319" s="5"/>
      <c r="AN1319" s="4"/>
      <c r="AO1319" s="4"/>
      <c r="AP1319" s="4"/>
      <c r="AQ1319" s="4"/>
      <c r="AR1319" s="4"/>
      <c r="AS1319" s="4"/>
      <c r="AT1319" s="4"/>
    </row>
    <row r="1320" spans="12:46">
      <c r="L1320" s="5"/>
      <c r="M1320" s="5"/>
      <c r="W1320" s="5"/>
      <c r="Z1320" s="5"/>
      <c r="AA1320" s="5"/>
      <c r="AD1320" s="5"/>
      <c r="AG1320" s="5"/>
      <c r="AH1320" s="5"/>
      <c r="AN1320" s="4"/>
      <c r="AO1320" s="4"/>
      <c r="AP1320" s="4"/>
      <c r="AQ1320" s="4"/>
      <c r="AR1320" s="4"/>
      <c r="AS1320" s="4"/>
      <c r="AT1320" s="4"/>
    </row>
    <row r="1321" spans="12:46">
      <c r="L1321" s="5"/>
      <c r="M1321" s="5"/>
      <c r="W1321" s="5"/>
      <c r="Z1321" s="5"/>
      <c r="AA1321" s="5"/>
      <c r="AD1321" s="5"/>
      <c r="AG1321" s="5"/>
      <c r="AH1321" s="5"/>
      <c r="AN1321" s="4"/>
      <c r="AO1321" s="4"/>
      <c r="AP1321" s="4"/>
      <c r="AQ1321" s="4"/>
      <c r="AR1321" s="4"/>
      <c r="AS1321" s="4"/>
      <c r="AT1321" s="4"/>
    </row>
    <row r="1322" spans="12:46">
      <c r="L1322" s="5"/>
      <c r="M1322" s="5"/>
      <c r="W1322" s="5"/>
      <c r="Z1322" s="5"/>
      <c r="AA1322" s="5"/>
      <c r="AD1322" s="5"/>
      <c r="AG1322" s="5"/>
      <c r="AH1322" s="5"/>
      <c r="AN1322" s="4"/>
      <c r="AO1322" s="4"/>
      <c r="AP1322" s="4"/>
      <c r="AQ1322" s="4"/>
      <c r="AR1322" s="4"/>
      <c r="AS1322" s="4"/>
      <c r="AT1322" s="4"/>
    </row>
    <row r="1323" spans="12:46">
      <c r="L1323" s="5"/>
      <c r="M1323" s="5"/>
      <c r="W1323" s="5"/>
      <c r="Z1323" s="5"/>
      <c r="AA1323" s="5"/>
      <c r="AD1323" s="5"/>
      <c r="AG1323" s="5"/>
      <c r="AH1323" s="5"/>
      <c r="AN1323" s="4"/>
      <c r="AO1323" s="4"/>
      <c r="AP1323" s="4"/>
      <c r="AQ1323" s="4"/>
      <c r="AR1323" s="4"/>
      <c r="AS1323" s="4"/>
      <c r="AT1323" s="4"/>
    </row>
    <row r="1324" spans="12:46">
      <c r="L1324" s="5"/>
      <c r="M1324" s="5"/>
      <c r="W1324" s="5"/>
      <c r="Z1324" s="5"/>
      <c r="AA1324" s="5"/>
      <c r="AD1324" s="5"/>
      <c r="AG1324" s="5"/>
      <c r="AH1324" s="5"/>
      <c r="AN1324" s="4"/>
      <c r="AO1324" s="4"/>
      <c r="AP1324" s="4"/>
      <c r="AQ1324" s="4"/>
      <c r="AR1324" s="4"/>
      <c r="AS1324" s="4"/>
      <c r="AT1324" s="4"/>
    </row>
    <row r="1325" spans="12:46">
      <c r="L1325" s="5"/>
      <c r="M1325" s="5"/>
      <c r="W1325" s="5"/>
      <c r="Z1325" s="5"/>
      <c r="AA1325" s="5"/>
      <c r="AD1325" s="5"/>
      <c r="AG1325" s="5"/>
      <c r="AH1325" s="5"/>
      <c r="AN1325" s="4"/>
      <c r="AO1325" s="4"/>
      <c r="AP1325" s="4"/>
      <c r="AQ1325" s="4"/>
      <c r="AR1325" s="4"/>
      <c r="AS1325" s="4"/>
      <c r="AT1325" s="4"/>
    </row>
    <row r="1326" spans="12:46">
      <c r="L1326" s="5"/>
      <c r="M1326" s="5"/>
      <c r="W1326" s="5"/>
      <c r="Z1326" s="5"/>
      <c r="AA1326" s="5"/>
      <c r="AD1326" s="5"/>
      <c r="AG1326" s="5"/>
      <c r="AH1326" s="5"/>
      <c r="AN1326" s="4"/>
      <c r="AO1326" s="4"/>
      <c r="AP1326" s="4"/>
      <c r="AQ1326" s="4"/>
      <c r="AR1326" s="4"/>
      <c r="AS1326" s="4"/>
      <c r="AT1326" s="4"/>
    </row>
    <row r="1327" spans="12:46">
      <c r="L1327" s="5"/>
      <c r="M1327" s="5"/>
      <c r="W1327" s="5"/>
      <c r="Z1327" s="5"/>
      <c r="AA1327" s="5"/>
      <c r="AD1327" s="5"/>
      <c r="AG1327" s="5"/>
      <c r="AH1327" s="5"/>
      <c r="AN1327" s="4"/>
      <c r="AO1327" s="4"/>
      <c r="AP1327" s="4"/>
      <c r="AQ1327" s="4"/>
      <c r="AR1327" s="4"/>
      <c r="AS1327" s="4"/>
      <c r="AT1327" s="4"/>
    </row>
    <row r="1328" spans="12:46">
      <c r="L1328" s="5"/>
      <c r="M1328" s="5"/>
      <c r="W1328" s="5"/>
      <c r="Z1328" s="5"/>
      <c r="AA1328" s="5"/>
      <c r="AD1328" s="5"/>
      <c r="AG1328" s="5"/>
      <c r="AH1328" s="5"/>
      <c r="AN1328" s="4"/>
      <c r="AO1328" s="4"/>
      <c r="AP1328" s="4"/>
      <c r="AQ1328" s="4"/>
      <c r="AR1328" s="4"/>
      <c r="AS1328" s="4"/>
      <c r="AT1328" s="4"/>
    </row>
    <row r="1329" spans="12:46">
      <c r="L1329" s="5"/>
      <c r="M1329" s="5"/>
      <c r="W1329" s="5"/>
      <c r="Z1329" s="5"/>
      <c r="AA1329" s="5"/>
      <c r="AD1329" s="5"/>
      <c r="AG1329" s="5"/>
      <c r="AH1329" s="5"/>
      <c r="AN1329" s="4"/>
      <c r="AO1329" s="4"/>
      <c r="AP1329" s="4"/>
      <c r="AQ1329" s="4"/>
      <c r="AR1329" s="4"/>
      <c r="AS1329" s="4"/>
      <c r="AT1329" s="4"/>
    </row>
    <row r="1330" spans="12:46">
      <c r="L1330" s="5"/>
      <c r="M1330" s="5"/>
      <c r="W1330" s="5"/>
      <c r="Z1330" s="5"/>
      <c r="AA1330" s="5"/>
      <c r="AD1330" s="5"/>
      <c r="AG1330" s="5"/>
      <c r="AH1330" s="5"/>
      <c r="AN1330" s="4"/>
      <c r="AO1330" s="4"/>
      <c r="AP1330" s="4"/>
      <c r="AQ1330" s="4"/>
      <c r="AR1330" s="4"/>
      <c r="AS1330" s="4"/>
      <c r="AT1330" s="4"/>
    </row>
    <row r="1331" spans="12:46">
      <c r="L1331" s="5"/>
      <c r="M1331" s="5"/>
      <c r="W1331" s="5"/>
      <c r="Z1331" s="5"/>
      <c r="AA1331" s="5"/>
      <c r="AD1331" s="5"/>
      <c r="AG1331" s="5"/>
      <c r="AH1331" s="5"/>
      <c r="AN1331" s="4"/>
      <c r="AO1331" s="4"/>
      <c r="AP1331" s="4"/>
      <c r="AQ1331" s="4"/>
      <c r="AR1331" s="4"/>
      <c r="AS1331" s="4"/>
      <c r="AT1331" s="4"/>
    </row>
    <row r="1332" spans="12:46">
      <c r="L1332" s="5"/>
      <c r="M1332" s="5"/>
      <c r="W1332" s="5"/>
      <c r="Z1332" s="5"/>
      <c r="AA1332" s="5"/>
      <c r="AD1332" s="5"/>
      <c r="AG1332" s="5"/>
      <c r="AH1332" s="5"/>
      <c r="AN1332" s="4"/>
      <c r="AO1332" s="4"/>
      <c r="AP1332" s="4"/>
      <c r="AQ1332" s="4"/>
      <c r="AR1332" s="4"/>
      <c r="AS1332" s="4"/>
      <c r="AT1332" s="4"/>
    </row>
    <row r="1333" spans="12:46">
      <c r="L1333" s="5"/>
      <c r="M1333" s="5"/>
      <c r="W1333" s="5"/>
      <c r="Z1333" s="5"/>
      <c r="AA1333" s="5"/>
      <c r="AD1333" s="5"/>
      <c r="AG1333" s="5"/>
      <c r="AH1333" s="5"/>
      <c r="AN1333" s="4"/>
      <c r="AO1333" s="4"/>
      <c r="AP1333" s="4"/>
      <c r="AQ1333" s="4"/>
      <c r="AR1333" s="4"/>
      <c r="AS1333" s="4"/>
      <c r="AT1333" s="4"/>
    </row>
    <row r="1334" spans="12:46">
      <c r="L1334" s="5"/>
      <c r="M1334" s="5"/>
      <c r="W1334" s="5"/>
      <c r="Z1334" s="5"/>
      <c r="AA1334" s="5"/>
      <c r="AD1334" s="5"/>
      <c r="AG1334" s="5"/>
      <c r="AH1334" s="5"/>
      <c r="AN1334" s="4"/>
      <c r="AO1334" s="4"/>
      <c r="AP1334" s="4"/>
      <c r="AQ1334" s="4"/>
      <c r="AR1334" s="4"/>
      <c r="AS1334" s="4"/>
      <c r="AT1334" s="4"/>
    </row>
    <row r="1335" spans="12:46">
      <c r="L1335" s="5"/>
      <c r="M1335" s="5"/>
      <c r="W1335" s="5"/>
      <c r="Z1335" s="5"/>
      <c r="AA1335" s="5"/>
      <c r="AD1335" s="5"/>
      <c r="AG1335" s="5"/>
      <c r="AH1335" s="5"/>
      <c r="AN1335" s="4"/>
      <c r="AO1335" s="4"/>
      <c r="AP1335" s="4"/>
      <c r="AQ1335" s="4"/>
      <c r="AR1335" s="4"/>
      <c r="AS1335" s="4"/>
      <c r="AT1335" s="4"/>
    </row>
    <row r="1336" spans="12:46">
      <c r="L1336" s="5"/>
      <c r="M1336" s="5"/>
      <c r="W1336" s="5"/>
      <c r="Z1336" s="5"/>
      <c r="AA1336" s="5"/>
      <c r="AD1336" s="5"/>
      <c r="AG1336" s="5"/>
      <c r="AH1336" s="5"/>
      <c r="AN1336" s="4"/>
      <c r="AO1336" s="4"/>
      <c r="AP1336" s="4"/>
      <c r="AQ1336" s="4"/>
      <c r="AR1336" s="4"/>
      <c r="AS1336" s="4"/>
      <c r="AT1336" s="4"/>
    </row>
    <row r="1337" spans="12:46">
      <c r="L1337" s="5"/>
      <c r="M1337" s="5"/>
      <c r="W1337" s="5"/>
      <c r="Z1337" s="5"/>
      <c r="AA1337" s="5"/>
      <c r="AD1337" s="5"/>
      <c r="AG1337" s="5"/>
      <c r="AH1337" s="5"/>
      <c r="AN1337" s="4"/>
      <c r="AO1337" s="4"/>
      <c r="AP1337" s="4"/>
      <c r="AQ1337" s="4"/>
      <c r="AR1337" s="4"/>
      <c r="AS1337" s="4"/>
      <c r="AT1337" s="4"/>
    </row>
    <row r="1338" spans="12:46">
      <c r="L1338" s="5"/>
      <c r="M1338" s="5"/>
      <c r="W1338" s="5"/>
      <c r="Z1338" s="5"/>
      <c r="AA1338" s="5"/>
      <c r="AD1338" s="5"/>
      <c r="AG1338" s="5"/>
      <c r="AH1338" s="5"/>
      <c r="AN1338" s="4"/>
      <c r="AO1338" s="4"/>
      <c r="AP1338" s="4"/>
      <c r="AQ1338" s="4"/>
      <c r="AR1338" s="4"/>
      <c r="AS1338" s="4"/>
      <c r="AT1338" s="4"/>
    </row>
    <row r="1339" spans="12:46">
      <c r="L1339" s="5"/>
      <c r="M1339" s="5"/>
      <c r="W1339" s="5"/>
      <c r="Z1339" s="5"/>
      <c r="AA1339" s="5"/>
      <c r="AD1339" s="5"/>
      <c r="AG1339" s="5"/>
      <c r="AH1339" s="5"/>
      <c r="AN1339" s="4"/>
      <c r="AO1339" s="4"/>
      <c r="AP1339" s="4"/>
      <c r="AQ1339" s="4"/>
      <c r="AR1339" s="4"/>
      <c r="AS1339" s="4"/>
      <c r="AT1339" s="4"/>
    </row>
    <row r="1340" spans="12:46">
      <c r="L1340" s="5"/>
      <c r="M1340" s="5"/>
      <c r="W1340" s="5"/>
      <c r="Z1340" s="5"/>
      <c r="AA1340" s="5"/>
      <c r="AD1340" s="5"/>
      <c r="AG1340" s="5"/>
      <c r="AH1340" s="5"/>
      <c r="AN1340" s="4"/>
      <c r="AO1340" s="4"/>
      <c r="AP1340" s="4"/>
      <c r="AQ1340" s="4"/>
      <c r="AR1340" s="4"/>
      <c r="AS1340" s="4"/>
      <c r="AT1340" s="4"/>
    </row>
    <row r="1341" spans="12:46">
      <c r="L1341" s="5"/>
      <c r="M1341" s="5"/>
      <c r="W1341" s="5"/>
      <c r="Z1341" s="5"/>
      <c r="AA1341" s="5"/>
      <c r="AD1341" s="5"/>
      <c r="AG1341" s="5"/>
      <c r="AH1341" s="5"/>
      <c r="AN1341" s="4"/>
      <c r="AO1341" s="4"/>
      <c r="AP1341" s="4"/>
      <c r="AQ1341" s="4"/>
      <c r="AR1341" s="4"/>
      <c r="AS1341" s="4"/>
      <c r="AT1341" s="4"/>
    </row>
    <row r="1342" spans="12:46">
      <c r="L1342" s="5"/>
      <c r="M1342" s="5"/>
      <c r="W1342" s="5"/>
      <c r="Z1342" s="5"/>
      <c r="AA1342" s="5"/>
      <c r="AD1342" s="5"/>
      <c r="AG1342" s="5"/>
      <c r="AH1342" s="5"/>
      <c r="AN1342" s="4"/>
      <c r="AO1342" s="4"/>
      <c r="AP1342" s="4"/>
      <c r="AQ1342" s="4"/>
      <c r="AR1342" s="4"/>
      <c r="AS1342" s="4"/>
      <c r="AT1342" s="4"/>
    </row>
    <row r="1343" spans="12:46">
      <c r="L1343" s="5"/>
      <c r="M1343" s="5"/>
      <c r="W1343" s="5"/>
      <c r="Z1343" s="5"/>
      <c r="AA1343" s="5"/>
      <c r="AD1343" s="5"/>
      <c r="AG1343" s="5"/>
      <c r="AH1343" s="5"/>
      <c r="AN1343" s="4"/>
      <c r="AO1343" s="4"/>
      <c r="AP1343" s="4"/>
      <c r="AQ1343" s="4"/>
      <c r="AR1343" s="4"/>
      <c r="AS1343" s="4"/>
      <c r="AT1343" s="4"/>
    </row>
    <row r="1344" spans="12:46">
      <c r="L1344" s="5"/>
      <c r="M1344" s="5"/>
      <c r="W1344" s="5"/>
      <c r="Z1344" s="5"/>
      <c r="AA1344" s="5"/>
      <c r="AD1344" s="5"/>
      <c r="AG1344" s="5"/>
      <c r="AH1344" s="5"/>
      <c r="AN1344" s="4"/>
      <c r="AO1344" s="4"/>
      <c r="AP1344" s="4"/>
      <c r="AQ1344" s="4"/>
      <c r="AR1344" s="4"/>
      <c r="AS1344" s="4"/>
      <c r="AT1344" s="4"/>
    </row>
    <row r="1345" spans="12:46">
      <c r="L1345" s="5"/>
      <c r="M1345" s="5"/>
      <c r="W1345" s="5"/>
      <c r="Z1345" s="5"/>
      <c r="AA1345" s="5"/>
      <c r="AD1345" s="5"/>
      <c r="AG1345" s="5"/>
      <c r="AH1345" s="5"/>
      <c r="AN1345" s="4"/>
      <c r="AO1345" s="4"/>
      <c r="AP1345" s="4"/>
      <c r="AQ1345" s="4"/>
      <c r="AR1345" s="4"/>
      <c r="AS1345" s="4"/>
      <c r="AT1345" s="4"/>
    </row>
    <row r="1346" spans="12:46">
      <c r="L1346" s="5"/>
      <c r="M1346" s="5"/>
      <c r="W1346" s="5"/>
      <c r="Z1346" s="5"/>
      <c r="AA1346" s="5"/>
      <c r="AD1346" s="5"/>
      <c r="AG1346" s="5"/>
      <c r="AH1346" s="5"/>
      <c r="AN1346" s="4"/>
      <c r="AO1346" s="4"/>
      <c r="AP1346" s="4"/>
      <c r="AQ1346" s="4"/>
      <c r="AR1346" s="4"/>
      <c r="AS1346" s="4"/>
      <c r="AT1346" s="4"/>
    </row>
    <row r="1347" spans="12:46">
      <c r="L1347" s="5"/>
      <c r="M1347" s="5"/>
      <c r="W1347" s="5"/>
      <c r="Z1347" s="5"/>
      <c r="AA1347" s="5"/>
      <c r="AD1347" s="5"/>
      <c r="AG1347" s="5"/>
      <c r="AH1347" s="5"/>
      <c r="AN1347" s="4"/>
      <c r="AO1347" s="4"/>
      <c r="AP1347" s="4"/>
      <c r="AQ1347" s="4"/>
      <c r="AR1347" s="4"/>
      <c r="AS1347" s="4"/>
      <c r="AT1347" s="4"/>
    </row>
    <row r="1348" spans="12:46">
      <c r="L1348" s="5"/>
      <c r="M1348" s="5"/>
      <c r="W1348" s="5"/>
      <c r="Z1348" s="5"/>
      <c r="AA1348" s="5"/>
      <c r="AD1348" s="5"/>
      <c r="AG1348" s="5"/>
      <c r="AH1348" s="5"/>
      <c r="AN1348" s="4"/>
      <c r="AO1348" s="4"/>
      <c r="AP1348" s="4"/>
      <c r="AQ1348" s="4"/>
      <c r="AR1348" s="4"/>
      <c r="AS1348" s="4"/>
      <c r="AT1348" s="4"/>
    </row>
    <row r="1349" spans="12:46">
      <c r="L1349" s="5"/>
      <c r="M1349" s="5"/>
      <c r="W1349" s="5"/>
      <c r="Z1349" s="5"/>
      <c r="AA1349" s="5"/>
      <c r="AD1349" s="5"/>
      <c r="AG1349" s="5"/>
      <c r="AH1349" s="5"/>
      <c r="AN1349" s="4"/>
      <c r="AO1349" s="4"/>
      <c r="AP1349" s="4"/>
      <c r="AQ1349" s="4"/>
      <c r="AR1349" s="4"/>
      <c r="AS1349" s="4"/>
      <c r="AT1349" s="4"/>
    </row>
    <row r="1350" spans="12:46">
      <c r="L1350" s="5"/>
      <c r="M1350" s="5"/>
      <c r="W1350" s="5"/>
      <c r="Z1350" s="5"/>
      <c r="AA1350" s="5"/>
      <c r="AD1350" s="5"/>
      <c r="AG1350" s="5"/>
      <c r="AH1350" s="5"/>
      <c r="AN1350" s="4"/>
      <c r="AO1350" s="4"/>
      <c r="AP1350" s="4"/>
      <c r="AQ1350" s="4"/>
      <c r="AR1350" s="4"/>
      <c r="AS1350" s="4"/>
      <c r="AT1350" s="4"/>
    </row>
    <row r="1351" spans="12:46">
      <c r="L1351" s="5"/>
      <c r="M1351" s="5"/>
      <c r="W1351" s="5"/>
      <c r="Z1351" s="5"/>
      <c r="AA1351" s="5"/>
      <c r="AD1351" s="5"/>
      <c r="AG1351" s="5"/>
      <c r="AH1351" s="5"/>
      <c r="AN1351" s="4"/>
      <c r="AO1351" s="4"/>
      <c r="AP1351" s="4"/>
      <c r="AQ1351" s="4"/>
      <c r="AR1351" s="4"/>
      <c r="AS1351" s="4"/>
      <c r="AT1351" s="4"/>
    </row>
    <row r="1352" spans="12:46">
      <c r="L1352" s="5"/>
      <c r="M1352" s="5"/>
      <c r="W1352" s="5"/>
      <c r="Z1352" s="5"/>
      <c r="AA1352" s="5"/>
      <c r="AD1352" s="5"/>
      <c r="AG1352" s="5"/>
      <c r="AH1352" s="5"/>
      <c r="AN1352" s="4"/>
      <c r="AO1352" s="4"/>
      <c r="AP1352" s="4"/>
      <c r="AQ1352" s="4"/>
      <c r="AR1352" s="4"/>
      <c r="AS1352" s="4"/>
      <c r="AT1352" s="4"/>
    </row>
    <row r="1353" spans="12:46">
      <c r="L1353" s="5"/>
      <c r="M1353" s="5"/>
      <c r="W1353" s="5"/>
      <c r="Z1353" s="5"/>
      <c r="AA1353" s="5"/>
      <c r="AD1353" s="5"/>
      <c r="AG1353" s="5"/>
      <c r="AH1353" s="5"/>
      <c r="AN1353" s="4"/>
      <c r="AO1353" s="4"/>
      <c r="AP1353" s="4"/>
      <c r="AQ1353" s="4"/>
      <c r="AR1353" s="4"/>
      <c r="AS1353" s="4"/>
      <c r="AT1353" s="4"/>
    </row>
    <row r="1354" spans="12:46">
      <c r="L1354" s="5"/>
      <c r="M1354" s="5"/>
      <c r="W1354" s="5"/>
      <c r="Z1354" s="5"/>
      <c r="AA1354" s="5"/>
      <c r="AD1354" s="5"/>
      <c r="AG1354" s="5"/>
      <c r="AH1354" s="5"/>
      <c r="AN1354" s="4"/>
      <c r="AO1354" s="4"/>
      <c r="AP1354" s="4"/>
      <c r="AQ1354" s="4"/>
      <c r="AR1354" s="4"/>
      <c r="AS1354" s="4"/>
      <c r="AT1354" s="4"/>
    </row>
    <row r="1355" spans="12:46">
      <c r="L1355" s="5"/>
      <c r="M1355" s="5"/>
      <c r="W1355" s="5"/>
      <c r="Z1355" s="5"/>
      <c r="AA1355" s="5"/>
      <c r="AD1355" s="5"/>
      <c r="AG1355" s="5"/>
      <c r="AH1355" s="5"/>
      <c r="AN1355" s="4"/>
      <c r="AO1355" s="4"/>
      <c r="AP1355" s="4"/>
      <c r="AQ1355" s="4"/>
      <c r="AR1355" s="4"/>
      <c r="AS1355" s="4"/>
      <c r="AT1355" s="4"/>
    </row>
    <row r="1356" spans="12:46">
      <c r="L1356" s="5"/>
      <c r="M1356" s="5"/>
      <c r="W1356" s="5"/>
      <c r="Z1356" s="5"/>
      <c r="AA1356" s="5"/>
      <c r="AD1356" s="5"/>
      <c r="AG1356" s="5"/>
      <c r="AH1356" s="5"/>
      <c r="AN1356" s="4"/>
      <c r="AO1356" s="4"/>
      <c r="AP1356" s="4"/>
      <c r="AQ1356" s="4"/>
      <c r="AR1356" s="4"/>
      <c r="AS1356" s="4"/>
      <c r="AT1356" s="4"/>
    </row>
    <row r="1357" spans="12:46">
      <c r="L1357" s="5"/>
      <c r="M1357" s="5"/>
      <c r="W1357" s="5"/>
      <c r="Z1357" s="5"/>
      <c r="AA1357" s="5"/>
      <c r="AD1357" s="5"/>
      <c r="AG1357" s="5"/>
      <c r="AH1357" s="5"/>
      <c r="AN1357" s="4"/>
      <c r="AO1357" s="4"/>
      <c r="AP1357" s="4"/>
      <c r="AQ1357" s="4"/>
      <c r="AR1357" s="4"/>
      <c r="AS1357" s="4"/>
      <c r="AT1357" s="4"/>
    </row>
    <row r="1358" spans="12:46">
      <c r="L1358" s="5"/>
      <c r="M1358" s="5"/>
      <c r="W1358" s="5"/>
      <c r="Z1358" s="5"/>
      <c r="AA1358" s="5"/>
      <c r="AD1358" s="5"/>
      <c r="AG1358" s="5"/>
      <c r="AH1358" s="5"/>
      <c r="AN1358" s="4"/>
      <c r="AO1358" s="4"/>
      <c r="AP1358" s="4"/>
      <c r="AQ1358" s="4"/>
      <c r="AR1358" s="4"/>
      <c r="AS1358" s="4"/>
      <c r="AT1358" s="4"/>
    </row>
    <row r="1359" spans="12:46">
      <c r="L1359" s="5"/>
      <c r="M1359" s="5"/>
      <c r="W1359" s="5"/>
      <c r="Z1359" s="5"/>
      <c r="AA1359" s="5"/>
      <c r="AD1359" s="5"/>
      <c r="AG1359" s="5"/>
      <c r="AH1359" s="5"/>
      <c r="AN1359" s="4"/>
      <c r="AO1359" s="4"/>
      <c r="AP1359" s="4"/>
      <c r="AQ1359" s="4"/>
      <c r="AR1359" s="4"/>
      <c r="AS1359" s="4"/>
      <c r="AT1359" s="4"/>
    </row>
    <row r="1360" spans="12:46">
      <c r="L1360" s="5"/>
      <c r="M1360" s="5"/>
      <c r="W1360" s="5"/>
      <c r="Z1360" s="5"/>
      <c r="AA1360" s="5"/>
      <c r="AD1360" s="5"/>
      <c r="AG1360" s="5"/>
      <c r="AH1360" s="5"/>
      <c r="AN1360" s="4"/>
      <c r="AO1360" s="4"/>
      <c r="AP1360" s="4"/>
      <c r="AQ1360" s="4"/>
      <c r="AR1360" s="4"/>
      <c r="AS1360" s="4"/>
      <c r="AT1360" s="4"/>
    </row>
    <row r="1361" spans="12:46">
      <c r="L1361" s="5"/>
      <c r="M1361" s="5"/>
      <c r="W1361" s="5"/>
      <c r="Z1361" s="5"/>
      <c r="AA1361" s="5"/>
      <c r="AD1361" s="5"/>
      <c r="AG1361" s="5"/>
      <c r="AH1361" s="5"/>
      <c r="AN1361" s="4"/>
      <c r="AO1361" s="4"/>
      <c r="AP1361" s="4"/>
      <c r="AQ1361" s="4"/>
      <c r="AR1361" s="4"/>
      <c r="AS1361" s="4"/>
      <c r="AT1361" s="4"/>
    </row>
    <row r="1362" spans="12:46">
      <c r="L1362" s="5"/>
      <c r="M1362" s="5"/>
      <c r="W1362" s="5"/>
      <c r="Z1362" s="5"/>
      <c r="AA1362" s="5"/>
      <c r="AD1362" s="5"/>
      <c r="AG1362" s="5"/>
      <c r="AH1362" s="5"/>
      <c r="AN1362" s="4"/>
      <c r="AO1362" s="4"/>
      <c r="AP1362" s="4"/>
      <c r="AQ1362" s="4"/>
      <c r="AR1362" s="4"/>
      <c r="AS1362" s="4"/>
      <c r="AT1362" s="4"/>
    </row>
    <row r="1363" spans="12:46">
      <c r="L1363" s="5"/>
      <c r="M1363" s="5"/>
      <c r="W1363" s="5"/>
      <c r="Z1363" s="5"/>
      <c r="AA1363" s="5"/>
      <c r="AD1363" s="5"/>
      <c r="AG1363" s="5"/>
      <c r="AH1363" s="5"/>
      <c r="AN1363" s="4"/>
      <c r="AO1363" s="4"/>
      <c r="AP1363" s="4"/>
      <c r="AQ1363" s="4"/>
      <c r="AR1363" s="4"/>
      <c r="AS1363" s="4"/>
      <c r="AT1363" s="4"/>
    </row>
    <row r="1364" spans="12:46">
      <c r="L1364" s="5"/>
      <c r="M1364" s="5"/>
      <c r="W1364" s="5"/>
      <c r="Z1364" s="5"/>
      <c r="AA1364" s="5"/>
      <c r="AD1364" s="5"/>
      <c r="AG1364" s="5"/>
      <c r="AH1364" s="5"/>
      <c r="AN1364" s="4"/>
      <c r="AO1364" s="4"/>
      <c r="AP1364" s="4"/>
      <c r="AQ1364" s="4"/>
      <c r="AR1364" s="4"/>
      <c r="AS1364" s="4"/>
      <c r="AT1364" s="4"/>
    </row>
    <row r="1365" spans="12:46">
      <c r="L1365" s="5"/>
      <c r="M1365" s="5"/>
      <c r="W1365" s="5"/>
      <c r="Z1365" s="5"/>
      <c r="AA1365" s="5"/>
      <c r="AD1365" s="5"/>
      <c r="AG1365" s="5"/>
      <c r="AH1365" s="5"/>
      <c r="AN1365" s="4"/>
      <c r="AO1365" s="4"/>
      <c r="AP1365" s="4"/>
      <c r="AQ1365" s="4"/>
      <c r="AR1365" s="4"/>
      <c r="AS1365" s="4"/>
      <c r="AT1365" s="4"/>
    </row>
    <row r="1366" spans="12:46">
      <c r="L1366" s="5"/>
      <c r="M1366" s="5"/>
      <c r="W1366" s="5"/>
      <c r="Z1366" s="5"/>
      <c r="AA1366" s="5"/>
      <c r="AD1366" s="5"/>
      <c r="AG1366" s="5"/>
      <c r="AH1366" s="5"/>
      <c r="AN1366" s="4"/>
      <c r="AO1366" s="4"/>
      <c r="AP1366" s="4"/>
      <c r="AQ1366" s="4"/>
      <c r="AR1366" s="4"/>
      <c r="AS1366" s="4"/>
      <c r="AT1366" s="4"/>
    </row>
    <row r="1367" spans="12:46">
      <c r="L1367" s="5"/>
      <c r="M1367" s="5"/>
      <c r="W1367" s="5"/>
      <c r="Z1367" s="5"/>
      <c r="AA1367" s="5"/>
      <c r="AD1367" s="5"/>
      <c r="AG1367" s="5"/>
      <c r="AH1367" s="5"/>
      <c r="AN1367" s="4"/>
      <c r="AO1367" s="4"/>
      <c r="AP1367" s="4"/>
      <c r="AQ1367" s="4"/>
      <c r="AR1367" s="4"/>
      <c r="AS1367" s="4"/>
      <c r="AT1367" s="4"/>
    </row>
    <row r="1368" spans="12:46">
      <c r="L1368" s="5"/>
      <c r="M1368" s="5"/>
      <c r="W1368" s="5"/>
      <c r="Z1368" s="5"/>
      <c r="AA1368" s="5"/>
      <c r="AD1368" s="5"/>
      <c r="AG1368" s="5"/>
      <c r="AH1368" s="5"/>
      <c r="AN1368" s="4"/>
      <c r="AO1368" s="4"/>
      <c r="AP1368" s="4"/>
      <c r="AQ1368" s="4"/>
      <c r="AR1368" s="4"/>
      <c r="AS1368" s="4"/>
      <c r="AT1368" s="4"/>
    </row>
    <row r="1369" spans="12:46">
      <c r="L1369" s="5"/>
      <c r="M1369" s="5"/>
      <c r="W1369" s="5"/>
      <c r="Z1369" s="5"/>
      <c r="AA1369" s="5"/>
      <c r="AD1369" s="5"/>
      <c r="AG1369" s="5"/>
      <c r="AH1369" s="5"/>
      <c r="AN1369" s="4"/>
      <c r="AO1369" s="4"/>
      <c r="AP1369" s="4"/>
      <c r="AQ1369" s="4"/>
      <c r="AR1369" s="4"/>
      <c r="AS1369" s="4"/>
      <c r="AT1369" s="4"/>
    </row>
    <row r="1370" spans="12:46">
      <c r="L1370" s="5"/>
      <c r="M1370" s="5"/>
      <c r="W1370" s="5"/>
      <c r="Z1370" s="5"/>
      <c r="AA1370" s="5"/>
      <c r="AD1370" s="5"/>
      <c r="AG1370" s="5"/>
      <c r="AH1370" s="5"/>
      <c r="AN1370" s="4"/>
      <c r="AO1370" s="4"/>
      <c r="AP1370" s="4"/>
      <c r="AQ1370" s="4"/>
      <c r="AR1370" s="4"/>
      <c r="AS1370" s="4"/>
      <c r="AT1370" s="4"/>
    </row>
    <row r="1371" spans="12:46">
      <c r="L1371" s="5"/>
      <c r="M1371" s="5"/>
      <c r="W1371" s="5"/>
      <c r="Z1371" s="5"/>
      <c r="AA1371" s="5"/>
      <c r="AD1371" s="5"/>
      <c r="AG1371" s="5"/>
      <c r="AH1371" s="5"/>
      <c r="AN1371" s="4"/>
      <c r="AO1371" s="4"/>
      <c r="AP1371" s="4"/>
      <c r="AQ1371" s="4"/>
      <c r="AR1371" s="4"/>
      <c r="AS1371" s="4"/>
      <c r="AT1371" s="4"/>
    </row>
    <row r="1372" spans="12:46">
      <c r="L1372" s="5"/>
      <c r="M1372" s="5"/>
      <c r="W1372" s="5"/>
      <c r="Z1372" s="5"/>
      <c r="AA1372" s="5"/>
      <c r="AD1372" s="5"/>
      <c r="AG1372" s="5"/>
      <c r="AH1372" s="5"/>
      <c r="AN1372" s="4"/>
      <c r="AO1372" s="4"/>
      <c r="AP1372" s="4"/>
      <c r="AQ1372" s="4"/>
      <c r="AR1372" s="4"/>
      <c r="AS1372" s="4"/>
      <c r="AT1372" s="4"/>
    </row>
    <row r="1373" spans="12:46">
      <c r="L1373" s="5"/>
      <c r="M1373" s="5"/>
      <c r="W1373" s="5"/>
      <c r="Z1373" s="5"/>
      <c r="AA1373" s="5"/>
      <c r="AD1373" s="5"/>
      <c r="AG1373" s="5"/>
      <c r="AH1373" s="5"/>
      <c r="AN1373" s="4"/>
      <c r="AO1373" s="4"/>
      <c r="AP1373" s="4"/>
      <c r="AQ1373" s="4"/>
      <c r="AR1373" s="4"/>
      <c r="AS1373" s="4"/>
      <c r="AT1373" s="4"/>
    </row>
    <row r="1374" spans="12:46">
      <c r="L1374" s="5"/>
      <c r="M1374" s="5"/>
      <c r="W1374" s="5"/>
      <c r="Z1374" s="5"/>
      <c r="AA1374" s="5"/>
      <c r="AD1374" s="5"/>
      <c r="AG1374" s="5"/>
      <c r="AH1374" s="5"/>
      <c r="AN1374" s="4"/>
      <c r="AO1374" s="4"/>
      <c r="AP1374" s="4"/>
      <c r="AQ1374" s="4"/>
      <c r="AR1374" s="4"/>
      <c r="AS1374" s="4"/>
      <c r="AT1374" s="4"/>
    </row>
    <row r="1375" spans="12:46">
      <c r="L1375" s="5"/>
      <c r="M1375" s="5"/>
      <c r="W1375" s="5"/>
      <c r="Z1375" s="5"/>
      <c r="AA1375" s="5"/>
      <c r="AD1375" s="5"/>
      <c r="AG1375" s="5"/>
      <c r="AH1375" s="5"/>
      <c r="AN1375" s="4"/>
      <c r="AO1375" s="4"/>
      <c r="AP1375" s="4"/>
      <c r="AQ1375" s="4"/>
      <c r="AR1375" s="4"/>
      <c r="AS1375" s="4"/>
      <c r="AT1375" s="4"/>
    </row>
    <row r="1376" spans="12:46">
      <c r="L1376" s="5"/>
      <c r="M1376" s="5"/>
      <c r="W1376" s="5"/>
      <c r="Z1376" s="5"/>
      <c r="AA1376" s="5"/>
      <c r="AD1376" s="5"/>
      <c r="AG1376" s="5"/>
      <c r="AH1376" s="5"/>
      <c r="AN1376" s="4"/>
      <c r="AO1376" s="4"/>
      <c r="AP1376" s="4"/>
      <c r="AQ1376" s="4"/>
      <c r="AR1376" s="4"/>
      <c r="AS1376" s="4"/>
      <c r="AT1376" s="4"/>
    </row>
    <row r="1377" spans="12:46">
      <c r="L1377" s="5"/>
      <c r="M1377" s="5"/>
      <c r="W1377" s="5"/>
      <c r="Z1377" s="5"/>
      <c r="AA1377" s="5"/>
      <c r="AD1377" s="5"/>
      <c r="AG1377" s="5"/>
      <c r="AH1377" s="5"/>
      <c r="AN1377" s="4"/>
      <c r="AO1377" s="4"/>
      <c r="AP1377" s="4"/>
      <c r="AQ1377" s="4"/>
      <c r="AR1377" s="4"/>
      <c r="AS1377" s="4"/>
      <c r="AT1377" s="4"/>
    </row>
    <row r="1378" spans="12:46">
      <c r="L1378" s="5"/>
      <c r="M1378" s="5"/>
      <c r="W1378" s="5"/>
      <c r="Z1378" s="5"/>
      <c r="AA1378" s="5"/>
      <c r="AD1378" s="5"/>
      <c r="AG1378" s="5"/>
      <c r="AH1378" s="5"/>
      <c r="AN1378" s="4"/>
      <c r="AO1378" s="4"/>
      <c r="AP1378" s="4"/>
      <c r="AQ1378" s="4"/>
      <c r="AR1378" s="4"/>
      <c r="AS1378" s="4"/>
      <c r="AT1378" s="4"/>
    </row>
    <row r="1379" spans="12:46">
      <c r="L1379" s="5"/>
      <c r="M1379" s="5"/>
      <c r="W1379" s="5"/>
      <c r="Z1379" s="5"/>
      <c r="AA1379" s="5"/>
      <c r="AD1379" s="5"/>
      <c r="AG1379" s="5"/>
      <c r="AH1379" s="5"/>
      <c r="AN1379" s="4"/>
      <c r="AO1379" s="4"/>
      <c r="AP1379" s="4"/>
      <c r="AQ1379" s="4"/>
      <c r="AR1379" s="4"/>
      <c r="AS1379" s="4"/>
      <c r="AT1379" s="4"/>
    </row>
    <row r="1380" spans="12:46">
      <c r="L1380" s="5"/>
      <c r="M1380" s="5"/>
      <c r="W1380" s="5"/>
      <c r="Z1380" s="5"/>
      <c r="AA1380" s="5"/>
      <c r="AD1380" s="5"/>
      <c r="AG1380" s="5"/>
      <c r="AH1380" s="5"/>
      <c r="AN1380" s="4"/>
      <c r="AO1380" s="4"/>
      <c r="AP1380" s="4"/>
      <c r="AQ1380" s="4"/>
      <c r="AR1380" s="4"/>
      <c r="AS1380" s="4"/>
      <c r="AT1380" s="4"/>
    </row>
    <row r="1381" spans="12:46">
      <c r="L1381" s="5"/>
      <c r="M1381" s="5"/>
      <c r="W1381" s="5"/>
      <c r="Z1381" s="5"/>
      <c r="AA1381" s="5"/>
      <c r="AD1381" s="5"/>
      <c r="AG1381" s="5"/>
      <c r="AH1381" s="5"/>
      <c r="AN1381" s="4"/>
      <c r="AO1381" s="4"/>
      <c r="AP1381" s="4"/>
      <c r="AQ1381" s="4"/>
      <c r="AR1381" s="4"/>
      <c r="AS1381" s="4"/>
      <c r="AT1381" s="4"/>
    </row>
    <row r="1382" spans="12:46">
      <c r="L1382" s="5"/>
      <c r="M1382" s="5"/>
      <c r="W1382" s="5"/>
      <c r="Z1382" s="5"/>
      <c r="AA1382" s="5"/>
      <c r="AD1382" s="5"/>
      <c r="AG1382" s="5"/>
      <c r="AH1382" s="5"/>
      <c r="AN1382" s="4"/>
      <c r="AO1382" s="4"/>
      <c r="AP1382" s="4"/>
      <c r="AQ1382" s="4"/>
      <c r="AR1382" s="4"/>
      <c r="AS1382" s="4"/>
      <c r="AT1382" s="4"/>
    </row>
    <row r="1383" spans="12:46">
      <c r="L1383" s="5"/>
      <c r="M1383" s="5"/>
      <c r="W1383" s="5"/>
      <c r="Z1383" s="5"/>
      <c r="AA1383" s="5"/>
      <c r="AD1383" s="5"/>
      <c r="AG1383" s="5"/>
      <c r="AH1383" s="5"/>
      <c r="AN1383" s="4"/>
      <c r="AO1383" s="4"/>
      <c r="AP1383" s="4"/>
      <c r="AQ1383" s="4"/>
      <c r="AR1383" s="4"/>
      <c r="AS1383" s="4"/>
      <c r="AT1383" s="4"/>
    </row>
    <row r="1384" spans="12:46">
      <c r="L1384" s="5"/>
      <c r="M1384" s="5"/>
      <c r="W1384" s="5"/>
      <c r="Z1384" s="5"/>
      <c r="AA1384" s="5"/>
      <c r="AD1384" s="5"/>
      <c r="AG1384" s="5"/>
      <c r="AH1384" s="5"/>
      <c r="AN1384" s="4"/>
      <c r="AO1384" s="4"/>
      <c r="AP1384" s="4"/>
      <c r="AQ1384" s="4"/>
      <c r="AR1384" s="4"/>
      <c r="AS1384" s="4"/>
      <c r="AT1384" s="4"/>
    </row>
    <row r="1385" spans="12:46">
      <c r="L1385" s="5"/>
      <c r="M1385" s="5"/>
      <c r="W1385" s="5"/>
      <c r="Z1385" s="5"/>
      <c r="AA1385" s="5"/>
      <c r="AD1385" s="5"/>
      <c r="AG1385" s="5"/>
      <c r="AH1385" s="5"/>
      <c r="AN1385" s="4"/>
      <c r="AO1385" s="4"/>
      <c r="AP1385" s="4"/>
      <c r="AQ1385" s="4"/>
      <c r="AR1385" s="4"/>
      <c r="AS1385" s="4"/>
      <c r="AT1385" s="4"/>
    </row>
    <row r="1386" spans="12:46">
      <c r="L1386" s="5"/>
      <c r="M1386" s="5"/>
      <c r="W1386" s="5"/>
      <c r="Z1386" s="5"/>
      <c r="AA1386" s="5"/>
      <c r="AD1386" s="5"/>
      <c r="AG1386" s="5"/>
      <c r="AH1386" s="5"/>
      <c r="AN1386" s="4"/>
      <c r="AO1386" s="4"/>
      <c r="AP1386" s="4"/>
      <c r="AQ1386" s="4"/>
      <c r="AR1386" s="4"/>
      <c r="AS1386" s="4"/>
      <c r="AT1386" s="4"/>
    </row>
    <row r="1387" spans="12:46">
      <c r="L1387" s="5"/>
      <c r="M1387" s="5"/>
      <c r="W1387" s="5"/>
      <c r="Z1387" s="5"/>
      <c r="AA1387" s="5"/>
      <c r="AD1387" s="5"/>
      <c r="AG1387" s="5"/>
      <c r="AH1387" s="5"/>
      <c r="AN1387" s="4"/>
      <c r="AO1387" s="4"/>
      <c r="AP1387" s="4"/>
      <c r="AQ1387" s="4"/>
      <c r="AR1387" s="4"/>
      <c r="AS1387" s="4"/>
      <c r="AT1387" s="4"/>
    </row>
    <row r="1388" spans="12:46">
      <c r="L1388" s="5"/>
      <c r="M1388" s="5"/>
      <c r="W1388" s="5"/>
      <c r="Z1388" s="5"/>
      <c r="AA1388" s="5"/>
      <c r="AD1388" s="5"/>
      <c r="AG1388" s="5"/>
      <c r="AH1388" s="5"/>
      <c r="AN1388" s="4"/>
      <c r="AO1388" s="4"/>
      <c r="AP1388" s="4"/>
      <c r="AQ1388" s="4"/>
      <c r="AR1388" s="4"/>
      <c r="AS1388" s="4"/>
      <c r="AT1388" s="4"/>
    </row>
    <row r="1389" spans="12:46">
      <c r="L1389" s="5"/>
      <c r="M1389" s="5"/>
      <c r="W1389" s="5"/>
      <c r="Z1389" s="5"/>
      <c r="AA1389" s="5"/>
      <c r="AD1389" s="5"/>
      <c r="AG1389" s="5"/>
      <c r="AH1389" s="5"/>
      <c r="AN1389" s="4"/>
      <c r="AO1389" s="4"/>
      <c r="AP1389" s="4"/>
      <c r="AQ1389" s="4"/>
      <c r="AR1389" s="4"/>
      <c r="AS1389" s="4"/>
      <c r="AT1389" s="4"/>
    </row>
    <row r="1390" spans="12:46">
      <c r="L1390" s="5"/>
      <c r="M1390" s="5"/>
      <c r="W1390" s="5"/>
      <c r="Z1390" s="5"/>
      <c r="AA1390" s="5"/>
      <c r="AD1390" s="5"/>
      <c r="AG1390" s="5"/>
      <c r="AH1390" s="5"/>
      <c r="AN1390" s="4"/>
      <c r="AO1390" s="4"/>
      <c r="AP1390" s="4"/>
      <c r="AQ1390" s="4"/>
      <c r="AR1390" s="4"/>
      <c r="AS1390" s="4"/>
      <c r="AT1390" s="4"/>
    </row>
    <row r="1391" spans="12:46">
      <c r="L1391" s="5"/>
      <c r="M1391" s="5"/>
      <c r="W1391" s="5"/>
      <c r="Z1391" s="5"/>
      <c r="AA1391" s="5"/>
      <c r="AD1391" s="5"/>
      <c r="AG1391" s="5"/>
      <c r="AH1391" s="5"/>
      <c r="AN1391" s="4"/>
      <c r="AO1391" s="4"/>
      <c r="AP1391" s="4"/>
      <c r="AQ1391" s="4"/>
      <c r="AR1391" s="4"/>
      <c r="AS1391" s="4"/>
      <c r="AT1391" s="4"/>
    </row>
    <row r="1392" spans="12:46">
      <c r="L1392" s="5"/>
      <c r="M1392" s="5"/>
      <c r="W1392" s="5"/>
      <c r="Z1392" s="5"/>
      <c r="AA1392" s="5"/>
      <c r="AD1392" s="5"/>
      <c r="AG1392" s="5"/>
      <c r="AH1392" s="5"/>
      <c r="AN1392" s="4"/>
      <c r="AO1392" s="4"/>
      <c r="AP1392" s="4"/>
      <c r="AQ1392" s="4"/>
      <c r="AR1392" s="4"/>
      <c r="AS1392" s="4"/>
      <c r="AT1392" s="4"/>
    </row>
    <row r="1393" spans="12:46">
      <c r="L1393" s="5"/>
      <c r="M1393" s="5"/>
      <c r="W1393" s="5"/>
      <c r="Z1393" s="5"/>
      <c r="AA1393" s="5"/>
      <c r="AD1393" s="5"/>
      <c r="AG1393" s="5"/>
      <c r="AH1393" s="5"/>
      <c r="AN1393" s="4"/>
      <c r="AO1393" s="4"/>
      <c r="AP1393" s="4"/>
      <c r="AQ1393" s="4"/>
      <c r="AR1393" s="4"/>
      <c r="AS1393" s="4"/>
      <c r="AT1393" s="4"/>
    </row>
    <row r="1394" spans="12:46">
      <c r="L1394" s="5"/>
      <c r="M1394" s="5"/>
      <c r="W1394" s="5"/>
      <c r="Z1394" s="5"/>
      <c r="AA1394" s="5"/>
      <c r="AD1394" s="5"/>
      <c r="AG1394" s="5"/>
      <c r="AH1394" s="5"/>
      <c r="AN1394" s="4"/>
      <c r="AO1394" s="4"/>
      <c r="AP1394" s="4"/>
      <c r="AQ1394" s="4"/>
      <c r="AR1394" s="4"/>
      <c r="AS1394" s="4"/>
      <c r="AT1394" s="4"/>
    </row>
    <row r="1395" spans="12:46">
      <c r="L1395" s="5"/>
      <c r="M1395" s="5"/>
      <c r="W1395" s="5"/>
      <c r="Z1395" s="5"/>
      <c r="AA1395" s="5"/>
      <c r="AD1395" s="5"/>
      <c r="AG1395" s="5"/>
      <c r="AH1395" s="5"/>
      <c r="AN1395" s="4"/>
      <c r="AO1395" s="4"/>
      <c r="AP1395" s="4"/>
      <c r="AQ1395" s="4"/>
      <c r="AR1395" s="4"/>
      <c r="AS1395" s="4"/>
      <c r="AT1395" s="4"/>
    </row>
    <row r="1396" spans="12:46">
      <c r="L1396" s="5"/>
      <c r="M1396" s="5"/>
      <c r="W1396" s="5"/>
      <c r="Z1396" s="5"/>
      <c r="AA1396" s="5"/>
      <c r="AD1396" s="5"/>
      <c r="AG1396" s="5"/>
      <c r="AH1396" s="5"/>
      <c r="AN1396" s="4"/>
      <c r="AO1396" s="4"/>
      <c r="AP1396" s="4"/>
      <c r="AQ1396" s="4"/>
      <c r="AR1396" s="4"/>
      <c r="AS1396" s="4"/>
      <c r="AT1396" s="4"/>
    </row>
    <row r="1397" spans="12:46">
      <c r="L1397" s="5"/>
      <c r="M1397" s="5"/>
      <c r="W1397" s="5"/>
      <c r="Z1397" s="5"/>
      <c r="AA1397" s="5"/>
      <c r="AD1397" s="5"/>
      <c r="AG1397" s="5"/>
      <c r="AH1397" s="5"/>
      <c r="AN1397" s="4"/>
      <c r="AO1397" s="4"/>
      <c r="AP1397" s="4"/>
      <c r="AQ1397" s="4"/>
      <c r="AR1397" s="4"/>
      <c r="AS1397" s="4"/>
      <c r="AT1397" s="4"/>
    </row>
    <row r="1398" spans="12:46">
      <c r="L1398" s="5"/>
      <c r="M1398" s="5"/>
      <c r="W1398" s="5"/>
      <c r="Z1398" s="5"/>
      <c r="AA1398" s="5"/>
      <c r="AD1398" s="5"/>
      <c r="AG1398" s="5"/>
      <c r="AH1398" s="5"/>
      <c r="AN1398" s="4"/>
      <c r="AO1398" s="4"/>
      <c r="AP1398" s="4"/>
      <c r="AQ1398" s="4"/>
      <c r="AR1398" s="4"/>
      <c r="AS1398" s="4"/>
      <c r="AT1398" s="4"/>
    </row>
    <row r="1399" spans="12:46">
      <c r="L1399" s="5"/>
      <c r="M1399" s="5"/>
      <c r="W1399" s="5"/>
      <c r="Z1399" s="5"/>
      <c r="AA1399" s="5"/>
      <c r="AD1399" s="5"/>
      <c r="AG1399" s="5"/>
      <c r="AH1399" s="5"/>
      <c r="AN1399" s="4"/>
      <c r="AO1399" s="4"/>
      <c r="AP1399" s="4"/>
      <c r="AQ1399" s="4"/>
      <c r="AR1399" s="4"/>
      <c r="AS1399" s="4"/>
      <c r="AT1399" s="4"/>
    </row>
    <row r="1400" spans="12:46">
      <c r="L1400" s="5"/>
      <c r="M1400" s="5"/>
      <c r="W1400" s="5"/>
      <c r="Z1400" s="5"/>
      <c r="AA1400" s="5"/>
      <c r="AD1400" s="5"/>
      <c r="AG1400" s="5"/>
      <c r="AH1400" s="5"/>
      <c r="AN1400" s="4"/>
      <c r="AO1400" s="4"/>
      <c r="AP1400" s="4"/>
      <c r="AQ1400" s="4"/>
      <c r="AR1400" s="4"/>
      <c r="AS1400" s="4"/>
      <c r="AT1400" s="4"/>
    </row>
    <row r="1401" spans="12:46">
      <c r="L1401" s="5"/>
      <c r="M1401" s="5"/>
      <c r="W1401" s="5"/>
      <c r="Z1401" s="5"/>
      <c r="AA1401" s="5"/>
      <c r="AD1401" s="5"/>
      <c r="AG1401" s="5"/>
      <c r="AH1401" s="5"/>
      <c r="AN1401" s="4"/>
      <c r="AO1401" s="4"/>
      <c r="AP1401" s="4"/>
      <c r="AQ1401" s="4"/>
      <c r="AR1401" s="4"/>
      <c r="AS1401" s="4"/>
      <c r="AT1401" s="4"/>
    </row>
    <row r="1402" spans="12:46">
      <c r="L1402" s="5"/>
      <c r="M1402" s="5"/>
      <c r="W1402" s="5"/>
      <c r="Z1402" s="5"/>
      <c r="AA1402" s="5"/>
      <c r="AD1402" s="5"/>
      <c r="AG1402" s="5"/>
      <c r="AH1402" s="5"/>
      <c r="AN1402" s="4"/>
      <c r="AO1402" s="4"/>
      <c r="AP1402" s="4"/>
      <c r="AQ1402" s="4"/>
      <c r="AR1402" s="4"/>
      <c r="AS1402" s="4"/>
      <c r="AT1402" s="4"/>
    </row>
    <row r="1403" spans="12:46">
      <c r="L1403" s="5"/>
      <c r="M1403" s="5"/>
      <c r="W1403" s="5"/>
      <c r="Z1403" s="5"/>
      <c r="AA1403" s="5"/>
      <c r="AD1403" s="5"/>
      <c r="AG1403" s="5"/>
      <c r="AH1403" s="5"/>
      <c r="AN1403" s="4"/>
      <c r="AO1403" s="4"/>
      <c r="AP1403" s="4"/>
      <c r="AQ1403" s="4"/>
      <c r="AR1403" s="4"/>
      <c r="AS1403" s="4"/>
      <c r="AT1403" s="4"/>
    </row>
    <row r="1404" spans="12:46">
      <c r="L1404" s="5"/>
      <c r="M1404" s="5"/>
      <c r="W1404" s="5"/>
      <c r="Z1404" s="5"/>
      <c r="AA1404" s="5"/>
      <c r="AD1404" s="5"/>
      <c r="AG1404" s="5"/>
      <c r="AH1404" s="5"/>
      <c r="AN1404" s="4"/>
      <c r="AO1404" s="4"/>
      <c r="AP1404" s="4"/>
      <c r="AQ1404" s="4"/>
      <c r="AR1404" s="4"/>
      <c r="AS1404" s="4"/>
      <c r="AT1404" s="4"/>
    </row>
    <row r="1405" spans="12:46">
      <c r="L1405" s="5"/>
      <c r="M1405" s="5"/>
      <c r="W1405" s="5"/>
      <c r="Z1405" s="5"/>
      <c r="AA1405" s="5"/>
      <c r="AD1405" s="5"/>
      <c r="AG1405" s="5"/>
      <c r="AH1405" s="5"/>
      <c r="AN1405" s="4"/>
      <c r="AO1405" s="4"/>
      <c r="AP1405" s="4"/>
      <c r="AQ1405" s="4"/>
      <c r="AR1405" s="4"/>
      <c r="AS1405" s="4"/>
      <c r="AT1405" s="4"/>
    </row>
    <row r="1406" spans="12:46">
      <c r="L1406" s="5"/>
      <c r="M1406" s="5"/>
      <c r="W1406" s="5"/>
      <c r="Z1406" s="5"/>
      <c r="AA1406" s="5"/>
      <c r="AD1406" s="5"/>
      <c r="AG1406" s="5"/>
      <c r="AH1406" s="5"/>
      <c r="AN1406" s="4"/>
      <c r="AO1406" s="4"/>
      <c r="AP1406" s="4"/>
      <c r="AQ1406" s="4"/>
      <c r="AR1406" s="4"/>
      <c r="AS1406" s="4"/>
      <c r="AT1406" s="4"/>
    </row>
    <row r="1407" spans="12:46">
      <c r="L1407" s="5"/>
      <c r="M1407" s="5"/>
      <c r="W1407" s="5"/>
      <c r="Z1407" s="5"/>
      <c r="AA1407" s="5"/>
      <c r="AD1407" s="5"/>
      <c r="AG1407" s="5"/>
      <c r="AH1407" s="5"/>
      <c r="AN1407" s="4"/>
      <c r="AO1407" s="4"/>
      <c r="AP1407" s="4"/>
      <c r="AQ1407" s="4"/>
      <c r="AR1407" s="4"/>
      <c r="AS1407" s="4"/>
      <c r="AT1407" s="4"/>
    </row>
    <row r="1408" spans="12:46">
      <c r="L1408" s="5"/>
      <c r="M1408" s="5"/>
      <c r="W1408" s="5"/>
      <c r="Z1408" s="5"/>
      <c r="AA1408" s="5"/>
      <c r="AD1408" s="5"/>
      <c r="AG1408" s="5"/>
      <c r="AH1408" s="5"/>
      <c r="AN1408" s="4"/>
      <c r="AO1408" s="4"/>
      <c r="AP1408" s="4"/>
      <c r="AQ1408" s="4"/>
      <c r="AR1408" s="4"/>
      <c r="AS1408" s="4"/>
      <c r="AT1408" s="4"/>
    </row>
    <row r="1409" spans="12:46">
      <c r="L1409" s="5"/>
      <c r="M1409" s="5"/>
      <c r="W1409" s="5"/>
      <c r="Z1409" s="5"/>
      <c r="AA1409" s="5"/>
      <c r="AD1409" s="5"/>
      <c r="AG1409" s="5"/>
      <c r="AH1409" s="5"/>
      <c r="AN1409" s="4"/>
      <c r="AO1409" s="4"/>
      <c r="AP1409" s="4"/>
      <c r="AQ1409" s="4"/>
      <c r="AR1409" s="4"/>
      <c r="AS1409" s="4"/>
      <c r="AT1409" s="4"/>
    </row>
    <row r="1410" spans="12:46">
      <c r="L1410" s="5"/>
      <c r="M1410" s="5"/>
      <c r="W1410" s="5"/>
      <c r="Z1410" s="5"/>
      <c r="AA1410" s="5"/>
      <c r="AD1410" s="5"/>
      <c r="AG1410" s="5"/>
      <c r="AH1410" s="5"/>
      <c r="AN1410" s="4"/>
      <c r="AO1410" s="4"/>
      <c r="AP1410" s="4"/>
      <c r="AQ1410" s="4"/>
      <c r="AR1410" s="4"/>
      <c r="AS1410" s="4"/>
      <c r="AT1410" s="4"/>
    </row>
    <row r="1411" spans="12:46">
      <c r="L1411" s="5"/>
      <c r="M1411" s="5"/>
      <c r="W1411" s="5"/>
      <c r="Z1411" s="5"/>
      <c r="AA1411" s="5"/>
      <c r="AD1411" s="5"/>
      <c r="AG1411" s="5"/>
      <c r="AH1411" s="5"/>
      <c r="AN1411" s="4"/>
      <c r="AO1411" s="4"/>
      <c r="AP1411" s="4"/>
      <c r="AQ1411" s="4"/>
      <c r="AR1411" s="4"/>
      <c r="AS1411" s="4"/>
      <c r="AT1411" s="4"/>
    </row>
    <row r="1412" spans="12:46">
      <c r="L1412" s="5"/>
      <c r="M1412" s="5"/>
      <c r="W1412" s="5"/>
      <c r="Z1412" s="5"/>
      <c r="AA1412" s="5"/>
      <c r="AD1412" s="5"/>
      <c r="AG1412" s="5"/>
      <c r="AH1412" s="5"/>
      <c r="AN1412" s="4"/>
      <c r="AO1412" s="4"/>
      <c r="AP1412" s="4"/>
      <c r="AQ1412" s="4"/>
      <c r="AR1412" s="4"/>
      <c r="AS1412" s="4"/>
      <c r="AT1412" s="4"/>
    </row>
    <row r="1413" spans="12:46">
      <c r="L1413" s="5"/>
      <c r="M1413" s="5"/>
      <c r="W1413" s="5"/>
      <c r="Z1413" s="5"/>
      <c r="AA1413" s="5"/>
      <c r="AD1413" s="5"/>
      <c r="AG1413" s="5"/>
      <c r="AH1413" s="5"/>
      <c r="AN1413" s="4"/>
      <c r="AO1413" s="4"/>
      <c r="AP1413" s="4"/>
      <c r="AQ1413" s="4"/>
      <c r="AR1413" s="4"/>
      <c r="AS1413" s="4"/>
      <c r="AT1413" s="4"/>
    </row>
    <row r="1414" spans="12:46">
      <c r="L1414" s="5"/>
      <c r="M1414" s="5"/>
      <c r="W1414" s="5"/>
      <c r="Z1414" s="5"/>
      <c r="AA1414" s="5"/>
      <c r="AD1414" s="5"/>
      <c r="AG1414" s="5"/>
      <c r="AH1414" s="5"/>
      <c r="AN1414" s="4"/>
      <c r="AO1414" s="4"/>
      <c r="AP1414" s="4"/>
      <c r="AQ1414" s="4"/>
      <c r="AR1414" s="4"/>
      <c r="AS1414" s="4"/>
      <c r="AT1414" s="4"/>
    </row>
    <row r="1415" spans="12:46">
      <c r="L1415" s="5"/>
      <c r="M1415" s="5"/>
      <c r="W1415" s="5"/>
      <c r="Z1415" s="5"/>
      <c r="AA1415" s="5"/>
      <c r="AD1415" s="5"/>
      <c r="AG1415" s="5"/>
      <c r="AH1415" s="5"/>
      <c r="AN1415" s="4"/>
      <c r="AO1415" s="4"/>
      <c r="AP1415" s="4"/>
      <c r="AQ1415" s="4"/>
      <c r="AR1415" s="4"/>
      <c r="AS1415" s="4"/>
      <c r="AT1415" s="4"/>
    </row>
    <row r="1416" spans="12:46">
      <c r="L1416" s="5"/>
      <c r="M1416" s="5"/>
      <c r="W1416" s="5"/>
      <c r="Z1416" s="5"/>
      <c r="AA1416" s="5"/>
      <c r="AD1416" s="5"/>
      <c r="AG1416" s="5"/>
      <c r="AH1416" s="5"/>
      <c r="AN1416" s="4"/>
      <c r="AO1416" s="4"/>
      <c r="AP1416" s="4"/>
      <c r="AQ1416" s="4"/>
      <c r="AR1416" s="4"/>
      <c r="AS1416" s="4"/>
      <c r="AT1416" s="4"/>
    </row>
    <row r="1417" spans="12:46">
      <c r="L1417" s="5"/>
      <c r="M1417" s="5"/>
      <c r="W1417" s="5"/>
      <c r="Z1417" s="5"/>
      <c r="AA1417" s="5"/>
      <c r="AD1417" s="5"/>
      <c r="AG1417" s="5"/>
      <c r="AH1417" s="5"/>
      <c r="AN1417" s="4"/>
      <c r="AO1417" s="4"/>
      <c r="AP1417" s="4"/>
      <c r="AQ1417" s="4"/>
      <c r="AR1417" s="4"/>
      <c r="AS1417" s="4"/>
      <c r="AT1417" s="4"/>
    </row>
    <row r="1418" spans="12:46">
      <c r="L1418" s="5"/>
      <c r="M1418" s="5"/>
      <c r="W1418" s="5"/>
      <c r="Z1418" s="5"/>
      <c r="AA1418" s="5"/>
      <c r="AD1418" s="5"/>
      <c r="AG1418" s="5"/>
      <c r="AH1418" s="5"/>
      <c r="AN1418" s="4"/>
      <c r="AO1418" s="4"/>
      <c r="AP1418" s="4"/>
      <c r="AQ1418" s="4"/>
      <c r="AR1418" s="4"/>
      <c r="AS1418" s="4"/>
      <c r="AT1418" s="4"/>
    </row>
    <row r="1419" spans="12:46">
      <c r="L1419" s="5"/>
      <c r="M1419" s="5"/>
      <c r="W1419" s="5"/>
      <c r="Z1419" s="5"/>
      <c r="AA1419" s="5"/>
      <c r="AD1419" s="5"/>
      <c r="AG1419" s="5"/>
      <c r="AH1419" s="5"/>
      <c r="AN1419" s="4"/>
      <c r="AO1419" s="4"/>
      <c r="AP1419" s="4"/>
      <c r="AQ1419" s="4"/>
      <c r="AR1419" s="4"/>
      <c r="AS1419" s="4"/>
      <c r="AT1419" s="4"/>
    </row>
    <row r="1420" spans="12:46">
      <c r="L1420" s="5"/>
      <c r="M1420" s="5"/>
      <c r="W1420" s="5"/>
      <c r="Z1420" s="5"/>
      <c r="AA1420" s="5"/>
      <c r="AD1420" s="5"/>
      <c r="AG1420" s="5"/>
      <c r="AH1420" s="5"/>
      <c r="AN1420" s="4"/>
      <c r="AO1420" s="4"/>
      <c r="AP1420" s="4"/>
      <c r="AQ1420" s="4"/>
      <c r="AR1420" s="4"/>
      <c r="AS1420" s="4"/>
      <c r="AT1420" s="4"/>
    </row>
    <row r="1421" spans="12:46">
      <c r="L1421" s="5"/>
      <c r="M1421" s="5"/>
      <c r="W1421" s="5"/>
      <c r="Z1421" s="5"/>
      <c r="AA1421" s="5"/>
      <c r="AD1421" s="5"/>
      <c r="AG1421" s="5"/>
      <c r="AH1421" s="5"/>
      <c r="AN1421" s="4"/>
      <c r="AO1421" s="4"/>
      <c r="AP1421" s="4"/>
      <c r="AQ1421" s="4"/>
      <c r="AR1421" s="4"/>
      <c r="AS1421" s="4"/>
      <c r="AT1421" s="4"/>
    </row>
    <row r="1422" spans="12:46">
      <c r="L1422" s="5"/>
      <c r="M1422" s="5"/>
      <c r="W1422" s="5"/>
      <c r="Z1422" s="5"/>
      <c r="AA1422" s="5"/>
      <c r="AD1422" s="5"/>
      <c r="AG1422" s="5"/>
      <c r="AH1422" s="5"/>
      <c r="AN1422" s="4"/>
      <c r="AO1422" s="4"/>
      <c r="AP1422" s="4"/>
      <c r="AQ1422" s="4"/>
      <c r="AR1422" s="4"/>
      <c r="AS1422" s="4"/>
      <c r="AT1422" s="4"/>
    </row>
    <row r="1423" spans="12:46">
      <c r="L1423" s="5"/>
      <c r="M1423" s="5"/>
      <c r="W1423" s="5"/>
      <c r="Z1423" s="5"/>
      <c r="AA1423" s="5"/>
      <c r="AD1423" s="5"/>
      <c r="AG1423" s="5"/>
      <c r="AH1423" s="5"/>
      <c r="AN1423" s="4"/>
      <c r="AO1423" s="4"/>
      <c r="AP1423" s="4"/>
      <c r="AQ1423" s="4"/>
      <c r="AR1423" s="4"/>
      <c r="AS1423" s="4"/>
      <c r="AT1423" s="4"/>
    </row>
    <row r="1424" spans="12:46">
      <c r="L1424" s="5"/>
      <c r="M1424" s="5"/>
      <c r="W1424" s="5"/>
      <c r="Z1424" s="5"/>
      <c r="AA1424" s="5"/>
      <c r="AD1424" s="5"/>
      <c r="AG1424" s="5"/>
      <c r="AH1424" s="5"/>
      <c r="AN1424" s="4"/>
      <c r="AO1424" s="4"/>
      <c r="AP1424" s="4"/>
      <c r="AQ1424" s="4"/>
      <c r="AR1424" s="4"/>
      <c r="AS1424" s="4"/>
      <c r="AT1424" s="4"/>
    </row>
    <row r="1425" spans="12:46">
      <c r="L1425" s="5"/>
      <c r="M1425" s="5"/>
      <c r="W1425" s="5"/>
      <c r="Z1425" s="5"/>
      <c r="AA1425" s="5"/>
      <c r="AD1425" s="5"/>
      <c r="AG1425" s="5"/>
      <c r="AH1425" s="5"/>
      <c r="AN1425" s="4"/>
      <c r="AO1425" s="4"/>
      <c r="AP1425" s="4"/>
      <c r="AQ1425" s="4"/>
      <c r="AR1425" s="4"/>
      <c r="AS1425" s="4"/>
      <c r="AT1425" s="4"/>
    </row>
    <row r="1426" spans="12:46">
      <c r="L1426" s="5"/>
      <c r="M1426" s="5"/>
      <c r="W1426" s="5"/>
      <c r="Z1426" s="5"/>
      <c r="AA1426" s="5"/>
      <c r="AD1426" s="5"/>
      <c r="AG1426" s="5"/>
      <c r="AH1426" s="5"/>
      <c r="AN1426" s="4"/>
      <c r="AO1426" s="4"/>
      <c r="AP1426" s="4"/>
      <c r="AQ1426" s="4"/>
      <c r="AR1426" s="4"/>
      <c r="AS1426" s="4"/>
      <c r="AT1426" s="4"/>
    </row>
    <row r="1427" spans="12:46">
      <c r="L1427" s="5"/>
      <c r="M1427" s="5"/>
      <c r="W1427" s="5"/>
      <c r="Z1427" s="5"/>
      <c r="AA1427" s="5"/>
      <c r="AD1427" s="5"/>
      <c r="AG1427" s="5"/>
      <c r="AH1427" s="5"/>
      <c r="AN1427" s="4"/>
      <c r="AO1427" s="4"/>
      <c r="AP1427" s="4"/>
      <c r="AQ1427" s="4"/>
      <c r="AR1427" s="4"/>
      <c r="AS1427" s="4"/>
      <c r="AT1427" s="4"/>
    </row>
    <row r="1428" spans="12:46">
      <c r="L1428" s="5"/>
      <c r="M1428" s="5"/>
      <c r="W1428" s="5"/>
      <c r="Z1428" s="5"/>
      <c r="AA1428" s="5"/>
      <c r="AD1428" s="5"/>
      <c r="AG1428" s="5"/>
      <c r="AH1428" s="5"/>
      <c r="AN1428" s="4"/>
      <c r="AO1428" s="4"/>
      <c r="AP1428" s="4"/>
      <c r="AQ1428" s="4"/>
      <c r="AR1428" s="4"/>
      <c r="AS1428" s="4"/>
      <c r="AT1428" s="4"/>
    </row>
    <row r="1429" spans="12:46">
      <c r="L1429" s="5"/>
      <c r="M1429" s="5"/>
      <c r="W1429" s="5"/>
      <c r="Z1429" s="5"/>
      <c r="AA1429" s="5"/>
      <c r="AD1429" s="5"/>
      <c r="AG1429" s="5"/>
      <c r="AH1429" s="5"/>
      <c r="AN1429" s="4"/>
      <c r="AO1429" s="4"/>
      <c r="AP1429" s="4"/>
      <c r="AQ1429" s="4"/>
      <c r="AR1429" s="4"/>
      <c r="AS1429" s="4"/>
      <c r="AT1429" s="4"/>
    </row>
    <row r="1430" spans="12:46">
      <c r="L1430" s="5"/>
      <c r="M1430" s="5"/>
      <c r="W1430" s="5"/>
      <c r="Z1430" s="5"/>
      <c r="AA1430" s="5"/>
      <c r="AD1430" s="5"/>
      <c r="AG1430" s="5"/>
      <c r="AH1430" s="5"/>
      <c r="AN1430" s="4"/>
      <c r="AO1430" s="4"/>
      <c r="AP1430" s="4"/>
      <c r="AQ1430" s="4"/>
      <c r="AR1430" s="4"/>
      <c r="AS1430" s="4"/>
      <c r="AT1430" s="4"/>
    </row>
    <row r="1431" spans="12:46">
      <c r="L1431" s="5"/>
      <c r="M1431" s="5"/>
      <c r="W1431" s="5"/>
      <c r="Z1431" s="5"/>
      <c r="AA1431" s="5"/>
      <c r="AD1431" s="5"/>
      <c r="AG1431" s="5"/>
      <c r="AH1431" s="5"/>
      <c r="AN1431" s="4"/>
      <c r="AO1431" s="4"/>
      <c r="AP1431" s="4"/>
      <c r="AQ1431" s="4"/>
      <c r="AR1431" s="4"/>
      <c r="AS1431" s="4"/>
      <c r="AT1431" s="4"/>
    </row>
    <row r="1432" spans="12:46">
      <c r="L1432" s="5"/>
      <c r="M1432" s="5"/>
      <c r="W1432" s="5"/>
      <c r="Z1432" s="5"/>
      <c r="AA1432" s="5"/>
      <c r="AD1432" s="5"/>
      <c r="AG1432" s="5"/>
      <c r="AH1432" s="5"/>
      <c r="AN1432" s="4"/>
      <c r="AO1432" s="4"/>
      <c r="AP1432" s="4"/>
      <c r="AQ1432" s="4"/>
      <c r="AR1432" s="4"/>
      <c r="AS1432" s="4"/>
      <c r="AT1432" s="4"/>
    </row>
    <row r="1433" spans="12:46">
      <c r="L1433" s="5"/>
      <c r="M1433" s="5"/>
      <c r="W1433" s="5"/>
      <c r="Z1433" s="5"/>
      <c r="AA1433" s="5"/>
      <c r="AD1433" s="5"/>
      <c r="AG1433" s="5"/>
      <c r="AH1433" s="5"/>
      <c r="AN1433" s="4"/>
      <c r="AO1433" s="4"/>
      <c r="AP1433" s="4"/>
      <c r="AQ1433" s="4"/>
      <c r="AR1433" s="4"/>
      <c r="AS1433" s="4"/>
      <c r="AT1433" s="4"/>
    </row>
    <row r="1434" spans="12:46">
      <c r="L1434" s="5"/>
      <c r="M1434" s="5"/>
      <c r="W1434" s="5"/>
      <c r="Z1434" s="5"/>
      <c r="AA1434" s="5"/>
      <c r="AD1434" s="5"/>
      <c r="AG1434" s="5"/>
      <c r="AH1434" s="5"/>
      <c r="AN1434" s="4"/>
      <c r="AO1434" s="4"/>
      <c r="AP1434" s="4"/>
      <c r="AQ1434" s="4"/>
      <c r="AR1434" s="4"/>
      <c r="AS1434" s="4"/>
      <c r="AT1434" s="4"/>
    </row>
    <row r="1435" spans="12:46">
      <c r="L1435" s="5"/>
      <c r="M1435" s="5"/>
      <c r="W1435" s="5"/>
      <c r="Z1435" s="5"/>
      <c r="AA1435" s="5"/>
      <c r="AD1435" s="5"/>
      <c r="AG1435" s="5"/>
      <c r="AH1435" s="5"/>
      <c r="AN1435" s="4"/>
      <c r="AO1435" s="4"/>
      <c r="AP1435" s="4"/>
      <c r="AQ1435" s="4"/>
      <c r="AR1435" s="4"/>
      <c r="AS1435" s="4"/>
      <c r="AT1435" s="4"/>
    </row>
    <row r="1436" spans="12:46">
      <c r="L1436" s="5"/>
      <c r="M1436" s="5"/>
      <c r="W1436" s="5"/>
      <c r="Z1436" s="5"/>
      <c r="AA1436" s="5"/>
      <c r="AD1436" s="5"/>
      <c r="AG1436" s="5"/>
      <c r="AH1436" s="5"/>
      <c r="AN1436" s="4"/>
      <c r="AO1436" s="4"/>
      <c r="AP1436" s="4"/>
      <c r="AQ1436" s="4"/>
      <c r="AR1436" s="4"/>
      <c r="AS1436" s="4"/>
      <c r="AT1436" s="4"/>
    </row>
    <row r="1437" spans="12:46">
      <c r="L1437" s="5"/>
      <c r="M1437" s="5"/>
      <c r="W1437" s="5"/>
      <c r="Z1437" s="5"/>
      <c r="AA1437" s="5"/>
      <c r="AD1437" s="5"/>
      <c r="AG1437" s="5"/>
      <c r="AH1437" s="5"/>
      <c r="AN1437" s="4"/>
      <c r="AO1437" s="4"/>
      <c r="AP1437" s="4"/>
      <c r="AQ1437" s="4"/>
      <c r="AR1437" s="4"/>
      <c r="AS1437" s="4"/>
      <c r="AT1437" s="4"/>
    </row>
    <row r="1438" spans="12:46">
      <c r="L1438" s="5"/>
      <c r="M1438" s="5"/>
      <c r="W1438" s="5"/>
      <c r="Z1438" s="5"/>
      <c r="AA1438" s="5"/>
      <c r="AD1438" s="5"/>
      <c r="AG1438" s="5"/>
      <c r="AH1438" s="5"/>
      <c r="AN1438" s="4"/>
      <c r="AO1438" s="4"/>
      <c r="AP1438" s="4"/>
      <c r="AQ1438" s="4"/>
      <c r="AR1438" s="4"/>
      <c r="AS1438" s="4"/>
      <c r="AT1438" s="4"/>
    </row>
    <row r="1439" spans="12:46">
      <c r="L1439" s="5"/>
      <c r="M1439" s="5"/>
      <c r="W1439" s="5"/>
      <c r="Z1439" s="5"/>
      <c r="AA1439" s="5"/>
      <c r="AD1439" s="5"/>
      <c r="AG1439" s="5"/>
      <c r="AH1439" s="5"/>
      <c r="AN1439" s="4"/>
      <c r="AO1439" s="4"/>
      <c r="AP1439" s="4"/>
      <c r="AQ1439" s="4"/>
      <c r="AR1439" s="4"/>
      <c r="AS1439" s="4"/>
      <c r="AT1439" s="4"/>
    </row>
    <row r="1440" spans="12:46">
      <c r="L1440" s="5"/>
      <c r="M1440" s="5"/>
      <c r="W1440" s="5"/>
      <c r="Z1440" s="5"/>
      <c r="AA1440" s="5"/>
      <c r="AD1440" s="5"/>
      <c r="AG1440" s="5"/>
      <c r="AH1440" s="5"/>
      <c r="AN1440" s="4"/>
      <c r="AO1440" s="4"/>
      <c r="AP1440" s="4"/>
      <c r="AQ1440" s="4"/>
      <c r="AR1440" s="4"/>
      <c r="AS1440" s="4"/>
      <c r="AT1440" s="4"/>
    </row>
    <row r="1441" spans="12:46">
      <c r="L1441" s="5"/>
      <c r="M1441" s="5"/>
      <c r="W1441" s="5"/>
      <c r="Z1441" s="5"/>
      <c r="AA1441" s="5"/>
      <c r="AD1441" s="5"/>
      <c r="AG1441" s="5"/>
      <c r="AH1441" s="5"/>
      <c r="AN1441" s="4"/>
      <c r="AO1441" s="4"/>
      <c r="AP1441" s="4"/>
      <c r="AQ1441" s="4"/>
      <c r="AR1441" s="4"/>
      <c r="AS1441" s="4"/>
      <c r="AT1441" s="4"/>
    </row>
    <row r="1442" spans="12:46">
      <c r="L1442" s="5"/>
      <c r="M1442" s="5"/>
      <c r="W1442" s="5"/>
      <c r="Z1442" s="5"/>
      <c r="AA1442" s="5"/>
      <c r="AD1442" s="5"/>
      <c r="AG1442" s="5"/>
      <c r="AH1442" s="5"/>
      <c r="AN1442" s="4"/>
      <c r="AO1442" s="4"/>
      <c r="AP1442" s="4"/>
      <c r="AQ1442" s="4"/>
      <c r="AR1442" s="4"/>
      <c r="AS1442" s="4"/>
      <c r="AT1442" s="4"/>
    </row>
    <row r="1443" spans="12:46">
      <c r="L1443" s="5"/>
      <c r="M1443" s="5"/>
      <c r="W1443" s="5"/>
      <c r="Z1443" s="5"/>
      <c r="AA1443" s="5"/>
      <c r="AD1443" s="5"/>
      <c r="AG1443" s="5"/>
      <c r="AH1443" s="5"/>
      <c r="AN1443" s="4"/>
      <c r="AO1443" s="4"/>
      <c r="AP1443" s="4"/>
      <c r="AQ1443" s="4"/>
      <c r="AR1443" s="4"/>
      <c r="AS1443" s="4"/>
      <c r="AT1443" s="4"/>
    </row>
    <row r="1444" spans="12:46">
      <c r="L1444" s="5"/>
      <c r="M1444" s="5"/>
      <c r="W1444" s="5"/>
      <c r="Z1444" s="5"/>
      <c r="AA1444" s="5"/>
      <c r="AD1444" s="5"/>
      <c r="AG1444" s="5"/>
      <c r="AH1444" s="5"/>
      <c r="AN1444" s="4"/>
      <c r="AO1444" s="4"/>
      <c r="AP1444" s="4"/>
      <c r="AQ1444" s="4"/>
      <c r="AR1444" s="4"/>
      <c r="AS1444" s="4"/>
      <c r="AT1444" s="4"/>
    </row>
    <row r="1445" spans="12:46">
      <c r="L1445" s="5"/>
      <c r="M1445" s="5"/>
      <c r="W1445" s="5"/>
      <c r="Z1445" s="5"/>
      <c r="AA1445" s="5"/>
      <c r="AD1445" s="5"/>
      <c r="AG1445" s="5"/>
      <c r="AH1445" s="5"/>
      <c r="AN1445" s="4"/>
      <c r="AO1445" s="4"/>
      <c r="AP1445" s="4"/>
      <c r="AQ1445" s="4"/>
      <c r="AR1445" s="4"/>
      <c r="AS1445" s="4"/>
      <c r="AT1445" s="4"/>
    </row>
    <row r="1446" spans="12:46">
      <c r="L1446" s="5"/>
      <c r="M1446" s="5"/>
      <c r="W1446" s="5"/>
      <c r="Z1446" s="5"/>
      <c r="AA1446" s="5"/>
      <c r="AD1446" s="5"/>
      <c r="AG1446" s="5"/>
      <c r="AH1446" s="5"/>
      <c r="AN1446" s="4"/>
      <c r="AO1446" s="4"/>
      <c r="AP1446" s="4"/>
      <c r="AQ1446" s="4"/>
      <c r="AR1446" s="4"/>
      <c r="AS1446" s="4"/>
      <c r="AT1446" s="4"/>
    </row>
    <row r="1447" spans="12:46">
      <c r="L1447" s="5"/>
      <c r="M1447" s="5"/>
      <c r="W1447" s="5"/>
      <c r="Z1447" s="5"/>
      <c r="AA1447" s="5"/>
      <c r="AD1447" s="5"/>
      <c r="AG1447" s="5"/>
      <c r="AH1447" s="5"/>
      <c r="AN1447" s="4"/>
      <c r="AO1447" s="4"/>
      <c r="AP1447" s="4"/>
      <c r="AQ1447" s="4"/>
      <c r="AR1447" s="4"/>
      <c r="AS1447" s="4"/>
      <c r="AT1447" s="4"/>
    </row>
    <row r="1448" spans="12:46">
      <c r="L1448" s="5"/>
      <c r="M1448" s="5"/>
      <c r="W1448" s="5"/>
      <c r="Z1448" s="5"/>
      <c r="AA1448" s="5"/>
      <c r="AD1448" s="5"/>
      <c r="AG1448" s="5"/>
      <c r="AH1448" s="5"/>
      <c r="AN1448" s="4"/>
      <c r="AO1448" s="4"/>
      <c r="AP1448" s="4"/>
      <c r="AQ1448" s="4"/>
      <c r="AR1448" s="4"/>
      <c r="AS1448" s="4"/>
      <c r="AT1448" s="4"/>
    </row>
    <row r="1449" spans="12:46">
      <c r="L1449" s="5"/>
      <c r="M1449" s="5"/>
      <c r="W1449" s="5"/>
      <c r="Z1449" s="5"/>
      <c r="AA1449" s="5"/>
      <c r="AD1449" s="5"/>
      <c r="AG1449" s="5"/>
      <c r="AH1449" s="5"/>
      <c r="AN1449" s="4"/>
      <c r="AO1449" s="4"/>
      <c r="AP1449" s="4"/>
      <c r="AQ1449" s="4"/>
      <c r="AR1449" s="4"/>
      <c r="AS1449" s="4"/>
      <c r="AT1449" s="4"/>
    </row>
    <row r="1450" spans="12:46">
      <c r="L1450" s="5"/>
      <c r="M1450" s="5"/>
      <c r="W1450" s="5"/>
      <c r="Z1450" s="5"/>
      <c r="AA1450" s="5"/>
      <c r="AD1450" s="5"/>
      <c r="AG1450" s="5"/>
      <c r="AH1450" s="5"/>
      <c r="AN1450" s="4"/>
      <c r="AO1450" s="4"/>
      <c r="AP1450" s="4"/>
      <c r="AQ1450" s="4"/>
      <c r="AR1450" s="4"/>
      <c r="AS1450" s="4"/>
      <c r="AT1450" s="4"/>
    </row>
    <row r="1451" spans="12:46">
      <c r="L1451" s="5"/>
      <c r="M1451" s="5"/>
      <c r="W1451" s="5"/>
      <c r="Z1451" s="5"/>
      <c r="AA1451" s="5"/>
      <c r="AD1451" s="5"/>
      <c r="AG1451" s="5"/>
      <c r="AH1451" s="5"/>
      <c r="AN1451" s="4"/>
      <c r="AO1451" s="4"/>
      <c r="AP1451" s="4"/>
      <c r="AQ1451" s="4"/>
      <c r="AR1451" s="4"/>
      <c r="AS1451" s="4"/>
      <c r="AT1451" s="4"/>
    </row>
    <row r="1452" spans="12:46">
      <c r="L1452" s="5"/>
      <c r="M1452" s="5"/>
      <c r="W1452" s="5"/>
      <c r="Z1452" s="5"/>
      <c r="AA1452" s="5"/>
      <c r="AD1452" s="5"/>
      <c r="AG1452" s="5"/>
      <c r="AH1452" s="5"/>
      <c r="AN1452" s="4"/>
      <c r="AO1452" s="4"/>
      <c r="AP1452" s="4"/>
      <c r="AQ1452" s="4"/>
      <c r="AR1452" s="4"/>
      <c r="AS1452" s="4"/>
      <c r="AT1452" s="4"/>
    </row>
    <row r="1453" spans="12:46">
      <c r="L1453" s="5"/>
      <c r="M1453" s="5"/>
      <c r="W1453" s="5"/>
      <c r="Z1453" s="5"/>
      <c r="AA1453" s="5"/>
      <c r="AD1453" s="5"/>
      <c r="AG1453" s="5"/>
      <c r="AH1453" s="5"/>
      <c r="AN1453" s="4"/>
      <c r="AO1453" s="4"/>
      <c r="AP1453" s="4"/>
      <c r="AQ1453" s="4"/>
      <c r="AR1453" s="4"/>
      <c r="AS1453" s="4"/>
      <c r="AT1453" s="4"/>
    </row>
    <row r="1454" spans="12:46">
      <c r="L1454" s="5"/>
      <c r="M1454" s="5"/>
      <c r="W1454" s="5"/>
      <c r="Z1454" s="5"/>
      <c r="AA1454" s="5"/>
      <c r="AD1454" s="5"/>
      <c r="AG1454" s="5"/>
      <c r="AH1454" s="5"/>
      <c r="AN1454" s="4"/>
      <c r="AO1454" s="4"/>
      <c r="AP1454" s="4"/>
      <c r="AQ1454" s="4"/>
      <c r="AR1454" s="4"/>
      <c r="AS1454" s="4"/>
      <c r="AT1454" s="4"/>
    </row>
    <row r="1455" spans="12:46">
      <c r="L1455" s="5"/>
      <c r="M1455" s="5"/>
      <c r="W1455" s="5"/>
      <c r="Z1455" s="5"/>
      <c r="AA1455" s="5"/>
      <c r="AD1455" s="5"/>
      <c r="AG1455" s="5"/>
      <c r="AH1455" s="5"/>
      <c r="AN1455" s="4"/>
      <c r="AO1455" s="4"/>
      <c r="AP1455" s="4"/>
      <c r="AQ1455" s="4"/>
      <c r="AR1455" s="4"/>
      <c r="AS1455" s="4"/>
      <c r="AT1455" s="4"/>
    </row>
    <row r="1456" spans="12:46">
      <c r="L1456" s="5"/>
      <c r="M1456" s="5"/>
      <c r="W1456" s="5"/>
      <c r="Z1456" s="5"/>
      <c r="AA1456" s="5"/>
      <c r="AD1456" s="5"/>
      <c r="AG1456" s="5"/>
      <c r="AH1456" s="5"/>
      <c r="AN1456" s="4"/>
      <c r="AO1456" s="4"/>
      <c r="AP1456" s="4"/>
      <c r="AQ1456" s="4"/>
      <c r="AR1456" s="4"/>
      <c r="AS1456" s="4"/>
      <c r="AT1456" s="4"/>
    </row>
    <row r="1457" spans="12:46">
      <c r="L1457" s="5"/>
      <c r="M1457" s="5"/>
      <c r="W1457" s="5"/>
      <c r="Z1457" s="5"/>
      <c r="AA1457" s="5"/>
      <c r="AD1457" s="5"/>
      <c r="AG1457" s="5"/>
      <c r="AH1457" s="5"/>
      <c r="AN1457" s="4"/>
      <c r="AO1457" s="4"/>
      <c r="AP1457" s="4"/>
      <c r="AQ1457" s="4"/>
      <c r="AR1457" s="4"/>
      <c r="AS1457" s="4"/>
      <c r="AT1457" s="4"/>
    </row>
    <row r="1458" spans="12:46">
      <c r="L1458" s="5"/>
      <c r="M1458" s="5"/>
      <c r="W1458" s="5"/>
      <c r="Z1458" s="5"/>
      <c r="AA1458" s="5"/>
      <c r="AD1458" s="5"/>
      <c r="AG1458" s="5"/>
      <c r="AH1458" s="5"/>
      <c r="AN1458" s="4"/>
      <c r="AO1458" s="4"/>
      <c r="AP1458" s="4"/>
      <c r="AQ1458" s="4"/>
      <c r="AR1458" s="4"/>
      <c r="AS1458" s="4"/>
      <c r="AT1458" s="4"/>
    </row>
    <row r="1459" spans="12:46">
      <c r="L1459" s="5"/>
      <c r="M1459" s="5"/>
      <c r="W1459" s="5"/>
      <c r="Z1459" s="5"/>
      <c r="AA1459" s="5"/>
      <c r="AD1459" s="5"/>
      <c r="AG1459" s="5"/>
      <c r="AH1459" s="5"/>
      <c r="AN1459" s="4"/>
      <c r="AO1459" s="4"/>
      <c r="AP1459" s="4"/>
      <c r="AQ1459" s="4"/>
      <c r="AR1459" s="4"/>
      <c r="AS1459" s="4"/>
      <c r="AT1459" s="4"/>
    </row>
    <row r="1460" spans="12:46">
      <c r="L1460" s="5"/>
      <c r="M1460" s="5"/>
      <c r="W1460" s="5"/>
      <c r="Z1460" s="5"/>
      <c r="AA1460" s="5"/>
      <c r="AD1460" s="5"/>
      <c r="AG1460" s="5"/>
      <c r="AH1460" s="5"/>
      <c r="AN1460" s="4"/>
      <c r="AO1460" s="4"/>
      <c r="AP1460" s="4"/>
      <c r="AQ1460" s="4"/>
      <c r="AR1460" s="4"/>
      <c r="AS1460" s="4"/>
      <c r="AT1460" s="4"/>
    </row>
    <row r="1461" spans="12:46">
      <c r="L1461" s="5"/>
      <c r="M1461" s="5"/>
      <c r="W1461" s="5"/>
      <c r="Z1461" s="5"/>
      <c r="AA1461" s="5"/>
      <c r="AD1461" s="5"/>
      <c r="AG1461" s="5"/>
      <c r="AH1461" s="5"/>
      <c r="AN1461" s="4"/>
      <c r="AO1461" s="4"/>
      <c r="AP1461" s="4"/>
      <c r="AQ1461" s="4"/>
      <c r="AR1461" s="4"/>
      <c r="AS1461" s="4"/>
      <c r="AT1461" s="4"/>
    </row>
    <row r="1462" spans="12:46">
      <c r="L1462" s="5"/>
      <c r="M1462" s="5"/>
      <c r="W1462" s="5"/>
      <c r="Z1462" s="5"/>
      <c r="AA1462" s="5"/>
      <c r="AD1462" s="5"/>
      <c r="AG1462" s="5"/>
      <c r="AH1462" s="5"/>
      <c r="AN1462" s="4"/>
      <c r="AO1462" s="4"/>
      <c r="AP1462" s="4"/>
      <c r="AQ1462" s="4"/>
      <c r="AR1462" s="4"/>
      <c r="AS1462" s="4"/>
      <c r="AT1462" s="4"/>
    </row>
    <row r="1463" spans="12:46">
      <c r="L1463" s="5"/>
      <c r="M1463" s="5"/>
      <c r="W1463" s="5"/>
      <c r="Z1463" s="5"/>
      <c r="AA1463" s="5"/>
      <c r="AD1463" s="5"/>
      <c r="AG1463" s="5"/>
      <c r="AH1463" s="5"/>
      <c r="AN1463" s="4"/>
      <c r="AO1463" s="4"/>
      <c r="AP1463" s="4"/>
      <c r="AQ1463" s="4"/>
      <c r="AR1463" s="4"/>
      <c r="AS1463" s="4"/>
      <c r="AT1463" s="4"/>
    </row>
    <row r="1464" spans="12:46">
      <c r="L1464" s="5"/>
      <c r="M1464" s="5"/>
      <c r="W1464" s="5"/>
      <c r="Z1464" s="5"/>
      <c r="AA1464" s="5"/>
      <c r="AD1464" s="5"/>
      <c r="AG1464" s="5"/>
      <c r="AH1464" s="5"/>
      <c r="AN1464" s="4"/>
      <c r="AO1464" s="4"/>
      <c r="AP1464" s="4"/>
      <c r="AQ1464" s="4"/>
      <c r="AR1464" s="4"/>
      <c r="AS1464" s="4"/>
      <c r="AT1464" s="4"/>
    </row>
    <row r="1465" spans="12:46">
      <c r="L1465" s="5"/>
      <c r="M1465" s="5"/>
      <c r="W1465" s="5"/>
      <c r="Z1465" s="5"/>
      <c r="AA1465" s="5"/>
      <c r="AD1465" s="5"/>
      <c r="AG1465" s="5"/>
      <c r="AH1465" s="5"/>
      <c r="AN1465" s="4"/>
      <c r="AO1465" s="4"/>
      <c r="AP1465" s="4"/>
      <c r="AQ1465" s="4"/>
      <c r="AR1465" s="4"/>
      <c r="AS1465" s="4"/>
      <c r="AT1465" s="4"/>
    </row>
    <row r="1466" spans="12:46">
      <c r="L1466" s="5"/>
      <c r="M1466" s="5"/>
      <c r="W1466" s="5"/>
      <c r="Z1466" s="5"/>
      <c r="AA1466" s="5"/>
      <c r="AD1466" s="5"/>
      <c r="AG1466" s="5"/>
      <c r="AH1466" s="5"/>
      <c r="AN1466" s="4"/>
      <c r="AO1466" s="4"/>
      <c r="AP1466" s="4"/>
      <c r="AQ1466" s="4"/>
      <c r="AR1466" s="4"/>
      <c r="AS1466" s="4"/>
      <c r="AT1466" s="4"/>
    </row>
    <row r="1467" spans="12:46">
      <c r="L1467" s="5"/>
      <c r="M1467" s="5"/>
      <c r="W1467" s="5"/>
      <c r="Z1467" s="5"/>
      <c r="AA1467" s="5"/>
      <c r="AD1467" s="5"/>
      <c r="AG1467" s="5"/>
      <c r="AH1467" s="5"/>
      <c r="AN1467" s="4"/>
      <c r="AO1467" s="4"/>
      <c r="AP1467" s="4"/>
      <c r="AQ1467" s="4"/>
      <c r="AR1467" s="4"/>
      <c r="AS1467" s="4"/>
      <c r="AT1467" s="4"/>
    </row>
    <row r="1468" spans="12:46">
      <c r="L1468" s="5"/>
      <c r="M1468" s="5"/>
      <c r="W1468" s="5"/>
      <c r="Z1468" s="5"/>
      <c r="AA1468" s="5"/>
      <c r="AD1468" s="5"/>
      <c r="AG1468" s="5"/>
      <c r="AH1468" s="5"/>
      <c r="AN1468" s="4"/>
      <c r="AO1468" s="4"/>
      <c r="AP1468" s="4"/>
      <c r="AQ1468" s="4"/>
      <c r="AR1468" s="4"/>
      <c r="AS1468" s="4"/>
      <c r="AT1468" s="4"/>
    </row>
    <row r="1469" spans="12:46">
      <c r="L1469" s="5"/>
      <c r="M1469" s="5"/>
      <c r="W1469" s="5"/>
      <c r="Z1469" s="5"/>
      <c r="AA1469" s="5"/>
      <c r="AD1469" s="5"/>
      <c r="AG1469" s="5"/>
      <c r="AH1469" s="5"/>
      <c r="AN1469" s="4"/>
      <c r="AO1469" s="4"/>
      <c r="AP1469" s="4"/>
      <c r="AQ1469" s="4"/>
      <c r="AR1469" s="4"/>
      <c r="AS1469" s="4"/>
      <c r="AT1469" s="4"/>
    </row>
    <row r="1470" spans="12:46">
      <c r="L1470" s="5"/>
      <c r="M1470" s="5"/>
      <c r="W1470" s="5"/>
      <c r="Z1470" s="5"/>
      <c r="AA1470" s="5"/>
      <c r="AD1470" s="5"/>
      <c r="AG1470" s="5"/>
      <c r="AH1470" s="5"/>
      <c r="AN1470" s="4"/>
      <c r="AO1470" s="4"/>
      <c r="AP1470" s="4"/>
      <c r="AQ1470" s="4"/>
      <c r="AR1470" s="4"/>
      <c r="AS1470" s="4"/>
      <c r="AT1470" s="4"/>
    </row>
    <row r="1471" spans="12:46">
      <c r="L1471" s="5"/>
      <c r="M1471" s="5"/>
      <c r="W1471" s="5"/>
      <c r="Z1471" s="5"/>
      <c r="AA1471" s="5"/>
      <c r="AD1471" s="5"/>
      <c r="AG1471" s="5"/>
      <c r="AH1471" s="5"/>
      <c r="AN1471" s="4"/>
      <c r="AO1471" s="4"/>
      <c r="AP1471" s="4"/>
      <c r="AQ1471" s="4"/>
      <c r="AR1471" s="4"/>
      <c r="AS1471" s="4"/>
      <c r="AT1471" s="4"/>
    </row>
    <row r="1472" spans="12:46">
      <c r="L1472" s="5"/>
      <c r="M1472" s="5"/>
      <c r="W1472" s="5"/>
      <c r="Z1472" s="5"/>
      <c r="AA1472" s="5"/>
      <c r="AD1472" s="5"/>
      <c r="AG1472" s="5"/>
      <c r="AH1472" s="5"/>
      <c r="AN1472" s="4"/>
      <c r="AO1472" s="4"/>
      <c r="AP1472" s="4"/>
      <c r="AQ1472" s="4"/>
      <c r="AR1472" s="4"/>
      <c r="AS1472" s="4"/>
      <c r="AT1472" s="4"/>
    </row>
    <row r="1473" spans="12:46">
      <c r="L1473" s="5"/>
      <c r="M1473" s="5"/>
      <c r="W1473" s="5"/>
      <c r="Z1473" s="5"/>
      <c r="AA1473" s="5"/>
      <c r="AD1473" s="5"/>
      <c r="AG1473" s="5"/>
      <c r="AH1473" s="5"/>
      <c r="AN1473" s="4"/>
      <c r="AO1473" s="4"/>
      <c r="AP1473" s="4"/>
      <c r="AQ1473" s="4"/>
      <c r="AR1473" s="4"/>
      <c r="AS1473" s="4"/>
      <c r="AT1473" s="4"/>
    </row>
    <row r="1474" spans="12:46">
      <c r="L1474" s="5"/>
      <c r="M1474" s="5"/>
      <c r="W1474" s="5"/>
      <c r="Z1474" s="5"/>
      <c r="AA1474" s="5"/>
      <c r="AD1474" s="5"/>
      <c r="AG1474" s="5"/>
      <c r="AH1474" s="5"/>
      <c r="AN1474" s="4"/>
      <c r="AO1474" s="4"/>
      <c r="AP1474" s="4"/>
      <c r="AQ1474" s="4"/>
      <c r="AR1474" s="4"/>
      <c r="AS1474" s="4"/>
      <c r="AT1474" s="4"/>
    </row>
    <row r="1475" spans="12:46">
      <c r="L1475" s="5"/>
      <c r="M1475" s="5"/>
      <c r="W1475" s="5"/>
      <c r="Z1475" s="5"/>
      <c r="AA1475" s="5"/>
      <c r="AD1475" s="5"/>
      <c r="AG1475" s="5"/>
      <c r="AH1475" s="5"/>
      <c r="AN1475" s="4"/>
      <c r="AO1475" s="4"/>
      <c r="AP1475" s="4"/>
      <c r="AQ1475" s="4"/>
      <c r="AR1475" s="4"/>
      <c r="AS1475" s="4"/>
      <c r="AT1475" s="4"/>
    </row>
    <row r="1476" spans="12:46">
      <c r="L1476" s="5"/>
      <c r="M1476" s="5"/>
      <c r="W1476" s="5"/>
      <c r="Z1476" s="5"/>
      <c r="AA1476" s="5"/>
      <c r="AD1476" s="5"/>
      <c r="AG1476" s="5"/>
      <c r="AH1476" s="5"/>
      <c r="AN1476" s="4"/>
      <c r="AO1476" s="4"/>
      <c r="AP1476" s="4"/>
      <c r="AQ1476" s="4"/>
      <c r="AR1476" s="4"/>
      <c r="AS1476" s="4"/>
      <c r="AT1476" s="4"/>
    </row>
    <row r="1477" spans="12:46">
      <c r="L1477" s="5"/>
      <c r="M1477" s="5"/>
      <c r="W1477" s="5"/>
      <c r="Z1477" s="5"/>
      <c r="AA1477" s="5"/>
      <c r="AD1477" s="5"/>
      <c r="AG1477" s="5"/>
      <c r="AH1477" s="5"/>
      <c r="AN1477" s="4"/>
      <c r="AO1477" s="4"/>
      <c r="AP1477" s="4"/>
      <c r="AQ1477" s="4"/>
      <c r="AR1477" s="4"/>
      <c r="AS1477" s="4"/>
      <c r="AT1477" s="4"/>
    </row>
    <row r="1478" spans="12:46">
      <c r="L1478" s="5"/>
      <c r="M1478" s="5"/>
      <c r="W1478" s="5"/>
      <c r="Z1478" s="5"/>
      <c r="AA1478" s="5"/>
      <c r="AD1478" s="5"/>
      <c r="AG1478" s="5"/>
      <c r="AH1478" s="5"/>
      <c r="AN1478" s="4"/>
      <c r="AO1478" s="4"/>
      <c r="AP1478" s="4"/>
      <c r="AQ1478" s="4"/>
      <c r="AR1478" s="4"/>
      <c r="AS1478" s="4"/>
      <c r="AT1478" s="4"/>
    </row>
    <row r="1479" spans="12:46">
      <c r="L1479" s="5"/>
      <c r="M1479" s="5"/>
      <c r="W1479" s="5"/>
      <c r="Z1479" s="5"/>
      <c r="AA1479" s="5"/>
      <c r="AD1479" s="5"/>
      <c r="AG1479" s="5"/>
      <c r="AH1479" s="5"/>
      <c r="AN1479" s="4"/>
      <c r="AO1479" s="4"/>
      <c r="AP1479" s="4"/>
      <c r="AQ1479" s="4"/>
      <c r="AR1479" s="4"/>
      <c r="AS1479" s="4"/>
      <c r="AT1479" s="4"/>
    </row>
    <row r="1480" spans="12:46">
      <c r="L1480" s="5"/>
      <c r="M1480" s="5"/>
      <c r="W1480" s="5"/>
      <c r="Z1480" s="5"/>
      <c r="AA1480" s="5"/>
      <c r="AD1480" s="5"/>
      <c r="AG1480" s="5"/>
      <c r="AH1480" s="5"/>
      <c r="AN1480" s="4"/>
      <c r="AO1480" s="4"/>
      <c r="AP1480" s="4"/>
      <c r="AQ1480" s="4"/>
      <c r="AR1480" s="4"/>
      <c r="AS1480" s="4"/>
      <c r="AT1480" s="4"/>
    </row>
    <row r="1481" spans="12:46">
      <c r="L1481" s="5"/>
      <c r="M1481" s="5"/>
      <c r="W1481" s="5"/>
      <c r="Z1481" s="5"/>
      <c r="AA1481" s="5"/>
      <c r="AD1481" s="5"/>
      <c r="AG1481" s="5"/>
      <c r="AH1481" s="5"/>
      <c r="AN1481" s="4"/>
      <c r="AO1481" s="4"/>
      <c r="AP1481" s="4"/>
      <c r="AQ1481" s="4"/>
      <c r="AR1481" s="4"/>
      <c r="AS1481" s="4"/>
      <c r="AT1481" s="4"/>
    </row>
    <row r="1482" spans="12:46">
      <c r="L1482" s="5"/>
      <c r="M1482" s="5"/>
      <c r="W1482" s="5"/>
      <c r="Z1482" s="5"/>
      <c r="AA1482" s="5"/>
      <c r="AD1482" s="5"/>
      <c r="AG1482" s="5"/>
      <c r="AH1482" s="5"/>
      <c r="AN1482" s="4"/>
      <c r="AO1482" s="4"/>
      <c r="AP1482" s="4"/>
      <c r="AQ1482" s="4"/>
      <c r="AR1482" s="4"/>
      <c r="AS1482" s="4"/>
      <c r="AT1482" s="4"/>
    </row>
    <row r="1483" spans="12:46">
      <c r="L1483" s="5"/>
      <c r="M1483" s="5"/>
      <c r="W1483" s="5"/>
      <c r="Z1483" s="5"/>
      <c r="AA1483" s="5"/>
      <c r="AD1483" s="5"/>
      <c r="AG1483" s="5"/>
      <c r="AH1483" s="5"/>
      <c r="AN1483" s="4"/>
      <c r="AO1483" s="4"/>
      <c r="AP1483" s="4"/>
      <c r="AQ1483" s="4"/>
      <c r="AR1483" s="4"/>
      <c r="AS1483" s="4"/>
      <c r="AT1483" s="4"/>
    </row>
    <row r="1484" spans="12:46">
      <c r="L1484" s="5"/>
      <c r="M1484" s="5"/>
      <c r="W1484" s="5"/>
      <c r="Z1484" s="5"/>
      <c r="AA1484" s="5"/>
      <c r="AD1484" s="5"/>
      <c r="AG1484" s="5"/>
      <c r="AH1484" s="5"/>
      <c r="AN1484" s="4"/>
      <c r="AO1484" s="4"/>
      <c r="AP1484" s="4"/>
      <c r="AQ1484" s="4"/>
      <c r="AR1484" s="4"/>
      <c r="AS1484" s="4"/>
      <c r="AT1484" s="4"/>
    </row>
    <row r="1485" spans="12:46">
      <c r="L1485" s="5"/>
      <c r="M1485" s="5"/>
      <c r="W1485" s="5"/>
      <c r="Z1485" s="5"/>
      <c r="AA1485" s="5"/>
      <c r="AD1485" s="5"/>
      <c r="AG1485" s="5"/>
      <c r="AH1485" s="5"/>
      <c r="AN1485" s="4"/>
      <c r="AO1485" s="4"/>
      <c r="AP1485" s="4"/>
      <c r="AQ1485" s="4"/>
      <c r="AR1485" s="4"/>
      <c r="AS1485" s="4"/>
      <c r="AT1485" s="4"/>
    </row>
    <row r="1486" spans="12:46">
      <c r="L1486" s="5"/>
      <c r="M1486" s="5"/>
      <c r="W1486" s="5"/>
      <c r="Z1486" s="5"/>
      <c r="AA1486" s="5"/>
      <c r="AD1486" s="5"/>
      <c r="AG1486" s="5"/>
      <c r="AH1486" s="5"/>
      <c r="AN1486" s="4"/>
      <c r="AO1486" s="4"/>
      <c r="AP1486" s="4"/>
      <c r="AQ1486" s="4"/>
      <c r="AR1486" s="4"/>
      <c r="AS1486" s="4"/>
      <c r="AT1486" s="4"/>
    </row>
    <row r="1487" spans="12:46">
      <c r="L1487" s="5"/>
      <c r="M1487" s="5"/>
      <c r="W1487" s="5"/>
      <c r="Z1487" s="5"/>
      <c r="AA1487" s="5"/>
      <c r="AD1487" s="5"/>
      <c r="AG1487" s="5"/>
      <c r="AH1487" s="5"/>
      <c r="AN1487" s="4"/>
      <c r="AO1487" s="4"/>
      <c r="AP1487" s="4"/>
      <c r="AQ1487" s="4"/>
      <c r="AR1487" s="4"/>
      <c r="AS1487" s="4"/>
      <c r="AT1487" s="4"/>
    </row>
    <row r="1488" spans="12:46">
      <c r="L1488" s="5"/>
      <c r="M1488" s="5"/>
      <c r="W1488" s="5"/>
      <c r="Z1488" s="5"/>
      <c r="AA1488" s="5"/>
      <c r="AD1488" s="5"/>
      <c r="AG1488" s="5"/>
      <c r="AH1488" s="5"/>
      <c r="AN1488" s="4"/>
      <c r="AO1488" s="4"/>
      <c r="AP1488" s="4"/>
      <c r="AQ1488" s="4"/>
      <c r="AR1488" s="4"/>
      <c r="AS1488" s="4"/>
      <c r="AT1488" s="4"/>
    </row>
    <row r="1489" spans="12:46">
      <c r="L1489" s="5"/>
      <c r="M1489" s="5"/>
      <c r="W1489" s="5"/>
      <c r="Z1489" s="5"/>
      <c r="AA1489" s="5"/>
      <c r="AD1489" s="5"/>
      <c r="AG1489" s="5"/>
      <c r="AH1489" s="5"/>
      <c r="AN1489" s="4"/>
      <c r="AO1489" s="4"/>
      <c r="AP1489" s="4"/>
      <c r="AQ1489" s="4"/>
      <c r="AR1489" s="4"/>
      <c r="AS1489" s="4"/>
      <c r="AT1489" s="4"/>
    </row>
    <row r="1490" spans="12:46">
      <c r="L1490" s="5"/>
      <c r="M1490" s="5"/>
      <c r="W1490" s="5"/>
      <c r="Z1490" s="5"/>
      <c r="AA1490" s="5"/>
      <c r="AD1490" s="5"/>
      <c r="AG1490" s="5"/>
      <c r="AH1490" s="5"/>
      <c r="AN1490" s="4"/>
      <c r="AO1490" s="4"/>
      <c r="AP1490" s="4"/>
      <c r="AQ1490" s="4"/>
      <c r="AR1490" s="4"/>
      <c r="AS1490" s="4"/>
      <c r="AT1490" s="4"/>
    </row>
    <row r="1491" spans="12:46">
      <c r="L1491" s="5"/>
      <c r="M1491" s="5"/>
      <c r="W1491" s="5"/>
      <c r="Z1491" s="5"/>
      <c r="AA1491" s="5"/>
      <c r="AD1491" s="5"/>
      <c r="AG1491" s="5"/>
      <c r="AH1491" s="5"/>
      <c r="AN1491" s="4"/>
      <c r="AO1491" s="4"/>
      <c r="AP1491" s="4"/>
      <c r="AQ1491" s="4"/>
      <c r="AR1491" s="4"/>
      <c r="AS1491" s="4"/>
      <c r="AT1491" s="4"/>
    </row>
    <row r="1492" spans="12:46">
      <c r="L1492" s="5"/>
      <c r="M1492" s="5"/>
      <c r="W1492" s="5"/>
      <c r="Z1492" s="5"/>
      <c r="AA1492" s="5"/>
      <c r="AD1492" s="5"/>
      <c r="AG1492" s="5"/>
      <c r="AH1492" s="5"/>
      <c r="AN1492" s="4"/>
      <c r="AO1492" s="4"/>
      <c r="AP1492" s="4"/>
      <c r="AQ1492" s="4"/>
      <c r="AR1492" s="4"/>
      <c r="AS1492" s="4"/>
      <c r="AT1492" s="4"/>
    </row>
    <row r="1493" spans="12:46">
      <c r="L1493" s="5"/>
      <c r="M1493" s="5"/>
      <c r="W1493" s="5"/>
      <c r="Z1493" s="5"/>
      <c r="AA1493" s="5"/>
      <c r="AD1493" s="5"/>
      <c r="AG1493" s="5"/>
      <c r="AH1493" s="5"/>
      <c r="AN1493" s="4"/>
      <c r="AO1493" s="4"/>
      <c r="AP1493" s="4"/>
      <c r="AQ1493" s="4"/>
      <c r="AR1493" s="4"/>
      <c r="AS1493" s="4"/>
      <c r="AT1493" s="4"/>
    </row>
    <row r="1494" spans="12:46">
      <c r="L1494" s="5"/>
      <c r="M1494" s="5"/>
      <c r="W1494" s="5"/>
      <c r="Z1494" s="5"/>
      <c r="AA1494" s="5"/>
      <c r="AD1494" s="5"/>
      <c r="AG1494" s="5"/>
      <c r="AH1494" s="5"/>
      <c r="AN1494" s="4"/>
      <c r="AO1494" s="4"/>
      <c r="AP1494" s="4"/>
      <c r="AQ1494" s="4"/>
      <c r="AR1494" s="4"/>
      <c r="AS1494" s="4"/>
      <c r="AT1494" s="4"/>
    </row>
    <row r="1495" spans="12:46">
      <c r="L1495" s="5"/>
      <c r="M1495" s="5"/>
      <c r="W1495" s="5"/>
      <c r="Z1495" s="5"/>
      <c r="AA1495" s="5"/>
      <c r="AD1495" s="5"/>
      <c r="AG1495" s="5"/>
      <c r="AH1495" s="5"/>
      <c r="AN1495" s="4"/>
      <c r="AO1495" s="4"/>
      <c r="AP1495" s="4"/>
      <c r="AQ1495" s="4"/>
      <c r="AR1495" s="4"/>
      <c r="AS1495" s="4"/>
      <c r="AT1495" s="4"/>
    </row>
    <row r="1496" spans="12:46">
      <c r="L1496" s="5"/>
      <c r="M1496" s="5"/>
      <c r="W1496" s="5"/>
      <c r="Z1496" s="5"/>
      <c r="AA1496" s="5"/>
      <c r="AD1496" s="5"/>
      <c r="AG1496" s="5"/>
      <c r="AH1496" s="5"/>
      <c r="AN1496" s="4"/>
      <c r="AO1496" s="4"/>
      <c r="AP1496" s="4"/>
      <c r="AQ1496" s="4"/>
      <c r="AR1496" s="4"/>
      <c r="AS1496" s="4"/>
      <c r="AT1496" s="4"/>
    </row>
    <row r="1497" spans="12:46">
      <c r="L1497" s="5"/>
      <c r="M1497" s="5"/>
      <c r="W1497" s="5"/>
      <c r="Z1497" s="5"/>
      <c r="AA1497" s="5"/>
      <c r="AD1497" s="5"/>
      <c r="AG1497" s="5"/>
      <c r="AH1497" s="5"/>
      <c r="AN1497" s="4"/>
      <c r="AO1497" s="4"/>
      <c r="AP1497" s="4"/>
      <c r="AQ1497" s="4"/>
      <c r="AR1497" s="4"/>
      <c r="AS1497" s="4"/>
      <c r="AT1497" s="4"/>
    </row>
    <row r="1498" spans="12:46">
      <c r="L1498" s="5"/>
      <c r="M1498" s="5"/>
      <c r="W1498" s="5"/>
      <c r="Z1498" s="5"/>
      <c r="AA1498" s="5"/>
      <c r="AD1498" s="5"/>
      <c r="AG1498" s="5"/>
      <c r="AH1498" s="5"/>
      <c r="AN1498" s="4"/>
      <c r="AO1498" s="4"/>
      <c r="AP1498" s="4"/>
      <c r="AQ1498" s="4"/>
      <c r="AR1498" s="4"/>
      <c r="AS1498" s="4"/>
      <c r="AT1498" s="4"/>
    </row>
    <row r="1499" spans="12:46">
      <c r="L1499" s="5"/>
      <c r="M1499" s="5"/>
      <c r="W1499" s="5"/>
      <c r="Z1499" s="5"/>
      <c r="AA1499" s="5"/>
      <c r="AD1499" s="5"/>
      <c r="AG1499" s="5"/>
      <c r="AH1499" s="5"/>
      <c r="AN1499" s="4"/>
      <c r="AO1499" s="4"/>
      <c r="AP1499" s="4"/>
      <c r="AQ1499" s="4"/>
      <c r="AR1499" s="4"/>
      <c r="AS1499" s="4"/>
      <c r="AT1499" s="4"/>
    </row>
    <row r="1500" spans="12:46">
      <c r="L1500" s="5"/>
      <c r="M1500" s="5"/>
      <c r="W1500" s="5"/>
      <c r="Z1500" s="5"/>
      <c r="AA1500" s="5"/>
      <c r="AD1500" s="5"/>
      <c r="AG1500" s="5"/>
      <c r="AH1500" s="5"/>
      <c r="AN1500" s="4"/>
      <c r="AO1500" s="4"/>
      <c r="AP1500" s="4"/>
      <c r="AQ1500" s="4"/>
      <c r="AR1500" s="4"/>
      <c r="AS1500" s="4"/>
      <c r="AT1500" s="4"/>
    </row>
    <row r="1501" spans="12:46">
      <c r="L1501" s="5"/>
      <c r="M1501" s="5"/>
      <c r="W1501" s="5"/>
      <c r="Z1501" s="5"/>
      <c r="AA1501" s="5"/>
      <c r="AD1501" s="5"/>
      <c r="AG1501" s="5"/>
      <c r="AH1501" s="5"/>
      <c r="AN1501" s="4"/>
      <c r="AO1501" s="4"/>
      <c r="AP1501" s="4"/>
      <c r="AQ1501" s="4"/>
      <c r="AR1501" s="4"/>
      <c r="AS1501" s="4"/>
      <c r="AT1501" s="4"/>
    </row>
    <row r="1502" spans="12:46">
      <c r="L1502" s="5"/>
      <c r="M1502" s="5"/>
      <c r="W1502" s="5"/>
      <c r="Z1502" s="5"/>
      <c r="AA1502" s="5"/>
      <c r="AD1502" s="5"/>
      <c r="AG1502" s="5"/>
      <c r="AH1502" s="5"/>
      <c r="AN1502" s="4"/>
      <c r="AO1502" s="4"/>
      <c r="AP1502" s="4"/>
      <c r="AQ1502" s="4"/>
      <c r="AR1502" s="4"/>
      <c r="AS1502" s="4"/>
      <c r="AT1502" s="4"/>
    </row>
    <row r="1503" spans="12:46">
      <c r="L1503" s="5"/>
      <c r="M1503" s="5"/>
      <c r="W1503" s="5"/>
      <c r="Z1503" s="5"/>
      <c r="AA1503" s="5"/>
      <c r="AD1503" s="5"/>
      <c r="AG1503" s="5"/>
      <c r="AH1503" s="5"/>
      <c r="AN1503" s="4"/>
      <c r="AO1503" s="4"/>
      <c r="AP1503" s="4"/>
      <c r="AQ1503" s="4"/>
      <c r="AR1503" s="4"/>
      <c r="AS1503" s="4"/>
      <c r="AT1503" s="4"/>
    </row>
    <row r="1504" spans="12:46">
      <c r="L1504" s="5"/>
      <c r="M1504" s="5"/>
      <c r="W1504" s="5"/>
      <c r="Z1504" s="5"/>
      <c r="AA1504" s="5"/>
      <c r="AD1504" s="5"/>
      <c r="AG1504" s="5"/>
      <c r="AH1504" s="5"/>
      <c r="AN1504" s="4"/>
      <c r="AO1504" s="4"/>
      <c r="AP1504" s="4"/>
      <c r="AQ1504" s="4"/>
      <c r="AR1504" s="4"/>
      <c r="AS1504" s="4"/>
      <c r="AT1504" s="4"/>
    </row>
    <row r="1505" spans="12:46">
      <c r="L1505" s="5"/>
      <c r="M1505" s="5"/>
      <c r="W1505" s="5"/>
      <c r="Z1505" s="5"/>
      <c r="AA1505" s="5"/>
      <c r="AD1505" s="5"/>
      <c r="AG1505" s="5"/>
      <c r="AH1505" s="5"/>
      <c r="AN1505" s="4"/>
      <c r="AO1505" s="4"/>
      <c r="AP1505" s="4"/>
      <c r="AQ1505" s="4"/>
      <c r="AR1505" s="4"/>
      <c r="AS1505" s="4"/>
      <c r="AT1505" s="4"/>
    </row>
    <row r="1506" spans="12:46">
      <c r="L1506" s="5"/>
      <c r="M1506" s="5"/>
      <c r="W1506" s="5"/>
      <c r="Z1506" s="5"/>
      <c r="AA1506" s="5"/>
      <c r="AD1506" s="5"/>
      <c r="AG1506" s="5"/>
      <c r="AH1506" s="5"/>
      <c r="AN1506" s="4"/>
      <c r="AO1506" s="4"/>
      <c r="AP1506" s="4"/>
      <c r="AQ1506" s="4"/>
      <c r="AR1506" s="4"/>
      <c r="AS1506" s="4"/>
      <c r="AT1506" s="4"/>
    </row>
    <row r="1507" spans="12:46">
      <c r="L1507" s="5"/>
      <c r="M1507" s="5"/>
      <c r="W1507" s="5"/>
      <c r="Z1507" s="5"/>
      <c r="AA1507" s="5"/>
      <c r="AD1507" s="5"/>
      <c r="AG1507" s="5"/>
      <c r="AH1507" s="5"/>
      <c r="AN1507" s="4"/>
      <c r="AO1507" s="4"/>
      <c r="AP1507" s="4"/>
      <c r="AQ1507" s="4"/>
      <c r="AR1507" s="4"/>
      <c r="AS1507" s="4"/>
      <c r="AT1507" s="4"/>
    </row>
    <row r="1508" spans="12:46">
      <c r="L1508" s="5"/>
      <c r="M1508" s="5"/>
      <c r="W1508" s="5"/>
      <c r="Z1508" s="5"/>
      <c r="AA1508" s="5"/>
      <c r="AD1508" s="5"/>
      <c r="AG1508" s="5"/>
      <c r="AH1508" s="5"/>
      <c r="AN1508" s="4"/>
      <c r="AO1508" s="4"/>
      <c r="AP1508" s="4"/>
      <c r="AQ1508" s="4"/>
      <c r="AR1508" s="4"/>
      <c r="AS1508" s="4"/>
      <c r="AT1508" s="4"/>
    </row>
    <row r="1509" spans="12:46">
      <c r="L1509" s="5"/>
      <c r="M1509" s="5"/>
      <c r="W1509" s="5"/>
      <c r="Z1509" s="5"/>
      <c r="AA1509" s="5"/>
      <c r="AD1509" s="5"/>
      <c r="AG1509" s="5"/>
      <c r="AH1509" s="5"/>
      <c r="AN1509" s="4"/>
      <c r="AO1509" s="4"/>
      <c r="AP1509" s="4"/>
      <c r="AQ1509" s="4"/>
      <c r="AR1509" s="4"/>
      <c r="AS1509" s="4"/>
      <c r="AT1509" s="4"/>
    </row>
    <row r="1510" spans="12:46">
      <c r="L1510" s="5"/>
      <c r="M1510" s="5"/>
      <c r="W1510" s="5"/>
      <c r="Z1510" s="5"/>
      <c r="AA1510" s="5"/>
      <c r="AD1510" s="5"/>
      <c r="AG1510" s="5"/>
      <c r="AH1510" s="5"/>
      <c r="AN1510" s="4"/>
      <c r="AO1510" s="4"/>
      <c r="AP1510" s="4"/>
      <c r="AQ1510" s="4"/>
      <c r="AR1510" s="4"/>
      <c r="AS1510" s="4"/>
      <c r="AT1510" s="4"/>
    </row>
    <row r="1511" spans="12:46">
      <c r="L1511" s="5"/>
      <c r="M1511" s="5"/>
      <c r="W1511" s="5"/>
      <c r="Z1511" s="5"/>
      <c r="AA1511" s="5"/>
      <c r="AD1511" s="5"/>
      <c r="AG1511" s="5"/>
      <c r="AH1511" s="5"/>
      <c r="AN1511" s="4"/>
      <c r="AO1511" s="4"/>
      <c r="AP1511" s="4"/>
      <c r="AQ1511" s="4"/>
      <c r="AR1511" s="4"/>
      <c r="AS1511" s="4"/>
      <c r="AT1511" s="4"/>
    </row>
    <row r="1512" spans="12:46">
      <c r="L1512" s="5"/>
      <c r="M1512" s="5"/>
      <c r="W1512" s="5"/>
      <c r="Z1512" s="5"/>
      <c r="AA1512" s="5"/>
      <c r="AD1512" s="5"/>
      <c r="AG1512" s="5"/>
      <c r="AH1512" s="5"/>
      <c r="AN1512" s="4"/>
      <c r="AO1512" s="4"/>
      <c r="AP1512" s="4"/>
      <c r="AQ1512" s="4"/>
      <c r="AR1512" s="4"/>
      <c r="AS1512" s="4"/>
      <c r="AT1512" s="4"/>
    </row>
    <row r="1513" spans="12:46">
      <c r="L1513" s="5"/>
      <c r="M1513" s="5"/>
      <c r="W1513" s="5"/>
      <c r="Z1513" s="5"/>
      <c r="AA1513" s="5"/>
      <c r="AD1513" s="5"/>
      <c r="AG1513" s="5"/>
      <c r="AH1513" s="5"/>
      <c r="AN1513" s="4"/>
      <c r="AO1513" s="4"/>
      <c r="AP1513" s="4"/>
      <c r="AQ1513" s="4"/>
      <c r="AR1513" s="4"/>
      <c r="AS1513" s="4"/>
      <c r="AT1513" s="4"/>
    </row>
    <row r="1514" spans="12:46">
      <c r="L1514" s="5"/>
      <c r="M1514" s="5"/>
      <c r="W1514" s="5"/>
      <c r="Z1514" s="5"/>
      <c r="AA1514" s="5"/>
      <c r="AD1514" s="5"/>
      <c r="AG1514" s="5"/>
      <c r="AH1514" s="5"/>
      <c r="AN1514" s="4"/>
      <c r="AO1514" s="4"/>
      <c r="AP1514" s="4"/>
      <c r="AQ1514" s="4"/>
      <c r="AR1514" s="4"/>
      <c r="AS1514" s="4"/>
      <c r="AT1514" s="4"/>
    </row>
    <row r="1515" spans="12:46">
      <c r="L1515" s="5"/>
      <c r="M1515" s="5"/>
      <c r="W1515" s="5"/>
      <c r="Z1515" s="5"/>
      <c r="AA1515" s="5"/>
      <c r="AD1515" s="5"/>
      <c r="AG1515" s="5"/>
      <c r="AH1515" s="5"/>
      <c r="AN1515" s="4"/>
      <c r="AO1515" s="4"/>
      <c r="AP1515" s="4"/>
      <c r="AQ1515" s="4"/>
      <c r="AR1515" s="4"/>
      <c r="AS1515" s="4"/>
      <c r="AT1515" s="4"/>
    </row>
    <row r="1516" spans="12:46">
      <c r="L1516" s="5"/>
      <c r="M1516" s="5"/>
      <c r="W1516" s="5"/>
      <c r="Z1516" s="5"/>
      <c r="AA1516" s="5"/>
      <c r="AD1516" s="5"/>
      <c r="AG1516" s="5"/>
      <c r="AH1516" s="5"/>
      <c r="AN1516" s="4"/>
      <c r="AO1516" s="4"/>
      <c r="AP1516" s="4"/>
      <c r="AQ1516" s="4"/>
      <c r="AR1516" s="4"/>
      <c r="AS1516" s="4"/>
      <c r="AT1516" s="4"/>
    </row>
    <row r="1517" spans="12:46">
      <c r="L1517" s="5"/>
      <c r="M1517" s="5"/>
      <c r="W1517" s="5"/>
      <c r="Z1517" s="5"/>
      <c r="AA1517" s="5"/>
      <c r="AD1517" s="5"/>
      <c r="AG1517" s="5"/>
      <c r="AH1517" s="5"/>
      <c r="AN1517" s="4"/>
      <c r="AO1517" s="4"/>
      <c r="AP1517" s="4"/>
      <c r="AQ1517" s="4"/>
      <c r="AR1517" s="4"/>
      <c r="AS1517" s="4"/>
      <c r="AT1517" s="4"/>
    </row>
    <row r="1518" spans="12:46">
      <c r="L1518" s="5"/>
      <c r="M1518" s="5"/>
      <c r="W1518" s="5"/>
      <c r="Z1518" s="5"/>
      <c r="AA1518" s="5"/>
      <c r="AD1518" s="5"/>
      <c r="AG1518" s="5"/>
      <c r="AH1518" s="5"/>
      <c r="AN1518" s="4"/>
      <c r="AO1518" s="4"/>
      <c r="AP1518" s="4"/>
      <c r="AQ1518" s="4"/>
      <c r="AR1518" s="4"/>
      <c r="AS1518" s="4"/>
      <c r="AT1518" s="4"/>
    </row>
    <row r="1519" spans="12:46">
      <c r="L1519" s="5"/>
      <c r="M1519" s="5"/>
      <c r="W1519" s="5"/>
      <c r="Z1519" s="5"/>
      <c r="AA1519" s="5"/>
      <c r="AD1519" s="5"/>
      <c r="AG1519" s="5"/>
      <c r="AH1519" s="5"/>
      <c r="AN1519" s="4"/>
      <c r="AO1519" s="4"/>
      <c r="AP1519" s="4"/>
      <c r="AQ1519" s="4"/>
      <c r="AR1519" s="4"/>
      <c r="AS1519" s="4"/>
      <c r="AT1519" s="4"/>
    </row>
    <row r="1520" spans="12:46">
      <c r="L1520" s="5"/>
      <c r="M1520" s="5"/>
      <c r="W1520" s="5"/>
      <c r="Z1520" s="5"/>
      <c r="AA1520" s="5"/>
      <c r="AD1520" s="5"/>
      <c r="AG1520" s="5"/>
      <c r="AH1520" s="5"/>
      <c r="AN1520" s="4"/>
      <c r="AO1520" s="4"/>
      <c r="AP1520" s="4"/>
      <c r="AQ1520" s="4"/>
      <c r="AR1520" s="4"/>
      <c r="AS1520" s="4"/>
      <c r="AT1520" s="4"/>
    </row>
    <row r="1521" spans="12:46">
      <c r="L1521" s="5"/>
      <c r="M1521" s="5"/>
      <c r="W1521" s="5"/>
      <c r="Z1521" s="5"/>
      <c r="AA1521" s="5"/>
      <c r="AD1521" s="5"/>
      <c r="AG1521" s="5"/>
      <c r="AH1521" s="5"/>
      <c r="AN1521" s="4"/>
      <c r="AO1521" s="4"/>
      <c r="AP1521" s="4"/>
      <c r="AQ1521" s="4"/>
      <c r="AR1521" s="4"/>
      <c r="AS1521" s="4"/>
      <c r="AT1521" s="4"/>
    </row>
    <row r="1522" spans="12:46">
      <c r="L1522" s="5"/>
      <c r="M1522" s="5"/>
      <c r="W1522" s="5"/>
      <c r="Z1522" s="5"/>
      <c r="AA1522" s="5"/>
      <c r="AD1522" s="5"/>
      <c r="AG1522" s="5"/>
      <c r="AH1522" s="5"/>
      <c r="AN1522" s="4"/>
      <c r="AO1522" s="4"/>
      <c r="AP1522" s="4"/>
      <c r="AQ1522" s="4"/>
      <c r="AR1522" s="4"/>
      <c r="AS1522" s="4"/>
      <c r="AT1522" s="4"/>
    </row>
    <row r="1523" spans="12:46">
      <c r="L1523" s="5"/>
      <c r="M1523" s="5"/>
      <c r="W1523" s="5"/>
      <c r="Z1523" s="5"/>
      <c r="AA1523" s="5"/>
      <c r="AD1523" s="5"/>
      <c r="AG1523" s="5"/>
      <c r="AH1523" s="5"/>
      <c r="AN1523" s="4"/>
      <c r="AO1523" s="4"/>
      <c r="AP1523" s="4"/>
      <c r="AQ1523" s="4"/>
      <c r="AR1523" s="4"/>
      <c r="AS1523" s="4"/>
      <c r="AT1523" s="4"/>
    </row>
    <row r="1524" spans="12:46">
      <c r="L1524" s="5"/>
      <c r="M1524" s="5"/>
      <c r="W1524" s="5"/>
      <c r="Z1524" s="5"/>
      <c r="AA1524" s="5"/>
      <c r="AD1524" s="5"/>
      <c r="AG1524" s="5"/>
      <c r="AH1524" s="5"/>
      <c r="AN1524" s="4"/>
      <c r="AO1524" s="4"/>
      <c r="AP1524" s="4"/>
      <c r="AQ1524" s="4"/>
      <c r="AR1524" s="4"/>
      <c r="AS1524" s="4"/>
      <c r="AT1524" s="4"/>
    </row>
    <row r="1525" spans="12:46">
      <c r="L1525" s="5"/>
      <c r="M1525" s="5"/>
      <c r="W1525" s="5"/>
      <c r="Z1525" s="5"/>
      <c r="AA1525" s="5"/>
      <c r="AD1525" s="5"/>
      <c r="AG1525" s="5"/>
      <c r="AH1525" s="5"/>
      <c r="AN1525" s="4"/>
      <c r="AO1525" s="4"/>
      <c r="AP1525" s="4"/>
      <c r="AQ1525" s="4"/>
      <c r="AR1525" s="4"/>
      <c r="AS1525" s="4"/>
      <c r="AT1525" s="4"/>
    </row>
    <row r="1526" spans="12:46">
      <c r="L1526" s="5"/>
      <c r="M1526" s="5"/>
      <c r="W1526" s="5"/>
      <c r="Z1526" s="5"/>
      <c r="AA1526" s="5"/>
      <c r="AD1526" s="5"/>
      <c r="AG1526" s="5"/>
      <c r="AH1526" s="5"/>
      <c r="AN1526" s="4"/>
      <c r="AO1526" s="4"/>
      <c r="AP1526" s="4"/>
      <c r="AQ1526" s="4"/>
      <c r="AR1526" s="4"/>
      <c r="AS1526" s="4"/>
      <c r="AT1526" s="4"/>
    </row>
    <row r="1527" spans="12:46">
      <c r="L1527" s="5"/>
      <c r="M1527" s="5"/>
      <c r="W1527" s="5"/>
      <c r="Z1527" s="5"/>
      <c r="AA1527" s="5"/>
      <c r="AD1527" s="5"/>
      <c r="AG1527" s="5"/>
      <c r="AH1527" s="5"/>
      <c r="AN1527" s="4"/>
      <c r="AO1527" s="4"/>
      <c r="AP1527" s="4"/>
      <c r="AQ1527" s="4"/>
      <c r="AR1527" s="4"/>
      <c r="AS1527" s="4"/>
      <c r="AT1527" s="4"/>
    </row>
    <row r="1528" spans="12:46">
      <c r="L1528" s="5"/>
      <c r="M1528" s="5"/>
      <c r="W1528" s="5"/>
      <c r="Z1528" s="5"/>
      <c r="AA1528" s="5"/>
      <c r="AD1528" s="5"/>
      <c r="AG1528" s="5"/>
      <c r="AH1528" s="5"/>
      <c r="AN1528" s="4"/>
      <c r="AO1528" s="4"/>
      <c r="AP1528" s="4"/>
      <c r="AQ1528" s="4"/>
      <c r="AR1528" s="4"/>
      <c r="AS1528" s="4"/>
      <c r="AT1528" s="4"/>
    </row>
    <row r="1529" spans="12:46">
      <c r="L1529" s="5"/>
      <c r="M1529" s="5"/>
      <c r="W1529" s="5"/>
      <c r="Z1529" s="5"/>
      <c r="AA1529" s="5"/>
      <c r="AD1529" s="5"/>
      <c r="AG1529" s="5"/>
      <c r="AH1529" s="5"/>
      <c r="AN1529" s="4"/>
      <c r="AO1529" s="4"/>
      <c r="AP1529" s="4"/>
      <c r="AQ1529" s="4"/>
      <c r="AR1529" s="4"/>
      <c r="AS1529" s="4"/>
      <c r="AT1529" s="4"/>
    </row>
    <row r="1530" spans="12:46">
      <c r="L1530" s="5"/>
      <c r="M1530" s="5"/>
      <c r="W1530" s="5"/>
      <c r="Z1530" s="5"/>
      <c r="AA1530" s="5"/>
      <c r="AD1530" s="5"/>
      <c r="AG1530" s="5"/>
      <c r="AH1530" s="5"/>
      <c r="AN1530" s="4"/>
      <c r="AO1530" s="4"/>
      <c r="AP1530" s="4"/>
      <c r="AQ1530" s="4"/>
      <c r="AR1530" s="4"/>
      <c r="AS1530" s="4"/>
      <c r="AT1530" s="4"/>
    </row>
    <row r="1531" spans="12:46">
      <c r="L1531" s="5"/>
      <c r="M1531" s="5"/>
      <c r="W1531" s="5"/>
      <c r="Z1531" s="5"/>
      <c r="AA1531" s="5"/>
      <c r="AD1531" s="5"/>
      <c r="AG1531" s="5"/>
      <c r="AH1531" s="5"/>
      <c r="AN1531" s="4"/>
      <c r="AO1531" s="4"/>
      <c r="AP1531" s="4"/>
      <c r="AQ1531" s="4"/>
      <c r="AR1531" s="4"/>
      <c r="AS1531" s="4"/>
      <c r="AT1531" s="4"/>
    </row>
    <row r="1532" spans="12:46">
      <c r="L1532" s="5"/>
      <c r="M1532" s="5"/>
      <c r="W1532" s="5"/>
      <c r="Z1532" s="5"/>
      <c r="AA1532" s="5"/>
      <c r="AD1532" s="5"/>
      <c r="AG1532" s="5"/>
      <c r="AH1532" s="5"/>
      <c r="AN1532" s="4"/>
      <c r="AO1532" s="4"/>
      <c r="AP1532" s="4"/>
      <c r="AQ1532" s="4"/>
      <c r="AR1532" s="4"/>
      <c r="AS1532" s="4"/>
      <c r="AT1532" s="4"/>
    </row>
    <row r="1533" spans="12:46">
      <c r="L1533" s="5"/>
      <c r="M1533" s="5"/>
      <c r="W1533" s="5"/>
      <c r="Z1533" s="5"/>
      <c r="AA1533" s="5"/>
      <c r="AD1533" s="5"/>
      <c r="AG1533" s="5"/>
      <c r="AH1533" s="5"/>
      <c r="AN1533" s="4"/>
      <c r="AO1533" s="4"/>
      <c r="AP1533" s="4"/>
      <c r="AQ1533" s="4"/>
      <c r="AR1533" s="4"/>
      <c r="AS1533" s="4"/>
      <c r="AT1533" s="4"/>
    </row>
    <row r="1534" spans="12:46">
      <c r="L1534" s="5"/>
      <c r="M1534" s="5"/>
      <c r="W1534" s="5"/>
      <c r="Z1534" s="5"/>
      <c r="AA1534" s="5"/>
      <c r="AD1534" s="5"/>
      <c r="AG1534" s="5"/>
      <c r="AH1534" s="5"/>
      <c r="AN1534" s="4"/>
      <c r="AO1534" s="4"/>
      <c r="AP1534" s="4"/>
      <c r="AQ1534" s="4"/>
      <c r="AR1534" s="4"/>
      <c r="AS1534" s="4"/>
      <c r="AT1534" s="4"/>
    </row>
    <row r="1535" spans="12:46">
      <c r="L1535" s="5"/>
      <c r="M1535" s="5"/>
      <c r="W1535" s="5"/>
      <c r="Z1535" s="5"/>
      <c r="AA1535" s="5"/>
      <c r="AD1535" s="5"/>
      <c r="AG1535" s="5"/>
      <c r="AH1535" s="5"/>
      <c r="AN1535" s="4"/>
      <c r="AO1535" s="4"/>
      <c r="AP1535" s="4"/>
      <c r="AQ1535" s="4"/>
      <c r="AR1535" s="4"/>
      <c r="AS1535" s="4"/>
      <c r="AT1535" s="4"/>
    </row>
    <row r="1536" spans="12:46">
      <c r="L1536" s="5"/>
      <c r="M1536" s="5"/>
      <c r="W1536" s="5"/>
      <c r="Z1536" s="5"/>
      <c r="AA1536" s="5"/>
      <c r="AD1536" s="5"/>
      <c r="AG1536" s="5"/>
      <c r="AH1536" s="5"/>
      <c r="AN1536" s="4"/>
      <c r="AO1536" s="4"/>
      <c r="AP1536" s="4"/>
      <c r="AQ1536" s="4"/>
      <c r="AR1536" s="4"/>
      <c r="AS1536" s="4"/>
      <c r="AT1536" s="4"/>
    </row>
    <row r="1537" spans="12:46">
      <c r="L1537" s="5"/>
      <c r="M1537" s="5"/>
      <c r="W1537" s="5"/>
      <c r="Z1537" s="5"/>
      <c r="AA1537" s="5"/>
      <c r="AD1537" s="5"/>
      <c r="AG1537" s="5"/>
      <c r="AH1537" s="5"/>
      <c r="AN1537" s="4"/>
      <c r="AO1537" s="4"/>
      <c r="AP1537" s="4"/>
      <c r="AQ1537" s="4"/>
      <c r="AR1537" s="4"/>
      <c r="AS1537" s="4"/>
      <c r="AT1537" s="4"/>
    </row>
    <row r="1538" spans="12:46">
      <c r="L1538" s="5"/>
      <c r="M1538" s="5"/>
      <c r="W1538" s="5"/>
      <c r="Z1538" s="5"/>
      <c r="AA1538" s="5"/>
      <c r="AD1538" s="5"/>
      <c r="AG1538" s="5"/>
      <c r="AH1538" s="5"/>
      <c r="AN1538" s="4"/>
      <c r="AO1538" s="4"/>
      <c r="AP1538" s="4"/>
      <c r="AQ1538" s="4"/>
      <c r="AR1538" s="4"/>
      <c r="AS1538" s="4"/>
      <c r="AT1538" s="4"/>
    </row>
    <row r="1539" spans="12:46">
      <c r="L1539" s="5"/>
      <c r="M1539" s="5"/>
      <c r="W1539" s="5"/>
      <c r="Z1539" s="5"/>
      <c r="AA1539" s="5"/>
      <c r="AD1539" s="5"/>
      <c r="AG1539" s="5"/>
      <c r="AH1539" s="5"/>
      <c r="AN1539" s="4"/>
      <c r="AO1539" s="4"/>
      <c r="AP1539" s="4"/>
      <c r="AQ1539" s="4"/>
      <c r="AR1539" s="4"/>
      <c r="AS1539" s="4"/>
      <c r="AT1539" s="4"/>
    </row>
    <row r="1540" spans="12:46">
      <c r="L1540" s="5"/>
      <c r="M1540" s="5"/>
      <c r="W1540" s="5"/>
      <c r="Z1540" s="5"/>
      <c r="AA1540" s="5"/>
      <c r="AD1540" s="5"/>
      <c r="AG1540" s="5"/>
      <c r="AH1540" s="5"/>
      <c r="AN1540" s="4"/>
      <c r="AO1540" s="4"/>
      <c r="AP1540" s="4"/>
      <c r="AQ1540" s="4"/>
      <c r="AR1540" s="4"/>
      <c r="AS1540" s="4"/>
      <c r="AT1540" s="4"/>
    </row>
    <row r="1541" spans="12:46">
      <c r="L1541" s="5"/>
      <c r="M1541" s="5"/>
      <c r="W1541" s="5"/>
      <c r="Z1541" s="5"/>
      <c r="AA1541" s="5"/>
      <c r="AD1541" s="5"/>
      <c r="AG1541" s="5"/>
      <c r="AH1541" s="5"/>
      <c r="AN1541" s="4"/>
      <c r="AO1541" s="4"/>
      <c r="AP1541" s="4"/>
      <c r="AQ1541" s="4"/>
      <c r="AR1541" s="4"/>
      <c r="AS1541" s="4"/>
      <c r="AT1541" s="4"/>
    </row>
    <row r="1542" spans="12:46">
      <c r="L1542" s="5"/>
      <c r="M1542" s="5"/>
      <c r="W1542" s="5"/>
      <c r="Z1542" s="5"/>
      <c r="AA1542" s="5"/>
      <c r="AD1542" s="5"/>
      <c r="AG1542" s="5"/>
      <c r="AH1542" s="5"/>
      <c r="AN1542" s="4"/>
      <c r="AO1542" s="4"/>
      <c r="AP1542" s="4"/>
      <c r="AQ1542" s="4"/>
      <c r="AR1542" s="4"/>
      <c r="AS1542" s="4"/>
      <c r="AT1542" s="4"/>
    </row>
    <row r="1543" spans="12:46">
      <c r="L1543" s="5"/>
      <c r="M1543" s="5"/>
      <c r="W1543" s="5"/>
      <c r="Z1543" s="5"/>
      <c r="AA1543" s="5"/>
      <c r="AD1543" s="5"/>
      <c r="AG1543" s="5"/>
      <c r="AH1543" s="5"/>
      <c r="AN1543" s="4"/>
      <c r="AO1543" s="4"/>
      <c r="AP1543" s="4"/>
      <c r="AQ1543" s="4"/>
      <c r="AR1543" s="4"/>
      <c r="AS1543" s="4"/>
      <c r="AT1543" s="4"/>
    </row>
    <row r="1544" spans="12:46">
      <c r="L1544" s="5"/>
      <c r="M1544" s="5"/>
      <c r="W1544" s="5"/>
      <c r="Z1544" s="5"/>
      <c r="AA1544" s="5"/>
      <c r="AD1544" s="5"/>
      <c r="AG1544" s="5"/>
      <c r="AH1544" s="5"/>
      <c r="AN1544" s="4"/>
      <c r="AO1544" s="4"/>
      <c r="AP1544" s="4"/>
      <c r="AQ1544" s="4"/>
      <c r="AR1544" s="4"/>
      <c r="AS1544" s="4"/>
      <c r="AT1544" s="4"/>
    </row>
    <row r="1545" spans="12:46">
      <c r="L1545" s="5"/>
      <c r="M1545" s="5"/>
      <c r="W1545" s="5"/>
      <c r="Z1545" s="5"/>
      <c r="AA1545" s="5"/>
      <c r="AD1545" s="5"/>
      <c r="AG1545" s="5"/>
      <c r="AH1545" s="5"/>
      <c r="AN1545" s="4"/>
      <c r="AO1545" s="4"/>
      <c r="AP1545" s="4"/>
      <c r="AQ1545" s="4"/>
      <c r="AR1545" s="4"/>
      <c r="AS1545" s="4"/>
      <c r="AT1545" s="4"/>
    </row>
    <row r="1546" spans="12:46">
      <c r="L1546" s="5"/>
      <c r="M1546" s="5"/>
      <c r="W1546" s="5"/>
      <c r="Z1546" s="5"/>
      <c r="AA1546" s="5"/>
      <c r="AD1546" s="5"/>
      <c r="AG1546" s="5"/>
      <c r="AH1546" s="5"/>
      <c r="AN1546" s="4"/>
      <c r="AO1546" s="4"/>
      <c r="AP1546" s="4"/>
      <c r="AQ1546" s="4"/>
      <c r="AR1546" s="4"/>
      <c r="AS1546" s="4"/>
      <c r="AT1546" s="4"/>
    </row>
    <row r="1547" spans="12:46">
      <c r="L1547" s="5"/>
      <c r="M1547" s="5"/>
      <c r="W1547" s="5"/>
      <c r="Z1547" s="5"/>
      <c r="AA1547" s="5"/>
      <c r="AD1547" s="5"/>
      <c r="AG1547" s="5"/>
      <c r="AH1547" s="5"/>
      <c r="AN1547" s="4"/>
      <c r="AO1547" s="4"/>
      <c r="AP1547" s="4"/>
      <c r="AQ1547" s="4"/>
      <c r="AR1547" s="4"/>
      <c r="AS1547" s="4"/>
      <c r="AT1547" s="4"/>
    </row>
    <row r="1548" spans="12:46">
      <c r="L1548" s="5"/>
      <c r="M1548" s="5"/>
      <c r="W1548" s="5"/>
      <c r="Z1548" s="5"/>
      <c r="AA1548" s="5"/>
      <c r="AD1548" s="5"/>
      <c r="AG1548" s="5"/>
      <c r="AH1548" s="5"/>
      <c r="AN1548" s="4"/>
      <c r="AO1548" s="4"/>
      <c r="AP1548" s="4"/>
      <c r="AQ1548" s="4"/>
      <c r="AR1548" s="4"/>
      <c r="AS1548" s="4"/>
      <c r="AT1548" s="4"/>
    </row>
    <row r="1549" spans="12:46">
      <c r="L1549" s="5"/>
      <c r="M1549" s="5"/>
      <c r="W1549" s="5"/>
      <c r="Z1549" s="5"/>
      <c r="AA1549" s="5"/>
      <c r="AD1549" s="5"/>
      <c r="AG1549" s="5"/>
      <c r="AH1549" s="5"/>
      <c r="AN1549" s="4"/>
      <c r="AO1549" s="4"/>
      <c r="AP1549" s="4"/>
      <c r="AQ1549" s="4"/>
      <c r="AR1549" s="4"/>
      <c r="AS1549" s="4"/>
      <c r="AT1549" s="4"/>
    </row>
    <row r="1550" spans="12:46">
      <c r="L1550" s="5"/>
      <c r="M1550" s="5"/>
      <c r="W1550" s="5"/>
      <c r="Z1550" s="5"/>
      <c r="AA1550" s="5"/>
      <c r="AD1550" s="5"/>
      <c r="AG1550" s="5"/>
      <c r="AH1550" s="5"/>
      <c r="AN1550" s="4"/>
      <c r="AO1550" s="4"/>
      <c r="AP1550" s="4"/>
      <c r="AQ1550" s="4"/>
      <c r="AR1550" s="4"/>
      <c r="AS1550" s="4"/>
      <c r="AT1550" s="4"/>
    </row>
    <row r="1551" spans="12:46">
      <c r="L1551" s="5"/>
      <c r="M1551" s="5"/>
      <c r="W1551" s="5"/>
      <c r="Z1551" s="5"/>
      <c r="AA1551" s="5"/>
      <c r="AD1551" s="5"/>
      <c r="AG1551" s="5"/>
      <c r="AH1551" s="5"/>
      <c r="AN1551" s="4"/>
      <c r="AO1551" s="4"/>
      <c r="AP1551" s="4"/>
      <c r="AQ1551" s="4"/>
      <c r="AR1551" s="4"/>
      <c r="AS1551" s="4"/>
      <c r="AT1551" s="4"/>
    </row>
    <row r="1552" spans="12:46">
      <c r="L1552" s="5"/>
      <c r="M1552" s="5"/>
      <c r="W1552" s="5"/>
      <c r="Z1552" s="5"/>
      <c r="AA1552" s="5"/>
      <c r="AD1552" s="5"/>
      <c r="AG1552" s="5"/>
      <c r="AH1552" s="5"/>
      <c r="AN1552" s="4"/>
      <c r="AO1552" s="4"/>
      <c r="AP1552" s="4"/>
      <c r="AQ1552" s="4"/>
      <c r="AR1552" s="4"/>
      <c r="AS1552" s="4"/>
      <c r="AT1552" s="4"/>
    </row>
    <row r="1553" spans="12:46">
      <c r="L1553" s="5"/>
      <c r="M1553" s="5"/>
      <c r="W1553" s="5"/>
      <c r="Z1553" s="5"/>
      <c r="AA1553" s="5"/>
      <c r="AD1553" s="5"/>
      <c r="AG1553" s="5"/>
      <c r="AH1553" s="5"/>
      <c r="AN1553" s="4"/>
      <c r="AO1553" s="4"/>
      <c r="AP1553" s="4"/>
      <c r="AQ1553" s="4"/>
      <c r="AR1553" s="4"/>
      <c r="AS1553" s="4"/>
      <c r="AT1553" s="4"/>
    </row>
    <row r="1554" spans="12:46">
      <c r="L1554" s="5"/>
      <c r="M1554" s="5"/>
      <c r="W1554" s="5"/>
      <c r="Z1554" s="5"/>
      <c r="AA1554" s="5"/>
      <c r="AD1554" s="5"/>
      <c r="AG1554" s="5"/>
      <c r="AH1554" s="5"/>
      <c r="AN1554" s="4"/>
      <c r="AO1554" s="4"/>
      <c r="AP1554" s="4"/>
      <c r="AQ1554" s="4"/>
      <c r="AR1554" s="4"/>
      <c r="AS1554" s="4"/>
      <c r="AT1554" s="4"/>
    </row>
    <row r="1555" spans="12:46">
      <c r="L1555" s="5"/>
      <c r="M1555" s="5"/>
      <c r="W1555" s="5"/>
      <c r="Z1555" s="5"/>
      <c r="AA1555" s="5"/>
      <c r="AD1555" s="5"/>
      <c r="AG1555" s="5"/>
      <c r="AH1555" s="5"/>
      <c r="AN1555" s="4"/>
      <c r="AO1555" s="4"/>
      <c r="AP1555" s="4"/>
      <c r="AQ1555" s="4"/>
      <c r="AR1555" s="4"/>
      <c r="AS1555" s="4"/>
      <c r="AT1555" s="4"/>
    </row>
    <row r="1556" spans="12:46">
      <c r="L1556" s="5"/>
      <c r="M1556" s="5"/>
      <c r="W1556" s="5"/>
      <c r="Z1556" s="5"/>
      <c r="AA1556" s="5"/>
      <c r="AD1556" s="5"/>
      <c r="AG1556" s="5"/>
      <c r="AH1556" s="5"/>
      <c r="AN1556" s="4"/>
      <c r="AO1556" s="4"/>
      <c r="AP1556" s="4"/>
      <c r="AQ1556" s="4"/>
      <c r="AR1556" s="4"/>
      <c r="AS1556" s="4"/>
      <c r="AT1556" s="4"/>
    </row>
    <row r="1557" spans="12:46">
      <c r="L1557" s="5"/>
      <c r="M1557" s="5"/>
      <c r="W1557" s="5"/>
      <c r="Z1557" s="5"/>
      <c r="AA1557" s="5"/>
      <c r="AD1557" s="5"/>
      <c r="AG1557" s="5"/>
      <c r="AH1557" s="5"/>
      <c r="AN1557" s="4"/>
      <c r="AO1557" s="4"/>
      <c r="AP1557" s="4"/>
      <c r="AQ1557" s="4"/>
      <c r="AR1557" s="4"/>
      <c r="AS1557" s="4"/>
      <c r="AT1557" s="4"/>
    </row>
    <row r="1558" spans="12:46">
      <c r="L1558" s="5"/>
      <c r="M1558" s="5"/>
      <c r="W1558" s="5"/>
      <c r="Z1558" s="5"/>
      <c r="AA1558" s="5"/>
      <c r="AD1558" s="5"/>
      <c r="AG1558" s="5"/>
      <c r="AH1558" s="5"/>
      <c r="AN1558" s="4"/>
      <c r="AO1558" s="4"/>
      <c r="AP1558" s="4"/>
      <c r="AQ1558" s="4"/>
      <c r="AR1558" s="4"/>
      <c r="AS1558" s="4"/>
      <c r="AT1558" s="4"/>
    </row>
    <row r="1559" spans="12:46">
      <c r="L1559" s="5"/>
      <c r="M1559" s="5"/>
      <c r="W1559" s="5"/>
      <c r="Z1559" s="5"/>
      <c r="AA1559" s="5"/>
      <c r="AD1559" s="5"/>
      <c r="AG1559" s="5"/>
      <c r="AH1559" s="5"/>
      <c r="AN1559" s="4"/>
      <c r="AO1559" s="4"/>
      <c r="AP1559" s="4"/>
      <c r="AQ1559" s="4"/>
      <c r="AR1559" s="4"/>
      <c r="AS1559" s="4"/>
      <c r="AT1559" s="4"/>
    </row>
    <row r="1560" spans="12:46">
      <c r="L1560" s="5"/>
      <c r="M1560" s="5"/>
      <c r="W1560" s="5"/>
      <c r="Z1560" s="5"/>
      <c r="AA1560" s="5"/>
      <c r="AD1560" s="5"/>
      <c r="AG1560" s="5"/>
      <c r="AH1560" s="5"/>
      <c r="AN1560" s="4"/>
      <c r="AO1560" s="4"/>
      <c r="AP1560" s="4"/>
      <c r="AQ1560" s="4"/>
      <c r="AR1560" s="4"/>
      <c r="AS1560" s="4"/>
      <c r="AT1560" s="4"/>
    </row>
    <row r="1561" spans="12:46">
      <c r="L1561" s="5"/>
      <c r="M1561" s="5"/>
      <c r="W1561" s="5"/>
      <c r="Z1561" s="5"/>
      <c r="AA1561" s="5"/>
      <c r="AD1561" s="5"/>
      <c r="AG1561" s="5"/>
      <c r="AH1561" s="5"/>
      <c r="AN1561" s="4"/>
      <c r="AO1561" s="4"/>
      <c r="AP1561" s="4"/>
      <c r="AQ1561" s="4"/>
      <c r="AR1561" s="4"/>
      <c r="AS1561" s="4"/>
      <c r="AT1561" s="4"/>
    </row>
    <row r="1562" spans="12:46">
      <c r="L1562" s="5"/>
      <c r="M1562" s="5"/>
      <c r="W1562" s="5"/>
      <c r="Z1562" s="5"/>
      <c r="AA1562" s="5"/>
      <c r="AD1562" s="5"/>
      <c r="AG1562" s="5"/>
      <c r="AH1562" s="5"/>
      <c r="AN1562" s="4"/>
      <c r="AO1562" s="4"/>
      <c r="AP1562" s="4"/>
      <c r="AQ1562" s="4"/>
      <c r="AR1562" s="4"/>
      <c r="AS1562" s="4"/>
      <c r="AT1562" s="4"/>
    </row>
    <row r="1563" spans="12:46">
      <c r="L1563" s="5"/>
      <c r="M1563" s="5"/>
      <c r="W1563" s="5"/>
      <c r="Z1563" s="5"/>
      <c r="AA1563" s="5"/>
      <c r="AD1563" s="5"/>
      <c r="AG1563" s="5"/>
      <c r="AH1563" s="5"/>
      <c r="AN1563" s="4"/>
      <c r="AO1563" s="4"/>
      <c r="AP1563" s="4"/>
      <c r="AQ1563" s="4"/>
      <c r="AR1563" s="4"/>
      <c r="AS1563" s="4"/>
      <c r="AT1563" s="4"/>
    </row>
    <row r="1564" spans="12:46">
      <c r="L1564" s="5"/>
      <c r="M1564" s="5"/>
      <c r="W1564" s="5"/>
      <c r="Z1564" s="5"/>
      <c r="AA1564" s="5"/>
      <c r="AD1564" s="5"/>
      <c r="AG1564" s="5"/>
      <c r="AH1564" s="5"/>
      <c r="AN1564" s="4"/>
      <c r="AO1564" s="4"/>
      <c r="AP1564" s="4"/>
      <c r="AQ1564" s="4"/>
      <c r="AR1564" s="4"/>
      <c r="AS1564" s="4"/>
      <c r="AT1564" s="4"/>
    </row>
    <row r="1565" spans="12:46">
      <c r="L1565" s="5"/>
      <c r="M1565" s="5"/>
      <c r="W1565" s="5"/>
      <c r="Z1565" s="5"/>
      <c r="AA1565" s="5"/>
      <c r="AD1565" s="5"/>
      <c r="AG1565" s="5"/>
      <c r="AH1565" s="5"/>
      <c r="AN1565" s="4"/>
      <c r="AO1565" s="4"/>
      <c r="AP1565" s="4"/>
      <c r="AQ1565" s="4"/>
      <c r="AR1565" s="4"/>
      <c r="AS1565" s="4"/>
      <c r="AT1565" s="4"/>
    </row>
    <row r="1566" spans="12:46">
      <c r="L1566" s="5"/>
      <c r="M1566" s="5"/>
      <c r="W1566" s="5"/>
      <c r="Z1566" s="5"/>
      <c r="AA1566" s="5"/>
      <c r="AD1566" s="5"/>
      <c r="AG1566" s="5"/>
      <c r="AH1566" s="5"/>
      <c r="AN1566" s="4"/>
      <c r="AO1566" s="4"/>
      <c r="AP1566" s="4"/>
      <c r="AQ1566" s="4"/>
      <c r="AR1566" s="4"/>
      <c r="AS1566" s="4"/>
      <c r="AT1566" s="4"/>
    </row>
    <row r="1567" spans="12:46">
      <c r="L1567" s="5"/>
      <c r="M1567" s="5"/>
      <c r="W1567" s="5"/>
      <c r="Z1567" s="5"/>
      <c r="AA1567" s="5"/>
      <c r="AD1567" s="5"/>
      <c r="AG1567" s="5"/>
      <c r="AH1567" s="5"/>
      <c r="AN1567" s="4"/>
      <c r="AO1567" s="4"/>
      <c r="AP1567" s="4"/>
      <c r="AQ1567" s="4"/>
      <c r="AR1567" s="4"/>
      <c r="AS1567" s="4"/>
      <c r="AT1567" s="4"/>
    </row>
    <row r="1568" spans="12:46">
      <c r="L1568" s="5"/>
      <c r="M1568" s="5"/>
      <c r="W1568" s="5"/>
      <c r="Z1568" s="5"/>
      <c r="AA1568" s="5"/>
      <c r="AD1568" s="5"/>
      <c r="AG1568" s="5"/>
      <c r="AH1568" s="5"/>
      <c r="AN1568" s="4"/>
      <c r="AO1568" s="4"/>
      <c r="AP1568" s="4"/>
      <c r="AQ1568" s="4"/>
      <c r="AR1568" s="4"/>
      <c r="AS1568" s="4"/>
      <c r="AT1568" s="4"/>
    </row>
    <row r="1569" spans="12:46">
      <c r="L1569" s="5"/>
      <c r="M1569" s="5"/>
      <c r="W1569" s="5"/>
      <c r="Z1569" s="5"/>
      <c r="AA1569" s="5"/>
      <c r="AD1569" s="5"/>
      <c r="AG1569" s="5"/>
      <c r="AH1569" s="5"/>
      <c r="AN1569" s="4"/>
      <c r="AO1569" s="4"/>
      <c r="AP1569" s="4"/>
      <c r="AQ1569" s="4"/>
      <c r="AR1569" s="4"/>
      <c r="AS1569" s="4"/>
      <c r="AT1569" s="4"/>
    </row>
    <row r="1570" spans="12:46">
      <c r="L1570" s="5"/>
      <c r="M1570" s="5"/>
      <c r="W1570" s="5"/>
      <c r="Z1570" s="5"/>
      <c r="AA1570" s="5"/>
      <c r="AD1570" s="5"/>
      <c r="AG1570" s="5"/>
      <c r="AH1570" s="5"/>
      <c r="AN1570" s="4"/>
      <c r="AO1570" s="4"/>
      <c r="AP1570" s="4"/>
      <c r="AQ1570" s="4"/>
      <c r="AR1570" s="4"/>
      <c r="AS1570" s="4"/>
      <c r="AT1570" s="4"/>
    </row>
    <row r="1571" spans="12:46">
      <c r="L1571" s="5"/>
      <c r="M1571" s="5"/>
      <c r="W1571" s="5"/>
      <c r="Z1571" s="5"/>
      <c r="AA1571" s="5"/>
      <c r="AD1571" s="5"/>
      <c r="AG1571" s="5"/>
      <c r="AH1571" s="5"/>
      <c r="AN1571" s="4"/>
      <c r="AO1571" s="4"/>
      <c r="AP1571" s="4"/>
      <c r="AQ1571" s="4"/>
      <c r="AR1571" s="4"/>
      <c r="AS1571" s="4"/>
      <c r="AT1571" s="4"/>
    </row>
    <row r="1572" spans="12:46">
      <c r="L1572" s="5"/>
      <c r="M1572" s="5"/>
      <c r="W1572" s="5"/>
      <c r="Z1572" s="5"/>
      <c r="AA1572" s="5"/>
      <c r="AD1572" s="5"/>
      <c r="AG1572" s="5"/>
      <c r="AH1572" s="5"/>
      <c r="AN1572" s="4"/>
      <c r="AO1572" s="4"/>
      <c r="AP1572" s="4"/>
      <c r="AQ1572" s="4"/>
      <c r="AR1572" s="4"/>
      <c r="AS1572" s="4"/>
      <c r="AT1572" s="4"/>
    </row>
    <row r="1573" spans="12:46">
      <c r="L1573" s="5"/>
      <c r="M1573" s="5"/>
      <c r="W1573" s="5"/>
      <c r="Z1573" s="5"/>
      <c r="AA1573" s="5"/>
      <c r="AD1573" s="5"/>
      <c r="AG1573" s="5"/>
      <c r="AH1573" s="5"/>
      <c r="AN1573" s="4"/>
      <c r="AO1573" s="4"/>
      <c r="AP1573" s="4"/>
      <c r="AQ1573" s="4"/>
      <c r="AR1573" s="4"/>
      <c r="AS1573" s="4"/>
      <c r="AT1573" s="4"/>
    </row>
    <row r="1574" spans="12:46">
      <c r="L1574" s="5"/>
      <c r="M1574" s="5"/>
      <c r="W1574" s="5"/>
      <c r="Z1574" s="5"/>
      <c r="AA1574" s="5"/>
      <c r="AD1574" s="5"/>
      <c r="AG1574" s="5"/>
      <c r="AH1574" s="5"/>
      <c r="AN1574" s="4"/>
      <c r="AO1574" s="4"/>
      <c r="AP1574" s="4"/>
      <c r="AQ1574" s="4"/>
      <c r="AR1574" s="4"/>
      <c r="AS1574" s="4"/>
      <c r="AT1574" s="4"/>
    </row>
    <row r="1575" spans="12:46">
      <c r="L1575" s="5"/>
      <c r="M1575" s="5"/>
      <c r="W1575" s="5"/>
      <c r="Z1575" s="5"/>
      <c r="AA1575" s="5"/>
      <c r="AD1575" s="5"/>
      <c r="AG1575" s="5"/>
      <c r="AH1575" s="5"/>
      <c r="AN1575" s="4"/>
      <c r="AO1575" s="4"/>
      <c r="AP1575" s="4"/>
      <c r="AQ1575" s="4"/>
      <c r="AR1575" s="4"/>
      <c r="AS1575" s="4"/>
      <c r="AT1575" s="4"/>
    </row>
    <row r="1576" spans="12:46">
      <c r="L1576" s="5"/>
      <c r="M1576" s="5"/>
      <c r="W1576" s="5"/>
      <c r="Z1576" s="5"/>
      <c r="AA1576" s="5"/>
      <c r="AD1576" s="5"/>
      <c r="AG1576" s="5"/>
      <c r="AH1576" s="5"/>
      <c r="AN1576" s="4"/>
      <c r="AO1576" s="4"/>
      <c r="AP1576" s="4"/>
      <c r="AQ1576" s="4"/>
      <c r="AR1576" s="4"/>
      <c r="AS1576" s="4"/>
      <c r="AT1576" s="4"/>
    </row>
    <row r="1577" spans="12:46">
      <c r="L1577" s="5"/>
      <c r="M1577" s="5"/>
      <c r="W1577" s="5"/>
      <c r="Z1577" s="5"/>
      <c r="AA1577" s="5"/>
      <c r="AD1577" s="5"/>
      <c r="AG1577" s="5"/>
      <c r="AH1577" s="5"/>
      <c r="AN1577" s="4"/>
      <c r="AO1577" s="4"/>
      <c r="AP1577" s="4"/>
      <c r="AQ1577" s="4"/>
      <c r="AR1577" s="4"/>
      <c r="AS1577" s="4"/>
      <c r="AT1577" s="4"/>
    </row>
    <row r="1578" spans="12:46">
      <c r="L1578" s="5"/>
      <c r="M1578" s="5"/>
      <c r="W1578" s="5"/>
      <c r="Z1578" s="5"/>
      <c r="AA1578" s="5"/>
      <c r="AD1578" s="5"/>
      <c r="AG1578" s="5"/>
      <c r="AH1578" s="5"/>
      <c r="AN1578" s="4"/>
      <c r="AO1578" s="4"/>
      <c r="AP1578" s="4"/>
      <c r="AQ1578" s="4"/>
      <c r="AR1578" s="4"/>
      <c r="AS1578" s="4"/>
      <c r="AT1578" s="4"/>
    </row>
    <row r="1579" spans="12:46">
      <c r="L1579" s="5"/>
      <c r="M1579" s="5"/>
      <c r="W1579" s="5"/>
      <c r="Z1579" s="5"/>
      <c r="AA1579" s="5"/>
      <c r="AD1579" s="5"/>
      <c r="AG1579" s="5"/>
      <c r="AH1579" s="5"/>
      <c r="AN1579" s="4"/>
      <c r="AO1579" s="4"/>
      <c r="AP1579" s="4"/>
      <c r="AQ1579" s="4"/>
      <c r="AR1579" s="4"/>
      <c r="AS1579" s="4"/>
      <c r="AT1579" s="4"/>
    </row>
    <row r="1580" spans="12:46">
      <c r="L1580" s="5"/>
      <c r="M1580" s="5"/>
      <c r="W1580" s="5"/>
      <c r="Z1580" s="5"/>
      <c r="AA1580" s="5"/>
      <c r="AD1580" s="5"/>
      <c r="AG1580" s="5"/>
      <c r="AH1580" s="5"/>
      <c r="AN1580" s="4"/>
      <c r="AO1580" s="4"/>
      <c r="AP1580" s="4"/>
      <c r="AQ1580" s="4"/>
      <c r="AR1580" s="4"/>
      <c r="AS1580" s="4"/>
      <c r="AT1580" s="4"/>
    </row>
    <row r="1581" spans="12:46">
      <c r="L1581" s="5"/>
      <c r="M1581" s="5"/>
      <c r="W1581" s="5"/>
      <c r="Z1581" s="5"/>
      <c r="AA1581" s="5"/>
      <c r="AD1581" s="5"/>
      <c r="AG1581" s="5"/>
      <c r="AH1581" s="5"/>
      <c r="AN1581" s="4"/>
      <c r="AO1581" s="4"/>
      <c r="AP1581" s="4"/>
      <c r="AQ1581" s="4"/>
      <c r="AR1581" s="4"/>
      <c r="AS1581" s="4"/>
      <c r="AT1581" s="4"/>
    </row>
    <row r="1582" spans="12:46">
      <c r="L1582" s="5"/>
      <c r="M1582" s="5"/>
      <c r="W1582" s="5"/>
      <c r="Z1582" s="5"/>
      <c r="AA1582" s="5"/>
      <c r="AD1582" s="5"/>
      <c r="AG1582" s="5"/>
      <c r="AH1582" s="5"/>
      <c r="AN1582" s="4"/>
      <c r="AO1582" s="4"/>
      <c r="AP1582" s="4"/>
      <c r="AQ1582" s="4"/>
      <c r="AR1582" s="4"/>
      <c r="AS1582" s="4"/>
      <c r="AT1582" s="4"/>
    </row>
    <row r="1583" spans="12:46">
      <c r="L1583" s="5"/>
      <c r="M1583" s="5"/>
      <c r="W1583" s="5"/>
      <c r="Z1583" s="5"/>
      <c r="AA1583" s="5"/>
      <c r="AD1583" s="5"/>
      <c r="AG1583" s="5"/>
      <c r="AH1583" s="5"/>
      <c r="AN1583" s="4"/>
      <c r="AO1583" s="4"/>
      <c r="AP1583" s="4"/>
      <c r="AQ1583" s="4"/>
      <c r="AR1583" s="4"/>
      <c r="AS1583" s="4"/>
      <c r="AT1583" s="4"/>
    </row>
    <row r="1584" spans="12:46">
      <c r="L1584" s="5"/>
      <c r="M1584" s="5"/>
      <c r="W1584" s="5"/>
      <c r="Z1584" s="5"/>
      <c r="AA1584" s="5"/>
      <c r="AD1584" s="5"/>
      <c r="AG1584" s="5"/>
      <c r="AH1584" s="5"/>
      <c r="AN1584" s="4"/>
      <c r="AO1584" s="4"/>
      <c r="AP1584" s="4"/>
      <c r="AQ1584" s="4"/>
      <c r="AR1584" s="4"/>
      <c r="AS1584" s="4"/>
      <c r="AT1584" s="4"/>
    </row>
    <row r="1585" spans="12:46">
      <c r="L1585" s="5"/>
      <c r="M1585" s="5"/>
      <c r="W1585" s="5"/>
      <c r="Z1585" s="5"/>
      <c r="AA1585" s="5"/>
      <c r="AD1585" s="5"/>
      <c r="AG1585" s="5"/>
      <c r="AH1585" s="5"/>
      <c r="AN1585" s="4"/>
      <c r="AO1585" s="4"/>
      <c r="AP1585" s="4"/>
      <c r="AQ1585" s="4"/>
      <c r="AR1585" s="4"/>
      <c r="AS1585" s="4"/>
      <c r="AT1585" s="4"/>
    </row>
    <row r="1586" spans="12:46">
      <c r="L1586" s="5"/>
      <c r="M1586" s="5"/>
      <c r="W1586" s="5"/>
      <c r="Z1586" s="5"/>
      <c r="AA1586" s="5"/>
      <c r="AD1586" s="5"/>
      <c r="AG1586" s="5"/>
      <c r="AH1586" s="5"/>
      <c r="AN1586" s="4"/>
      <c r="AO1586" s="4"/>
      <c r="AP1586" s="4"/>
      <c r="AQ1586" s="4"/>
      <c r="AR1586" s="4"/>
      <c r="AS1586" s="4"/>
      <c r="AT1586" s="4"/>
    </row>
    <row r="1587" spans="12:46">
      <c r="L1587" s="5"/>
      <c r="M1587" s="5"/>
      <c r="W1587" s="5"/>
      <c r="Z1587" s="5"/>
      <c r="AA1587" s="5"/>
      <c r="AD1587" s="5"/>
      <c r="AG1587" s="5"/>
      <c r="AH1587" s="5"/>
      <c r="AN1587" s="4"/>
      <c r="AO1587" s="4"/>
      <c r="AP1587" s="4"/>
      <c r="AQ1587" s="4"/>
      <c r="AR1587" s="4"/>
      <c r="AS1587" s="4"/>
      <c r="AT1587" s="4"/>
    </row>
    <row r="1588" spans="12:46">
      <c r="L1588" s="5"/>
      <c r="M1588" s="5"/>
      <c r="W1588" s="5"/>
      <c r="Z1588" s="5"/>
      <c r="AA1588" s="5"/>
      <c r="AD1588" s="5"/>
      <c r="AG1588" s="5"/>
      <c r="AH1588" s="5"/>
      <c r="AN1588" s="4"/>
      <c r="AO1588" s="4"/>
      <c r="AP1588" s="4"/>
      <c r="AQ1588" s="4"/>
      <c r="AR1588" s="4"/>
      <c r="AS1588" s="4"/>
      <c r="AT1588" s="4"/>
    </row>
    <row r="1589" spans="12:46">
      <c r="L1589" s="5"/>
      <c r="M1589" s="5"/>
      <c r="W1589" s="5"/>
      <c r="Z1589" s="5"/>
      <c r="AA1589" s="5"/>
      <c r="AD1589" s="5"/>
      <c r="AG1589" s="5"/>
      <c r="AH1589" s="5"/>
      <c r="AN1589" s="4"/>
      <c r="AO1589" s="4"/>
      <c r="AP1589" s="4"/>
      <c r="AQ1589" s="4"/>
      <c r="AR1589" s="4"/>
      <c r="AS1589" s="4"/>
      <c r="AT1589" s="4"/>
    </row>
    <row r="1590" spans="12:46">
      <c r="L1590" s="5"/>
      <c r="M1590" s="5"/>
      <c r="W1590" s="5"/>
      <c r="Z1590" s="5"/>
      <c r="AA1590" s="5"/>
      <c r="AD1590" s="5"/>
      <c r="AG1590" s="5"/>
      <c r="AH1590" s="5"/>
      <c r="AN1590" s="4"/>
      <c r="AO1590" s="4"/>
      <c r="AP1590" s="4"/>
      <c r="AQ1590" s="4"/>
      <c r="AR1590" s="4"/>
      <c r="AS1590" s="4"/>
      <c r="AT1590" s="4"/>
    </row>
    <row r="1591" spans="12:46">
      <c r="L1591" s="5"/>
      <c r="M1591" s="5"/>
      <c r="W1591" s="5"/>
      <c r="Z1591" s="5"/>
      <c r="AA1591" s="5"/>
      <c r="AD1591" s="5"/>
      <c r="AG1591" s="5"/>
      <c r="AH1591" s="5"/>
      <c r="AN1591" s="4"/>
      <c r="AO1591" s="4"/>
      <c r="AP1591" s="4"/>
      <c r="AQ1591" s="4"/>
      <c r="AR1591" s="4"/>
      <c r="AS1591" s="4"/>
      <c r="AT1591" s="4"/>
    </row>
    <row r="1592" spans="12:46">
      <c r="L1592" s="5"/>
      <c r="M1592" s="5"/>
      <c r="W1592" s="5"/>
      <c r="Z1592" s="5"/>
      <c r="AA1592" s="5"/>
      <c r="AD1592" s="5"/>
      <c r="AG1592" s="5"/>
      <c r="AH1592" s="5"/>
      <c r="AN1592" s="4"/>
      <c r="AO1592" s="4"/>
      <c r="AP1592" s="4"/>
      <c r="AQ1592" s="4"/>
      <c r="AR1592" s="4"/>
      <c r="AS1592" s="4"/>
      <c r="AT1592" s="4"/>
    </row>
    <row r="1593" spans="12:46">
      <c r="L1593" s="5"/>
      <c r="M1593" s="5"/>
      <c r="W1593" s="5"/>
      <c r="Z1593" s="5"/>
      <c r="AA1593" s="5"/>
      <c r="AD1593" s="5"/>
      <c r="AG1593" s="5"/>
      <c r="AH1593" s="5"/>
      <c r="AN1593" s="4"/>
      <c r="AO1593" s="4"/>
      <c r="AP1593" s="4"/>
      <c r="AQ1593" s="4"/>
      <c r="AR1593" s="4"/>
      <c r="AS1593" s="4"/>
      <c r="AT1593" s="4"/>
    </row>
    <row r="1594" spans="12:46">
      <c r="L1594" s="5"/>
      <c r="M1594" s="5"/>
      <c r="W1594" s="5"/>
      <c r="Z1594" s="5"/>
      <c r="AA1594" s="5"/>
      <c r="AD1594" s="5"/>
      <c r="AG1594" s="5"/>
      <c r="AH1594" s="5"/>
      <c r="AN1594" s="4"/>
      <c r="AO1594" s="4"/>
      <c r="AP1594" s="4"/>
      <c r="AQ1594" s="4"/>
      <c r="AR1594" s="4"/>
      <c r="AS1594" s="4"/>
      <c r="AT1594" s="4"/>
    </row>
    <row r="1595" spans="12:46">
      <c r="L1595" s="5"/>
      <c r="M1595" s="5"/>
      <c r="W1595" s="5"/>
      <c r="Z1595" s="5"/>
      <c r="AA1595" s="5"/>
      <c r="AD1595" s="5"/>
      <c r="AG1595" s="5"/>
      <c r="AH1595" s="5"/>
      <c r="AN1595" s="4"/>
      <c r="AO1595" s="4"/>
      <c r="AP1595" s="4"/>
      <c r="AQ1595" s="4"/>
      <c r="AR1595" s="4"/>
      <c r="AS1595" s="4"/>
      <c r="AT1595" s="4"/>
    </row>
    <row r="1596" spans="12:46">
      <c r="L1596" s="5"/>
      <c r="M1596" s="5"/>
      <c r="W1596" s="5"/>
      <c r="Z1596" s="5"/>
      <c r="AA1596" s="5"/>
      <c r="AD1596" s="5"/>
      <c r="AG1596" s="5"/>
      <c r="AH1596" s="5"/>
      <c r="AN1596" s="4"/>
      <c r="AO1596" s="4"/>
      <c r="AP1596" s="4"/>
      <c r="AQ1596" s="4"/>
      <c r="AR1596" s="4"/>
      <c r="AS1596" s="4"/>
      <c r="AT1596" s="4"/>
    </row>
    <row r="1597" spans="12:46">
      <c r="L1597" s="5"/>
      <c r="M1597" s="5"/>
      <c r="W1597" s="5"/>
      <c r="Z1597" s="5"/>
      <c r="AA1597" s="5"/>
      <c r="AD1597" s="5"/>
      <c r="AG1597" s="5"/>
      <c r="AH1597" s="5"/>
      <c r="AN1597" s="4"/>
      <c r="AO1597" s="4"/>
      <c r="AP1597" s="4"/>
      <c r="AQ1597" s="4"/>
      <c r="AR1597" s="4"/>
      <c r="AS1597" s="4"/>
      <c r="AT1597" s="4"/>
    </row>
    <row r="1598" spans="12:46">
      <c r="L1598" s="5"/>
      <c r="M1598" s="5"/>
      <c r="W1598" s="5"/>
      <c r="Z1598" s="5"/>
      <c r="AA1598" s="5"/>
      <c r="AD1598" s="5"/>
      <c r="AG1598" s="5"/>
      <c r="AH1598" s="5"/>
      <c r="AN1598" s="4"/>
      <c r="AO1598" s="4"/>
      <c r="AP1598" s="4"/>
      <c r="AQ1598" s="4"/>
      <c r="AR1598" s="4"/>
      <c r="AS1598" s="4"/>
      <c r="AT1598" s="4"/>
    </row>
    <row r="1599" spans="12:46">
      <c r="L1599" s="5"/>
      <c r="M1599" s="5"/>
      <c r="W1599" s="5"/>
      <c r="Z1599" s="5"/>
      <c r="AA1599" s="5"/>
      <c r="AD1599" s="5"/>
      <c r="AG1599" s="5"/>
      <c r="AH1599" s="5"/>
      <c r="AN1599" s="4"/>
      <c r="AO1599" s="4"/>
      <c r="AP1599" s="4"/>
      <c r="AQ1599" s="4"/>
      <c r="AR1599" s="4"/>
      <c r="AS1599" s="4"/>
      <c r="AT1599" s="4"/>
    </row>
    <row r="1600" spans="12:46">
      <c r="L1600" s="5"/>
      <c r="M1600" s="5"/>
      <c r="W1600" s="5"/>
      <c r="Z1600" s="5"/>
      <c r="AA1600" s="5"/>
      <c r="AD1600" s="5"/>
      <c r="AG1600" s="5"/>
      <c r="AH1600" s="5"/>
      <c r="AN1600" s="4"/>
      <c r="AO1600" s="4"/>
      <c r="AP1600" s="4"/>
      <c r="AQ1600" s="4"/>
      <c r="AR1600" s="4"/>
      <c r="AS1600" s="4"/>
      <c r="AT1600" s="4"/>
    </row>
    <row r="1601" spans="12:46">
      <c r="L1601" s="5"/>
      <c r="M1601" s="5"/>
      <c r="W1601" s="5"/>
      <c r="Z1601" s="5"/>
      <c r="AA1601" s="5"/>
      <c r="AD1601" s="5"/>
      <c r="AG1601" s="5"/>
      <c r="AH1601" s="5"/>
      <c r="AN1601" s="4"/>
      <c r="AO1601" s="4"/>
      <c r="AP1601" s="4"/>
      <c r="AQ1601" s="4"/>
      <c r="AR1601" s="4"/>
      <c r="AS1601" s="4"/>
      <c r="AT1601" s="4"/>
    </row>
    <row r="1602" spans="12:46">
      <c r="L1602" s="5"/>
      <c r="M1602" s="5"/>
      <c r="W1602" s="5"/>
      <c r="Z1602" s="5"/>
      <c r="AA1602" s="5"/>
      <c r="AD1602" s="5"/>
      <c r="AG1602" s="5"/>
      <c r="AH1602" s="5"/>
      <c r="AN1602" s="4"/>
      <c r="AO1602" s="4"/>
      <c r="AP1602" s="4"/>
      <c r="AQ1602" s="4"/>
      <c r="AR1602" s="4"/>
      <c r="AS1602" s="4"/>
      <c r="AT1602" s="4"/>
    </row>
    <row r="1603" spans="12:46">
      <c r="L1603" s="5"/>
      <c r="M1603" s="5"/>
      <c r="W1603" s="5"/>
      <c r="Z1603" s="5"/>
      <c r="AA1603" s="5"/>
      <c r="AD1603" s="5"/>
      <c r="AG1603" s="5"/>
      <c r="AH1603" s="5"/>
      <c r="AN1603" s="4"/>
      <c r="AO1603" s="4"/>
      <c r="AP1603" s="4"/>
      <c r="AQ1603" s="4"/>
      <c r="AR1603" s="4"/>
      <c r="AS1603" s="4"/>
      <c r="AT1603" s="4"/>
    </row>
    <row r="1604" spans="12:46">
      <c r="L1604" s="5"/>
      <c r="M1604" s="5"/>
      <c r="W1604" s="5"/>
      <c r="Z1604" s="5"/>
      <c r="AA1604" s="5"/>
      <c r="AD1604" s="5"/>
      <c r="AG1604" s="5"/>
      <c r="AH1604" s="5"/>
      <c r="AN1604" s="4"/>
      <c r="AO1604" s="4"/>
      <c r="AP1604" s="4"/>
      <c r="AQ1604" s="4"/>
      <c r="AR1604" s="4"/>
      <c r="AS1604" s="4"/>
      <c r="AT1604" s="4"/>
    </row>
    <row r="1605" spans="12:46">
      <c r="L1605" s="5"/>
      <c r="M1605" s="5"/>
      <c r="W1605" s="5"/>
      <c r="Z1605" s="5"/>
      <c r="AA1605" s="5"/>
      <c r="AD1605" s="5"/>
      <c r="AG1605" s="5"/>
      <c r="AH1605" s="5"/>
      <c r="AN1605" s="4"/>
      <c r="AO1605" s="4"/>
      <c r="AP1605" s="4"/>
      <c r="AQ1605" s="4"/>
      <c r="AR1605" s="4"/>
      <c r="AS1605" s="4"/>
      <c r="AT1605" s="4"/>
    </row>
    <row r="1606" spans="12:46">
      <c r="L1606" s="5"/>
      <c r="M1606" s="5"/>
      <c r="W1606" s="5"/>
      <c r="Z1606" s="5"/>
      <c r="AA1606" s="5"/>
      <c r="AD1606" s="5"/>
      <c r="AG1606" s="5"/>
      <c r="AH1606" s="5"/>
      <c r="AN1606" s="4"/>
      <c r="AO1606" s="4"/>
      <c r="AP1606" s="4"/>
      <c r="AQ1606" s="4"/>
      <c r="AR1606" s="4"/>
      <c r="AS1606" s="4"/>
      <c r="AT1606" s="4"/>
    </row>
    <row r="1607" spans="12:46">
      <c r="L1607" s="5"/>
      <c r="M1607" s="5"/>
      <c r="W1607" s="5"/>
      <c r="Z1607" s="5"/>
      <c r="AA1607" s="5"/>
      <c r="AD1607" s="5"/>
      <c r="AG1607" s="5"/>
      <c r="AH1607" s="5"/>
      <c r="AN1607" s="4"/>
      <c r="AO1607" s="4"/>
      <c r="AP1607" s="4"/>
      <c r="AQ1607" s="4"/>
      <c r="AR1607" s="4"/>
      <c r="AS1607" s="4"/>
      <c r="AT1607" s="4"/>
    </row>
    <row r="1608" spans="12:46">
      <c r="L1608" s="5"/>
      <c r="M1608" s="5"/>
      <c r="W1608" s="5"/>
      <c r="Z1608" s="5"/>
      <c r="AA1608" s="5"/>
      <c r="AD1608" s="5"/>
      <c r="AG1608" s="5"/>
      <c r="AH1608" s="5"/>
      <c r="AN1608" s="4"/>
      <c r="AO1608" s="4"/>
      <c r="AP1608" s="4"/>
      <c r="AQ1608" s="4"/>
      <c r="AR1608" s="4"/>
      <c r="AS1608" s="4"/>
      <c r="AT1608" s="4"/>
    </row>
    <row r="1609" spans="12:46">
      <c r="L1609" s="5"/>
      <c r="M1609" s="5"/>
      <c r="W1609" s="5"/>
      <c r="Z1609" s="5"/>
      <c r="AA1609" s="5"/>
      <c r="AD1609" s="5"/>
      <c r="AG1609" s="5"/>
      <c r="AH1609" s="5"/>
      <c r="AN1609" s="4"/>
      <c r="AO1609" s="4"/>
      <c r="AP1609" s="4"/>
      <c r="AQ1609" s="4"/>
      <c r="AR1609" s="4"/>
      <c r="AS1609" s="4"/>
      <c r="AT1609" s="4"/>
    </row>
    <row r="1610" spans="12:46">
      <c r="L1610" s="5"/>
      <c r="M1610" s="5"/>
      <c r="W1610" s="5"/>
      <c r="Z1610" s="5"/>
      <c r="AA1610" s="5"/>
      <c r="AD1610" s="5"/>
      <c r="AG1610" s="5"/>
      <c r="AH1610" s="5"/>
      <c r="AN1610" s="4"/>
      <c r="AO1610" s="4"/>
      <c r="AP1610" s="4"/>
      <c r="AQ1610" s="4"/>
      <c r="AR1610" s="4"/>
      <c r="AS1610" s="4"/>
      <c r="AT1610" s="4"/>
    </row>
    <row r="1611" spans="12:46">
      <c r="L1611" s="5"/>
      <c r="M1611" s="5"/>
      <c r="W1611" s="5"/>
      <c r="Z1611" s="5"/>
      <c r="AA1611" s="5"/>
      <c r="AD1611" s="5"/>
      <c r="AG1611" s="5"/>
      <c r="AH1611" s="5"/>
      <c r="AN1611" s="4"/>
      <c r="AO1611" s="4"/>
      <c r="AP1611" s="4"/>
      <c r="AQ1611" s="4"/>
      <c r="AR1611" s="4"/>
      <c r="AS1611" s="4"/>
      <c r="AT1611" s="4"/>
    </row>
    <row r="1612" spans="12:46">
      <c r="L1612" s="5"/>
      <c r="M1612" s="5"/>
      <c r="W1612" s="5"/>
      <c r="Z1612" s="5"/>
      <c r="AA1612" s="5"/>
      <c r="AD1612" s="5"/>
      <c r="AG1612" s="5"/>
      <c r="AH1612" s="5"/>
      <c r="AN1612" s="4"/>
      <c r="AO1612" s="4"/>
      <c r="AP1612" s="4"/>
      <c r="AQ1612" s="4"/>
      <c r="AR1612" s="4"/>
      <c r="AS1612" s="4"/>
      <c r="AT1612" s="4"/>
    </row>
    <row r="1613" spans="12:46">
      <c r="L1613" s="5"/>
      <c r="M1613" s="5"/>
      <c r="W1613" s="5"/>
      <c r="Z1613" s="5"/>
      <c r="AA1613" s="5"/>
      <c r="AD1613" s="5"/>
      <c r="AG1613" s="5"/>
      <c r="AH1613" s="5"/>
      <c r="AN1613" s="4"/>
      <c r="AO1613" s="4"/>
      <c r="AP1613" s="4"/>
      <c r="AQ1613" s="4"/>
      <c r="AR1613" s="4"/>
      <c r="AS1613" s="4"/>
      <c r="AT1613" s="4"/>
    </row>
    <row r="1614" spans="12:46">
      <c r="L1614" s="5"/>
      <c r="M1614" s="5"/>
      <c r="W1614" s="5"/>
      <c r="Z1614" s="5"/>
      <c r="AA1614" s="5"/>
      <c r="AD1614" s="5"/>
      <c r="AG1614" s="5"/>
      <c r="AH1614" s="5"/>
      <c r="AN1614" s="4"/>
      <c r="AO1614" s="4"/>
      <c r="AP1614" s="4"/>
      <c r="AQ1614" s="4"/>
      <c r="AR1614" s="4"/>
      <c r="AS1614" s="4"/>
      <c r="AT1614" s="4"/>
    </row>
    <row r="1615" spans="12:46">
      <c r="L1615" s="5"/>
      <c r="M1615" s="5"/>
      <c r="W1615" s="5"/>
      <c r="Z1615" s="5"/>
      <c r="AA1615" s="5"/>
      <c r="AD1615" s="5"/>
      <c r="AG1615" s="5"/>
      <c r="AH1615" s="5"/>
      <c r="AN1615" s="4"/>
      <c r="AO1615" s="4"/>
      <c r="AP1615" s="4"/>
      <c r="AQ1615" s="4"/>
      <c r="AR1615" s="4"/>
      <c r="AS1615" s="4"/>
      <c r="AT1615" s="4"/>
    </row>
    <row r="1616" spans="12:46">
      <c r="L1616" s="5"/>
      <c r="M1616" s="5"/>
      <c r="W1616" s="5"/>
      <c r="Z1616" s="5"/>
      <c r="AA1616" s="5"/>
      <c r="AD1616" s="5"/>
      <c r="AG1616" s="5"/>
      <c r="AH1616" s="5"/>
      <c r="AN1616" s="4"/>
      <c r="AO1616" s="4"/>
      <c r="AP1616" s="4"/>
      <c r="AQ1616" s="4"/>
      <c r="AR1616" s="4"/>
      <c r="AS1616" s="4"/>
      <c r="AT1616" s="4"/>
    </row>
    <row r="1617" spans="12:46">
      <c r="L1617" s="5"/>
      <c r="M1617" s="5"/>
      <c r="W1617" s="5"/>
      <c r="Z1617" s="5"/>
      <c r="AA1617" s="5"/>
      <c r="AD1617" s="5"/>
      <c r="AG1617" s="5"/>
      <c r="AH1617" s="5"/>
      <c r="AN1617" s="4"/>
      <c r="AO1617" s="4"/>
      <c r="AP1617" s="4"/>
      <c r="AQ1617" s="4"/>
      <c r="AR1617" s="4"/>
      <c r="AS1617" s="4"/>
      <c r="AT1617" s="4"/>
    </row>
    <row r="1618" spans="12:46">
      <c r="L1618" s="5"/>
      <c r="M1618" s="5"/>
      <c r="W1618" s="5"/>
      <c r="Z1618" s="5"/>
      <c r="AA1618" s="5"/>
      <c r="AD1618" s="5"/>
      <c r="AG1618" s="5"/>
      <c r="AH1618" s="5"/>
      <c r="AN1618" s="4"/>
      <c r="AO1618" s="4"/>
      <c r="AP1618" s="4"/>
      <c r="AQ1618" s="4"/>
      <c r="AR1618" s="4"/>
      <c r="AS1618" s="4"/>
      <c r="AT1618" s="4"/>
    </row>
    <row r="1619" spans="12:46">
      <c r="L1619" s="5"/>
      <c r="M1619" s="5"/>
      <c r="W1619" s="5"/>
      <c r="Z1619" s="5"/>
      <c r="AA1619" s="5"/>
      <c r="AD1619" s="5"/>
      <c r="AG1619" s="5"/>
      <c r="AH1619" s="5"/>
      <c r="AN1619" s="4"/>
      <c r="AO1619" s="4"/>
      <c r="AP1619" s="4"/>
      <c r="AQ1619" s="4"/>
      <c r="AR1619" s="4"/>
      <c r="AS1619" s="4"/>
      <c r="AT1619" s="4"/>
    </row>
    <row r="1620" spans="12:46">
      <c r="L1620" s="5"/>
      <c r="M1620" s="5"/>
      <c r="W1620" s="5"/>
      <c r="Z1620" s="5"/>
      <c r="AA1620" s="5"/>
      <c r="AD1620" s="5"/>
      <c r="AG1620" s="5"/>
      <c r="AH1620" s="5"/>
      <c r="AN1620" s="4"/>
      <c r="AO1620" s="4"/>
      <c r="AP1620" s="4"/>
      <c r="AQ1620" s="4"/>
      <c r="AR1620" s="4"/>
      <c r="AS1620" s="4"/>
      <c r="AT1620" s="4"/>
    </row>
    <row r="1621" spans="12:46">
      <c r="L1621" s="5"/>
      <c r="M1621" s="5"/>
      <c r="W1621" s="5"/>
      <c r="Z1621" s="5"/>
      <c r="AA1621" s="5"/>
      <c r="AD1621" s="5"/>
      <c r="AG1621" s="5"/>
      <c r="AH1621" s="5"/>
      <c r="AN1621" s="4"/>
      <c r="AO1621" s="4"/>
      <c r="AP1621" s="4"/>
      <c r="AQ1621" s="4"/>
      <c r="AR1621" s="4"/>
      <c r="AS1621" s="4"/>
      <c r="AT1621" s="4"/>
    </row>
    <row r="1622" spans="12:46">
      <c r="L1622" s="5"/>
      <c r="M1622" s="5"/>
      <c r="W1622" s="5"/>
      <c r="Z1622" s="5"/>
      <c r="AA1622" s="5"/>
      <c r="AD1622" s="5"/>
      <c r="AG1622" s="5"/>
      <c r="AH1622" s="5"/>
      <c r="AN1622" s="4"/>
      <c r="AO1622" s="4"/>
      <c r="AP1622" s="4"/>
      <c r="AQ1622" s="4"/>
      <c r="AR1622" s="4"/>
      <c r="AS1622" s="4"/>
      <c r="AT1622" s="4"/>
    </row>
    <row r="1623" spans="12:46">
      <c r="L1623" s="5"/>
      <c r="M1623" s="5"/>
      <c r="W1623" s="5"/>
      <c r="Z1623" s="5"/>
      <c r="AA1623" s="5"/>
      <c r="AD1623" s="5"/>
      <c r="AG1623" s="5"/>
      <c r="AH1623" s="5"/>
      <c r="AN1623" s="4"/>
      <c r="AO1623" s="4"/>
      <c r="AP1623" s="4"/>
      <c r="AQ1623" s="4"/>
      <c r="AR1623" s="4"/>
      <c r="AS1623" s="4"/>
      <c r="AT1623" s="4"/>
    </row>
    <row r="1624" spans="12:46">
      <c r="L1624" s="5"/>
      <c r="M1624" s="5"/>
      <c r="W1624" s="5"/>
      <c r="Z1624" s="5"/>
      <c r="AA1624" s="5"/>
      <c r="AD1624" s="5"/>
      <c r="AG1624" s="5"/>
      <c r="AH1624" s="5"/>
      <c r="AN1624" s="4"/>
      <c r="AO1624" s="4"/>
      <c r="AP1624" s="4"/>
      <c r="AQ1624" s="4"/>
      <c r="AR1624" s="4"/>
      <c r="AS1624" s="4"/>
      <c r="AT1624" s="4"/>
    </row>
    <row r="1625" spans="12:46">
      <c r="L1625" s="5"/>
      <c r="M1625" s="5"/>
      <c r="W1625" s="5"/>
      <c r="Z1625" s="5"/>
      <c r="AA1625" s="5"/>
      <c r="AD1625" s="5"/>
      <c r="AG1625" s="5"/>
      <c r="AH1625" s="5"/>
      <c r="AN1625" s="4"/>
      <c r="AO1625" s="4"/>
      <c r="AP1625" s="4"/>
      <c r="AQ1625" s="4"/>
      <c r="AR1625" s="4"/>
      <c r="AS1625" s="4"/>
      <c r="AT1625" s="4"/>
    </row>
    <row r="1626" spans="12:46">
      <c r="L1626" s="5"/>
      <c r="M1626" s="5"/>
      <c r="W1626" s="5"/>
      <c r="Z1626" s="5"/>
      <c r="AA1626" s="5"/>
      <c r="AD1626" s="5"/>
      <c r="AG1626" s="5"/>
      <c r="AH1626" s="5"/>
      <c r="AN1626" s="4"/>
      <c r="AO1626" s="4"/>
      <c r="AP1626" s="4"/>
      <c r="AQ1626" s="4"/>
      <c r="AR1626" s="4"/>
      <c r="AS1626" s="4"/>
      <c r="AT1626" s="4"/>
    </row>
    <row r="1627" spans="12:46">
      <c r="L1627" s="5"/>
      <c r="M1627" s="5"/>
      <c r="W1627" s="5"/>
      <c r="Z1627" s="5"/>
      <c r="AA1627" s="5"/>
      <c r="AD1627" s="5"/>
      <c r="AG1627" s="5"/>
      <c r="AH1627" s="5"/>
      <c r="AN1627" s="4"/>
      <c r="AO1627" s="4"/>
      <c r="AP1627" s="4"/>
      <c r="AQ1627" s="4"/>
      <c r="AR1627" s="4"/>
      <c r="AS1627" s="4"/>
      <c r="AT1627" s="4"/>
    </row>
    <row r="1628" spans="12:46">
      <c r="L1628" s="5"/>
      <c r="M1628" s="5"/>
      <c r="W1628" s="5"/>
      <c r="Z1628" s="5"/>
      <c r="AA1628" s="5"/>
      <c r="AD1628" s="5"/>
      <c r="AG1628" s="5"/>
      <c r="AH1628" s="5"/>
      <c r="AN1628" s="4"/>
      <c r="AO1628" s="4"/>
      <c r="AP1628" s="4"/>
      <c r="AQ1628" s="4"/>
      <c r="AR1628" s="4"/>
      <c r="AS1628" s="4"/>
      <c r="AT1628" s="4"/>
    </row>
    <row r="1629" spans="12:46">
      <c r="L1629" s="5"/>
      <c r="M1629" s="5"/>
      <c r="W1629" s="5"/>
      <c r="Z1629" s="5"/>
      <c r="AA1629" s="5"/>
      <c r="AD1629" s="5"/>
      <c r="AG1629" s="5"/>
      <c r="AH1629" s="5"/>
      <c r="AN1629" s="4"/>
      <c r="AO1629" s="4"/>
      <c r="AP1629" s="4"/>
      <c r="AQ1629" s="4"/>
      <c r="AR1629" s="4"/>
      <c r="AS1629" s="4"/>
      <c r="AT1629" s="4"/>
    </row>
    <row r="1630" spans="12:46">
      <c r="L1630" s="5"/>
      <c r="M1630" s="5"/>
      <c r="W1630" s="5"/>
      <c r="Z1630" s="5"/>
      <c r="AA1630" s="5"/>
      <c r="AD1630" s="5"/>
      <c r="AG1630" s="5"/>
      <c r="AH1630" s="5"/>
      <c r="AN1630" s="4"/>
      <c r="AO1630" s="4"/>
      <c r="AP1630" s="4"/>
      <c r="AQ1630" s="4"/>
      <c r="AR1630" s="4"/>
      <c r="AS1630" s="4"/>
      <c r="AT1630" s="4"/>
    </row>
    <row r="1631" spans="12:46">
      <c r="L1631" s="5"/>
      <c r="M1631" s="5"/>
      <c r="W1631" s="5"/>
      <c r="Z1631" s="5"/>
      <c r="AA1631" s="5"/>
      <c r="AD1631" s="5"/>
      <c r="AG1631" s="5"/>
      <c r="AH1631" s="5"/>
      <c r="AN1631" s="4"/>
      <c r="AO1631" s="4"/>
      <c r="AP1631" s="4"/>
      <c r="AQ1631" s="4"/>
      <c r="AR1631" s="4"/>
      <c r="AS1631" s="4"/>
      <c r="AT1631" s="4"/>
    </row>
    <row r="1632" spans="12:46">
      <c r="L1632" s="5"/>
      <c r="M1632" s="5"/>
      <c r="W1632" s="5"/>
      <c r="Z1632" s="5"/>
      <c r="AA1632" s="5"/>
      <c r="AD1632" s="5"/>
      <c r="AG1632" s="5"/>
      <c r="AH1632" s="5"/>
      <c r="AN1632" s="4"/>
      <c r="AO1632" s="4"/>
      <c r="AP1632" s="4"/>
      <c r="AQ1632" s="4"/>
      <c r="AR1632" s="4"/>
      <c r="AS1632" s="4"/>
      <c r="AT1632" s="4"/>
    </row>
    <row r="1633" spans="12:46">
      <c r="L1633" s="5"/>
      <c r="M1633" s="5"/>
      <c r="W1633" s="5"/>
      <c r="Z1633" s="5"/>
      <c r="AA1633" s="5"/>
      <c r="AD1633" s="5"/>
      <c r="AG1633" s="5"/>
      <c r="AH1633" s="5"/>
      <c r="AN1633" s="4"/>
      <c r="AO1633" s="4"/>
      <c r="AP1633" s="4"/>
      <c r="AQ1633" s="4"/>
      <c r="AR1633" s="4"/>
      <c r="AS1633" s="4"/>
      <c r="AT1633" s="4"/>
    </row>
    <row r="1634" spans="12:46">
      <c r="L1634" s="5"/>
      <c r="M1634" s="5"/>
      <c r="W1634" s="5"/>
      <c r="Z1634" s="5"/>
      <c r="AA1634" s="5"/>
      <c r="AD1634" s="5"/>
      <c r="AG1634" s="5"/>
      <c r="AH1634" s="5"/>
      <c r="AN1634" s="4"/>
      <c r="AO1634" s="4"/>
      <c r="AP1634" s="4"/>
      <c r="AQ1634" s="4"/>
      <c r="AR1634" s="4"/>
      <c r="AS1634" s="4"/>
      <c r="AT1634" s="4"/>
    </row>
    <row r="1635" spans="12:46">
      <c r="L1635" s="5"/>
      <c r="M1635" s="5"/>
      <c r="W1635" s="5"/>
      <c r="Z1635" s="5"/>
      <c r="AA1635" s="5"/>
      <c r="AD1635" s="5"/>
      <c r="AG1635" s="5"/>
      <c r="AH1635" s="5"/>
      <c r="AN1635" s="4"/>
      <c r="AO1635" s="4"/>
      <c r="AP1635" s="4"/>
      <c r="AQ1635" s="4"/>
      <c r="AR1635" s="4"/>
      <c r="AS1635" s="4"/>
      <c r="AT1635" s="4"/>
    </row>
    <row r="1636" spans="12:46">
      <c r="L1636" s="5"/>
      <c r="M1636" s="5"/>
      <c r="W1636" s="5"/>
      <c r="Z1636" s="5"/>
      <c r="AA1636" s="5"/>
      <c r="AD1636" s="5"/>
      <c r="AG1636" s="5"/>
      <c r="AH1636" s="5"/>
      <c r="AN1636" s="4"/>
      <c r="AO1636" s="4"/>
      <c r="AP1636" s="4"/>
      <c r="AQ1636" s="4"/>
      <c r="AR1636" s="4"/>
      <c r="AS1636" s="4"/>
      <c r="AT1636" s="4"/>
    </row>
    <row r="1637" spans="12:46">
      <c r="L1637" s="5"/>
      <c r="M1637" s="5"/>
      <c r="W1637" s="5"/>
      <c r="Z1637" s="5"/>
      <c r="AA1637" s="5"/>
      <c r="AD1637" s="5"/>
      <c r="AG1637" s="5"/>
      <c r="AH1637" s="5"/>
      <c r="AN1637" s="4"/>
      <c r="AO1637" s="4"/>
      <c r="AP1637" s="4"/>
      <c r="AQ1637" s="4"/>
      <c r="AR1637" s="4"/>
      <c r="AS1637" s="4"/>
      <c r="AT1637" s="4"/>
    </row>
    <row r="1638" spans="12:46">
      <c r="L1638" s="5"/>
      <c r="M1638" s="5"/>
      <c r="W1638" s="5"/>
      <c r="Z1638" s="5"/>
      <c r="AA1638" s="5"/>
      <c r="AD1638" s="5"/>
      <c r="AG1638" s="5"/>
      <c r="AH1638" s="5"/>
      <c r="AN1638" s="4"/>
      <c r="AO1638" s="4"/>
      <c r="AP1638" s="4"/>
      <c r="AQ1638" s="4"/>
      <c r="AR1638" s="4"/>
      <c r="AS1638" s="4"/>
      <c r="AT1638" s="4"/>
    </row>
    <row r="1639" spans="12:46">
      <c r="L1639" s="5"/>
      <c r="M1639" s="5"/>
      <c r="W1639" s="5"/>
      <c r="Z1639" s="5"/>
      <c r="AA1639" s="5"/>
      <c r="AD1639" s="5"/>
      <c r="AG1639" s="5"/>
      <c r="AH1639" s="5"/>
      <c r="AN1639" s="4"/>
      <c r="AO1639" s="4"/>
      <c r="AP1639" s="4"/>
      <c r="AQ1639" s="4"/>
      <c r="AR1639" s="4"/>
      <c r="AS1639" s="4"/>
      <c r="AT1639" s="4"/>
    </row>
    <row r="1640" spans="12:46">
      <c r="L1640" s="5"/>
      <c r="M1640" s="5"/>
      <c r="W1640" s="5"/>
      <c r="Z1640" s="5"/>
      <c r="AA1640" s="5"/>
      <c r="AD1640" s="5"/>
      <c r="AG1640" s="5"/>
      <c r="AH1640" s="5"/>
      <c r="AN1640" s="4"/>
      <c r="AO1640" s="4"/>
      <c r="AP1640" s="4"/>
      <c r="AQ1640" s="4"/>
      <c r="AR1640" s="4"/>
      <c r="AS1640" s="4"/>
      <c r="AT1640" s="4"/>
    </row>
    <row r="1641" spans="12:46">
      <c r="L1641" s="5"/>
      <c r="M1641" s="5"/>
      <c r="W1641" s="5"/>
      <c r="Z1641" s="5"/>
      <c r="AA1641" s="5"/>
      <c r="AD1641" s="5"/>
      <c r="AG1641" s="5"/>
      <c r="AH1641" s="5"/>
      <c r="AN1641" s="4"/>
      <c r="AO1641" s="4"/>
      <c r="AP1641" s="4"/>
      <c r="AQ1641" s="4"/>
      <c r="AR1641" s="4"/>
      <c r="AS1641" s="4"/>
      <c r="AT1641" s="4"/>
    </row>
    <row r="1642" spans="12:46">
      <c r="L1642" s="5"/>
      <c r="M1642" s="5"/>
      <c r="W1642" s="5"/>
      <c r="Z1642" s="5"/>
      <c r="AA1642" s="5"/>
      <c r="AD1642" s="5"/>
      <c r="AG1642" s="5"/>
      <c r="AH1642" s="5"/>
      <c r="AN1642" s="4"/>
      <c r="AO1642" s="4"/>
      <c r="AP1642" s="4"/>
      <c r="AQ1642" s="4"/>
      <c r="AR1642" s="4"/>
      <c r="AS1642" s="4"/>
      <c r="AT1642" s="4"/>
    </row>
    <row r="1643" spans="12:46">
      <c r="L1643" s="5"/>
      <c r="M1643" s="5"/>
      <c r="W1643" s="5"/>
      <c r="Z1643" s="5"/>
      <c r="AA1643" s="5"/>
      <c r="AD1643" s="5"/>
      <c r="AG1643" s="5"/>
      <c r="AH1643" s="5"/>
      <c r="AN1643" s="4"/>
      <c r="AO1643" s="4"/>
      <c r="AP1643" s="4"/>
      <c r="AQ1643" s="4"/>
      <c r="AR1643" s="4"/>
      <c r="AS1643" s="4"/>
      <c r="AT1643" s="4"/>
    </row>
    <row r="1644" spans="12:46">
      <c r="L1644" s="5"/>
      <c r="M1644" s="5"/>
      <c r="W1644" s="5"/>
      <c r="Z1644" s="5"/>
      <c r="AA1644" s="5"/>
      <c r="AD1644" s="5"/>
      <c r="AG1644" s="5"/>
      <c r="AH1644" s="5"/>
      <c r="AN1644" s="4"/>
      <c r="AO1644" s="4"/>
      <c r="AP1644" s="4"/>
      <c r="AQ1644" s="4"/>
      <c r="AR1644" s="4"/>
      <c r="AS1644" s="4"/>
      <c r="AT1644" s="4"/>
    </row>
    <row r="1645" spans="12:46">
      <c r="L1645" s="5"/>
      <c r="M1645" s="5"/>
      <c r="W1645" s="5"/>
      <c r="Z1645" s="5"/>
      <c r="AA1645" s="5"/>
      <c r="AD1645" s="5"/>
      <c r="AG1645" s="5"/>
      <c r="AH1645" s="5"/>
      <c r="AN1645" s="4"/>
      <c r="AO1645" s="4"/>
      <c r="AP1645" s="4"/>
      <c r="AQ1645" s="4"/>
      <c r="AR1645" s="4"/>
      <c r="AS1645" s="4"/>
      <c r="AT1645" s="4"/>
    </row>
    <row r="1646" spans="12:46">
      <c r="L1646" s="5"/>
      <c r="M1646" s="5"/>
      <c r="W1646" s="5"/>
      <c r="Z1646" s="5"/>
      <c r="AA1646" s="5"/>
      <c r="AD1646" s="5"/>
      <c r="AG1646" s="5"/>
      <c r="AH1646" s="5"/>
      <c r="AN1646" s="4"/>
      <c r="AO1646" s="4"/>
      <c r="AP1646" s="4"/>
      <c r="AQ1646" s="4"/>
      <c r="AR1646" s="4"/>
      <c r="AS1646" s="4"/>
      <c r="AT1646" s="4"/>
    </row>
    <row r="1647" spans="12:46">
      <c r="L1647" s="5"/>
      <c r="M1647" s="5"/>
      <c r="W1647" s="5"/>
      <c r="Z1647" s="5"/>
      <c r="AA1647" s="5"/>
      <c r="AD1647" s="5"/>
      <c r="AG1647" s="5"/>
      <c r="AH1647" s="5"/>
      <c r="AN1647" s="4"/>
      <c r="AO1647" s="4"/>
      <c r="AP1647" s="4"/>
      <c r="AQ1647" s="4"/>
      <c r="AR1647" s="4"/>
      <c r="AS1647" s="4"/>
      <c r="AT1647" s="4"/>
    </row>
    <row r="1648" spans="12:46">
      <c r="L1648" s="5"/>
      <c r="M1648" s="5"/>
      <c r="W1648" s="5"/>
      <c r="Z1648" s="5"/>
      <c r="AA1648" s="5"/>
      <c r="AD1648" s="5"/>
      <c r="AG1648" s="5"/>
      <c r="AH1648" s="5"/>
      <c r="AN1648" s="4"/>
      <c r="AO1648" s="4"/>
      <c r="AP1648" s="4"/>
      <c r="AQ1648" s="4"/>
      <c r="AR1648" s="4"/>
      <c r="AS1648" s="4"/>
      <c r="AT1648" s="4"/>
    </row>
    <row r="1649" spans="12:46">
      <c r="L1649" s="5"/>
      <c r="M1649" s="5"/>
      <c r="W1649" s="5"/>
      <c r="Z1649" s="5"/>
      <c r="AA1649" s="5"/>
      <c r="AD1649" s="5"/>
      <c r="AG1649" s="5"/>
      <c r="AH1649" s="5"/>
      <c r="AN1649" s="4"/>
      <c r="AO1649" s="4"/>
      <c r="AP1649" s="4"/>
      <c r="AQ1649" s="4"/>
      <c r="AR1649" s="4"/>
      <c r="AS1649" s="4"/>
      <c r="AT1649" s="4"/>
    </row>
    <row r="1650" spans="12:46">
      <c r="L1650" s="5"/>
      <c r="M1650" s="5"/>
      <c r="W1650" s="5"/>
      <c r="Z1650" s="5"/>
      <c r="AA1650" s="5"/>
      <c r="AD1650" s="5"/>
      <c r="AG1650" s="5"/>
      <c r="AH1650" s="5"/>
      <c r="AN1650" s="4"/>
      <c r="AO1650" s="4"/>
      <c r="AP1650" s="4"/>
      <c r="AQ1650" s="4"/>
      <c r="AR1650" s="4"/>
      <c r="AS1650" s="4"/>
      <c r="AT1650" s="4"/>
    </row>
    <row r="1651" spans="12:46">
      <c r="L1651" s="5"/>
      <c r="M1651" s="5"/>
      <c r="W1651" s="5"/>
      <c r="Z1651" s="5"/>
      <c r="AA1651" s="5"/>
      <c r="AD1651" s="5"/>
      <c r="AG1651" s="5"/>
      <c r="AH1651" s="5"/>
      <c r="AN1651" s="4"/>
      <c r="AO1651" s="4"/>
      <c r="AP1651" s="4"/>
      <c r="AQ1651" s="4"/>
      <c r="AR1651" s="4"/>
      <c r="AS1651" s="4"/>
      <c r="AT1651" s="4"/>
    </row>
    <row r="1652" spans="12:46">
      <c r="L1652" s="5"/>
      <c r="M1652" s="5"/>
      <c r="W1652" s="5"/>
      <c r="Z1652" s="5"/>
      <c r="AA1652" s="5"/>
      <c r="AD1652" s="5"/>
      <c r="AG1652" s="5"/>
      <c r="AH1652" s="5"/>
      <c r="AN1652" s="4"/>
      <c r="AO1652" s="4"/>
      <c r="AP1652" s="4"/>
      <c r="AQ1652" s="4"/>
      <c r="AR1652" s="4"/>
      <c r="AS1652" s="4"/>
      <c r="AT1652" s="4"/>
    </row>
    <row r="1653" spans="12:46">
      <c r="L1653" s="5"/>
      <c r="M1653" s="5"/>
      <c r="W1653" s="5"/>
      <c r="Z1653" s="5"/>
      <c r="AA1653" s="5"/>
      <c r="AD1653" s="5"/>
      <c r="AG1653" s="5"/>
      <c r="AH1653" s="5"/>
      <c r="AN1653" s="4"/>
      <c r="AO1653" s="4"/>
      <c r="AP1653" s="4"/>
      <c r="AQ1653" s="4"/>
      <c r="AR1653" s="4"/>
      <c r="AS1653" s="4"/>
      <c r="AT1653" s="4"/>
    </row>
    <row r="1654" spans="12:46">
      <c r="L1654" s="5"/>
      <c r="M1654" s="5"/>
      <c r="W1654" s="5"/>
      <c r="Z1654" s="5"/>
      <c r="AA1654" s="5"/>
      <c r="AD1654" s="5"/>
      <c r="AG1654" s="5"/>
      <c r="AH1654" s="5"/>
      <c r="AN1654" s="4"/>
      <c r="AO1654" s="4"/>
      <c r="AP1654" s="4"/>
      <c r="AQ1654" s="4"/>
      <c r="AR1654" s="4"/>
      <c r="AS1654" s="4"/>
      <c r="AT1654" s="4"/>
    </row>
    <row r="1655" spans="12:46">
      <c r="L1655" s="5"/>
      <c r="M1655" s="5"/>
      <c r="W1655" s="5"/>
      <c r="Z1655" s="5"/>
      <c r="AA1655" s="5"/>
      <c r="AD1655" s="5"/>
      <c r="AG1655" s="5"/>
      <c r="AH1655" s="5"/>
      <c r="AN1655" s="4"/>
      <c r="AO1655" s="4"/>
      <c r="AP1655" s="4"/>
      <c r="AQ1655" s="4"/>
      <c r="AR1655" s="4"/>
      <c r="AS1655" s="4"/>
      <c r="AT1655" s="4"/>
    </row>
    <row r="1656" spans="12:46">
      <c r="L1656" s="5"/>
      <c r="M1656" s="5"/>
      <c r="W1656" s="5"/>
      <c r="Z1656" s="5"/>
      <c r="AA1656" s="5"/>
      <c r="AD1656" s="5"/>
      <c r="AG1656" s="5"/>
      <c r="AH1656" s="5"/>
      <c r="AN1656" s="4"/>
      <c r="AO1656" s="4"/>
      <c r="AP1656" s="4"/>
      <c r="AQ1656" s="4"/>
      <c r="AR1656" s="4"/>
      <c r="AS1656" s="4"/>
      <c r="AT1656" s="4"/>
    </row>
    <row r="1657" spans="12:46">
      <c r="L1657" s="5"/>
      <c r="M1657" s="5"/>
      <c r="W1657" s="5"/>
      <c r="Z1657" s="5"/>
      <c r="AA1657" s="5"/>
      <c r="AD1657" s="5"/>
      <c r="AG1657" s="5"/>
      <c r="AH1657" s="5"/>
      <c r="AN1657" s="4"/>
      <c r="AO1657" s="4"/>
      <c r="AP1657" s="4"/>
      <c r="AQ1657" s="4"/>
      <c r="AR1657" s="4"/>
      <c r="AS1657" s="4"/>
      <c r="AT1657" s="4"/>
    </row>
    <row r="1658" spans="12:46">
      <c r="L1658" s="5"/>
      <c r="M1658" s="5"/>
      <c r="W1658" s="5"/>
      <c r="Z1658" s="5"/>
      <c r="AA1658" s="5"/>
      <c r="AD1658" s="5"/>
      <c r="AG1658" s="5"/>
      <c r="AH1658" s="5"/>
      <c r="AN1658" s="4"/>
      <c r="AO1658" s="4"/>
      <c r="AP1658" s="4"/>
      <c r="AQ1658" s="4"/>
      <c r="AR1658" s="4"/>
      <c r="AS1658" s="4"/>
      <c r="AT1658" s="4"/>
    </row>
    <row r="1659" spans="12:46">
      <c r="L1659" s="5"/>
      <c r="M1659" s="5"/>
      <c r="W1659" s="5"/>
      <c r="Z1659" s="5"/>
      <c r="AA1659" s="5"/>
      <c r="AD1659" s="5"/>
      <c r="AG1659" s="5"/>
      <c r="AH1659" s="5"/>
      <c r="AN1659" s="4"/>
      <c r="AO1659" s="4"/>
      <c r="AP1659" s="4"/>
      <c r="AQ1659" s="4"/>
      <c r="AR1659" s="4"/>
      <c r="AS1659" s="4"/>
      <c r="AT1659" s="4"/>
    </row>
    <row r="1660" spans="12:46">
      <c r="L1660" s="5"/>
      <c r="M1660" s="5"/>
      <c r="W1660" s="5"/>
      <c r="Z1660" s="5"/>
      <c r="AA1660" s="5"/>
      <c r="AD1660" s="5"/>
      <c r="AG1660" s="5"/>
      <c r="AH1660" s="5"/>
      <c r="AN1660" s="4"/>
      <c r="AO1660" s="4"/>
      <c r="AP1660" s="4"/>
      <c r="AQ1660" s="4"/>
      <c r="AR1660" s="4"/>
      <c r="AS1660" s="4"/>
      <c r="AT1660" s="4"/>
    </row>
    <row r="1661" spans="12:46">
      <c r="L1661" s="5"/>
      <c r="M1661" s="5"/>
      <c r="W1661" s="5"/>
      <c r="Z1661" s="5"/>
      <c r="AA1661" s="5"/>
      <c r="AD1661" s="5"/>
      <c r="AG1661" s="5"/>
      <c r="AH1661" s="5"/>
      <c r="AN1661" s="4"/>
      <c r="AO1661" s="4"/>
      <c r="AP1661" s="4"/>
      <c r="AQ1661" s="4"/>
      <c r="AR1661" s="4"/>
      <c r="AS1661" s="4"/>
      <c r="AT1661" s="4"/>
    </row>
    <row r="1662" spans="12:46">
      <c r="L1662" s="5"/>
      <c r="M1662" s="5"/>
      <c r="W1662" s="5"/>
      <c r="Z1662" s="5"/>
      <c r="AA1662" s="5"/>
      <c r="AD1662" s="5"/>
      <c r="AG1662" s="5"/>
      <c r="AH1662" s="5"/>
      <c r="AN1662" s="4"/>
      <c r="AO1662" s="4"/>
      <c r="AP1662" s="4"/>
      <c r="AQ1662" s="4"/>
      <c r="AR1662" s="4"/>
      <c r="AS1662" s="4"/>
      <c r="AT1662" s="4"/>
    </row>
    <row r="1663" spans="12:46">
      <c r="L1663" s="5"/>
      <c r="M1663" s="5"/>
      <c r="W1663" s="5"/>
      <c r="Z1663" s="5"/>
      <c r="AA1663" s="5"/>
      <c r="AD1663" s="5"/>
      <c r="AG1663" s="5"/>
      <c r="AH1663" s="5"/>
      <c r="AN1663" s="4"/>
      <c r="AO1663" s="4"/>
      <c r="AP1663" s="4"/>
      <c r="AQ1663" s="4"/>
      <c r="AR1663" s="4"/>
      <c r="AS1663" s="4"/>
      <c r="AT1663" s="4"/>
    </row>
    <row r="1664" spans="12:46">
      <c r="L1664" s="5"/>
      <c r="M1664" s="5"/>
      <c r="W1664" s="5"/>
      <c r="Z1664" s="5"/>
      <c r="AA1664" s="5"/>
      <c r="AD1664" s="5"/>
      <c r="AG1664" s="5"/>
      <c r="AH1664" s="5"/>
      <c r="AN1664" s="4"/>
      <c r="AO1664" s="4"/>
      <c r="AP1664" s="4"/>
      <c r="AQ1664" s="4"/>
      <c r="AR1664" s="4"/>
      <c r="AS1664" s="4"/>
      <c r="AT1664" s="4"/>
    </row>
    <row r="1665" spans="12:46">
      <c r="L1665" s="5"/>
      <c r="M1665" s="5"/>
      <c r="W1665" s="5"/>
      <c r="Z1665" s="5"/>
      <c r="AA1665" s="5"/>
      <c r="AD1665" s="5"/>
      <c r="AG1665" s="5"/>
      <c r="AH1665" s="5"/>
      <c r="AN1665" s="4"/>
      <c r="AO1665" s="4"/>
      <c r="AP1665" s="4"/>
      <c r="AQ1665" s="4"/>
      <c r="AR1665" s="4"/>
      <c r="AS1665" s="4"/>
      <c r="AT1665" s="4"/>
    </row>
    <row r="1666" spans="12:46">
      <c r="L1666" s="5"/>
      <c r="M1666" s="5"/>
      <c r="W1666" s="5"/>
      <c r="Z1666" s="5"/>
      <c r="AA1666" s="5"/>
      <c r="AD1666" s="5"/>
      <c r="AG1666" s="5"/>
      <c r="AH1666" s="5"/>
      <c r="AN1666" s="4"/>
      <c r="AO1666" s="4"/>
      <c r="AP1666" s="4"/>
      <c r="AQ1666" s="4"/>
      <c r="AR1666" s="4"/>
      <c r="AS1666" s="4"/>
      <c r="AT1666" s="4"/>
    </row>
    <row r="1667" spans="12:46">
      <c r="L1667" s="5"/>
      <c r="M1667" s="5"/>
      <c r="W1667" s="5"/>
      <c r="Z1667" s="5"/>
      <c r="AA1667" s="5"/>
      <c r="AD1667" s="5"/>
      <c r="AG1667" s="5"/>
      <c r="AH1667" s="5"/>
      <c r="AN1667" s="4"/>
      <c r="AO1667" s="4"/>
      <c r="AP1667" s="4"/>
      <c r="AQ1667" s="4"/>
      <c r="AR1667" s="4"/>
      <c r="AS1667" s="4"/>
      <c r="AT1667" s="4"/>
    </row>
    <row r="1668" spans="12:46">
      <c r="L1668" s="5"/>
      <c r="M1668" s="5"/>
      <c r="W1668" s="5"/>
      <c r="Z1668" s="5"/>
      <c r="AA1668" s="5"/>
      <c r="AD1668" s="5"/>
      <c r="AG1668" s="5"/>
      <c r="AH1668" s="5"/>
      <c r="AN1668" s="4"/>
      <c r="AO1668" s="4"/>
      <c r="AP1668" s="4"/>
      <c r="AQ1668" s="4"/>
      <c r="AR1668" s="4"/>
      <c r="AS1668" s="4"/>
      <c r="AT1668" s="4"/>
    </row>
    <row r="1669" spans="12:46">
      <c r="L1669" s="5"/>
      <c r="M1669" s="5"/>
      <c r="W1669" s="5"/>
      <c r="Z1669" s="5"/>
      <c r="AA1669" s="5"/>
      <c r="AD1669" s="5"/>
      <c r="AG1669" s="5"/>
      <c r="AH1669" s="5"/>
      <c r="AN1669" s="4"/>
      <c r="AO1669" s="4"/>
      <c r="AP1669" s="4"/>
      <c r="AQ1669" s="4"/>
      <c r="AR1669" s="4"/>
      <c r="AS1669" s="4"/>
      <c r="AT1669" s="4"/>
    </row>
    <row r="1670" spans="12:46">
      <c r="L1670" s="5"/>
      <c r="M1670" s="5"/>
      <c r="W1670" s="5"/>
      <c r="Z1670" s="5"/>
      <c r="AA1670" s="5"/>
      <c r="AD1670" s="5"/>
      <c r="AG1670" s="5"/>
      <c r="AH1670" s="5"/>
      <c r="AN1670" s="4"/>
      <c r="AO1670" s="4"/>
      <c r="AP1670" s="4"/>
      <c r="AQ1670" s="4"/>
      <c r="AR1670" s="4"/>
      <c r="AS1670" s="4"/>
      <c r="AT1670" s="4"/>
    </row>
    <row r="1671" spans="12:46">
      <c r="L1671" s="5"/>
      <c r="M1671" s="5"/>
      <c r="W1671" s="5"/>
      <c r="Z1671" s="5"/>
      <c r="AA1671" s="5"/>
      <c r="AD1671" s="5"/>
      <c r="AG1671" s="5"/>
      <c r="AH1671" s="5"/>
      <c r="AN1671" s="4"/>
      <c r="AO1671" s="4"/>
      <c r="AP1671" s="4"/>
      <c r="AQ1671" s="4"/>
      <c r="AR1671" s="4"/>
      <c r="AS1671" s="4"/>
      <c r="AT1671" s="4"/>
    </row>
    <row r="1672" spans="12:46">
      <c r="L1672" s="5"/>
      <c r="M1672" s="5"/>
      <c r="W1672" s="5"/>
      <c r="Z1672" s="5"/>
      <c r="AA1672" s="5"/>
      <c r="AD1672" s="5"/>
      <c r="AG1672" s="5"/>
      <c r="AH1672" s="5"/>
      <c r="AN1672" s="4"/>
      <c r="AO1672" s="4"/>
      <c r="AP1672" s="4"/>
      <c r="AQ1672" s="4"/>
      <c r="AR1672" s="4"/>
      <c r="AS1672" s="4"/>
      <c r="AT1672" s="4"/>
    </row>
    <row r="1673" spans="12:46">
      <c r="L1673" s="5"/>
      <c r="M1673" s="5"/>
      <c r="W1673" s="5"/>
      <c r="Z1673" s="5"/>
      <c r="AA1673" s="5"/>
      <c r="AD1673" s="5"/>
      <c r="AG1673" s="5"/>
      <c r="AH1673" s="5"/>
      <c r="AN1673" s="4"/>
      <c r="AO1673" s="4"/>
      <c r="AP1673" s="4"/>
      <c r="AQ1673" s="4"/>
      <c r="AR1673" s="4"/>
      <c r="AS1673" s="4"/>
      <c r="AT1673" s="4"/>
    </row>
    <row r="1674" spans="12:46">
      <c r="L1674" s="5"/>
      <c r="M1674" s="5"/>
      <c r="W1674" s="5"/>
      <c r="Z1674" s="5"/>
      <c r="AA1674" s="5"/>
      <c r="AD1674" s="5"/>
      <c r="AG1674" s="5"/>
      <c r="AH1674" s="5"/>
      <c r="AN1674" s="4"/>
      <c r="AO1674" s="4"/>
      <c r="AP1674" s="4"/>
      <c r="AQ1674" s="4"/>
      <c r="AR1674" s="4"/>
      <c r="AS1674" s="4"/>
      <c r="AT1674" s="4"/>
    </row>
    <row r="1675" spans="12:46">
      <c r="L1675" s="5"/>
      <c r="M1675" s="5"/>
      <c r="W1675" s="5"/>
      <c r="Z1675" s="5"/>
      <c r="AA1675" s="5"/>
      <c r="AD1675" s="5"/>
      <c r="AG1675" s="5"/>
      <c r="AH1675" s="5"/>
      <c r="AN1675" s="4"/>
      <c r="AO1675" s="4"/>
      <c r="AP1675" s="4"/>
      <c r="AQ1675" s="4"/>
      <c r="AR1675" s="4"/>
      <c r="AS1675" s="4"/>
      <c r="AT1675" s="4"/>
    </row>
    <row r="1676" spans="12:46">
      <c r="L1676" s="5"/>
      <c r="M1676" s="5"/>
      <c r="W1676" s="5"/>
      <c r="Z1676" s="5"/>
      <c r="AA1676" s="5"/>
      <c r="AD1676" s="5"/>
      <c r="AG1676" s="5"/>
      <c r="AH1676" s="5"/>
      <c r="AN1676" s="4"/>
      <c r="AO1676" s="4"/>
      <c r="AP1676" s="4"/>
      <c r="AQ1676" s="4"/>
      <c r="AR1676" s="4"/>
      <c r="AS1676" s="4"/>
      <c r="AT1676" s="4"/>
    </row>
    <row r="1677" spans="12:46">
      <c r="L1677" s="5"/>
      <c r="M1677" s="5"/>
      <c r="W1677" s="5"/>
      <c r="Z1677" s="5"/>
      <c r="AA1677" s="5"/>
      <c r="AD1677" s="5"/>
      <c r="AG1677" s="5"/>
      <c r="AH1677" s="5"/>
      <c r="AN1677" s="4"/>
      <c r="AO1677" s="4"/>
      <c r="AP1677" s="4"/>
      <c r="AQ1677" s="4"/>
      <c r="AR1677" s="4"/>
      <c r="AS1677" s="4"/>
      <c r="AT1677" s="4"/>
    </row>
    <row r="1678" spans="12:46">
      <c r="L1678" s="5"/>
      <c r="M1678" s="5"/>
      <c r="W1678" s="5"/>
      <c r="Z1678" s="5"/>
      <c r="AA1678" s="5"/>
      <c r="AD1678" s="5"/>
      <c r="AG1678" s="5"/>
      <c r="AH1678" s="5"/>
      <c r="AN1678" s="4"/>
      <c r="AO1678" s="4"/>
      <c r="AP1678" s="4"/>
      <c r="AQ1678" s="4"/>
      <c r="AR1678" s="4"/>
      <c r="AS1678" s="4"/>
      <c r="AT1678" s="4"/>
    </row>
    <row r="1679" spans="12:46">
      <c r="L1679" s="5"/>
      <c r="M1679" s="5"/>
      <c r="W1679" s="5"/>
      <c r="Z1679" s="5"/>
      <c r="AA1679" s="5"/>
      <c r="AD1679" s="5"/>
      <c r="AG1679" s="5"/>
      <c r="AH1679" s="5"/>
      <c r="AN1679" s="4"/>
      <c r="AO1679" s="4"/>
      <c r="AP1679" s="4"/>
      <c r="AQ1679" s="4"/>
      <c r="AR1679" s="4"/>
      <c r="AS1679" s="4"/>
      <c r="AT1679" s="4"/>
    </row>
    <row r="1680" spans="12:46">
      <c r="L1680" s="5"/>
      <c r="M1680" s="5"/>
      <c r="W1680" s="5"/>
      <c r="Z1680" s="5"/>
      <c r="AA1680" s="5"/>
      <c r="AD1680" s="5"/>
      <c r="AG1680" s="5"/>
      <c r="AH1680" s="5"/>
      <c r="AN1680" s="4"/>
      <c r="AO1680" s="4"/>
      <c r="AP1680" s="4"/>
      <c r="AQ1680" s="4"/>
      <c r="AR1680" s="4"/>
      <c r="AS1680" s="4"/>
      <c r="AT1680" s="4"/>
    </row>
    <row r="1681" spans="12:46">
      <c r="L1681" s="5"/>
      <c r="M1681" s="5"/>
      <c r="W1681" s="5"/>
      <c r="Z1681" s="5"/>
      <c r="AA1681" s="5"/>
      <c r="AD1681" s="5"/>
      <c r="AG1681" s="5"/>
      <c r="AH1681" s="5"/>
      <c r="AN1681" s="4"/>
      <c r="AO1681" s="4"/>
      <c r="AP1681" s="4"/>
      <c r="AQ1681" s="4"/>
      <c r="AR1681" s="4"/>
      <c r="AS1681" s="4"/>
      <c r="AT1681" s="4"/>
    </row>
    <row r="1682" spans="12:46">
      <c r="L1682" s="5"/>
      <c r="M1682" s="5"/>
      <c r="W1682" s="5"/>
      <c r="Z1682" s="5"/>
      <c r="AA1682" s="5"/>
      <c r="AD1682" s="5"/>
      <c r="AG1682" s="5"/>
      <c r="AH1682" s="5"/>
      <c r="AN1682" s="4"/>
      <c r="AO1682" s="4"/>
      <c r="AP1682" s="4"/>
      <c r="AQ1682" s="4"/>
      <c r="AR1682" s="4"/>
      <c r="AS1682" s="4"/>
      <c r="AT1682" s="4"/>
    </row>
    <row r="1683" spans="12:46">
      <c r="L1683" s="5"/>
      <c r="M1683" s="5"/>
      <c r="W1683" s="5"/>
      <c r="Z1683" s="5"/>
      <c r="AA1683" s="5"/>
      <c r="AD1683" s="5"/>
      <c r="AG1683" s="5"/>
      <c r="AH1683" s="5"/>
      <c r="AN1683" s="4"/>
      <c r="AO1683" s="4"/>
      <c r="AP1683" s="4"/>
      <c r="AQ1683" s="4"/>
      <c r="AR1683" s="4"/>
      <c r="AS1683" s="4"/>
      <c r="AT1683" s="4"/>
    </row>
    <row r="1684" spans="12:46">
      <c r="L1684" s="5"/>
      <c r="M1684" s="5"/>
      <c r="W1684" s="5"/>
      <c r="Z1684" s="5"/>
      <c r="AA1684" s="5"/>
      <c r="AD1684" s="5"/>
      <c r="AG1684" s="5"/>
      <c r="AH1684" s="5"/>
      <c r="AN1684" s="4"/>
      <c r="AO1684" s="4"/>
      <c r="AP1684" s="4"/>
      <c r="AQ1684" s="4"/>
      <c r="AR1684" s="4"/>
      <c r="AS1684" s="4"/>
      <c r="AT1684" s="4"/>
    </row>
    <row r="1685" spans="12:46">
      <c r="L1685" s="5"/>
      <c r="M1685" s="5"/>
      <c r="W1685" s="5"/>
      <c r="Z1685" s="5"/>
      <c r="AA1685" s="5"/>
      <c r="AD1685" s="5"/>
      <c r="AG1685" s="5"/>
      <c r="AH1685" s="5"/>
      <c r="AN1685" s="4"/>
      <c r="AO1685" s="4"/>
      <c r="AP1685" s="4"/>
      <c r="AQ1685" s="4"/>
      <c r="AR1685" s="4"/>
      <c r="AS1685" s="4"/>
      <c r="AT1685" s="4"/>
    </row>
    <row r="1686" spans="12:46">
      <c r="L1686" s="5"/>
      <c r="M1686" s="5"/>
      <c r="W1686" s="5"/>
      <c r="Z1686" s="5"/>
      <c r="AA1686" s="5"/>
      <c r="AD1686" s="5"/>
      <c r="AG1686" s="5"/>
      <c r="AH1686" s="5"/>
      <c r="AN1686" s="4"/>
      <c r="AO1686" s="4"/>
      <c r="AP1686" s="4"/>
      <c r="AQ1686" s="4"/>
      <c r="AR1686" s="4"/>
      <c r="AS1686" s="4"/>
      <c r="AT1686" s="4"/>
    </row>
    <row r="1687" spans="12:46">
      <c r="L1687" s="5"/>
      <c r="M1687" s="5"/>
      <c r="W1687" s="5"/>
      <c r="Z1687" s="5"/>
      <c r="AA1687" s="5"/>
      <c r="AD1687" s="5"/>
      <c r="AG1687" s="5"/>
      <c r="AH1687" s="5"/>
      <c r="AN1687" s="4"/>
      <c r="AO1687" s="4"/>
      <c r="AP1687" s="4"/>
      <c r="AQ1687" s="4"/>
      <c r="AR1687" s="4"/>
      <c r="AS1687" s="4"/>
      <c r="AT1687" s="4"/>
    </row>
    <row r="1688" spans="12:46">
      <c r="L1688" s="5"/>
      <c r="M1688" s="5"/>
      <c r="W1688" s="5"/>
      <c r="Z1688" s="5"/>
      <c r="AA1688" s="5"/>
      <c r="AD1688" s="5"/>
      <c r="AG1688" s="5"/>
      <c r="AH1688" s="5"/>
      <c r="AN1688" s="4"/>
      <c r="AO1688" s="4"/>
      <c r="AP1688" s="4"/>
      <c r="AQ1688" s="4"/>
      <c r="AR1688" s="4"/>
      <c r="AS1688" s="4"/>
      <c r="AT1688" s="4"/>
    </row>
    <row r="1689" spans="12:46">
      <c r="L1689" s="5"/>
      <c r="M1689" s="5"/>
      <c r="W1689" s="5"/>
      <c r="Z1689" s="5"/>
      <c r="AA1689" s="5"/>
      <c r="AD1689" s="5"/>
      <c r="AG1689" s="5"/>
      <c r="AH1689" s="5"/>
      <c r="AN1689" s="4"/>
      <c r="AO1689" s="4"/>
      <c r="AP1689" s="4"/>
      <c r="AQ1689" s="4"/>
      <c r="AR1689" s="4"/>
      <c r="AS1689" s="4"/>
      <c r="AT1689" s="4"/>
    </row>
    <row r="1690" spans="12:46">
      <c r="L1690" s="5"/>
      <c r="M1690" s="5"/>
      <c r="W1690" s="5"/>
      <c r="Z1690" s="5"/>
      <c r="AA1690" s="5"/>
      <c r="AD1690" s="5"/>
      <c r="AG1690" s="5"/>
      <c r="AH1690" s="5"/>
      <c r="AN1690" s="4"/>
      <c r="AO1690" s="4"/>
      <c r="AP1690" s="4"/>
      <c r="AQ1690" s="4"/>
      <c r="AR1690" s="4"/>
      <c r="AS1690" s="4"/>
      <c r="AT1690" s="4"/>
    </row>
    <row r="1691" spans="12:46">
      <c r="L1691" s="5"/>
      <c r="M1691" s="5"/>
      <c r="W1691" s="5"/>
      <c r="Z1691" s="5"/>
      <c r="AA1691" s="5"/>
      <c r="AD1691" s="5"/>
      <c r="AG1691" s="5"/>
      <c r="AH1691" s="5"/>
      <c r="AN1691" s="4"/>
      <c r="AO1691" s="4"/>
      <c r="AP1691" s="4"/>
      <c r="AQ1691" s="4"/>
      <c r="AR1691" s="4"/>
      <c r="AS1691" s="4"/>
      <c r="AT1691" s="4"/>
    </row>
    <row r="1692" spans="12:46">
      <c r="L1692" s="5"/>
      <c r="M1692" s="5"/>
      <c r="W1692" s="5"/>
      <c r="Z1692" s="5"/>
      <c r="AA1692" s="5"/>
      <c r="AD1692" s="5"/>
      <c r="AG1692" s="5"/>
      <c r="AH1692" s="5"/>
      <c r="AN1692" s="4"/>
      <c r="AO1692" s="4"/>
      <c r="AP1692" s="4"/>
      <c r="AQ1692" s="4"/>
      <c r="AR1692" s="4"/>
      <c r="AS1692" s="4"/>
      <c r="AT1692" s="4"/>
    </row>
    <row r="1693" spans="12:46">
      <c r="L1693" s="5"/>
      <c r="M1693" s="5"/>
      <c r="W1693" s="5"/>
      <c r="Z1693" s="5"/>
      <c r="AA1693" s="5"/>
      <c r="AD1693" s="5"/>
      <c r="AG1693" s="5"/>
      <c r="AH1693" s="5"/>
      <c r="AN1693" s="4"/>
      <c r="AO1693" s="4"/>
      <c r="AP1693" s="4"/>
      <c r="AQ1693" s="4"/>
      <c r="AR1693" s="4"/>
      <c r="AS1693" s="4"/>
      <c r="AT1693" s="4"/>
    </row>
    <row r="1694" spans="12:46">
      <c r="L1694" s="5"/>
      <c r="M1694" s="5"/>
      <c r="W1694" s="5"/>
      <c r="Z1694" s="5"/>
      <c r="AA1694" s="5"/>
      <c r="AD1694" s="5"/>
      <c r="AG1694" s="5"/>
      <c r="AH1694" s="5"/>
      <c r="AN1694" s="4"/>
      <c r="AO1694" s="4"/>
      <c r="AP1694" s="4"/>
      <c r="AQ1694" s="4"/>
      <c r="AR1694" s="4"/>
      <c r="AS1694" s="4"/>
      <c r="AT1694" s="4"/>
    </row>
    <row r="1695" spans="12:46">
      <c r="L1695" s="5"/>
      <c r="M1695" s="5"/>
      <c r="W1695" s="5"/>
      <c r="Z1695" s="5"/>
      <c r="AA1695" s="5"/>
      <c r="AD1695" s="5"/>
      <c r="AG1695" s="5"/>
      <c r="AH1695" s="5"/>
      <c r="AN1695" s="4"/>
      <c r="AO1695" s="4"/>
      <c r="AP1695" s="4"/>
      <c r="AQ1695" s="4"/>
      <c r="AR1695" s="4"/>
      <c r="AS1695" s="4"/>
      <c r="AT1695" s="4"/>
    </row>
    <row r="1696" spans="12:46">
      <c r="L1696" s="5"/>
      <c r="M1696" s="5"/>
      <c r="W1696" s="5"/>
      <c r="Z1696" s="5"/>
      <c r="AA1696" s="5"/>
      <c r="AD1696" s="5"/>
      <c r="AG1696" s="5"/>
      <c r="AH1696" s="5"/>
      <c r="AN1696" s="4"/>
      <c r="AO1696" s="4"/>
      <c r="AP1696" s="4"/>
      <c r="AQ1696" s="4"/>
      <c r="AR1696" s="4"/>
      <c r="AS1696" s="4"/>
      <c r="AT1696" s="4"/>
    </row>
    <row r="1697" spans="12:46">
      <c r="L1697" s="5"/>
      <c r="M1697" s="5"/>
      <c r="W1697" s="5"/>
      <c r="Z1697" s="5"/>
      <c r="AA1697" s="5"/>
      <c r="AD1697" s="5"/>
      <c r="AG1697" s="5"/>
      <c r="AH1697" s="5"/>
      <c r="AN1697" s="4"/>
      <c r="AO1697" s="4"/>
      <c r="AP1697" s="4"/>
      <c r="AQ1697" s="4"/>
      <c r="AR1697" s="4"/>
      <c r="AS1697" s="4"/>
      <c r="AT1697" s="4"/>
    </row>
    <row r="1698" spans="12:46">
      <c r="L1698" s="5"/>
      <c r="M1698" s="5"/>
      <c r="W1698" s="5"/>
      <c r="Z1698" s="5"/>
      <c r="AA1698" s="5"/>
      <c r="AD1698" s="5"/>
      <c r="AG1698" s="5"/>
      <c r="AH1698" s="5"/>
      <c r="AN1698" s="4"/>
      <c r="AO1698" s="4"/>
      <c r="AP1698" s="4"/>
      <c r="AQ1698" s="4"/>
      <c r="AR1698" s="4"/>
      <c r="AS1698" s="4"/>
      <c r="AT1698" s="4"/>
    </row>
    <row r="1699" spans="12:46">
      <c r="L1699" s="5"/>
      <c r="M1699" s="5"/>
      <c r="W1699" s="5"/>
      <c r="Z1699" s="5"/>
      <c r="AA1699" s="5"/>
      <c r="AD1699" s="5"/>
      <c r="AG1699" s="5"/>
      <c r="AH1699" s="5"/>
      <c r="AN1699" s="4"/>
      <c r="AO1699" s="4"/>
      <c r="AP1699" s="4"/>
      <c r="AQ1699" s="4"/>
      <c r="AR1699" s="4"/>
      <c r="AS1699" s="4"/>
      <c r="AT1699" s="4"/>
    </row>
    <row r="1700" spans="12:46">
      <c r="L1700" s="5"/>
      <c r="M1700" s="5"/>
      <c r="W1700" s="5"/>
      <c r="Z1700" s="5"/>
      <c r="AA1700" s="5"/>
      <c r="AD1700" s="5"/>
      <c r="AG1700" s="5"/>
      <c r="AH1700" s="5"/>
      <c r="AN1700" s="4"/>
      <c r="AO1700" s="4"/>
      <c r="AP1700" s="4"/>
      <c r="AQ1700" s="4"/>
      <c r="AR1700" s="4"/>
      <c r="AS1700" s="4"/>
      <c r="AT1700" s="4"/>
    </row>
    <row r="1701" spans="12:46">
      <c r="L1701" s="5"/>
      <c r="M1701" s="5"/>
      <c r="W1701" s="5"/>
      <c r="Z1701" s="5"/>
      <c r="AA1701" s="5"/>
      <c r="AD1701" s="5"/>
      <c r="AG1701" s="5"/>
      <c r="AH1701" s="5"/>
      <c r="AN1701" s="4"/>
      <c r="AO1701" s="4"/>
      <c r="AP1701" s="4"/>
      <c r="AQ1701" s="4"/>
      <c r="AR1701" s="4"/>
      <c r="AS1701" s="4"/>
      <c r="AT1701" s="4"/>
    </row>
    <row r="1702" spans="12:46">
      <c r="L1702" s="5"/>
      <c r="M1702" s="5"/>
      <c r="W1702" s="5"/>
      <c r="Z1702" s="5"/>
      <c r="AA1702" s="5"/>
      <c r="AD1702" s="5"/>
      <c r="AG1702" s="5"/>
      <c r="AH1702" s="5"/>
      <c r="AN1702" s="4"/>
      <c r="AO1702" s="4"/>
      <c r="AP1702" s="4"/>
      <c r="AQ1702" s="4"/>
      <c r="AR1702" s="4"/>
      <c r="AS1702" s="4"/>
      <c r="AT1702" s="4"/>
    </row>
    <row r="1703" spans="12:46">
      <c r="L1703" s="5"/>
      <c r="M1703" s="5"/>
      <c r="W1703" s="5"/>
      <c r="Z1703" s="5"/>
      <c r="AA1703" s="5"/>
      <c r="AD1703" s="5"/>
      <c r="AG1703" s="5"/>
      <c r="AH1703" s="5"/>
      <c r="AN1703" s="4"/>
      <c r="AO1703" s="4"/>
      <c r="AP1703" s="4"/>
      <c r="AQ1703" s="4"/>
      <c r="AR1703" s="4"/>
      <c r="AS1703" s="4"/>
      <c r="AT1703" s="4"/>
    </row>
    <row r="1704" spans="12:46">
      <c r="L1704" s="5"/>
      <c r="M1704" s="5"/>
      <c r="W1704" s="5"/>
      <c r="Z1704" s="5"/>
      <c r="AA1704" s="5"/>
      <c r="AD1704" s="5"/>
      <c r="AG1704" s="5"/>
      <c r="AH1704" s="5"/>
      <c r="AN1704" s="4"/>
      <c r="AO1704" s="4"/>
      <c r="AP1704" s="4"/>
      <c r="AQ1704" s="4"/>
      <c r="AR1704" s="4"/>
      <c r="AS1704" s="4"/>
      <c r="AT1704" s="4"/>
    </row>
    <row r="1705" spans="12:46">
      <c r="L1705" s="5"/>
      <c r="M1705" s="5"/>
      <c r="W1705" s="5"/>
      <c r="Z1705" s="5"/>
      <c r="AA1705" s="5"/>
      <c r="AD1705" s="5"/>
      <c r="AG1705" s="5"/>
      <c r="AH1705" s="5"/>
      <c r="AN1705" s="4"/>
      <c r="AO1705" s="4"/>
      <c r="AP1705" s="4"/>
      <c r="AQ1705" s="4"/>
      <c r="AR1705" s="4"/>
      <c r="AS1705" s="4"/>
      <c r="AT1705" s="4"/>
    </row>
    <row r="1706" spans="12:46">
      <c r="L1706" s="5"/>
      <c r="M1706" s="5"/>
      <c r="W1706" s="5"/>
      <c r="Z1706" s="5"/>
      <c r="AA1706" s="5"/>
      <c r="AD1706" s="5"/>
      <c r="AG1706" s="5"/>
      <c r="AH1706" s="5"/>
      <c r="AN1706" s="4"/>
      <c r="AO1706" s="4"/>
      <c r="AP1706" s="4"/>
      <c r="AQ1706" s="4"/>
      <c r="AR1706" s="4"/>
      <c r="AS1706" s="4"/>
      <c r="AT1706" s="4"/>
    </row>
    <row r="1707" spans="12:46">
      <c r="L1707" s="5"/>
      <c r="M1707" s="5"/>
      <c r="W1707" s="5"/>
      <c r="Z1707" s="5"/>
      <c r="AA1707" s="5"/>
      <c r="AD1707" s="5"/>
      <c r="AG1707" s="5"/>
      <c r="AH1707" s="5"/>
      <c r="AN1707" s="4"/>
      <c r="AO1707" s="4"/>
      <c r="AP1707" s="4"/>
      <c r="AQ1707" s="4"/>
      <c r="AR1707" s="4"/>
      <c r="AS1707" s="4"/>
      <c r="AT1707" s="4"/>
    </row>
    <row r="1708" spans="12:46">
      <c r="L1708" s="5"/>
      <c r="M1708" s="5"/>
      <c r="W1708" s="5"/>
      <c r="Z1708" s="5"/>
      <c r="AA1708" s="5"/>
      <c r="AD1708" s="5"/>
      <c r="AG1708" s="5"/>
      <c r="AH1708" s="5"/>
      <c r="AN1708" s="4"/>
      <c r="AO1708" s="4"/>
      <c r="AP1708" s="4"/>
      <c r="AQ1708" s="4"/>
      <c r="AR1708" s="4"/>
      <c r="AS1708" s="4"/>
      <c r="AT1708" s="4"/>
    </row>
    <row r="1709" spans="12:46">
      <c r="L1709" s="5"/>
      <c r="M1709" s="5"/>
      <c r="W1709" s="5"/>
      <c r="Z1709" s="5"/>
      <c r="AA1709" s="5"/>
      <c r="AD1709" s="5"/>
      <c r="AG1709" s="5"/>
      <c r="AH1709" s="5"/>
      <c r="AN1709" s="4"/>
      <c r="AO1709" s="4"/>
      <c r="AP1709" s="4"/>
      <c r="AQ1709" s="4"/>
      <c r="AR1709" s="4"/>
      <c r="AS1709" s="4"/>
      <c r="AT1709" s="4"/>
    </row>
    <row r="1710" spans="12:46">
      <c r="L1710" s="5"/>
      <c r="M1710" s="5"/>
      <c r="W1710" s="5"/>
      <c r="Z1710" s="5"/>
      <c r="AA1710" s="5"/>
      <c r="AD1710" s="5"/>
      <c r="AG1710" s="5"/>
      <c r="AH1710" s="5"/>
      <c r="AN1710" s="4"/>
      <c r="AO1710" s="4"/>
      <c r="AP1710" s="4"/>
      <c r="AQ1710" s="4"/>
      <c r="AR1710" s="4"/>
      <c r="AS1710" s="4"/>
      <c r="AT1710" s="4"/>
    </row>
    <row r="1711" spans="12:46">
      <c r="L1711" s="5"/>
      <c r="M1711" s="5"/>
      <c r="W1711" s="5"/>
      <c r="Z1711" s="5"/>
      <c r="AA1711" s="5"/>
      <c r="AD1711" s="5"/>
      <c r="AG1711" s="5"/>
      <c r="AH1711" s="5"/>
      <c r="AN1711" s="4"/>
      <c r="AO1711" s="4"/>
      <c r="AP1711" s="4"/>
      <c r="AQ1711" s="4"/>
      <c r="AR1711" s="4"/>
      <c r="AS1711" s="4"/>
      <c r="AT1711" s="4"/>
    </row>
    <row r="1712" spans="12:46">
      <c r="L1712" s="5"/>
      <c r="M1712" s="5"/>
      <c r="W1712" s="5"/>
      <c r="Z1712" s="5"/>
      <c r="AA1712" s="5"/>
      <c r="AD1712" s="5"/>
      <c r="AG1712" s="5"/>
      <c r="AH1712" s="5"/>
      <c r="AN1712" s="4"/>
      <c r="AO1712" s="4"/>
      <c r="AP1712" s="4"/>
      <c r="AQ1712" s="4"/>
      <c r="AR1712" s="4"/>
      <c r="AS1712" s="4"/>
      <c r="AT1712" s="4"/>
    </row>
    <row r="1713" spans="12:46">
      <c r="L1713" s="5"/>
      <c r="M1713" s="5"/>
      <c r="W1713" s="5"/>
      <c r="Z1713" s="5"/>
      <c r="AA1713" s="5"/>
      <c r="AD1713" s="5"/>
      <c r="AG1713" s="5"/>
      <c r="AH1713" s="5"/>
      <c r="AN1713" s="4"/>
      <c r="AO1713" s="4"/>
      <c r="AP1713" s="4"/>
      <c r="AQ1713" s="4"/>
      <c r="AR1713" s="4"/>
      <c r="AS1713" s="4"/>
      <c r="AT1713" s="4"/>
    </row>
    <row r="1714" spans="12:46">
      <c r="L1714" s="5"/>
      <c r="M1714" s="5"/>
      <c r="W1714" s="5"/>
      <c r="Z1714" s="5"/>
      <c r="AA1714" s="5"/>
      <c r="AD1714" s="5"/>
      <c r="AG1714" s="5"/>
      <c r="AH1714" s="5"/>
      <c r="AN1714" s="4"/>
      <c r="AO1714" s="4"/>
      <c r="AP1714" s="4"/>
      <c r="AQ1714" s="4"/>
      <c r="AR1714" s="4"/>
      <c r="AS1714" s="4"/>
      <c r="AT1714" s="4"/>
    </row>
    <row r="1715" spans="12:46">
      <c r="L1715" s="5"/>
      <c r="M1715" s="5"/>
      <c r="W1715" s="5"/>
      <c r="Z1715" s="5"/>
      <c r="AA1715" s="5"/>
      <c r="AD1715" s="5"/>
      <c r="AG1715" s="5"/>
      <c r="AH1715" s="5"/>
      <c r="AN1715" s="4"/>
      <c r="AO1715" s="4"/>
      <c r="AP1715" s="4"/>
      <c r="AQ1715" s="4"/>
      <c r="AR1715" s="4"/>
      <c r="AS1715" s="4"/>
      <c r="AT1715" s="4"/>
    </row>
    <row r="1716" spans="12:46">
      <c r="L1716" s="5"/>
      <c r="M1716" s="5"/>
      <c r="W1716" s="5"/>
      <c r="Z1716" s="5"/>
      <c r="AA1716" s="5"/>
      <c r="AD1716" s="5"/>
      <c r="AG1716" s="5"/>
      <c r="AH1716" s="5"/>
      <c r="AN1716" s="4"/>
      <c r="AO1716" s="4"/>
      <c r="AP1716" s="4"/>
      <c r="AQ1716" s="4"/>
      <c r="AR1716" s="4"/>
      <c r="AS1716" s="4"/>
      <c r="AT1716" s="4"/>
    </row>
    <row r="1717" spans="12:46">
      <c r="L1717" s="5"/>
      <c r="M1717" s="5"/>
      <c r="W1717" s="5"/>
      <c r="Z1717" s="5"/>
      <c r="AA1717" s="5"/>
      <c r="AD1717" s="5"/>
      <c r="AG1717" s="5"/>
      <c r="AH1717" s="5"/>
      <c r="AN1717" s="4"/>
      <c r="AO1717" s="4"/>
      <c r="AP1717" s="4"/>
      <c r="AQ1717" s="4"/>
      <c r="AR1717" s="4"/>
      <c r="AS1717" s="4"/>
      <c r="AT1717" s="4"/>
    </row>
    <row r="1718" spans="12:46">
      <c r="L1718" s="5"/>
      <c r="M1718" s="5"/>
      <c r="W1718" s="5"/>
      <c r="Z1718" s="5"/>
      <c r="AA1718" s="5"/>
      <c r="AD1718" s="5"/>
      <c r="AG1718" s="5"/>
      <c r="AH1718" s="5"/>
      <c r="AN1718" s="4"/>
      <c r="AO1718" s="4"/>
      <c r="AP1718" s="4"/>
      <c r="AQ1718" s="4"/>
      <c r="AR1718" s="4"/>
      <c r="AS1718" s="4"/>
      <c r="AT1718" s="4"/>
    </row>
    <row r="1719" spans="12:46">
      <c r="L1719" s="5"/>
      <c r="M1719" s="5"/>
      <c r="W1719" s="5"/>
      <c r="Z1719" s="5"/>
      <c r="AA1719" s="5"/>
      <c r="AD1719" s="5"/>
      <c r="AG1719" s="5"/>
      <c r="AH1719" s="5"/>
      <c r="AN1719" s="4"/>
      <c r="AO1719" s="4"/>
      <c r="AP1719" s="4"/>
      <c r="AQ1719" s="4"/>
      <c r="AR1719" s="4"/>
      <c r="AS1719" s="4"/>
      <c r="AT1719" s="4"/>
    </row>
    <row r="1720" spans="12:46">
      <c r="L1720" s="5"/>
      <c r="M1720" s="5"/>
      <c r="W1720" s="5"/>
      <c r="Z1720" s="5"/>
      <c r="AA1720" s="5"/>
      <c r="AD1720" s="5"/>
      <c r="AG1720" s="5"/>
      <c r="AH1720" s="5"/>
      <c r="AN1720" s="4"/>
      <c r="AO1720" s="4"/>
      <c r="AP1720" s="4"/>
      <c r="AQ1720" s="4"/>
      <c r="AR1720" s="4"/>
      <c r="AS1720" s="4"/>
      <c r="AT1720" s="4"/>
    </row>
    <row r="1721" spans="12:46">
      <c r="L1721" s="5"/>
      <c r="M1721" s="5"/>
      <c r="W1721" s="5"/>
      <c r="Z1721" s="5"/>
      <c r="AA1721" s="5"/>
      <c r="AD1721" s="5"/>
      <c r="AG1721" s="5"/>
      <c r="AH1721" s="5"/>
      <c r="AN1721" s="4"/>
      <c r="AO1721" s="4"/>
      <c r="AP1721" s="4"/>
      <c r="AQ1721" s="4"/>
      <c r="AR1721" s="4"/>
      <c r="AS1721" s="4"/>
      <c r="AT1721" s="4"/>
    </row>
    <row r="1722" spans="12:46">
      <c r="L1722" s="5"/>
      <c r="M1722" s="5"/>
      <c r="W1722" s="5"/>
      <c r="Z1722" s="5"/>
      <c r="AA1722" s="5"/>
      <c r="AD1722" s="5"/>
      <c r="AG1722" s="5"/>
      <c r="AH1722" s="5"/>
      <c r="AN1722" s="4"/>
      <c r="AO1722" s="4"/>
      <c r="AP1722" s="4"/>
      <c r="AQ1722" s="4"/>
      <c r="AR1722" s="4"/>
      <c r="AS1722" s="4"/>
      <c r="AT1722" s="4"/>
    </row>
    <row r="1723" spans="12:46">
      <c r="L1723" s="5"/>
      <c r="M1723" s="5"/>
      <c r="W1723" s="5"/>
      <c r="Z1723" s="5"/>
      <c r="AA1723" s="5"/>
      <c r="AD1723" s="5"/>
      <c r="AG1723" s="5"/>
      <c r="AH1723" s="5"/>
      <c r="AN1723" s="4"/>
      <c r="AO1723" s="4"/>
      <c r="AP1723" s="4"/>
      <c r="AQ1723" s="4"/>
      <c r="AR1723" s="4"/>
      <c r="AS1723" s="4"/>
      <c r="AT1723" s="4"/>
    </row>
    <row r="1724" spans="12:46">
      <c r="L1724" s="5"/>
      <c r="M1724" s="5"/>
      <c r="W1724" s="5"/>
      <c r="Z1724" s="5"/>
      <c r="AA1724" s="5"/>
      <c r="AD1724" s="5"/>
      <c r="AG1724" s="5"/>
      <c r="AH1724" s="5"/>
      <c r="AN1724" s="4"/>
      <c r="AO1724" s="4"/>
      <c r="AP1724" s="4"/>
      <c r="AQ1724" s="4"/>
      <c r="AR1724" s="4"/>
      <c r="AS1724" s="4"/>
      <c r="AT1724" s="4"/>
    </row>
    <row r="1725" spans="12:46">
      <c r="L1725" s="5"/>
      <c r="M1725" s="5"/>
      <c r="W1725" s="5"/>
      <c r="Z1725" s="5"/>
      <c r="AA1725" s="5"/>
      <c r="AD1725" s="5"/>
      <c r="AG1725" s="5"/>
      <c r="AH1725" s="5"/>
      <c r="AN1725" s="4"/>
      <c r="AO1725" s="4"/>
      <c r="AP1725" s="4"/>
      <c r="AQ1725" s="4"/>
      <c r="AR1725" s="4"/>
      <c r="AS1725" s="4"/>
      <c r="AT1725" s="4"/>
    </row>
    <row r="1726" spans="12:46">
      <c r="L1726" s="5"/>
      <c r="M1726" s="5"/>
      <c r="W1726" s="5"/>
      <c r="Z1726" s="5"/>
      <c r="AA1726" s="5"/>
      <c r="AD1726" s="5"/>
      <c r="AG1726" s="5"/>
      <c r="AH1726" s="5"/>
      <c r="AN1726" s="4"/>
      <c r="AO1726" s="4"/>
      <c r="AP1726" s="4"/>
      <c r="AQ1726" s="4"/>
      <c r="AR1726" s="4"/>
      <c r="AS1726" s="4"/>
      <c r="AT1726" s="4"/>
    </row>
    <row r="1727" spans="12:46">
      <c r="L1727" s="5"/>
      <c r="M1727" s="5"/>
      <c r="W1727" s="5"/>
      <c r="Z1727" s="5"/>
      <c r="AA1727" s="5"/>
      <c r="AD1727" s="5"/>
      <c r="AG1727" s="5"/>
      <c r="AH1727" s="5"/>
      <c r="AN1727" s="4"/>
      <c r="AO1727" s="4"/>
      <c r="AP1727" s="4"/>
      <c r="AQ1727" s="4"/>
      <c r="AR1727" s="4"/>
      <c r="AS1727" s="4"/>
      <c r="AT1727" s="4"/>
    </row>
    <row r="1728" spans="12:46">
      <c r="L1728" s="5"/>
      <c r="M1728" s="5"/>
      <c r="W1728" s="5"/>
      <c r="Z1728" s="5"/>
      <c r="AA1728" s="5"/>
      <c r="AD1728" s="5"/>
      <c r="AG1728" s="5"/>
      <c r="AH1728" s="5"/>
      <c r="AN1728" s="4"/>
      <c r="AO1728" s="4"/>
      <c r="AP1728" s="4"/>
      <c r="AQ1728" s="4"/>
      <c r="AR1728" s="4"/>
      <c r="AS1728" s="4"/>
      <c r="AT1728" s="4"/>
    </row>
    <row r="1729" spans="12:46">
      <c r="L1729" s="5"/>
      <c r="M1729" s="5"/>
      <c r="W1729" s="5"/>
      <c r="Z1729" s="5"/>
      <c r="AA1729" s="5"/>
      <c r="AD1729" s="5"/>
      <c r="AG1729" s="5"/>
      <c r="AH1729" s="5"/>
      <c r="AN1729" s="4"/>
      <c r="AO1729" s="4"/>
      <c r="AP1729" s="4"/>
      <c r="AQ1729" s="4"/>
      <c r="AR1729" s="4"/>
      <c r="AS1729" s="4"/>
      <c r="AT1729" s="4"/>
    </row>
    <row r="1730" spans="12:46">
      <c r="L1730" s="5"/>
      <c r="M1730" s="5"/>
      <c r="W1730" s="5"/>
      <c r="Z1730" s="5"/>
      <c r="AA1730" s="5"/>
      <c r="AD1730" s="5"/>
      <c r="AG1730" s="5"/>
      <c r="AH1730" s="5"/>
      <c r="AN1730" s="4"/>
      <c r="AO1730" s="4"/>
      <c r="AP1730" s="4"/>
      <c r="AQ1730" s="4"/>
      <c r="AR1730" s="4"/>
      <c r="AS1730" s="4"/>
      <c r="AT1730" s="4"/>
    </row>
    <row r="1731" spans="12:46">
      <c r="L1731" s="5"/>
      <c r="M1731" s="5"/>
      <c r="W1731" s="5"/>
      <c r="Z1731" s="5"/>
      <c r="AA1731" s="5"/>
      <c r="AD1731" s="5"/>
      <c r="AG1731" s="5"/>
      <c r="AH1731" s="5"/>
      <c r="AN1731" s="4"/>
      <c r="AO1731" s="4"/>
      <c r="AP1731" s="4"/>
      <c r="AQ1731" s="4"/>
      <c r="AR1731" s="4"/>
      <c r="AS1731" s="4"/>
      <c r="AT1731" s="4"/>
    </row>
    <row r="1732" spans="12:46">
      <c r="L1732" s="5"/>
      <c r="M1732" s="5"/>
      <c r="W1732" s="5"/>
      <c r="Z1732" s="5"/>
      <c r="AA1732" s="5"/>
      <c r="AD1732" s="5"/>
      <c r="AG1732" s="5"/>
      <c r="AH1732" s="5"/>
      <c r="AN1732" s="4"/>
      <c r="AO1732" s="4"/>
      <c r="AP1732" s="4"/>
      <c r="AQ1732" s="4"/>
      <c r="AR1732" s="4"/>
      <c r="AS1732" s="4"/>
      <c r="AT1732" s="4"/>
    </row>
    <row r="1733" spans="12:46">
      <c r="L1733" s="5"/>
      <c r="M1733" s="5"/>
      <c r="W1733" s="5"/>
      <c r="Z1733" s="5"/>
      <c r="AA1733" s="5"/>
      <c r="AD1733" s="5"/>
      <c r="AG1733" s="5"/>
      <c r="AH1733" s="5"/>
      <c r="AN1733" s="4"/>
      <c r="AO1733" s="4"/>
      <c r="AP1733" s="4"/>
      <c r="AQ1733" s="4"/>
      <c r="AR1733" s="4"/>
      <c r="AS1733" s="4"/>
      <c r="AT1733" s="4"/>
    </row>
    <row r="1734" spans="12:46">
      <c r="L1734" s="5"/>
      <c r="M1734" s="5"/>
      <c r="W1734" s="5"/>
      <c r="Z1734" s="5"/>
      <c r="AA1734" s="5"/>
      <c r="AD1734" s="5"/>
      <c r="AG1734" s="5"/>
      <c r="AH1734" s="5"/>
      <c r="AN1734" s="4"/>
      <c r="AO1734" s="4"/>
      <c r="AP1734" s="4"/>
      <c r="AQ1734" s="4"/>
      <c r="AR1734" s="4"/>
      <c r="AS1734" s="4"/>
      <c r="AT1734" s="4"/>
    </row>
    <row r="1735" spans="12:46">
      <c r="L1735" s="5"/>
      <c r="M1735" s="5"/>
      <c r="W1735" s="5"/>
      <c r="Z1735" s="5"/>
      <c r="AA1735" s="5"/>
      <c r="AD1735" s="5"/>
      <c r="AG1735" s="5"/>
      <c r="AH1735" s="5"/>
      <c r="AN1735" s="4"/>
      <c r="AO1735" s="4"/>
      <c r="AP1735" s="4"/>
      <c r="AQ1735" s="4"/>
      <c r="AR1735" s="4"/>
      <c r="AS1735" s="4"/>
      <c r="AT1735" s="4"/>
    </row>
    <row r="1736" spans="12:46">
      <c r="L1736" s="5"/>
      <c r="M1736" s="5"/>
      <c r="W1736" s="5"/>
      <c r="Z1736" s="5"/>
      <c r="AA1736" s="5"/>
      <c r="AD1736" s="5"/>
      <c r="AG1736" s="5"/>
      <c r="AH1736" s="5"/>
      <c r="AN1736" s="4"/>
      <c r="AO1736" s="4"/>
      <c r="AP1736" s="4"/>
      <c r="AQ1736" s="4"/>
      <c r="AR1736" s="4"/>
      <c r="AS1736" s="4"/>
      <c r="AT1736" s="4"/>
    </row>
    <row r="1737" spans="12:46">
      <c r="L1737" s="5"/>
      <c r="M1737" s="5"/>
      <c r="W1737" s="5"/>
      <c r="Z1737" s="5"/>
      <c r="AA1737" s="5"/>
      <c r="AD1737" s="5"/>
      <c r="AG1737" s="5"/>
      <c r="AH1737" s="5"/>
      <c r="AN1737" s="4"/>
      <c r="AO1737" s="4"/>
      <c r="AP1737" s="4"/>
      <c r="AQ1737" s="4"/>
      <c r="AR1737" s="4"/>
      <c r="AS1737" s="4"/>
      <c r="AT1737" s="4"/>
    </row>
    <row r="1738" spans="12:46">
      <c r="L1738" s="5"/>
      <c r="M1738" s="5"/>
      <c r="W1738" s="5"/>
      <c r="Z1738" s="5"/>
      <c r="AA1738" s="5"/>
      <c r="AD1738" s="5"/>
      <c r="AG1738" s="5"/>
      <c r="AH1738" s="5"/>
      <c r="AN1738" s="4"/>
      <c r="AO1738" s="4"/>
      <c r="AP1738" s="4"/>
      <c r="AQ1738" s="4"/>
      <c r="AR1738" s="4"/>
      <c r="AS1738" s="4"/>
      <c r="AT1738" s="4"/>
    </row>
    <row r="1739" spans="12:46">
      <c r="L1739" s="5"/>
      <c r="M1739" s="5"/>
      <c r="W1739" s="5"/>
      <c r="Z1739" s="5"/>
      <c r="AA1739" s="5"/>
      <c r="AD1739" s="5"/>
      <c r="AG1739" s="5"/>
      <c r="AH1739" s="5"/>
      <c r="AN1739" s="4"/>
      <c r="AO1739" s="4"/>
      <c r="AP1739" s="4"/>
      <c r="AQ1739" s="4"/>
      <c r="AR1739" s="4"/>
      <c r="AS1739" s="4"/>
      <c r="AT1739" s="4"/>
    </row>
    <row r="1740" spans="12:46">
      <c r="L1740" s="5"/>
      <c r="M1740" s="5"/>
      <c r="W1740" s="5"/>
      <c r="Z1740" s="5"/>
      <c r="AA1740" s="5"/>
      <c r="AD1740" s="5"/>
      <c r="AG1740" s="5"/>
      <c r="AH1740" s="5"/>
      <c r="AN1740" s="4"/>
      <c r="AO1740" s="4"/>
      <c r="AP1740" s="4"/>
      <c r="AQ1740" s="4"/>
      <c r="AR1740" s="4"/>
      <c r="AS1740" s="4"/>
      <c r="AT1740" s="4"/>
    </row>
    <row r="1741" spans="12:46">
      <c r="L1741" s="5"/>
      <c r="M1741" s="5"/>
      <c r="W1741" s="5"/>
      <c r="Z1741" s="5"/>
      <c r="AA1741" s="5"/>
      <c r="AD1741" s="5"/>
      <c r="AG1741" s="5"/>
      <c r="AH1741" s="5"/>
      <c r="AN1741" s="4"/>
      <c r="AO1741" s="4"/>
      <c r="AP1741" s="4"/>
      <c r="AQ1741" s="4"/>
      <c r="AR1741" s="4"/>
      <c r="AS1741" s="4"/>
      <c r="AT1741" s="4"/>
    </row>
    <row r="1742" spans="12:46">
      <c r="L1742" s="5"/>
      <c r="M1742" s="5"/>
      <c r="W1742" s="5"/>
      <c r="Z1742" s="5"/>
      <c r="AA1742" s="5"/>
      <c r="AD1742" s="5"/>
      <c r="AG1742" s="5"/>
      <c r="AH1742" s="5"/>
      <c r="AN1742" s="4"/>
      <c r="AO1742" s="4"/>
      <c r="AP1742" s="4"/>
      <c r="AQ1742" s="4"/>
      <c r="AR1742" s="4"/>
      <c r="AS1742" s="4"/>
      <c r="AT1742" s="4"/>
    </row>
    <row r="1743" spans="12:46">
      <c r="L1743" s="5"/>
      <c r="M1743" s="5"/>
      <c r="W1743" s="5"/>
      <c r="Z1743" s="5"/>
      <c r="AA1743" s="5"/>
      <c r="AD1743" s="5"/>
      <c r="AG1743" s="5"/>
      <c r="AH1743" s="5"/>
      <c r="AN1743" s="4"/>
      <c r="AO1743" s="4"/>
      <c r="AP1743" s="4"/>
      <c r="AQ1743" s="4"/>
      <c r="AR1743" s="4"/>
      <c r="AS1743" s="4"/>
      <c r="AT1743" s="4"/>
    </row>
    <row r="1744" spans="12:46">
      <c r="L1744" s="5"/>
      <c r="M1744" s="5"/>
      <c r="W1744" s="5"/>
      <c r="Z1744" s="5"/>
      <c r="AA1744" s="5"/>
      <c r="AD1744" s="5"/>
      <c r="AG1744" s="5"/>
      <c r="AH1744" s="5"/>
      <c r="AN1744" s="4"/>
      <c r="AO1744" s="4"/>
      <c r="AP1744" s="4"/>
      <c r="AQ1744" s="4"/>
      <c r="AR1744" s="4"/>
      <c r="AS1744" s="4"/>
      <c r="AT1744" s="4"/>
    </row>
    <row r="1745" spans="12:46">
      <c r="L1745" s="5"/>
      <c r="M1745" s="5"/>
      <c r="W1745" s="5"/>
      <c r="Z1745" s="5"/>
      <c r="AA1745" s="5"/>
      <c r="AD1745" s="5"/>
      <c r="AG1745" s="5"/>
      <c r="AH1745" s="5"/>
      <c r="AN1745" s="4"/>
      <c r="AO1745" s="4"/>
      <c r="AP1745" s="4"/>
      <c r="AQ1745" s="4"/>
      <c r="AR1745" s="4"/>
      <c r="AS1745" s="4"/>
      <c r="AT1745" s="4"/>
    </row>
    <row r="1746" spans="12:46">
      <c r="L1746" s="5"/>
      <c r="M1746" s="5"/>
      <c r="W1746" s="5"/>
      <c r="Z1746" s="5"/>
      <c r="AA1746" s="5"/>
      <c r="AD1746" s="5"/>
      <c r="AG1746" s="5"/>
      <c r="AH1746" s="5"/>
      <c r="AN1746" s="4"/>
      <c r="AO1746" s="4"/>
      <c r="AP1746" s="4"/>
      <c r="AQ1746" s="4"/>
      <c r="AR1746" s="4"/>
      <c r="AS1746" s="4"/>
      <c r="AT1746" s="4"/>
    </row>
    <row r="1747" spans="12:46">
      <c r="L1747" s="5"/>
      <c r="M1747" s="5"/>
      <c r="W1747" s="5"/>
      <c r="Z1747" s="5"/>
      <c r="AA1747" s="5"/>
      <c r="AD1747" s="5"/>
      <c r="AG1747" s="5"/>
      <c r="AH1747" s="5"/>
      <c r="AN1747" s="4"/>
      <c r="AO1747" s="4"/>
      <c r="AP1747" s="4"/>
      <c r="AQ1747" s="4"/>
      <c r="AR1747" s="4"/>
      <c r="AS1747" s="4"/>
      <c r="AT1747" s="4"/>
    </row>
    <row r="1748" spans="12:46">
      <c r="L1748" s="5"/>
      <c r="M1748" s="5"/>
      <c r="W1748" s="5"/>
      <c r="Z1748" s="5"/>
      <c r="AA1748" s="5"/>
      <c r="AD1748" s="5"/>
      <c r="AG1748" s="5"/>
      <c r="AH1748" s="5"/>
      <c r="AN1748" s="4"/>
      <c r="AO1748" s="4"/>
      <c r="AP1748" s="4"/>
      <c r="AQ1748" s="4"/>
      <c r="AR1748" s="4"/>
      <c r="AS1748" s="4"/>
      <c r="AT1748" s="4"/>
    </row>
    <row r="1749" spans="12:46">
      <c r="L1749" s="5"/>
      <c r="M1749" s="5"/>
      <c r="W1749" s="5"/>
      <c r="Z1749" s="5"/>
      <c r="AA1749" s="5"/>
      <c r="AD1749" s="5"/>
      <c r="AG1749" s="5"/>
      <c r="AH1749" s="5"/>
      <c r="AN1749" s="4"/>
      <c r="AO1749" s="4"/>
      <c r="AP1749" s="4"/>
      <c r="AQ1749" s="4"/>
      <c r="AR1749" s="4"/>
      <c r="AS1749" s="4"/>
      <c r="AT1749" s="4"/>
    </row>
    <row r="1750" spans="12:46">
      <c r="L1750" s="5"/>
      <c r="M1750" s="5"/>
      <c r="W1750" s="5"/>
      <c r="Z1750" s="5"/>
      <c r="AA1750" s="5"/>
      <c r="AD1750" s="5"/>
      <c r="AG1750" s="5"/>
      <c r="AH1750" s="5"/>
      <c r="AN1750" s="4"/>
      <c r="AO1750" s="4"/>
      <c r="AP1750" s="4"/>
      <c r="AQ1750" s="4"/>
      <c r="AR1750" s="4"/>
      <c r="AS1750" s="4"/>
      <c r="AT1750" s="4"/>
    </row>
    <row r="1751" spans="12:46">
      <c r="L1751" s="5"/>
      <c r="M1751" s="5"/>
      <c r="W1751" s="5"/>
      <c r="Z1751" s="5"/>
      <c r="AA1751" s="5"/>
      <c r="AD1751" s="5"/>
      <c r="AG1751" s="5"/>
      <c r="AH1751" s="5"/>
      <c r="AN1751" s="4"/>
      <c r="AO1751" s="4"/>
      <c r="AP1751" s="4"/>
      <c r="AQ1751" s="4"/>
      <c r="AR1751" s="4"/>
      <c r="AS1751" s="4"/>
      <c r="AT1751" s="4"/>
    </row>
    <row r="1752" spans="12:46">
      <c r="L1752" s="5"/>
      <c r="M1752" s="5"/>
      <c r="W1752" s="5"/>
      <c r="Z1752" s="5"/>
      <c r="AA1752" s="5"/>
      <c r="AD1752" s="5"/>
      <c r="AG1752" s="5"/>
      <c r="AH1752" s="5"/>
      <c r="AN1752" s="4"/>
      <c r="AO1752" s="4"/>
      <c r="AP1752" s="4"/>
      <c r="AQ1752" s="4"/>
      <c r="AR1752" s="4"/>
      <c r="AS1752" s="4"/>
      <c r="AT1752" s="4"/>
    </row>
    <row r="1753" spans="12:46">
      <c r="L1753" s="5"/>
      <c r="M1753" s="5"/>
      <c r="W1753" s="5"/>
      <c r="Z1753" s="5"/>
      <c r="AA1753" s="5"/>
      <c r="AD1753" s="5"/>
      <c r="AG1753" s="5"/>
      <c r="AH1753" s="5"/>
      <c r="AN1753" s="4"/>
      <c r="AO1753" s="4"/>
      <c r="AP1753" s="4"/>
      <c r="AQ1753" s="4"/>
      <c r="AR1753" s="4"/>
      <c r="AS1753" s="4"/>
      <c r="AT1753" s="4"/>
    </row>
    <row r="1754" spans="12:46">
      <c r="L1754" s="5"/>
      <c r="M1754" s="5"/>
      <c r="W1754" s="5"/>
      <c r="Z1754" s="5"/>
      <c r="AA1754" s="5"/>
      <c r="AD1754" s="5"/>
      <c r="AG1754" s="5"/>
      <c r="AH1754" s="5"/>
      <c r="AN1754" s="4"/>
      <c r="AO1754" s="4"/>
      <c r="AP1754" s="4"/>
      <c r="AQ1754" s="4"/>
      <c r="AR1754" s="4"/>
      <c r="AS1754" s="4"/>
      <c r="AT1754" s="4"/>
    </row>
    <row r="1755" spans="12:46">
      <c r="L1755" s="5"/>
      <c r="M1755" s="5"/>
      <c r="W1755" s="5"/>
      <c r="Z1755" s="5"/>
      <c r="AA1755" s="5"/>
      <c r="AD1755" s="5"/>
      <c r="AG1755" s="5"/>
      <c r="AH1755" s="5"/>
      <c r="AN1755" s="4"/>
      <c r="AO1755" s="4"/>
      <c r="AP1755" s="4"/>
      <c r="AQ1755" s="4"/>
      <c r="AR1755" s="4"/>
      <c r="AS1755" s="4"/>
      <c r="AT1755" s="4"/>
    </row>
    <row r="1756" spans="12:46">
      <c r="L1756" s="5"/>
      <c r="M1756" s="5"/>
      <c r="W1756" s="5"/>
      <c r="Z1756" s="5"/>
      <c r="AA1756" s="5"/>
      <c r="AD1756" s="5"/>
      <c r="AG1756" s="5"/>
      <c r="AH1756" s="5"/>
      <c r="AN1756" s="4"/>
      <c r="AO1756" s="4"/>
      <c r="AP1756" s="4"/>
      <c r="AQ1756" s="4"/>
      <c r="AR1756" s="4"/>
      <c r="AS1756" s="4"/>
      <c r="AT1756" s="4"/>
    </row>
    <row r="1757" spans="12:46">
      <c r="L1757" s="5"/>
      <c r="M1757" s="5"/>
      <c r="W1757" s="5"/>
      <c r="Z1757" s="5"/>
      <c r="AA1757" s="5"/>
      <c r="AD1757" s="5"/>
      <c r="AG1757" s="5"/>
      <c r="AH1757" s="5"/>
      <c r="AN1757" s="4"/>
      <c r="AO1757" s="4"/>
      <c r="AP1757" s="4"/>
      <c r="AQ1757" s="4"/>
      <c r="AR1757" s="4"/>
      <c r="AS1757" s="4"/>
      <c r="AT1757" s="4"/>
    </row>
    <row r="1758" spans="12:46">
      <c r="L1758" s="5"/>
      <c r="M1758" s="5"/>
      <c r="W1758" s="5"/>
      <c r="Z1758" s="5"/>
      <c r="AA1758" s="5"/>
      <c r="AD1758" s="5"/>
      <c r="AG1758" s="5"/>
      <c r="AH1758" s="5"/>
      <c r="AN1758" s="4"/>
      <c r="AO1758" s="4"/>
      <c r="AP1758" s="4"/>
      <c r="AQ1758" s="4"/>
      <c r="AR1758" s="4"/>
      <c r="AS1758" s="4"/>
      <c r="AT1758" s="4"/>
    </row>
    <row r="1759" spans="12:46">
      <c r="L1759" s="5"/>
      <c r="M1759" s="5"/>
      <c r="W1759" s="5"/>
      <c r="Z1759" s="5"/>
      <c r="AA1759" s="5"/>
      <c r="AD1759" s="5"/>
      <c r="AG1759" s="5"/>
      <c r="AH1759" s="5"/>
      <c r="AN1759" s="4"/>
      <c r="AO1759" s="4"/>
      <c r="AP1759" s="4"/>
      <c r="AQ1759" s="4"/>
      <c r="AR1759" s="4"/>
      <c r="AS1759" s="4"/>
      <c r="AT1759" s="4"/>
    </row>
    <row r="1760" spans="12:46">
      <c r="L1760" s="5"/>
      <c r="M1760" s="5"/>
      <c r="W1760" s="5"/>
      <c r="Z1760" s="5"/>
      <c r="AA1760" s="5"/>
      <c r="AD1760" s="5"/>
      <c r="AG1760" s="5"/>
      <c r="AH1760" s="5"/>
      <c r="AN1760" s="4"/>
      <c r="AO1760" s="4"/>
      <c r="AP1760" s="4"/>
      <c r="AQ1760" s="4"/>
      <c r="AR1760" s="4"/>
      <c r="AS1760" s="4"/>
      <c r="AT1760" s="4"/>
    </row>
    <row r="1761" spans="12:46">
      <c r="L1761" s="5"/>
      <c r="M1761" s="5"/>
      <c r="W1761" s="5"/>
      <c r="Z1761" s="5"/>
      <c r="AA1761" s="5"/>
      <c r="AD1761" s="5"/>
      <c r="AG1761" s="5"/>
      <c r="AH1761" s="5"/>
      <c r="AN1761" s="4"/>
      <c r="AO1761" s="4"/>
      <c r="AP1761" s="4"/>
      <c r="AQ1761" s="4"/>
      <c r="AR1761" s="4"/>
      <c r="AS1761" s="4"/>
      <c r="AT1761" s="4"/>
    </row>
    <row r="1762" spans="12:46">
      <c r="L1762" s="5"/>
      <c r="M1762" s="5"/>
      <c r="W1762" s="5"/>
      <c r="Z1762" s="5"/>
      <c r="AA1762" s="5"/>
      <c r="AD1762" s="5"/>
      <c r="AG1762" s="5"/>
      <c r="AH1762" s="5"/>
      <c r="AN1762" s="4"/>
      <c r="AO1762" s="4"/>
      <c r="AP1762" s="4"/>
      <c r="AQ1762" s="4"/>
      <c r="AR1762" s="4"/>
      <c r="AS1762" s="4"/>
      <c r="AT1762" s="4"/>
    </row>
    <row r="1763" spans="12:46">
      <c r="L1763" s="5"/>
      <c r="M1763" s="5"/>
      <c r="W1763" s="5"/>
      <c r="Z1763" s="5"/>
      <c r="AA1763" s="5"/>
      <c r="AD1763" s="5"/>
      <c r="AG1763" s="5"/>
      <c r="AH1763" s="5"/>
      <c r="AN1763" s="4"/>
      <c r="AO1763" s="4"/>
      <c r="AP1763" s="4"/>
      <c r="AQ1763" s="4"/>
      <c r="AR1763" s="4"/>
      <c r="AS1763" s="4"/>
      <c r="AT1763" s="4"/>
    </row>
    <row r="1764" spans="12:46">
      <c r="L1764" s="5"/>
      <c r="M1764" s="5"/>
      <c r="W1764" s="5"/>
      <c r="Z1764" s="5"/>
      <c r="AA1764" s="5"/>
      <c r="AD1764" s="5"/>
      <c r="AG1764" s="5"/>
      <c r="AH1764" s="5"/>
      <c r="AN1764" s="4"/>
      <c r="AO1764" s="4"/>
      <c r="AP1764" s="4"/>
      <c r="AQ1764" s="4"/>
      <c r="AR1764" s="4"/>
      <c r="AS1764" s="4"/>
      <c r="AT1764" s="4"/>
    </row>
    <row r="1765" spans="12:46">
      <c r="L1765" s="5"/>
      <c r="M1765" s="5"/>
      <c r="W1765" s="5"/>
      <c r="Z1765" s="5"/>
      <c r="AA1765" s="5"/>
      <c r="AD1765" s="5"/>
      <c r="AG1765" s="5"/>
      <c r="AH1765" s="5"/>
      <c r="AN1765" s="4"/>
      <c r="AO1765" s="4"/>
      <c r="AP1765" s="4"/>
      <c r="AQ1765" s="4"/>
      <c r="AR1765" s="4"/>
      <c r="AS1765" s="4"/>
      <c r="AT1765" s="4"/>
    </row>
    <row r="1766" spans="12:46">
      <c r="L1766" s="5"/>
      <c r="M1766" s="5"/>
      <c r="W1766" s="5"/>
      <c r="Z1766" s="5"/>
      <c r="AA1766" s="5"/>
      <c r="AD1766" s="5"/>
      <c r="AG1766" s="5"/>
      <c r="AH1766" s="5"/>
      <c r="AN1766" s="4"/>
      <c r="AO1766" s="4"/>
      <c r="AP1766" s="4"/>
      <c r="AQ1766" s="4"/>
      <c r="AR1766" s="4"/>
      <c r="AS1766" s="4"/>
      <c r="AT1766" s="4"/>
    </row>
    <row r="1767" spans="12:46">
      <c r="L1767" s="5"/>
      <c r="M1767" s="5"/>
      <c r="W1767" s="5"/>
      <c r="Z1767" s="5"/>
      <c r="AA1767" s="5"/>
      <c r="AD1767" s="5"/>
      <c r="AG1767" s="5"/>
      <c r="AH1767" s="5"/>
      <c r="AN1767" s="4"/>
      <c r="AO1767" s="4"/>
      <c r="AP1767" s="4"/>
      <c r="AQ1767" s="4"/>
      <c r="AR1767" s="4"/>
      <c r="AS1767" s="4"/>
      <c r="AT1767" s="4"/>
    </row>
    <row r="1768" spans="12:46">
      <c r="L1768" s="5"/>
      <c r="M1768" s="5"/>
      <c r="W1768" s="5"/>
      <c r="Z1768" s="5"/>
      <c r="AA1768" s="5"/>
      <c r="AD1768" s="5"/>
      <c r="AG1768" s="5"/>
      <c r="AH1768" s="5"/>
      <c r="AN1768" s="4"/>
      <c r="AO1768" s="4"/>
      <c r="AP1768" s="4"/>
      <c r="AQ1768" s="4"/>
      <c r="AR1768" s="4"/>
      <c r="AS1768" s="4"/>
      <c r="AT1768" s="4"/>
    </row>
    <row r="1769" spans="12:46">
      <c r="L1769" s="5"/>
      <c r="M1769" s="5"/>
      <c r="W1769" s="5"/>
      <c r="Z1769" s="5"/>
      <c r="AA1769" s="5"/>
      <c r="AD1769" s="5"/>
      <c r="AG1769" s="5"/>
      <c r="AH1769" s="5"/>
      <c r="AN1769" s="4"/>
      <c r="AO1769" s="4"/>
      <c r="AP1769" s="4"/>
      <c r="AQ1769" s="4"/>
      <c r="AR1769" s="4"/>
      <c r="AS1769" s="4"/>
      <c r="AT1769" s="4"/>
    </row>
    <row r="1770" spans="12:46">
      <c r="L1770" s="5"/>
      <c r="M1770" s="5"/>
      <c r="W1770" s="5"/>
      <c r="Z1770" s="5"/>
      <c r="AA1770" s="5"/>
      <c r="AD1770" s="5"/>
      <c r="AG1770" s="5"/>
      <c r="AH1770" s="5"/>
      <c r="AN1770" s="4"/>
      <c r="AO1770" s="4"/>
      <c r="AP1770" s="4"/>
      <c r="AQ1770" s="4"/>
      <c r="AR1770" s="4"/>
      <c r="AS1770" s="4"/>
      <c r="AT1770" s="4"/>
    </row>
    <row r="1771" spans="12:46">
      <c r="L1771" s="5"/>
      <c r="M1771" s="5"/>
      <c r="W1771" s="5"/>
      <c r="Z1771" s="5"/>
      <c r="AA1771" s="5"/>
      <c r="AD1771" s="5"/>
      <c r="AG1771" s="5"/>
      <c r="AH1771" s="5"/>
      <c r="AN1771" s="4"/>
      <c r="AO1771" s="4"/>
      <c r="AP1771" s="4"/>
      <c r="AQ1771" s="4"/>
      <c r="AR1771" s="4"/>
      <c r="AS1771" s="4"/>
      <c r="AT1771" s="4"/>
    </row>
    <row r="1772" spans="12:46">
      <c r="L1772" s="5"/>
      <c r="M1772" s="5"/>
      <c r="W1772" s="5"/>
      <c r="Z1772" s="5"/>
      <c r="AA1772" s="5"/>
      <c r="AD1772" s="5"/>
      <c r="AG1772" s="5"/>
      <c r="AH1772" s="5"/>
      <c r="AN1772" s="4"/>
      <c r="AO1772" s="4"/>
      <c r="AP1772" s="4"/>
      <c r="AQ1772" s="4"/>
      <c r="AR1772" s="4"/>
      <c r="AS1772" s="4"/>
      <c r="AT1772" s="4"/>
    </row>
    <row r="1773" spans="12:46">
      <c r="L1773" s="5"/>
      <c r="M1773" s="5"/>
      <c r="W1773" s="5"/>
      <c r="Z1773" s="5"/>
      <c r="AA1773" s="5"/>
      <c r="AD1773" s="5"/>
      <c r="AG1773" s="5"/>
      <c r="AH1773" s="5"/>
      <c r="AN1773" s="4"/>
      <c r="AO1773" s="4"/>
      <c r="AP1773" s="4"/>
      <c r="AQ1773" s="4"/>
      <c r="AR1773" s="4"/>
      <c r="AS1773" s="4"/>
      <c r="AT1773" s="4"/>
    </row>
    <row r="1774" spans="12:46">
      <c r="L1774" s="5"/>
      <c r="M1774" s="5"/>
      <c r="W1774" s="5"/>
      <c r="Z1774" s="5"/>
      <c r="AA1774" s="5"/>
      <c r="AD1774" s="5"/>
      <c r="AG1774" s="5"/>
      <c r="AH1774" s="5"/>
      <c r="AN1774" s="4"/>
      <c r="AO1774" s="4"/>
      <c r="AP1774" s="4"/>
      <c r="AQ1774" s="4"/>
      <c r="AR1774" s="4"/>
      <c r="AS1774" s="4"/>
      <c r="AT1774" s="4"/>
    </row>
    <row r="1775" spans="12:46">
      <c r="L1775" s="5"/>
      <c r="M1775" s="5"/>
      <c r="W1775" s="5"/>
      <c r="Z1775" s="5"/>
      <c r="AA1775" s="5"/>
      <c r="AD1775" s="5"/>
      <c r="AG1775" s="5"/>
      <c r="AH1775" s="5"/>
      <c r="AN1775" s="4"/>
      <c r="AO1775" s="4"/>
      <c r="AP1775" s="4"/>
      <c r="AQ1775" s="4"/>
      <c r="AR1775" s="4"/>
      <c r="AS1775" s="4"/>
      <c r="AT1775" s="4"/>
    </row>
    <row r="1776" spans="12:46">
      <c r="L1776" s="5"/>
      <c r="M1776" s="5"/>
      <c r="W1776" s="5"/>
      <c r="Z1776" s="5"/>
      <c r="AA1776" s="5"/>
      <c r="AD1776" s="5"/>
      <c r="AG1776" s="5"/>
      <c r="AH1776" s="5"/>
      <c r="AN1776" s="4"/>
      <c r="AO1776" s="4"/>
      <c r="AP1776" s="4"/>
      <c r="AQ1776" s="4"/>
      <c r="AR1776" s="4"/>
      <c r="AS1776" s="4"/>
      <c r="AT1776" s="4"/>
    </row>
    <row r="1777" spans="12:46">
      <c r="L1777" s="5"/>
      <c r="M1777" s="5"/>
      <c r="W1777" s="5"/>
      <c r="Z1777" s="5"/>
      <c r="AA1777" s="5"/>
      <c r="AD1777" s="5"/>
      <c r="AG1777" s="5"/>
      <c r="AH1777" s="5"/>
      <c r="AN1777" s="4"/>
      <c r="AO1777" s="4"/>
      <c r="AP1777" s="4"/>
      <c r="AQ1777" s="4"/>
      <c r="AR1777" s="4"/>
      <c r="AS1777" s="4"/>
      <c r="AT1777" s="4"/>
    </row>
    <row r="1778" spans="12:46">
      <c r="L1778" s="5"/>
      <c r="M1778" s="5"/>
      <c r="W1778" s="5"/>
      <c r="Z1778" s="5"/>
      <c r="AA1778" s="5"/>
      <c r="AD1778" s="5"/>
      <c r="AG1778" s="5"/>
      <c r="AH1778" s="5"/>
      <c r="AN1778" s="4"/>
      <c r="AO1778" s="4"/>
      <c r="AP1778" s="4"/>
      <c r="AQ1778" s="4"/>
      <c r="AR1778" s="4"/>
      <c r="AS1778" s="4"/>
      <c r="AT1778" s="4"/>
    </row>
    <row r="1779" spans="12:46">
      <c r="L1779" s="5"/>
      <c r="M1779" s="5"/>
      <c r="W1779" s="5"/>
      <c r="Z1779" s="5"/>
      <c r="AA1779" s="5"/>
      <c r="AD1779" s="5"/>
      <c r="AG1779" s="5"/>
      <c r="AH1779" s="5"/>
      <c r="AN1779" s="4"/>
      <c r="AO1779" s="4"/>
      <c r="AP1779" s="4"/>
      <c r="AQ1779" s="4"/>
      <c r="AR1779" s="4"/>
      <c r="AS1779" s="4"/>
      <c r="AT1779" s="4"/>
    </row>
    <row r="1780" spans="12:46">
      <c r="L1780" s="5"/>
      <c r="M1780" s="5"/>
      <c r="W1780" s="5"/>
      <c r="Z1780" s="5"/>
      <c r="AA1780" s="5"/>
      <c r="AD1780" s="5"/>
      <c r="AG1780" s="5"/>
      <c r="AH1780" s="5"/>
      <c r="AN1780" s="4"/>
      <c r="AO1780" s="4"/>
      <c r="AP1780" s="4"/>
      <c r="AQ1780" s="4"/>
      <c r="AR1780" s="4"/>
      <c r="AS1780" s="4"/>
      <c r="AT1780" s="4"/>
    </row>
    <row r="1781" spans="12:46">
      <c r="L1781" s="5"/>
      <c r="M1781" s="5"/>
      <c r="W1781" s="5"/>
      <c r="Z1781" s="5"/>
      <c r="AA1781" s="5"/>
      <c r="AD1781" s="5"/>
      <c r="AG1781" s="5"/>
      <c r="AH1781" s="5"/>
      <c r="AN1781" s="4"/>
      <c r="AO1781" s="4"/>
      <c r="AP1781" s="4"/>
      <c r="AQ1781" s="4"/>
      <c r="AR1781" s="4"/>
      <c r="AS1781" s="4"/>
      <c r="AT1781" s="4"/>
    </row>
    <row r="1782" spans="12:46">
      <c r="L1782" s="5"/>
      <c r="M1782" s="5"/>
      <c r="W1782" s="5"/>
      <c r="Z1782" s="5"/>
      <c r="AA1782" s="5"/>
      <c r="AD1782" s="5"/>
      <c r="AG1782" s="5"/>
      <c r="AH1782" s="5"/>
      <c r="AN1782" s="4"/>
      <c r="AO1782" s="4"/>
      <c r="AP1782" s="4"/>
      <c r="AQ1782" s="4"/>
      <c r="AR1782" s="4"/>
      <c r="AS1782" s="4"/>
      <c r="AT1782" s="4"/>
    </row>
    <row r="1783" spans="12:46">
      <c r="L1783" s="5"/>
      <c r="M1783" s="5"/>
      <c r="W1783" s="5"/>
      <c r="Z1783" s="5"/>
      <c r="AA1783" s="5"/>
      <c r="AD1783" s="5"/>
      <c r="AG1783" s="5"/>
      <c r="AH1783" s="5"/>
      <c r="AN1783" s="4"/>
      <c r="AO1783" s="4"/>
      <c r="AP1783" s="4"/>
      <c r="AQ1783" s="4"/>
      <c r="AR1783" s="4"/>
      <c r="AS1783" s="4"/>
      <c r="AT1783" s="4"/>
    </row>
    <row r="1784" spans="12:46">
      <c r="L1784" s="5"/>
      <c r="M1784" s="5"/>
      <c r="W1784" s="5"/>
      <c r="Z1784" s="5"/>
      <c r="AA1784" s="5"/>
      <c r="AD1784" s="5"/>
      <c r="AG1784" s="5"/>
      <c r="AH1784" s="5"/>
      <c r="AN1784" s="4"/>
      <c r="AO1784" s="4"/>
      <c r="AP1784" s="4"/>
      <c r="AQ1784" s="4"/>
      <c r="AR1784" s="4"/>
      <c r="AS1784" s="4"/>
      <c r="AT1784" s="4"/>
    </row>
    <row r="1785" spans="12:46">
      <c r="L1785" s="5"/>
      <c r="M1785" s="5"/>
      <c r="W1785" s="5"/>
      <c r="Z1785" s="5"/>
      <c r="AA1785" s="5"/>
      <c r="AD1785" s="5"/>
      <c r="AG1785" s="5"/>
      <c r="AH1785" s="5"/>
      <c r="AN1785" s="4"/>
      <c r="AO1785" s="4"/>
      <c r="AP1785" s="4"/>
      <c r="AQ1785" s="4"/>
      <c r="AR1785" s="4"/>
      <c r="AS1785" s="4"/>
      <c r="AT1785" s="4"/>
    </row>
    <row r="1786" spans="12:46">
      <c r="L1786" s="5"/>
      <c r="M1786" s="5"/>
      <c r="W1786" s="5"/>
      <c r="Z1786" s="5"/>
      <c r="AA1786" s="5"/>
      <c r="AD1786" s="5"/>
      <c r="AG1786" s="5"/>
      <c r="AH1786" s="5"/>
      <c r="AN1786" s="4"/>
      <c r="AO1786" s="4"/>
      <c r="AP1786" s="4"/>
      <c r="AQ1786" s="4"/>
      <c r="AR1786" s="4"/>
      <c r="AS1786" s="4"/>
      <c r="AT1786" s="4"/>
    </row>
    <row r="1787" spans="12:46">
      <c r="L1787" s="5"/>
      <c r="M1787" s="5"/>
      <c r="W1787" s="5"/>
      <c r="Z1787" s="5"/>
      <c r="AA1787" s="5"/>
      <c r="AD1787" s="5"/>
      <c r="AG1787" s="5"/>
      <c r="AH1787" s="5"/>
      <c r="AN1787" s="4"/>
      <c r="AO1787" s="4"/>
      <c r="AP1787" s="4"/>
      <c r="AQ1787" s="4"/>
      <c r="AR1787" s="4"/>
      <c r="AS1787" s="4"/>
      <c r="AT1787" s="4"/>
    </row>
    <row r="1788" spans="12:46">
      <c r="L1788" s="5"/>
      <c r="M1788" s="5"/>
      <c r="W1788" s="5"/>
      <c r="Z1788" s="5"/>
      <c r="AA1788" s="5"/>
      <c r="AD1788" s="5"/>
      <c r="AG1788" s="5"/>
      <c r="AH1788" s="5"/>
      <c r="AN1788" s="4"/>
      <c r="AO1788" s="4"/>
      <c r="AP1788" s="4"/>
      <c r="AQ1788" s="4"/>
      <c r="AR1788" s="4"/>
      <c r="AS1788" s="4"/>
      <c r="AT1788" s="4"/>
    </row>
    <row r="1789" spans="12:46">
      <c r="L1789" s="5"/>
      <c r="M1789" s="5"/>
      <c r="W1789" s="5"/>
      <c r="Z1789" s="5"/>
      <c r="AA1789" s="5"/>
      <c r="AD1789" s="5"/>
      <c r="AG1789" s="5"/>
      <c r="AH1789" s="5"/>
      <c r="AN1789" s="4"/>
      <c r="AO1789" s="4"/>
      <c r="AP1789" s="4"/>
      <c r="AQ1789" s="4"/>
      <c r="AR1789" s="4"/>
      <c r="AS1789" s="4"/>
      <c r="AT1789" s="4"/>
    </row>
    <row r="1790" spans="12:46">
      <c r="L1790" s="5"/>
      <c r="M1790" s="5"/>
      <c r="W1790" s="5"/>
      <c r="Z1790" s="5"/>
      <c r="AA1790" s="5"/>
      <c r="AD1790" s="5"/>
      <c r="AG1790" s="5"/>
      <c r="AH1790" s="5"/>
      <c r="AN1790" s="4"/>
      <c r="AO1790" s="4"/>
      <c r="AP1790" s="4"/>
      <c r="AQ1790" s="4"/>
      <c r="AR1790" s="4"/>
      <c r="AS1790" s="4"/>
      <c r="AT1790" s="4"/>
    </row>
    <row r="1791" spans="12:46">
      <c r="L1791" s="5"/>
      <c r="M1791" s="5"/>
      <c r="W1791" s="5"/>
      <c r="Z1791" s="5"/>
      <c r="AA1791" s="5"/>
      <c r="AD1791" s="5"/>
      <c r="AG1791" s="5"/>
      <c r="AH1791" s="5"/>
      <c r="AN1791" s="4"/>
      <c r="AO1791" s="4"/>
      <c r="AP1791" s="4"/>
      <c r="AQ1791" s="4"/>
      <c r="AR1791" s="4"/>
      <c r="AS1791" s="4"/>
      <c r="AT1791" s="4"/>
    </row>
    <row r="1792" spans="12:46">
      <c r="L1792" s="5"/>
      <c r="M1792" s="5"/>
      <c r="W1792" s="5"/>
      <c r="Z1792" s="5"/>
      <c r="AA1792" s="5"/>
      <c r="AD1792" s="5"/>
      <c r="AG1792" s="5"/>
      <c r="AH1792" s="5"/>
      <c r="AN1792" s="4"/>
      <c r="AO1792" s="4"/>
      <c r="AP1792" s="4"/>
      <c r="AQ1792" s="4"/>
      <c r="AR1792" s="4"/>
      <c r="AS1792" s="4"/>
      <c r="AT1792" s="4"/>
    </row>
    <row r="1793" spans="12:46">
      <c r="L1793" s="5"/>
      <c r="M1793" s="5"/>
      <c r="W1793" s="5"/>
      <c r="Z1793" s="5"/>
      <c r="AA1793" s="5"/>
      <c r="AD1793" s="5"/>
      <c r="AG1793" s="5"/>
      <c r="AH1793" s="5"/>
      <c r="AN1793" s="4"/>
      <c r="AO1793" s="4"/>
      <c r="AP1793" s="4"/>
      <c r="AQ1793" s="4"/>
      <c r="AR1793" s="4"/>
      <c r="AS1793" s="4"/>
      <c r="AT1793" s="4"/>
    </row>
    <row r="1794" spans="12:46">
      <c r="L1794" s="5"/>
      <c r="M1794" s="5"/>
      <c r="W1794" s="5"/>
      <c r="Z1794" s="5"/>
      <c r="AA1794" s="5"/>
      <c r="AD1794" s="5"/>
      <c r="AG1794" s="5"/>
      <c r="AH1794" s="5"/>
      <c r="AN1794" s="4"/>
      <c r="AO1794" s="4"/>
      <c r="AP1794" s="4"/>
      <c r="AQ1794" s="4"/>
      <c r="AR1794" s="4"/>
      <c r="AS1794" s="4"/>
      <c r="AT1794" s="4"/>
    </row>
    <row r="1795" spans="12:46">
      <c r="L1795" s="5"/>
      <c r="M1795" s="5"/>
      <c r="W1795" s="5"/>
      <c r="Z1795" s="5"/>
      <c r="AA1795" s="5"/>
      <c r="AD1795" s="5"/>
      <c r="AG1795" s="5"/>
      <c r="AH1795" s="5"/>
      <c r="AN1795" s="4"/>
      <c r="AO1795" s="4"/>
      <c r="AP1795" s="4"/>
      <c r="AQ1795" s="4"/>
      <c r="AR1795" s="4"/>
      <c r="AS1795" s="4"/>
      <c r="AT1795" s="4"/>
    </row>
    <row r="1796" spans="12:46">
      <c r="L1796" s="5"/>
      <c r="M1796" s="5"/>
      <c r="W1796" s="5"/>
      <c r="Z1796" s="5"/>
      <c r="AA1796" s="5"/>
      <c r="AD1796" s="5"/>
      <c r="AG1796" s="5"/>
      <c r="AH1796" s="5"/>
      <c r="AN1796" s="4"/>
      <c r="AO1796" s="4"/>
      <c r="AP1796" s="4"/>
      <c r="AQ1796" s="4"/>
      <c r="AR1796" s="4"/>
      <c r="AS1796" s="4"/>
      <c r="AT1796" s="4"/>
    </row>
    <row r="1797" spans="12:46">
      <c r="L1797" s="5"/>
      <c r="M1797" s="5"/>
      <c r="W1797" s="5"/>
      <c r="Z1797" s="5"/>
      <c r="AA1797" s="5"/>
      <c r="AD1797" s="5"/>
      <c r="AG1797" s="5"/>
      <c r="AH1797" s="5"/>
      <c r="AN1797" s="4"/>
      <c r="AO1797" s="4"/>
      <c r="AP1797" s="4"/>
      <c r="AQ1797" s="4"/>
      <c r="AR1797" s="4"/>
      <c r="AS1797" s="4"/>
      <c r="AT1797" s="4"/>
    </row>
    <row r="1798" spans="12:46">
      <c r="L1798" s="5"/>
      <c r="M1798" s="5"/>
      <c r="W1798" s="5"/>
      <c r="Z1798" s="5"/>
      <c r="AA1798" s="5"/>
      <c r="AD1798" s="5"/>
      <c r="AG1798" s="5"/>
      <c r="AH1798" s="5"/>
      <c r="AN1798" s="4"/>
      <c r="AO1798" s="4"/>
      <c r="AP1798" s="4"/>
      <c r="AQ1798" s="4"/>
      <c r="AR1798" s="4"/>
      <c r="AS1798" s="4"/>
      <c r="AT1798" s="4"/>
    </row>
    <row r="1799" spans="12:46">
      <c r="L1799" s="5"/>
      <c r="M1799" s="5"/>
      <c r="W1799" s="5"/>
      <c r="Z1799" s="5"/>
      <c r="AA1799" s="5"/>
      <c r="AD1799" s="5"/>
      <c r="AG1799" s="5"/>
      <c r="AH1799" s="5"/>
      <c r="AN1799" s="4"/>
      <c r="AO1799" s="4"/>
      <c r="AP1799" s="4"/>
      <c r="AQ1799" s="4"/>
      <c r="AR1799" s="4"/>
      <c r="AS1799" s="4"/>
      <c r="AT1799" s="4"/>
    </row>
    <row r="1800" spans="12:46">
      <c r="L1800" s="5"/>
      <c r="M1800" s="5"/>
      <c r="W1800" s="5"/>
      <c r="Z1800" s="5"/>
      <c r="AA1800" s="5"/>
      <c r="AD1800" s="5"/>
      <c r="AG1800" s="5"/>
      <c r="AH1800" s="5"/>
      <c r="AN1800" s="4"/>
      <c r="AO1800" s="4"/>
      <c r="AP1800" s="4"/>
      <c r="AQ1800" s="4"/>
      <c r="AR1800" s="4"/>
      <c r="AS1800" s="4"/>
      <c r="AT1800" s="4"/>
    </row>
    <row r="1801" spans="12:46">
      <c r="L1801" s="5"/>
      <c r="M1801" s="5"/>
      <c r="W1801" s="5"/>
      <c r="Z1801" s="5"/>
      <c r="AA1801" s="5"/>
      <c r="AD1801" s="5"/>
      <c r="AG1801" s="5"/>
      <c r="AH1801" s="5"/>
      <c r="AN1801" s="4"/>
      <c r="AO1801" s="4"/>
      <c r="AP1801" s="4"/>
      <c r="AQ1801" s="4"/>
      <c r="AR1801" s="4"/>
      <c r="AS1801" s="4"/>
      <c r="AT1801" s="4"/>
    </row>
    <row r="1802" spans="12:46">
      <c r="L1802" s="5"/>
      <c r="M1802" s="5"/>
      <c r="W1802" s="5"/>
      <c r="Z1802" s="5"/>
      <c r="AA1802" s="5"/>
      <c r="AD1802" s="5"/>
      <c r="AG1802" s="5"/>
      <c r="AH1802" s="5"/>
      <c r="AN1802" s="4"/>
      <c r="AO1802" s="4"/>
      <c r="AP1802" s="4"/>
      <c r="AQ1802" s="4"/>
      <c r="AR1802" s="4"/>
      <c r="AS1802" s="4"/>
      <c r="AT1802" s="4"/>
    </row>
    <row r="1803" spans="12:46">
      <c r="L1803" s="5"/>
      <c r="M1803" s="5"/>
      <c r="W1803" s="5"/>
      <c r="Z1803" s="5"/>
      <c r="AA1803" s="5"/>
      <c r="AD1803" s="5"/>
      <c r="AG1803" s="5"/>
      <c r="AH1803" s="5"/>
      <c r="AN1803" s="4"/>
      <c r="AO1803" s="4"/>
      <c r="AP1803" s="4"/>
      <c r="AQ1803" s="4"/>
      <c r="AR1803" s="4"/>
      <c r="AS1803" s="4"/>
      <c r="AT1803" s="4"/>
    </row>
    <row r="1804" spans="12:46">
      <c r="L1804" s="5"/>
      <c r="M1804" s="5"/>
      <c r="W1804" s="5"/>
      <c r="Z1804" s="5"/>
      <c r="AA1804" s="5"/>
      <c r="AD1804" s="5"/>
      <c r="AG1804" s="5"/>
      <c r="AH1804" s="5"/>
      <c r="AN1804" s="4"/>
      <c r="AO1804" s="4"/>
      <c r="AP1804" s="4"/>
      <c r="AQ1804" s="4"/>
      <c r="AR1804" s="4"/>
      <c r="AS1804" s="4"/>
      <c r="AT1804" s="4"/>
    </row>
    <row r="1805" spans="12:46">
      <c r="L1805" s="5"/>
      <c r="M1805" s="5"/>
      <c r="W1805" s="5"/>
      <c r="Z1805" s="5"/>
      <c r="AA1805" s="5"/>
      <c r="AD1805" s="5"/>
      <c r="AG1805" s="5"/>
      <c r="AH1805" s="5"/>
      <c r="AN1805" s="4"/>
      <c r="AO1805" s="4"/>
      <c r="AP1805" s="4"/>
      <c r="AQ1805" s="4"/>
      <c r="AR1805" s="4"/>
      <c r="AS1805" s="4"/>
      <c r="AT1805" s="4"/>
    </row>
    <row r="1806" spans="12:46">
      <c r="L1806" s="5"/>
      <c r="M1806" s="5"/>
      <c r="W1806" s="5"/>
      <c r="Z1806" s="5"/>
      <c r="AA1806" s="5"/>
      <c r="AD1806" s="5"/>
      <c r="AG1806" s="5"/>
      <c r="AH1806" s="5"/>
      <c r="AN1806" s="4"/>
      <c r="AO1806" s="4"/>
      <c r="AP1806" s="4"/>
      <c r="AQ1806" s="4"/>
      <c r="AR1806" s="4"/>
      <c r="AS1806" s="4"/>
      <c r="AT1806" s="4"/>
    </row>
    <row r="1807" spans="12:46">
      <c r="L1807" s="5"/>
      <c r="M1807" s="5"/>
      <c r="W1807" s="5"/>
      <c r="Z1807" s="5"/>
      <c r="AA1807" s="5"/>
      <c r="AD1807" s="5"/>
      <c r="AG1807" s="5"/>
      <c r="AH1807" s="5"/>
      <c r="AN1807" s="4"/>
      <c r="AO1807" s="4"/>
      <c r="AP1807" s="4"/>
      <c r="AQ1807" s="4"/>
      <c r="AR1807" s="4"/>
      <c r="AS1807" s="4"/>
      <c r="AT1807" s="4"/>
    </row>
    <row r="1808" spans="12:46">
      <c r="L1808" s="5"/>
      <c r="M1808" s="5"/>
      <c r="W1808" s="5"/>
      <c r="Z1808" s="5"/>
      <c r="AA1808" s="5"/>
      <c r="AD1808" s="5"/>
      <c r="AG1808" s="5"/>
      <c r="AH1808" s="5"/>
      <c r="AN1808" s="4"/>
      <c r="AO1808" s="4"/>
      <c r="AP1808" s="4"/>
      <c r="AQ1808" s="4"/>
      <c r="AR1808" s="4"/>
      <c r="AS1808" s="4"/>
      <c r="AT1808" s="4"/>
    </row>
    <row r="1809" spans="12:46">
      <c r="L1809" s="5"/>
      <c r="M1809" s="5"/>
      <c r="W1809" s="5"/>
      <c r="Z1809" s="5"/>
      <c r="AA1809" s="5"/>
      <c r="AD1809" s="5"/>
      <c r="AG1809" s="5"/>
      <c r="AH1809" s="5"/>
      <c r="AN1809" s="4"/>
      <c r="AO1809" s="4"/>
      <c r="AP1809" s="4"/>
      <c r="AQ1809" s="4"/>
      <c r="AR1809" s="4"/>
      <c r="AS1809" s="4"/>
      <c r="AT1809" s="4"/>
    </row>
    <row r="1810" spans="12:46">
      <c r="L1810" s="5"/>
      <c r="M1810" s="5"/>
      <c r="W1810" s="5"/>
      <c r="Z1810" s="5"/>
      <c r="AA1810" s="5"/>
      <c r="AD1810" s="5"/>
      <c r="AG1810" s="5"/>
      <c r="AH1810" s="5"/>
      <c r="AN1810" s="4"/>
      <c r="AO1810" s="4"/>
      <c r="AP1810" s="4"/>
      <c r="AQ1810" s="4"/>
      <c r="AR1810" s="4"/>
      <c r="AS1810" s="4"/>
      <c r="AT1810" s="4"/>
    </row>
    <row r="1811" spans="12:46">
      <c r="L1811" s="5"/>
      <c r="M1811" s="5"/>
      <c r="W1811" s="5"/>
      <c r="Z1811" s="5"/>
      <c r="AA1811" s="5"/>
      <c r="AD1811" s="5"/>
      <c r="AG1811" s="5"/>
      <c r="AH1811" s="5"/>
      <c r="AN1811" s="4"/>
      <c r="AO1811" s="4"/>
      <c r="AP1811" s="4"/>
      <c r="AQ1811" s="4"/>
      <c r="AR1811" s="4"/>
      <c r="AS1811" s="4"/>
      <c r="AT1811" s="4"/>
    </row>
    <row r="1812" spans="12:46">
      <c r="L1812" s="5"/>
      <c r="M1812" s="5"/>
      <c r="W1812" s="5"/>
      <c r="Z1812" s="5"/>
      <c r="AA1812" s="5"/>
      <c r="AD1812" s="5"/>
      <c r="AG1812" s="5"/>
      <c r="AH1812" s="5"/>
      <c r="AN1812" s="4"/>
      <c r="AO1812" s="4"/>
      <c r="AP1812" s="4"/>
      <c r="AQ1812" s="4"/>
      <c r="AR1812" s="4"/>
      <c r="AS1812" s="4"/>
      <c r="AT1812" s="4"/>
    </row>
    <row r="1813" spans="12:46">
      <c r="L1813" s="5"/>
      <c r="M1813" s="5"/>
      <c r="W1813" s="5"/>
      <c r="Z1813" s="5"/>
      <c r="AA1813" s="5"/>
      <c r="AD1813" s="5"/>
      <c r="AG1813" s="5"/>
      <c r="AH1813" s="5"/>
      <c r="AN1813" s="4"/>
      <c r="AO1813" s="4"/>
      <c r="AP1813" s="4"/>
      <c r="AQ1813" s="4"/>
      <c r="AR1813" s="4"/>
      <c r="AS1813" s="4"/>
      <c r="AT1813" s="4"/>
    </row>
    <row r="1814" spans="12:46">
      <c r="L1814" s="5"/>
      <c r="M1814" s="5"/>
      <c r="W1814" s="5"/>
      <c r="Z1814" s="5"/>
      <c r="AA1814" s="5"/>
      <c r="AD1814" s="5"/>
      <c r="AG1814" s="5"/>
      <c r="AH1814" s="5"/>
      <c r="AN1814" s="4"/>
      <c r="AO1814" s="4"/>
      <c r="AP1814" s="4"/>
      <c r="AQ1814" s="4"/>
      <c r="AR1814" s="4"/>
      <c r="AS1814" s="4"/>
      <c r="AT1814" s="4"/>
    </row>
    <row r="1815" spans="12:46">
      <c r="L1815" s="5"/>
      <c r="M1815" s="5"/>
      <c r="W1815" s="5"/>
      <c r="Z1815" s="5"/>
      <c r="AA1815" s="5"/>
      <c r="AD1815" s="5"/>
      <c r="AG1815" s="5"/>
      <c r="AH1815" s="5"/>
      <c r="AN1815" s="4"/>
      <c r="AO1815" s="4"/>
      <c r="AP1815" s="4"/>
      <c r="AQ1815" s="4"/>
      <c r="AR1815" s="4"/>
      <c r="AS1815" s="4"/>
      <c r="AT1815" s="4"/>
    </row>
    <row r="1816" spans="12:46">
      <c r="L1816" s="5"/>
      <c r="M1816" s="5"/>
      <c r="W1816" s="5"/>
      <c r="Z1816" s="5"/>
      <c r="AA1816" s="5"/>
      <c r="AD1816" s="5"/>
      <c r="AG1816" s="5"/>
      <c r="AH1816" s="5"/>
      <c r="AN1816" s="4"/>
      <c r="AO1816" s="4"/>
      <c r="AP1816" s="4"/>
      <c r="AQ1816" s="4"/>
      <c r="AR1816" s="4"/>
      <c r="AS1816" s="4"/>
      <c r="AT1816" s="4"/>
    </row>
    <row r="1817" spans="12:46">
      <c r="L1817" s="5"/>
      <c r="M1817" s="5"/>
      <c r="W1817" s="5"/>
      <c r="Z1817" s="5"/>
      <c r="AA1817" s="5"/>
      <c r="AD1817" s="5"/>
      <c r="AG1817" s="5"/>
      <c r="AH1817" s="5"/>
      <c r="AN1817" s="4"/>
      <c r="AO1817" s="4"/>
      <c r="AP1817" s="4"/>
      <c r="AQ1817" s="4"/>
      <c r="AR1817" s="4"/>
      <c r="AS1817" s="4"/>
      <c r="AT1817" s="4"/>
    </row>
    <row r="1818" spans="12:46">
      <c r="L1818" s="5"/>
      <c r="M1818" s="5"/>
      <c r="W1818" s="5"/>
      <c r="Z1818" s="5"/>
      <c r="AA1818" s="5"/>
      <c r="AD1818" s="5"/>
      <c r="AG1818" s="5"/>
      <c r="AH1818" s="5"/>
      <c r="AN1818" s="4"/>
      <c r="AO1818" s="4"/>
      <c r="AP1818" s="4"/>
      <c r="AQ1818" s="4"/>
      <c r="AR1818" s="4"/>
      <c r="AS1818" s="4"/>
      <c r="AT1818" s="4"/>
    </row>
    <row r="1819" spans="12:46">
      <c r="L1819" s="5"/>
      <c r="M1819" s="5"/>
      <c r="W1819" s="5"/>
      <c r="Z1819" s="5"/>
      <c r="AA1819" s="5"/>
      <c r="AD1819" s="5"/>
      <c r="AG1819" s="5"/>
      <c r="AH1819" s="5"/>
      <c r="AN1819" s="4"/>
      <c r="AO1819" s="4"/>
      <c r="AP1819" s="4"/>
      <c r="AQ1819" s="4"/>
      <c r="AR1819" s="4"/>
      <c r="AS1819" s="4"/>
      <c r="AT1819" s="4"/>
    </row>
    <row r="1820" spans="12:46">
      <c r="L1820" s="5"/>
      <c r="M1820" s="5"/>
      <c r="W1820" s="5"/>
      <c r="Z1820" s="5"/>
      <c r="AA1820" s="5"/>
      <c r="AD1820" s="5"/>
      <c r="AG1820" s="5"/>
      <c r="AH1820" s="5"/>
      <c r="AN1820" s="4"/>
      <c r="AO1820" s="4"/>
      <c r="AP1820" s="4"/>
      <c r="AQ1820" s="4"/>
      <c r="AR1820" s="4"/>
      <c r="AS1820" s="4"/>
      <c r="AT1820" s="4"/>
    </row>
    <row r="1821" spans="12:46">
      <c r="L1821" s="5"/>
      <c r="M1821" s="5"/>
      <c r="W1821" s="5"/>
      <c r="Z1821" s="5"/>
      <c r="AA1821" s="5"/>
      <c r="AD1821" s="5"/>
      <c r="AG1821" s="5"/>
      <c r="AH1821" s="5"/>
      <c r="AN1821" s="4"/>
      <c r="AO1821" s="4"/>
      <c r="AP1821" s="4"/>
      <c r="AQ1821" s="4"/>
      <c r="AR1821" s="4"/>
      <c r="AS1821" s="4"/>
      <c r="AT1821" s="4"/>
    </row>
    <row r="1822" spans="12:46">
      <c r="L1822" s="5"/>
      <c r="M1822" s="5"/>
      <c r="W1822" s="5"/>
      <c r="Z1822" s="5"/>
      <c r="AA1822" s="5"/>
      <c r="AD1822" s="5"/>
      <c r="AG1822" s="5"/>
      <c r="AH1822" s="5"/>
      <c r="AN1822" s="4"/>
      <c r="AO1822" s="4"/>
      <c r="AP1822" s="4"/>
      <c r="AQ1822" s="4"/>
      <c r="AR1822" s="4"/>
      <c r="AS1822" s="4"/>
      <c r="AT1822" s="4"/>
    </row>
    <row r="1823" spans="12:46">
      <c r="L1823" s="5"/>
      <c r="M1823" s="5"/>
      <c r="W1823" s="5"/>
      <c r="Z1823" s="5"/>
      <c r="AA1823" s="5"/>
      <c r="AD1823" s="5"/>
      <c r="AG1823" s="5"/>
      <c r="AH1823" s="5"/>
      <c r="AN1823" s="4"/>
      <c r="AO1823" s="4"/>
      <c r="AP1823" s="4"/>
      <c r="AQ1823" s="4"/>
      <c r="AR1823" s="4"/>
      <c r="AS1823" s="4"/>
      <c r="AT1823" s="4"/>
    </row>
    <row r="1824" spans="12:46">
      <c r="L1824" s="5"/>
      <c r="M1824" s="5"/>
      <c r="W1824" s="5"/>
      <c r="Z1824" s="5"/>
      <c r="AA1824" s="5"/>
      <c r="AD1824" s="5"/>
      <c r="AG1824" s="5"/>
      <c r="AH1824" s="5"/>
      <c r="AN1824" s="4"/>
      <c r="AO1824" s="4"/>
      <c r="AP1824" s="4"/>
      <c r="AQ1824" s="4"/>
      <c r="AR1824" s="4"/>
      <c r="AS1824" s="4"/>
      <c r="AT1824" s="4"/>
    </row>
    <row r="1825" spans="12:46">
      <c r="L1825" s="5"/>
      <c r="M1825" s="5"/>
      <c r="W1825" s="5"/>
      <c r="Z1825" s="5"/>
      <c r="AA1825" s="5"/>
      <c r="AD1825" s="5"/>
      <c r="AG1825" s="5"/>
      <c r="AH1825" s="5"/>
      <c r="AN1825" s="4"/>
      <c r="AO1825" s="4"/>
      <c r="AP1825" s="4"/>
      <c r="AQ1825" s="4"/>
      <c r="AR1825" s="4"/>
      <c r="AS1825" s="4"/>
      <c r="AT1825" s="4"/>
    </row>
    <row r="1826" spans="12:46">
      <c r="L1826" s="5"/>
      <c r="M1826" s="5"/>
      <c r="W1826" s="5"/>
      <c r="Z1826" s="5"/>
      <c r="AA1826" s="5"/>
      <c r="AD1826" s="5"/>
      <c r="AG1826" s="5"/>
      <c r="AH1826" s="5"/>
      <c r="AN1826" s="4"/>
      <c r="AO1826" s="4"/>
      <c r="AP1826" s="4"/>
      <c r="AQ1826" s="4"/>
      <c r="AR1826" s="4"/>
      <c r="AS1826" s="4"/>
      <c r="AT1826" s="4"/>
    </row>
    <row r="1827" spans="12:46">
      <c r="L1827" s="5"/>
      <c r="M1827" s="5"/>
      <c r="W1827" s="5"/>
      <c r="Z1827" s="5"/>
      <c r="AA1827" s="5"/>
      <c r="AD1827" s="5"/>
      <c r="AG1827" s="5"/>
      <c r="AH1827" s="5"/>
      <c r="AN1827" s="4"/>
      <c r="AO1827" s="4"/>
      <c r="AP1827" s="4"/>
      <c r="AQ1827" s="4"/>
      <c r="AR1827" s="4"/>
      <c r="AS1827" s="4"/>
      <c r="AT1827" s="4"/>
    </row>
    <row r="1828" spans="12:46">
      <c r="L1828" s="5"/>
      <c r="M1828" s="5"/>
      <c r="W1828" s="5"/>
      <c r="Z1828" s="5"/>
      <c r="AA1828" s="5"/>
      <c r="AD1828" s="5"/>
      <c r="AG1828" s="5"/>
      <c r="AH1828" s="5"/>
      <c r="AN1828" s="4"/>
      <c r="AO1828" s="4"/>
      <c r="AP1828" s="4"/>
      <c r="AQ1828" s="4"/>
      <c r="AR1828" s="4"/>
      <c r="AS1828" s="4"/>
      <c r="AT1828" s="4"/>
    </row>
    <row r="1829" spans="12:46">
      <c r="L1829" s="5"/>
      <c r="M1829" s="5"/>
      <c r="W1829" s="5"/>
      <c r="Z1829" s="5"/>
      <c r="AA1829" s="5"/>
      <c r="AD1829" s="5"/>
      <c r="AG1829" s="5"/>
      <c r="AH1829" s="5"/>
      <c r="AN1829" s="4"/>
      <c r="AO1829" s="4"/>
      <c r="AP1829" s="4"/>
      <c r="AQ1829" s="4"/>
      <c r="AR1829" s="4"/>
      <c r="AS1829" s="4"/>
      <c r="AT1829" s="4"/>
    </row>
    <row r="1830" spans="12:46">
      <c r="L1830" s="5"/>
      <c r="M1830" s="5"/>
      <c r="W1830" s="5"/>
      <c r="Z1830" s="5"/>
      <c r="AA1830" s="5"/>
      <c r="AD1830" s="5"/>
      <c r="AG1830" s="5"/>
      <c r="AH1830" s="5"/>
      <c r="AN1830" s="4"/>
      <c r="AO1830" s="4"/>
      <c r="AP1830" s="4"/>
      <c r="AQ1830" s="4"/>
      <c r="AR1830" s="4"/>
      <c r="AS1830" s="4"/>
      <c r="AT1830" s="4"/>
    </row>
    <row r="1831" spans="12:46">
      <c r="L1831" s="5"/>
      <c r="M1831" s="5"/>
      <c r="W1831" s="5"/>
      <c r="Z1831" s="5"/>
      <c r="AA1831" s="5"/>
      <c r="AD1831" s="5"/>
      <c r="AG1831" s="5"/>
      <c r="AH1831" s="5"/>
      <c r="AN1831" s="4"/>
      <c r="AO1831" s="4"/>
      <c r="AP1831" s="4"/>
      <c r="AQ1831" s="4"/>
      <c r="AR1831" s="4"/>
      <c r="AS1831" s="4"/>
      <c r="AT1831" s="4"/>
    </row>
    <row r="1832" spans="12:46">
      <c r="L1832" s="5"/>
      <c r="M1832" s="5"/>
      <c r="W1832" s="5"/>
      <c r="Z1832" s="5"/>
      <c r="AA1832" s="5"/>
      <c r="AD1832" s="5"/>
      <c r="AG1832" s="5"/>
      <c r="AH1832" s="5"/>
      <c r="AN1832" s="4"/>
      <c r="AO1832" s="4"/>
      <c r="AP1832" s="4"/>
      <c r="AQ1832" s="4"/>
      <c r="AR1832" s="4"/>
      <c r="AS1832" s="4"/>
      <c r="AT1832" s="4"/>
    </row>
    <row r="1833" spans="12:46">
      <c r="L1833" s="5"/>
      <c r="M1833" s="5"/>
      <c r="W1833" s="5"/>
      <c r="Z1833" s="5"/>
      <c r="AA1833" s="5"/>
      <c r="AD1833" s="5"/>
      <c r="AG1833" s="5"/>
      <c r="AH1833" s="5"/>
      <c r="AN1833" s="4"/>
      <c r="AO1833" s="4"/>
      <c r="AP1833" s="4"/>
      <c r="AQ1833" s="4"/>
      <c r="AR1833" s="4"/>
      <c r="AS1833" s="4"/>
      <c r="AT1833" s="4"/>
    </row>
    <row r="1834" spans="12:46">
      <c r="L1834" s="5"/>
      <c r="M1834" s="5"/>
      <c r="W1834" s="5"/>
      <c r="Z1834" s="5"/>
      <c r="AA1834" s="5"/>
      <c r="AD1834" s="5"/>
      <c r="AG1834" s="5"/>
      <c r="AH1834" s="5"/>
      <c r="AN1834" s="4"/>
      <c r="AO1834" s="4"/>
      <c r="AP1834" s="4"/>
      <c r="AQ1834" s="4"/>
      <c r="AR1834" s="4"/>
      <c r="AS1834" s="4"/>
      <c r="AT1834" s="4"/>
    </row>
    <row r="1835" spans="12:46">
      <c r="L1835" s="5"/>
      <c r="M1835" s="5"/>
      <c r="W1835" s="5"/>
      <c r="Z1835" s="5"/>
      <c r="AA1835" s="5"/>
      <c r="AD1835" s="5"/>
      <c r="AG1835" s="5"/>
      <c r="AH1835" s="5"/>
      <c r="AN1835" s="4"/>
      <c r="AO1835" s="4"/>
      <c r="AP1835" s="4"/>
      <c r="AQ1835" s="4"/>
      <c r="AR1835" s="4"/>
      <c r="AS1835" s="4"/>
      <c r="AT1835" s="4"/>
    </row>
    <row r="1836" spans="12:46">
      <c r="L1836" s="5"/>
      <c r="M1836" s="5"/>
      <c r="W1836" s="5"/>
      <c r="Z1836" s="5"/>
      <c r="AA1836" s="5"/>
      <c r="AD1836" s="5"/>
      <c r="AG1836" s="5"/>
      <c r="AH1836" s="5"/>
      <c r="AN1836" s="4"/>
      <c r="AO1836" s="4"/>
      <c r="AP1836" s="4"/>
      <c r="AQ1836" s="4"/>
      <c r="AR1836" s="4"/>
      <c r="AS1836" s="4"/>
      <c r="AT1836" s="4"/>
    </row>
    <row r="1837" spans="12:46">
      <c r="L1837" s="5"/>
      <c r="M1837" s="5"/>
      <c r="W1837" s="5"/>
      <c r="Z1837" s="5"/>
      <c r="AA1837" s="5"/>
      <c r="AD1837" s="5"/>
      <c r="AG1837" s="5"/>
      <c r="AH1837" s="5"/>
      <c r="AN1837" s="4"/>
      <c r="AO1837" s="4"/>
      <c r="AP1837" s="4"/>
      <c r="AQ1837" s="4"/>
      <c r="AR1837" s="4"/>
      <c r="AS1837" s="4"/>
      <c r="AT1837" s="4"/>
    </row>
    <row r="1838" spans="12:46">
      <c r="L1838" s="5"/>
      <c r="M1838" s="5"/>
      <c r="W1838" s="5"/>
      <c r="Z1838" s="5"/>
      <c r="AA1838" s="5"/>
      <c r="AD1838" s="5"/>
      <c r="AG1838" s="5"/>
      <c r="AH1838" s="5"/>
      <c r="AN1838" s="4"/>
      <c r="AO1838" s="4"/>
      <c r="AP1838" s="4"/>
      <c r="AQ1838" s="4"/>
      <c r="AR1838" s="4"/>
      <c r="AS1838" s="4"/>
      <c r="AT1838" s="4"/>
    </row>
    <row r="1839" spans="12:46">
      <c r="L1839" s="5"/>
      <c r="M1839" s="5"/>
      <c r="W1839" s="5"/>
      <c r="Z1839" s="5"/>
      <c r="AA1839" s="5"/>
      <c r="AD1839" s="5"/>
      <c r="AG1839" s="5"/>
      <c r="AH1839" s="5"/>
      <c r="AN1839" s="4"/>
      <c r="AO1839" s="4"/>
      <c r="AP1839" s="4"/>
      <c r="AQ1839" s="4"/>
      <c r="AR1839" s="4"/>
      <c r="AS1839" s="4"/>
      <c r="AT1839" s="4"/>
    </row>
    <row r="1840" spans="12:46">
      <c r="L1840" s="5"/>
      <c r="M1840" s="5"/>
      <c r="W1840" s="5"/>
      <c r="Z1840" s="5"/>
      <c r="AA1840" s="5"/>
      <c r="AD1840" s="5"/>
      <c r="AG1840" s="5"/>
      <c r="AH1840" s="5"/>
      <c r="AN1840" s="4"/>
      <c r="AO1840" s="4"/>
      <c r="AP1840" s="4"/>
      <c r="AQ1840" s="4"/>
      <c r="AR1840" s="4"/>
      <c r="AS1840" s="4"/>
      <c r="AT1840" s="4"/>
    </row>
    <row r="1841" spans="12:46">
      <c r="L1841" s="5"/>
      <c r="M1841" s="5"/>
      <c r="W1841" s="5"/>
      <c r="Z1841" s="5"/>
      <c r="AA1841" s="5"/>
      <c r="AD1841" s="5"/>
      <c r="AG1841" s="5"/>
      <c r="AH1841" s="5"/>
      <c r="AN1841" s="4"/>
      <c r="AO1841" s="4"/>
      <c r="AP1841" s="4"/>
      <c r="AQ1841" s="4"/>
      <c r="AR1841" s="4"/>
      <c r="AS1841" s="4"/>
      <c r="AT1841" s="4"/>
    </row>
    <row r="1842" spans="12:46">
      <c r="L1842" s="5"/>
      <c r="M1842" s="5"/>
      <c r="W1842" s="5"/>
      <c r="Z1842" s="5"/>
      <c r="AA1842" s="5"/>
      <c r="AD1842" s="5"/>
      <c r="AG1842" s="5"/>
      <c r="AH1842" s="5"/>
      <c r="AN1842" s="4"/>
      <c r="AO1842" s="4"/>
      <c r="AP1842" s="4"/>
      <c r="AQ1842" s="4"/>
      <c r="AR1842" s="4"/>
      <c r="AS1842" s="4"/>
      <c r="AT1842" s="4"/>
    </row>
    <row r="1843" spans="12:46">
      <c r="L1843" s="5"/>
      <c r="M1843" s="5"/>
      <c r="W1843" s="5"/>
      <c r="Z1843" s="5"/>
      <c r="AA1843" s="5"/>
      <c r="AD1843" s="5"/>
      <c r="AG1843" s="5"/>
      <c r="AH1843" s="5"/>
      <c r="AN1843" s="4"/>
      <c r="AO1843" s="4"/>
      <c r="AP1843" s="4"/>
      <c r="AQ1843" s="4"/>
      <c r="AR1843" s="4"/>
      <c r="AS1843" s="4"/>
      <c r="AT1843" s="4"/>
    </row>
    <row r="1844" spans="12:46">
      <c r="L1844" s="5"/>
      <c r="M1844" s="5"/>
      <c r="W1844" s="5"/>
      <c r="Z1844" s="5"/>
      <c r="AA1844" s="5"/>
      <c r="AD1844" s="5"/>
      <c r="AG1844" s="5"/>
      <c r="AH1844" s="5"/>
      <c r="AN1844" s="4"/>
      <c r="AO1844" s="4"/>
      <c r="AP1844" s="4"/>
      <c r="AQ1844" s="4"/>
      <c r="AR1844" s="4"/>
      <c r="AS1844" s="4"/>
      <c r="AT1844" s="4"/>
    </row>
    <row r="1845" spans="12:46">
      <c r="L1845" s="5"/>
      <c r="M1845" s="5"/>
      <c r="W1845" s="5"/>
      <c r="Z1845" s="5"/>
      <c r="AA1845" s="5"/>
      <c r="AD1845" s="5"/>
      <c r="AG1845" s="5"/>
      <c r="AH1845" s="5"/>
      <c r="AN1845" s="4"/>
      <c r="AO1845" s="4"/>
      <c r="AP1845" s="4"/>
      <c r="AQ1845" s="4"/>
      <c r="AR1845" s="4"/>
      <c r="AS1845" s="4"/>
      <c r="AT1845" s="4"/>
    </row>
    <row r="1846" spans="12:46">
      <c r="L1846" s="5"/>
      <c r="M1846" s="5"/>
      <c r="W1846" s="5"/>
      <c r="Z1846" s="5"/>
      <c r="AA1846" s="5"/>
      <c r="AD1846" s="5"/>
      <c r="AG1846" s="5"/>
      <c r="AH1846" s="5"/>
      <c r="AN1846" s="4"/>
      <c r="AO1846" s="4"/>
      <c r="AP1846" s="4"/>
      <c r="AQ1846" s="4"/>
      <c r="AR1846" s="4"/>
      <c r="AS1846" s="4"/>
      <c r="AT1846" s="4"/>
    </row>
  </sheetData>
  <mergeCells count="58">
    <mergeCell ref="B172:B228"/>
    <mergeCell ref="B229:B284"/>
    <mergeCell ref="B285:B333"/>
    <mergeCell ref="A44:A73"/>
    <mergeCell ref="A74:A110"/>
    <mergeCell ref="A111:A130"/>
    <mergeCell ref="A131:A152"/>
    <mergeCell ref="A153:A171"/>
    <mergeCell ref="A172:A228"/>
    <mergeCell ref="A229:A284"/>
    <mergeCell ref="A285:A333"/>
    <mergeCell ref="B131:B152"/>
    <mergeCell ref="B153:B171"/>
    <mergeCell ref="B3:B37"/>
    <mergeCell ref="B38:B73"/>
    <mergeCell ref="B74:B110"/>
    <mergeCell ref="B111:B120"/>
    <mergeCell ref="B121:B130"/>
    <mergeCell ref="C131:C152"/>
    <mergeCell ref="C153:C171"/>
    <mergeCell ref="C172:C228"/>
    <mergeCell ref="C229:C284"/>
    <mergeCell ref="C285:C333"/>
    <mergeCell ref="C3:C37"/>
    <mergeCell ref="C38:C73"/>
    <mergeCell ref="C74:C110"/>
    <mergeCell ref="C111:C120"/>
    <mergeCell ref="C121:C130"/>
    <mergeCell ref="F153:F171"/>
    <mergeCell ref="F172:F228"/>
    <mergeCell ref="F229:F284"/>
    <mergeCell ref="F285:F333"/>
    <mergeCell ref="D3:D37"/>
    <mergeCell ref="D38:D73"/>
    <mergeCell ref="D74:D110"/>
    <mergeCell ref="D111:D120"/>
    <mergeCell ref="D121:D130"/>
    <mergeCell ref="D131:D152"/>
    <mergeCell ref="D153:D171"/>
    <mergeCell ref="D172:D228"/>
    <mergeCell ref="D229:D284"/>
    <mergeCell ref="D285:D333"/>
    <mergeCell ref="AN3:AN11"/>
    <mergeCell ref="AN38:AN39"/>
    <mergeCell ref="AN74:AN75"/>
    <mergeCell ref="E229:E284"/>
    <mergeCell ref="E285:E333"/>
    <mergeCell ref="F3:F37"/>
    <mergeCell ref="F38:F73"/>
    <mergeCell ref="F74:F110"/>
    <mergeCell ref="F111:F120"/>
    <mergeCell ref="F121:F130"/>
    <mergeCell ref="E3:E37"/>
    <mergeCell ref="E74:E110"/>
    <mergeCell ref="E111:E130"/>
    <mergeCell ref="E131:E152"/>
    <mergeCell ref="E172:E228"/>
    <mergeCell ref="F131:F152"/>
  </mergeCells>
  <pageMargins left="0.39370078740157499" right="0.39370078740157499" top="0.39370078740157499" bottom="0.39370078740157499" header="0.31496062992126" footer="0.31496062992126"/>
  <pageSetup paperSize="9" scale="3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35"/>
  <sheetViews>
    <sheetView showGridLines="0" zoomScale="85" zoomScaleNormal="85" zoomScaleSheetLayoutView="89" workbookViewId="0">
      <pane ySplit="6" topLeftCell="A7" activePane="bottomLeft" state="frozen"/>
      <selection activeCell="L26" sqref="L26"/>
      <selection pane="bottomLeft" activeCell="L13" sqref="L13"/>
    </sheetView>
  </sheetViews>
  <sheetFormatPr defaultColWidth="9" defaultRowHeight="15.75"/>
  <cols>
    <col min="1" max="1" width="10.42578125" style="263" customWidth="1"/>
    <col min="2" max="3" width="13.7109375" style="263" customWidth="1"/>
    <col min="4" max="4" width="19.28515625" style="263" customWidth="1"/>
    <col min="5" max="5" width="9.140625" style="263" customWidth="1"/>
    <col min="6" max="6" width="17.28515625" style="263" customWidth="1"/>
    <col min="7" max="7" width="7.85546875" style="263" customWidth="1"/>
    <col min="8" max="8" width="16.28515625" style="263" customWidth="1"/>
    <col min="9" max="9" width="13.42578125" style="263" customWidth="1"/>
    <col min="10" max="10" width="17.140625" style="263" customWidth="1"/>
    <col min="11" max="11" width="12" style="263" customWidth="1"/>
    <col min="12" max="12" width="8.85546875" style="263" customWidth="1"/>
    <col min="13" max="13" width="11.42578125" style="263" customWidth="1"/>
    <col min="14" max="16" width="12.42578125" style="263" customWidth="1"/>
    <col min="17" max="17" width="17.5703125" style="263" customWidth="1"/>
    <col min="18" max="18" width="10.85546875" style="331" customWidth="1"/>
    <col min="19" max="22" width="9.5703125" style="263" customWidth="1"/>
    <col min="23" max="23" width="9.5703125" style="332" customWidth="1"/>
    <col min="24" max="26" width="9.5703125" style="263" customWidth="1"/>
    <col min="27" max="27" width="9.5703125" style="333" customWidth="1"/>
    <col min="28" max="28" width="21.42578125" style="263" customWidth="1"/>
    <col min="29" max="269" width="9" style="263"/>
    <col min="270" max="270" width="13.7109375" style="263" customWidth="1"/>
    <col min="271" max="271" width="18.5703125" style="263" customWidth="1"/>
    <col min="272" max="272" width="9.140625" style="263" customWidth="1"/>
    <col min="273" max="273" width="17.28515625" style="263" customWidth="1"/>
    <col min="274" max="274" width="11.42578125" style="263" customWidth="1"/>
    <col min="275" max="275" width="17.140625" style="263" customWidth="1"/>
    <col min="276" max="276" width="12" style="263" customWidth="1"/>
    <col min="277" max="277" width="17.140625" style="263" customWidth="1"/>
    <col min="278" max="278" width="8.85546875" style="263" customWidth="1"/>
    <col min="279" max="279" width="9" style="263"/>
    <col min="280" max="280" width="12.42578125" style="263" customWidth="1"/>
    <col min="281" max="281" width="10.5703125" style="263" customWidth="1"/>
    <col min="282" max="282" width="10.85546875" style="263" customWidth="1"/>
    <col min="283" max="283" width="9.5703125" style="263" customWidth="1"/>
    <col min="284" max="284" width="9.85546875" style="263" customWidth="1"/>
    <col min="285" max="525" width="9" style="263"/>
    <col min="526" max="526" width="13.7109375" style="263" customWidth="1"/>
    <col min="527" max="527" width="18.5703125" style="263" customWidth="1"/>
    <col min="528" max="528" width="9.140625" style="263" customWidth="1"/>
    <col min="529" max="529" width="17.28515625" style="263" customWidth="1"/>
    <col min="530" max="530" width="11.42578125" style="263" customWidth="1"/>
    <col min="531" max="531" width="17.140625" style="263" customWidth="1"/>
    <col min="532" max="532" width="12" style="263" customWidth="1"/>
    <col min="533" max="533" width="17.140625" style="263" customWidth="1"/>
    <col min="534" max="534" width="8.85546875" style="263" customWidth="1"/>
    <col min="535" max="535" width="9" style="263"/>
    <col min="536" max="536" width="12.42578125" style="263" customWidth="1"/>
    <col min="537" max="537" width="10.5703125" style="263" customWidth="1"/>
    <col min="538" max="538" width="10.85546875" style="263" customWidth="1"/>
    <col min="539" max="539" width="9.5703125" style="263" customWidth="1"/>
    <col min="540" max="540" width="9.85546875" style="263" customWidth="1"/>
    <col min="541" max="781" width="9" style="263"/>
    <col min="782" max="782" width="13.7109375" style="263" customWidth="1"/>
    <col min="783" max="783" width="18.5703125" style="263" customWidth="1"/>
    <col min="784" max="784" width="9.140625" style="263" customWidth="1"/>
    <col min="785" max="785" width="17.28515625" style="263" customWidth="1"/>
    <col min="786" max="786" width="11.42578125" style="263" customWidth="1"/>
    <col min="787" max="787" width="17.140625" style="263" customWidth="1"/>
    <col min="788" max="788" width="12" style="263" customWidth="1"/>
    <col min="789" max="789" width="17.140625" style="263" customWidth="1"/>
    <col min="790" max="790" width="8.85546875" style="263" customWidth="1"/>
    <col min="791" max="791" width="9" style="263"/>
    <col min="792" max="792" width="12.42578125" style="263" customWidth="1"/>
    <col min="793" max="793" width="10.5703125" style="263" customWidth="1"/>
    <col min="794" max="794" width="10.85546875" style="263" customWidth="1"/>
    <col min="795" max="795" width="9.5703125" style="263" customWidth="1"/>
    <col min="796" max="796" width="9.85546875" style="263" customWidth="1"/>
    <col min="797" max="1037" width="9" style="263"/>
    <col min="1038" max="1038" width="13.7109375" style="263" customWidth="1"/>
    <col min="1039" max="1039" width="18.5703125" style="263" customWidth="1"/>
    <col min="1040" max="1040" width="9.140625" style="263" customWidth="1"/>
    <col min="1041" max="1041" width="17.28515625" style="263" customWidth="1"/>
    <col min="1042" max="1042" width="11.42578125" style="263" customWidth="1"/>
    <col min="1043" max="1043" width="17.140625" style="263" customWidth="1"/>
    <col min="1044" max="1044" width="12" style="263" customWidth="1"/>
    <col min="1045" max="1045" width="17.140625" style="263" customWidth="1"/>
    <col min="1046" max="1046" width="8.85546875" style="263" customWidth="1"/>
    <col min="1047" max="1047" width="9" style="263"/>
    <col min="1048" max="1048" width="12.42578125" style="263" customWidth="1"/>
    <col min="1049" max="1049" width="10.5703125" style="263" customWidth="1"/>
    <col min="1050" max="1050" width="10.85546875" style="263" customWidth="1"/>
    <col min="1051" max="1051" width="9.5703125" style="263" customWidth="1"/>
    <col min="1052" max="1052" width="9.85546875" style="263" customWidth="1"/>
    <col min="1053" max="1293" width="9" style="263"/>
    <col min="1294" max="1294" width="13.7109375" style="263" customWidth="1"/>
    <col min="1295" max="1295" width="18.5703125" style="263" customWidth="1"/>
    <col min="1296" max="1296" width="9.140625" style="263" customWidth="1"/>
    <col min="1297" max="1297" width="17.28515625" style="263" customWidth="1"/>
    <col min="1298" max="1298" width="11.42578125" style="263" customWidth="1"/>
    <col min="1299" max="1299" width="17.140625" style="263" customWidth="1"/>
    <col min="1300" max="1300" width="12" style="263" customWidth="1"/>
    <col min="1301" max="1301" width="17.140625" style="263" customWidth="1"/>
    <col min="1302" max="1302" width="8.85546875" style="263" customWidth="1"/>
    <col min="1303" max="1303" width="9" style="263"/>
    <col min="1304" max="1304" width="12.42578125" style="263" customWidth="1"/>
    <col min="1305" max="1305" width="10.5703125" style="263" customWidth="1"/>
    <col min="1306" max="1306" width="10.85546875" style="263" customWidth="1"/>
    <col min="1307" max="1307" width="9.5703125" style="263" customWidth="1"/>
    <col min="1308" max="1308" width="9.85546875" style="263" customWidth="1"/>
    <col min="1309" max="1549" width="9" style="263"/>
    <col min="1550" max="1550" width="13.7109375" style="263" customWidth="1"/>
    <col min="1551" max="1551" width="18.5703125" style="263" customWidth="1"/>
    <col min="1552" max="1552" width="9.140625" style="263" customWidth="1"/>
    <col min="1553" max="1553" width="17.28515625" style="263" customWidth="1"/>
    <col min="1554" max="1554" width="11.42578125" style="263" customWidth="1"/>
    <col min="1555" max="1555" width="17.140625" style="263" customWidth="1"/>
    <col min="1556" max="1556" width="12" style="263" customWidth="1"/>
    <col min="1557" max="1557" width="17.140625" style="263" customWidth="1"/>
    <col min="1558" max="1558" width="8.85546875" style="263" customWidth="1"/>
    <col min="1559" max="1559" width="9" style="263"/>
    <col min="1560" max="1560" width="12.42578125" style="263" customWidth="1"/>
    <col min="1561" max="1561" width="10.5703125" style="263" customWidth="1"/>
    <col min="1562" max="1562" width="10.85546875" style="263" customWidth="1"/>
    <col min="1563" max="1563" width="9.5703125" style="263" customWidth="1"/>
    <col min="1564" max="1564" width="9.85546875" style="263" customWidth="1"/>
    <col min="1565" max="1805" width="9" style="263"/>
    <col min="1806" max="1806" width="13.7109375" style="263" customWidth="1"/>
    <col min="1807" max="1807" width="18.5703125" style="263" customWidth="1"/>
    <col min="1808" max="1808" width="9.140625" style="263" customWidth="1"/>
    <col min="1809" max="1809" width="17.28515625" style="263" customWidth="1"/>
    <col min="1810" max="1810" width="11.42578125" style="263" customWidth="1"/>
    <col min="1811" max="1811" width="17.140625" style="263" customWidth="1"/>
    <col min="1812" max="1812" width="12" style="263" customWidth="1"/>
    <col min="1813" max="1813" width="17.140625" style="263" customWidth="1"/>
    <col min="1814" max="1814" width="8.85546875" style="263" customWidth="1"/>
    <col min="1815" max="1815" width="9" style="263"/>
    <col min="1816" max="1816" width="12.42578125" style="263" customWidth="1"/>
    <col min="1817" max="1817" width="10.5703125" style="263" customWidth="1"/>
    <col min="1818" max="1818" width="10.85546875" style="263" customWidth="1"/>
    <col min="1819" max="1819" width="9.5703125" style="263" customWidth="1"/>
    <col min="1820" max="1820" width="9.85546875" style="263" customWidth="1"/>
    <col min="1821" max="2061" width="9" style="263"/>
    <col min="2062" max="2062" width="13.7109375" style="263" customWidth="1"/>
    <col min="2063" max="2063" width="18.5703125" style="263" customWidth="1"/>
    <col min="2064" max="2064" width="9.140625" style="263" customWidth="1"/>
    <col min="2065" max="2065" width="17.28515625" style="263" customWidth="1"/>
    <col min="2066" max="2066" width="11.42578125" style="263" customWidth="1"/>
    <col min="2067" max="2067" width="17.140625" style="263" customWidth="1"/>
    <col min="2068" max="2068" width="12" style="263" customWidth="1"/>
    <col min="2069" max="2069" width="17.140625" style="263" customWidth="1"/>
    <col min="2070" max="2070" width="8.85546875" style="263" customWidth="1"/>
    <col min="2071" max="2071" width="9" style="263"/>
    <col min="2072" max="2072" width="12.42578125" style="263" customWidth="1"/>
    <col min="2073" max="2073" width="10.5703125" style="263" customWidth="1"/>
    <col min="2074" max="2074" width="10.85546875" style="263" customWidth="1"/>
    <col min="2075" max="2075" width="9.5703125" style="263" customWidth="1"/>
    <col min="2076" max="2076" width="9.85546875" style="263" customWidth="1"/>
    <col min="2077" max="2317" width="9" style="263"/>
    <col min="2318" max="2318" width="13.7109375" style="263" customWidth="1"/>
    <col min="2319" max="2319" width="18.5703125" style="263" customWidth="1"/>
    <col min="2320" max="2320" width="9.140625" style="263" customWidth="1"/>
    <col min="2321" max="2321" width="17.28515625" style="263" customWidth="1"/>
    <col min="2322" max="2322" width="11.42578125" style="263" customWidth="1"/>
    <col min="2323" max="2323" width="17.140625" style="263" customWidth="1"/>
    <col min="2324" max="2324" width="12" style="263" customWidth="1"/>
    <col min="2325" max="2325" width="17.140625" style="263" customWidth="1"/>
    <col min="2326" max="2326" width="8.85546875" style="263" customWidth="1"/>
    <col min="2327" max="2327" width="9" style="263"/>
    <col min="2328" max="2328" width="12.42578125" style="263" customWidth="1"/>
    <col min="2329" max="2329" width="10.5703125" style="263" customWidth="1"/>
    <col min="2330" max="2330" width="10.85546875" style="263" customWidth="1"/>
    <col min="2331" max="2331" width="9.5703125" style="263" customWidth="1"/>
    <col min="2332" max="2332" width="9.85546875" style="263" customWidth="1"/>
    <col min="2333" max="2573" width="9" style="263"/>
    <col min="2574" max="2574" width="13.7109375" style="263" customWidth="1"/>
    <col min="2575" max="2575" width="18.5703125" style="263" customWidth="1"/>
    <col min="2576" max="2576" width="9.140625" style="263" customWidth="1"/>
    <col min="2577" max="2577" width="17.28515625" style="263" customWidth="1"/>
    <col min="2578" max="2578" width="11.42578125" style="263" customWidth="1"/>
    <col min="2579" max="2579" width="17.140625" style="263" customWidth="1"/>
    <col min="2580" max="2580" width="12" style="263" customWidth="1"/>
    <col min="2581" max="2581" width="17.140625" style="263" customWidth="1"/>
    <col min="2582" max="2582" width="8.85546875" style="263" customWidth="1"/>
    <col min="2583" max="2583" width="9" style="263"/>
    <col min="2584" max="2584" width="12.42578125" style="263" customWidth="1"/>
    <col min="2585" max="2585" width="10.5703125" style="263" customWidth="1"/>
    <col min="2586" max="2586" width="10.85546875" style="263" customWidth="1"/>
    <col min="2587" max="2587" width="9.5703125" style="263" customWidth="1"/>
    <col min="2588" max="2588" width="9.85546875" style="263" customWidth="1"/>
    <col min="2589" max="2829" width="9" style="263"/>
    <col min="2830" max="2830" width="13.7109375" style="263" customWidth="1"/>
    <col min="2831" max="2831" width="18.5703125" style="263" customWidth="1"/>
    <col min="2832" max="2832" width="9.140625" style="263" customWidth="1"/>
    <col min="2833" max="2833" width="17.28515625" style="263" customWidth="1"/>
    <col min="2834" max="2834" width="11.42578125" style="263" customWidth="1"/>
    <col min="2835" max="2835" width="17.140625" style="263" customWidth="1"/>
    <col min="2836" max="2836" width="12" style="263" customWidth="1"/>
    <col min="2837" max="2837" width="17.140625" style="263" customWidth="1"/>
    <col min="2838" max="2838" width="8.85546875" style="263" customWidth="1"/>
    <col min="2839" max="2839" width="9" style="263"/>
    <col min="2840" max="2840" width="12.42578125" style="263" customWidth="1"/>
    <col min="2841" max="2841" width="10.5703125" style="263" customWidth="1"/>
    <col min="2842" max="2842" width="10.85546875" style="263" customWidth="1"/>
    <col min="2843" max="2843" width="9.5703125" style="263" customWidth="1"/>
    <col min="2844" max="2844" width="9.85546875" style="263" customWidth="1"/>
    <col min="2845" max="3085" width="9" style="263"/>
    <col min="3086" max="3086" width="13.7109375" style="263" customWidth="1"/>
    <col min="3087" max="3087" width="18.5703125" style="263" customWidth="1"/>
    <col min="3088" max="3088" width="9.140625" style="263" customWidth="1"/>
    <col min="3089" max="3089" width="17.28515625" style="263" customWidth="1"/>
    <col min="3090" max="3090" width="11.42578125" style="263" customWidth="1"/>
    <col min="3091" max="3091" width="17.140625" style="263" customWidth="1"/>
    <col min="3092" max="3092" width="12" style="263" customWidth="1"/>
    <col min="3093" max="3093" width="17.140625" style="263" customWidth="1"/>
    <col min="3094" max="3094" width="8.85546875" style="263" customWidth="1"/>
    <col min="3095" max="3095" width="9" style="263"/>
    <col min="3096" max="3096" width="12.42578125" style="263" customWidth="1"/>
    <col min="3097" max="3097" width="10.5703125" style="263" customWidth="1"/>
    <col min="3098" max="3098" width="10.85546875" style="263" customWidth="1"/>
    <col min="3099" max="3099" width="9.5703125" style="263" customWidth="1"/>
    <col min="3100" max="3100" width="9.85546875" style="263" customWidth="1"/>
    <col min="3101" max="3341" width="9" style="263"/>
    <col min="3342" max="3342" width="13.7109375" style="263" customWidth="1"/>
    <col min="3343" max="3343" width="18.5703125" style="263" customWidth="1"/>
    <col min="3344" max="3344" width="9.140625" style="263" customWidth="1"/>
    <col min="3345" max="3345" width="17.28515625" style="263" customWidth="1"/>
    <col min="3346" max="3346" width="11.42578125" style="263" customWidth="1"/>
    <col min="3347" max="3347" width="17.140625" style="263" customWidth="1"/>
    <col min="3348" max="3348" width="12" style="263" customWidth="1"/>
    <col min="3349" max="3349" width="17.140625" style="263" customWidth="1"/>
    <col min="3350" max="3350" width="8.85546875" style="263" customWidth="1"/>
    <col min="3351" max="3351" width="9" style="263"/>
    <col min="3352" max="3352" width="12.42578125" style="263" customWidth="1"/>
    <col min="3353" max="3353" width="10.5703125" style="263" customWidth="1"/>
    <col min="3354" max="3354" width="10.85546875" style="263" customWidth="1"/>
    <col min="3355" max="3355" width="9.5703125" style="263" customWidth="1"/>
    <col min="3356" max="3356" width="9.85546875" style="263" customWidth="1"/>
    <col min="3357" max="3597" width="9" style="263"/>
    <col min="3598" max="3598" width="13.7109375" style="263" customWidth="1"/>
    <col min="3599" max="3599" width="18.5703125" style="263" customWidth="1"/>
    <col min="3600" max="3600" width="9.140625" style="263" customWidth="1"/>
    <col min="3601" max="3601" width="17.28515625" style="263" customWidth="1"/>
    <col min="3602" max="3602" width="11.42578125" style="263" customWidth="1"/>
    <col min="3603" max="3603" width="17.140625" style="263" customWidth="1"/>
    <col min="3604" max="3604" width="12" style="263" customWidth="1"/>
    <col min="3605" max="3605" width="17.140625" style="263" customWidth="1"/>
    <col min="3606" max="3606" width="8.85546875" style="263" customWidth="1"/>
    <col min="3607" max="3607" width="9" style="263"/>
    <col min="3608" max="3608" width="12.42578125" style="263" customWidth="1"/>
    <col min="3609" max="3609" width="10.5703125" style="263" customWidth="1"/>
    <col min="3610" max="3610" width="10.85546875" style="263" customWidth="1"/>
    <col min="3611" max="3611" width="9.5703125" style="263" customWidth="1"/>
    <col min="3612" max="3612" width="9.85546875" style="263" customWidth="1"/>
    <col min="3613" max="3853" width="9" style="263"/>
    <col min="3854" max="3854" width="13.7109375" style="263" customWidth="1"/>
    <col min="3855" max="3855" width="18.5703125" style="263" customWidth="1"/>
    <col min="3856" max="3856" width="9.140625" style="263" customWidth="1"/>
    <col min="3857" max="3857" width="17.28515625" style="263" customWidth="1"/>
    <col min="3858" max="3858" width="11.42578125" style="263" customWidth="1"/>
    <col min="3859" max="3859" width="17.140625" style="263" customWidth="1"/>
    <col min="3860" max="3860" width="12" style="263" customWidth="1"/>
    <col min="3861" max="3861" width="17.140625" style="263" customWidth="1"/>
    <col min="3862" max="3862" width="8.85546875" style="263" customWidth="1"/>
    <col min="3863" max="3863" width="9" style="263"/>
    <col min="3864" max="3864" width="12.42578125" style="263" customWidth="1"/>
    <col min="3865" max="3865" width="10.5703125" style="263" customWidth="1"/>
    <col min="3866" max="3866" width="10.85546875" style="263" customWidth="1"/>
    <col min="3867" max="3867" width="9.5703125" style="263" customWidth="1"/>
    <col min="3868" max="3868" width="9.85546875" style="263" customWidth="1"/>
    <col min="3869" max="4109" width="9" style="263"/>
    <col min="4110" max="4110" width="13.7109375" style="263" customWidth="1"/>
    <col min="4111" max="4111" width="18.5703125" style="263" customWidth="1"/>
    <col min="4112" max="4112" width="9.140625" style="263" customWidth="1"/>
    <col min="4113" max="4113" width="17.28515625" style="263" customWidth="1"/>
    <col min="4114" max="4114" width="11.42578125" style="263" customWidth="1"/>
    <col min="4115" max="4115" width="17.140625" style="263" customWidth="1"/>
    <col min="4116" max="4116" width="12" style="263" customWidth="1"/>
    <col min="4117" max="4117" width="17.140625" style="263" customWidth="1"/>
    <col min="4118" max="4118" width="8.85546875" style="263" customWidth="1"/>
    <col min="4119" max="4119" width="9" style="263"/>
    <col min="4120" max="4120" width="12.42578125" style="263" customWidth="1"/>
    <col min="4121" max="4121" width="10.5703125" style="263" customWidth="1"/>
    <col min="4122" max="4122" width="10.85546875" style="263" customWidth="1"/>
    <col min="4123" max="4123" width="9.5703125" style="263" customWidth="1"/>
    <col min="4124" max="4124" width="9.85546875" style="263" customWidth="1"/>
    <col min="4125" max="4365" width="9" style="263"/>
    <col min="4366" max="4366" width="13.7109375" style="263" customWidth="1"/>
    <col min="4367" max="4367" width="18.5703125" style="263" customWidth="1"/>
    <col min="4368" max="4368" width="9.140625" style="263" customWidth="1"/>
    <col min="4369" max="4369" width="17.28515625" style="263" customWidth="1"/>
    <col min="4370" max="4370" width="11.42578125" style="263" customWidth="1"/>
    <col min="4371" max="4371" width="17.140625" style="263" customWidth="1"/>
    <col min="4372" max="4372" width="12" style="263" customWidth="1"/>
    <col min="4373" max="4373" width="17.140625" style="263" customWidth="1"/>
    <col min="4374" max="4374" width="8.85546875" style="263" customWidth="1"/>
    <col min="4375" max="4375" width="9" style="263"/>
    <col min="4376" max="4376" width="12.42578125" style="263" customWidth="1"/>
    <col min="4377" max="4377" width="10.5703125" style="263" customWidth="1"/>
    <col min="4378" max="4378" width="10.85546875" style="263" customWidth="1"/>
    <col min="4379" max="4379" width="9.5703125" style="263" customWidth="1"/>
    <col min="4380" max="4380" width="9.85546875" style="263" customWidth="1"/>
    <col min="4381" max="4621" width="9" style="263"/>
    <col min="4622" max="4622" width="13.7109375" style="263" customWidth="1"/>
    <col min="4623" max="4623" width="18.5703125" style="263" customWidth="1"/>
    <col min="4624" max="4624" width="9.140625" style="263" customWidth="1"/>
    <col min="4625" max="4625" width="17.28515625" style="263" customWidth="1"/>
    <col min="4626" max="4626" width="11.42578125" style="263" customWidth="1"/>
    <col min="4627" max="4627" width="17.140625" style="263" customWidth="1"/>
    <col min="4628" max="4628" width="12" style="263" customWidth="1"/>
    <col min="4629" max="4629" width="17.140625" style="263" customWidth="1"/>
    <col min="4630" max="4630" width="8.85546875" style="263" customWidth="1"/>
    <col min="4631" max="4631" width="9" style="263"/>
    <col min="4632" max="4632" width="12.42578125" style="263" customWidth="1"/>
    <col min="4633" max="4633" width="10.5703125" style="263" customWidth="1"/>
    <col min="4634" max="4634" width="10.85546875" style="263" customWidth="1"/>
    <col min="4635" max="4635" width="9.5703125" style="263" customWidth="1"/>
    <col min="4636" max="4636" width="9.85546875" style="263" customWidth="1"/>
    <col min="4637" max="4877" width="9" style="263"/>
    <col min="4878" max="4878" width="13.7109375" style="263" customWidth="1"/>
    <col min="4879" max="4879" width="18.5703125" style="263" customWidth="1"/>
    <col min="4880" max="4880" width="9.140625" style="263" customWidth="1"/>
    <col min="4881" max="4881" width="17.28515625" style="263" customWidth="1"/>
    <col min="4882" max="4882" width="11.42578125" style="263" customWidth="1"/>
    <col min="4883" max="4883" width="17.140625" style="263" customWidth="1"/>
    <col min="4884" max="4884" width="12" style="263" customWidth="1"/>
    <col min="4885" max="4885" width="17.140625" style="263" customWidth="1"/>
    <col min="4886" max="4886" width="8.85546875" style="263" customWidth="1"/>
    <col min="4887" max="4887" width="9" style="263"/>
    <col min="4888" max="4888" width="12.42578125" style="263" customWidth="1"/>
    <col min="4889" max="4889" width="10.5703125" style="263" customWidth="1"/>
    <col min="4890" max="4890" width="10.85546875" style="263" customWidth="1"/>
    <col min="4891" max="4891" width="9.5703125" style="263" customWidth="1"/>
    <col min="4892" max="4892" width="9.85546875" style="263" customWidth="1"/>
    <col min="4893" max="5133" width="9" style="263"/>
    <col min="5134" max="5134" width="13.7109375" style="263" customWidth="1"/>
    <col min="5135" max="5135" width="18.5703125" style="263" customWidth="1"/>
    <col min="5136" max="5136" width="9.140625" style="263" customWidth="1"/>
    <col min="5137" max="5137" width="17.28515625" style="263" customWidth="1"/>
    <col min="5138" max="5138" width="11.42578125" style="263" customWidth="1"/>
    <col min="5139" max="5139" width="17.140625" style="263" customWidth="1"/>
    <col min="5140" max="5140" width="12" style="263" customWidth="1"/>
    <col min="5141" max="5141" width="17.140625" style="263" customWidth="1"/>
    <col min="5142" max="5142" width="8.85546875" style="263" customWidth="1"/>
    <col min="5143" max="5143" width="9" style="263"/>
    <col min="5144" max="5144" width="12.42578125" style="263" customWidth="1"/>
    <col min="5145" max="5145" width="10.5703125" style="263" customWidth="1"/>
    <col min="5146" max="5146" width="10.85546875" style="263" customWidth="1"/>
    <col min="5147" max="5147" width="9.5703125" style="263" customWidth="1"/>
    <col min="5148" max="5148" width="9.85546875" style="263" customWidth="1"/>
    <col min="5149" max="5389" width="9" style="263"/>
    <col min="5390" max="5390" width="13.7109375" style="263" customWidth="1"/>
    <col min="5391" max="5391" width="18.5703125" style="263" customWidth="1"/>
    <col min="5392" max="5392" width="9.140625" style="263" customWidth="1"/>
    <col min="5393" max="5393" width="17.28515625" style="263" customWidth="1"/>
    <col min="5394" max="5394" width="11.42578125" style="263" customWidth="1"/>
    <col min="5395" max="5395" width="17.140625" style="263" customWidth="1"/>
    <col min="5396" max="5396" width="12" style="263" customWidth="1"/>
    <col min="5397" max="5397" width="17.140625" style="263" customWidth="1"/>
    <col min="5398" max="5398" width="8.85546875" style="263" customWidth="1"/>
    <col min="5399" max="5399" width="9" style="263"/>
    <col min="5400" max="5400" width="12.42578125" style="263" customWidth="1"/>
    <col min="5401" max="5401" width="10.5703125" style="263" customWidth="1"/>
    <col min="5402" max="5402" width="10.85546875" style="263" customWidth="1"/>
    <col min="5403" max="5403" width="9.5703125" style="263" customWidth="1"/>
    <col min="5404" max="5404" width="9.85546875" style="263" customWidth="1"/>
    <col min="5405" max="5645" width="9" style="263"/>
    <col min="5646" max="5646" width="13.7109375" style="263" customWidth="1"/>
    <col min="5647" max="5647" width="18.5703125" style="263" customWidth="1"/>
    <col min="5648" max="5648" width="9.140625" style="263" customWidth="1"/>
    <col min="5649" max="5649" width="17.28515625" style="263" customWidth="1"/>
    <col min="5650" max="5650" width="11.42578125" style="263" customWidth="1"/>
    <col min="5651" max="5651" width="17.140625" style="263" customWidth="1"/>
    <col min="5652" max="5652" width="12" style="263" customWidth="1"/>
    <col min="5653" max="5653" width="17.140625" style="263" customWidth="1"/>
    <col min="5654" max="5654" width="8.85546875" style="263" customWidth="1"/>
    <col min="5655" max="5655" width="9" style="263"/>
    <col min="5656" max="5656" width="12.42578125" style="263" customWidth="1"/>
    <col min="5657" max="5657" width="10.5703125" style="263" customWidth="1"/>
    <col min="5658" max="5658" width="10.85546875" style="263" customWidth="1"/>
    <col min="5659" max="5659" width="9.5703125" style="263" customWidth="1"/>
    <col min="5660" max="5660" width="9.85546875" style="263" customWidth="1"/>
    <col min="5661" max="5901" width="9" style="263"/>
    <col min="5902" max="5902" width="13.7109375" style="263" customWidth="1"/>
    <col min="5903" max="5903" width="18.5703125" style="263" customWidth="1"/>
    <col min="5904" max="5904" width="9.140625" style="263" customWidth="1"/>
    <col min="5905" max="5905" width="17.28515625" style="263" customWidth="1"/>
    <col min="5906" max="5906" width="11.42578125" style="263" customWidth="1"/>
    <col min="5907" max="5907" width="17.140625" style="263" customWidth="1"/>
    <col min="5908" max="5908" width="12" style="263" customWidth="1"/>
    <col min="5909" max="5909" width="17.140625" style="263" customWidth="1"/>
    <col min="5910" max="5910" width="8.85546875" style="263" customWidth="1"/>
    <col min="5911" max="5911" width="9" style="263"/>
    <col min="5912" max="5912" width="12.42578125" style="263" customWidth="1"/>
    <col min="5913" max="5913" width="10.5703125" style="263" customWidth="1"/>
    <col min="5914" max="5914" width="10.85546875" style="263" customWidth="1"/>
    <col min="5915" max="5915" width="9.5703125" style="263" customWidth="1"/>
    <col min="5916" max="5916" width="9.85546875" style="263" customWidth="1"/>
    <col min="5917" max="6157" width="9" style="263"/>
    <col min="6158" max="6158" width="13.7109375" style="263" customWidth="1"/>
    <col min="6159" max="6159" width="18.5703125" style="263" customWidth="1"/>
    <col min="6160" max="6160" width="9.140625" style="263" customWidth="1"/>
    <col min="6161" max="6161" width="17.28515625" style="263" customWidth="1"/>
    <col min="6162" max="6162" width="11.42578125" style="263" customWidth="1"/>
    <col min="6163" max="6163" width="17.140625" style="263" customWidth="1"/>
    <col min="6164" max="6164" width="12" style="263" customWidth="1"/>
    <col min="6165" max="6165" width="17.140625" style="263" customWidth="1"/>
    <col min="6166" max="6166" width="8.85546875" style="263" customWidth="1"/>
    <col min="6167" max="6167" width="9" style="263"/>
    <col min="6168" max="6168" width="12.42578125" style="263" customWidth="1"/>
    <col min="6169" max="6169" width="10.5703125" style="263" customWidth="1"/>
    <col min="6170" max="6170" width="10.85546875" style="263" customWidth="1"/>
    <col min="6171" max="6171" width="9.5703125" style="263" customWidth="1"/>
    <col min="6172" max="6172" width="9.85546875" style="263" customWidth="1"/>
    <col min="6173" max="6413" width="9" style="263"/>
    <col min="6414" max="6414" width="13.7109375" style="263" customWidth="1"/>
    <col min="6415" max="6415" width="18.5703125" style="263" customWidth="1"/>
    <col min="6416" max="6416" width="9.140625" style="263" customWidth="1"/>
    <col min="6417" max="6417" width="17.28515625" style="263" customWidth="1"/>
    <col min="6418" max="6418" width="11.42578125" style="263" customWidth="1"/>
    <col min="6419" max="6419" width="17.140625" style="263" customWidth="1"/>
    <col min="6420" max="6420" width="12" style="263" customWidth="1"/>
    <col min="6421" max="6421" width="17.140625" style="263" customWidth="1"/>
    <col min="6422" max="6422" width="8.85546875" style="263" customWidth="1"/>
    <col min="6423" max="6423" width="9" style="263"/>
    <col min="6424" max="6424" width="12.42578125" style="263" customWidth="1"/>
    <col min="6425" max="6425" width="10.5703125" style="263" customWidth="1"/>
    <col min="6426" max="6426" width="10.85546875" style="263" customWidth="1"/>
    <col min="6427" max="6427" width="9.5703125" style="263" customWidth="1"/>
    <col min="6428" max="6428" width="9.85546875" style="263" customWidth="1"/>
    <col min="6429" max="6669" width="9" style="263"/>
    <col min="6670" max="6670" width="13.7109375" style="263" customWidth="1"/>
    <col min="6671" max="6671" width="18.5703125" style="263" customWidth="1"/>
    <col min="6672" max="6672" width="9.140625" style="263" customWidth="1"/>
    <col min="6673" max="6673" width="17.28515625" style="263" customWidth="1"/>
    <col min="6674" max="6674" width="11.42578125" style="263" customWidth="1"/>
    <col min="6675" max="6675" width="17.140625" style="263" customWidth="1"/>
    <col min="6676" max="6676" width="12" style="263" customWidth="1"/>
    <col min="6677" max="6677" width="17.140625" style="263" customWidth="1"/>
    <col min="6678" max="6678" width="8.85546875" style="263" customWidth="1"/>
    <col min="6679" max="6679" width="9" style="263"/>
    <col min="6680" max="6680" width="12.42578125" style="263" customWidth="1"/>
    <col min="6681" max="6681" width="10.5703125" style="263" customWidth="1"/>
    <col min="6682" max="6682" width="10.85546875" style="263" customWidth="1"/>
    <col min="6683" max="6683" width="9.5703125" style="263" customWidth="1"/>
    <col min="6684" max="6684" width="9.85546875" style="263" customWidth="1"/>
    <col min="6685" max="6925" width="9" style="263"/>
    <col min="6926" max="6926" width="13.7109375" style="263" customWidth="1"/>
    <col min="6927" max="6927" width="18.5703125" style="263" customWidth="1"/>
    <col min="6928" max="6928" width="9.140625" style="263" customWidth="1"/>
    <col min="6929" max="6929" width="17.28515625" style="263" customWidth="1"/>
    <col min="6930" max="6930" width="11.42578125" style="263" customWidth="1"/>
    <col min="6931" max="6931" width="17.140625" style="263" customWidth="1"/>
    <col min="6932" max="6932" width="12" style="263" customWidth="1"/>
    <col min="6933" max="6933" width="17.140625" style="263" customWidth="1"/>
    <col min="6934" max="6934" width="8.85546875" style="263" customWidth="1"/>
    <col min="6935" max="6935" width="9" style="263"/>
    <col min="6936" max="6936" width="12.42578125" style="263" customWidth="1"/>
    <col min="6937" max="6937" width="10.5703125" style="263" customWidth="1"/>
    <col min="6938" max="6938" width="10.85546875" style="263" customWidth="1"/>
    <col min="6939" max="6939" width="9.5703125" style="263" customWidth="1"/>
    <col min="6940" max="6940" width="9.85546875" style="263" customWidth="1"/>
    <col min="6941" max="7181" width="9" style="263"/>
    <col min="7182" max="7182" width="13.7109375" style="263" customWidth="1"/>
    <col min="7183" max="7183" width="18.5703125" style="263" customWidth="1"/>
    <col min="7184" max="7184" width="9.140625" style="263" customWidth="1"/>
    <col min="7185" max="7185" width="17.28515625" style="263" customWidth="1"/>
    <col min="7186" max="7186" width="11.42578125" style="263" customWidth="1"/>
    <col min="7187" max="7187" width="17.140625" style="263" customWidth="1"/>
    <col min="7188" max="7188" width="12" style="263" customWidth="1"/>
    <col min="7189" max="7189" width="17.140625" style="263" customWidth="1"/>
    <col min="7190" max="7190" width="8.85546875" style="263" customWidth="1"/>
    <col min="7191" max="7191" width="9" style="263"/>
    <col min="7192" max="7192" width="12.42578125" style="263" customWidth="1"/>
    <col min="7193" max="7193" width="10.5703125" style="263" customWidth="1"/>
    <col min="7194" max="7194" width="10.85546875" style="263" customWidth="1"/>
    <col min="7195" max="7195" width="9.5703125" style="263" customWidth="1"/>
    <col min="7196" max="7196" width="9.85546875" style="263" customWidth="1"/>
    <col min="7197" max="7437" width="9" style="263"/>
    <col min="7438" max="7438" width="13.7109375" style="263" customWidth="1"/>
    <col min="7439" max="7439" width="18.5703125" style="263" customWidth="1"/>
    <col min="7440" max="7440" width="9.140625" style="263" customWidth="1"/>
    <col min="7441" max="7441" width="17.28515625" style="263" customWidth="1"/>
    <col min="7442" max="7442" width="11.42578125" style="263" customWidth="1"/>
    <col min="7443" max="7443" width="17.140625" style="263" customWidth="1"/>
    <col min="7444" max="7444" width="12" style="263" customWidth="1"/>
    <col min="7445" max="7445" width="17.140625" style="263" customWidth="1"/>
    <col min="7446" max="7446" width="8.85546875" style="263" customWidth="1"/>
    <col min="7447" max="7447" width="9" style="263"/>
    <col min="7448" max="7448" width="12.42578125" style="263" customWidth="1"/>
    <col min="7449" max="7449" width="10.5703125" style="263" customWidth="1"/>
    <col min="7450" max="7450" width="10.85546875" style="263" customWidth="1"/>
    <col min="7451" max="7451" width="9.5703125" style="263" customWidth="1"/>
    <col min="7452" max="7452" width="9.85546875" style="263" customWidth="1"/>
    <col min="7453" max="7693" width="9" style="263"/>
    <col min="7694" max="7694" width="13.7109375" style="263" customWidth="1"/>
    <col min="7695" max="7695" width="18.5703125" style="263" customWidth="1"/>
    <col min="7696" max="7696" width="9.140625" style="263" customWidth="1"/>
    <col min="7697" max="7697" width="17.28515625" style="263" customWidth="1"/>
    <col min="7698" max="7698" width="11.42578125" style="263" customWidth="1"/>
    <col min="7699" max="7699" width="17.140625" style="263" customWidth="1"/>
    <col min="7700" max="7700" width="12" style="263" customWidth="1"/>
    <col min="7701" max="7701" width="17.140625" style="263" customWidth="1"/>
    <col min="7702" max="7702" width="8.85546875" style="263" customWidth="1"/>
    <col min="7703" max="7703" width="9" style="263"/>
    <col min="7704" max="7704" width="12.42578125" style="263" customWidth="1"/>
    <col min="7705" max="7705" width="10.5703125" style="263" customWidth="1"/>
    <col min="7706" max="7706" width="10.85546875" style="263" customWidth="1"/>
    <col min="7707" max="7707" width="9.5703125" style="263" customWidth="1"/>
    <col min="7708" max="7708" width="9.85546875" style="263" customWidth="1"/>
    <col min="7709" max="7949" width="9" style="263"/>
    <col min="7950" max="7950" width="13.7109375" style="263" customWidth="1"/>
    <col min="7951" max="7951" width="18.5703125" style="263" customWidth="1"/>
    <col min="7952" max="7952" width="9.140625" style="263" customWidth="1"/>
    <col min="7953" max="7953" width="17.28515625" style="263" customWidth="1"/>
    <col min="7954" max="7954" width="11.42578125" style="263" customWidth="1"/>
    <col min="7955" max="7955" width="17.140625" style="263" customWidth="1"/>
    <col min="7956" max="7956" width="12" style="263" customWidth="1"/>
    <col min="7957" max="7957" width="17.140625" style="263" customWidth="1"/>
    <col min="7958" max="7958" width="8.85546875" style="263" customWidth="1"/>
    <col min="7959" max="7959" width="9" style="263"/>
    <col min="7960" max="7960" width="12.42578125" style="263" customWidth="1"/>
    <col min="7961" max="7961" width="10.5703125" style="263" customWidth="1"/>
    <col min="7962" max="7962" width="10.85546875" style="263" customWidth="1"/>
    <col min="7963" max="7963" width="9.5703125" style="263" customWidth="1"/>
    <col min="7964" max="7964" width="9.85546875" style="263" customWidth="1"/>
    <col min="7965" max="8205" width="9" style="263"/>
    <col min="8206" max="8206" width="13.7109375" style="263" customWidth="1"/>
    <col min="8207" max="8207" width="18.5703125" style="263" customWidth="1"/>
    <col min="8208" max="8208" width="9.140625" style="263" customWidth="1"/>
    <col min="8209" max="8209" width="17.28515625" style="263" customWidth="1"/>
    <col min="8210" max="8210" width="11.42578125" style="263" customWidth="1"/>
    <col min="8211" max="8211" width="17.140625" style="263" customWidth="1"/>
    <col min="8212" max="8212" width="12" style="263" customWidth="1"/>
    <col min="8213" max="8213" width="17.140625" style="263" customWidth="1"/>
    <col min="8214" max="8214" width="8.85546875" style="263" customWidth="1"/>
    <col min="8215" max="8215" width="9" style="263"/>
    <col min="8216" max="8216" width="12.42578125" style="263" customWidth="1"/>
    <col min="8217" max="8217" width="10.5703125" style="263" customWidth="1"/>
    <col min="8218" max="8218" width="10.85546875" style="263" customWidth="1"/>
    <col min="8219" max="8219" width="9.5703125" style="263" customWidth="1"/>
    <col min="8220" max="8220" width="9.85546875" style="263" customWidth="1"/>
    <col min="8221" max="8461" width="9" style="263"/>
    <col min="8462" max="8462" width="13.7109375" style="263" customWidth="1"/>
    <col min="8463" max="8463" width="18.5703125" style="263" customWidth="1"/>
    <col min="8464" max="8464" width="9.140625" style="263" customWidth="1"/>
    <col min="8465" max="8465" width="17.28515625" style="263" customWidth="1"/>
    <col min="8466" max="8466" width="11.42578125" style="263" customWidth="1"/>
    <col min="8467" max="8467" width="17.140625" style="263" customWidth="1"/>
    <col min="8468" max="8468" width="12" style="263" customWidth="1"/>
    <col min="8469" max="8469" width="17.140625" style="263" customWidth="1"/>
    <col min="8470" max="8470" width="8.85546875" style="263" customWidth="1"/>
    <col min="8471" max="8471" width="9" style="263"/>
    <col min="8472" max="8472" width="12.42578125" style="263" customWidth="1"/>
    <col min="8473" max="8473" width="10.5703125" style="263" customWidth="1"/>
    <col min="8474" max="8474" width="10.85546875" style="263" customWidth="1"/>
    <col min="8475" max="8475" width="9.5703125" style="263" customWidth="1"/>
    <col min="8476" max="8476" width="9.85546875" style="263" customWidth="1"/>
    <col min="8477" max="8717" width="9" style="263"/>
    <col min="8718" max="8718" width="13.7109375" style="263" customWidth="1"/>
    <col min="8719" max="8719" width="18.5703125" style="263" customWidth="1"/>
    <col min="8720" max="8720" width="9.140625" style="263" customWidth="1"/>
    <col min="8721" max="8721" width="17.28515625" style="263" customWidth="1"/>
    <col min="8722" max="8722" width="11.42578125" style="263" customWidth="1"/>
    <col min="8723" max="8723" width="17.140625" style="263" customWidth="1"/>
    <col min="8724" max="8724" width="12" style="263" customWidth="1"/>
    <col min="8725" max="8725" width="17.140625" style="263" customWidth="1"/>
    <col min="8726" max="8726" width="8.85546875" style="263" customWidth="1"/>
    <col min="8727" max="8727" width="9" style="263"/>
    <col min="8728" max="8728" width="12.42578125" style="263" customWidth="1"/>
    <col min="8729" max="8729" width="10.5703125" style="263" customWidth="1"/>
    <col min="8730" max="8730" width="10.85546875" style="263" customWidth="1"/>
    <col min="8731" max="8731" width="9.5703125" style="263" customWidth="1"/>
    <col min="8732" max="8732" width="9.85546875" style="263" customWidth="1"/>
    <col min="8733" max="8973" width="9" style="263"/>
    <col min="8974" max="8974" width="13.7109375" style="263" customWidth="1"/>
    <col min="8975" max="8975" width="18.5703125" style="263" customWidth="1"/>
    <col min="8976" max="8976" width="9.140625" style="263" customWidth="1"/>
    <col min="8977" max="8977" width="17.28515625" style="263" customWidth="1"/>
    <col min="8978" max="8978" width="11.42578125" style="263" customWidth="1"/>
    <col min="8979" max="8979" width="17.140625" style="263" customWidth="1"/>
    <col min="8980" max="8980" width="12" style="263" customWidth="1"/>
    <col min="8981" max="8981" width="17.140625" style="263" customWidth="1"/>
    <col min="8982" max="8982" width="8.85546875" style="263" customWidth="1"/>
    <col min="8983" max="8983" width="9" style="263"/>
    <col min="8984" max="8984" width="12.42578125" style="263" customWidth="1"/>
    <col min="8985" max="8985" width="10.5703125" style="263" customWidth="1"/>
    <col min="8986" max="8986" width="10.85546875" style="263" customWidth="1"/>
    <col min="8987" max="8987" width="9.5703125" style="263" customWidth="1"/>
    <col min="8988" max="8988" width="9.85546875" style="263" customWidth="1"/>
    <col min="8989" max="9229" width="9" style="263"/>
    <col min="9230" max="9230" width="13.7109375" style="263" customWidth="1"/>
    <col min="9231" max="9231" width="18.5703125" style="263" customWidth="1"/>
    <col min="9232" max="9232" width="9.140625" style="263" customWidth="1"/>
    <col min="9233" max="9233" width="17.28515625" style="263" customWidth="1"/>
    <col min="9234" max="9234" width="11.42578125" style="263" customWidth="1"/>
    <col min="9235" max="9235" width="17.140625" style="263" customWidth="1"/>
    <col min="9236" max="9236" width="12" style="263" customWidth="1"/>
    <col min="9237" max="9237" width="17.140625" style="263" customWidth="1"/>
    <col min="9238" max="9238" width="8.85546875" style="263" customWidth="1"/>
    <col min="9239" max="9239" width="9" style="263"/>
    <col min="9240" max="9240" width="12.42578125" style="263" customWidth="1"/>
    <col min="9241" max="9241" width="10.5703125" style="263" customWidth="1"/>
    <col min="9242" max="9242" width="10.85546875" style="263" customWidth="1"/>
    <col min="9243" max="9243" width="9.5703125" style="263" customWidth="1"/>
    <col min="9244" max="9244" width="9.85546875" style="263" customWidth="1"/>
    <col min="9245" max="9485" width="9" style="263"/>
    <col min="9486" max="9486" width="13.7109375" style="263" customWidth="1"/>
    <col min="9487" max="9487" width="18.5703125" style="263" customWidth="1"/>
    <col min="9488" max="9488" width="9.140625" style="263" customWidth="1"/>
    <col min="9489" max="9489" width="17.28515625" style="263" customWidth="1"/>
    <col min="9490" max="9490" width="11.42578125" style="263" customWidth="1"/>
    <col min="9491" max="9491" width="17.140625" style="263" customWidth="1"/>
    <col min="9492" max="9492" width="12" style="263" customWidth="1"/>
    <col min="9493" max="9493" width="17.140625" style="263" customWidth="1"/>
    <col min="9494" max="9494" width="8.85546875" style="263" customWidth="1"/>
    <col min="9495" max="9495" width="9" style="263"/>
    <col min="9496" max="9496" width="12.42578125" style="263" customWidth="1"/>
    <col min="9497" max="9497" width="10.5703125" style="263" customWidth="1"/>
    <col min="9498" max="9498" width="10.85546875" style="263" customWidth="1"/>
    <col min="9499" max="9499" width="9.5703125" style="263" customWidth="1"/>
    <col min="9500" max="9500" width="9.85546875" style="263" customWidth="1"/>
    <col min="9501" max="9741" width="9" style="263"/>
    <col min="9742" max="9742" width="13.7109375" style="263" customWidth="1"/>
    <col min="9743" max="9743" width="18.5703125" style="263" customWidth="1"/>
    <col min="9744" max="9744" width="9.140625" style="263" customWidth="1"/>
    <col min="9745" max="9745" width="17.28515625" style="263" customWidth="1"/>
    <col min="9746" max="9746" width="11.42578125" style="263" customWidth="1"/>
    <col min="9747" max="9747" width="17.140625" style="263" customWidth="1"/>
    <col min="9748" max="9748" width="12" style="263" customWidth="1"/>
    <col min="9749" max="9749" width="17.140625" style="263" customWidth="1"/>
    <col min="9750" max="9750" width="8.85546875" style="263" customWidth="1"/>
    <col min="9751" max="9751" width="9" style="263"/>
    <col min="9752" max="9752" width="12.42578125" style="263" customWidth="1"/>
    <col min="9753" max="9753" width="10.5703125" style="263" customWidth="1"/>
    <col min="9754" max="9754" width="10.85546875" style="263" customWidth="1"/>
    <col min="9755" max="9755" width="9.5703125" style="263" customWidth="1"/>
    <col min="9756" max="9756" width="9.85546875" style="263" customWidth="1"/>
    <col min="9757" max="9997" width="9" style="263"/>
    <col min="9998" max="9998" width="13.7109375" style="263" customWidth="1"/>
    <col min="9999" max="9999" width="18.5703125" style="263" customWidth="1"/>
    <col min="10000" max="10000" width="9.140625" style="263" customWidth="1"/>
    <col min="10001" max="10001" width="17.28515625" style="263" customWidth="1"/>
    <col min="10002" max="10002" width="11.42578125" style="263" customWidth="1"/>
    <col min="10003" max="10003" width="17.140625" style="263" customWidth="1"/>
    <col min="10004" max="10004" width="12" style="263" customWidth="1"/>
    <col min="10005" max="10005" width="17.140625" style="263" customWidth="1"/>
    <col min="10006" max="10006" width="8.85546875" style="263" customWidth="1"/>
    <col min="10007" max="10007" width="9" style="263"/>
    <col min="10008" max="10008" width="12.42578125" style="263" customWidth="1"/>
    <col min="10009" max="10009" width="10.5703125" style="263" customWidth="1"/>
    <col min="10010" max="10010" width="10.85546875" style="263" customWidth="1"/>
    <col min="10011" max="10011" width="9.5703125" style="263" customWidth="1"/>
    <col min="10012" max="10012" width="9.85546875" style="263" customWidth="1"/>
    <col min="10013" max="10253" width="9" style="263"/>
    <col min="10254" max="10254" width="13.7109375" style="263" customWidth="1"/>
    <col min="10255" max="10255" width="18.5703125" style="263" customWidth="1"/>
    <col min="10256" max="10256" width="9.140625" style="263" customWidth="1"/>
    <col min="10257" max="10257" width="17.28515625" style="263" customWidth="1"/>
    <col min="10258" max="10258" width="11.42578125" style="263" customWidth="1"/>
    <col min="10259" max="10259" width="17.140625" style="263" customWidth="1"/>
    <col min="10260" max="10260" width="12" style="263" customWidth="1"/>
    <col min="10261" max="10261" width="17.140625" style="263" customWidth="1"/>
    <col min="10262" max="10262" width="8.85546875" style="263" customWidth="1"/>
    <col min="10263" max="10263" width="9" style="263"/>
    <col min="10264" max="10264" width="12.42578125" style="263" customWidth="1"/>
    <col min="10265" max="10265" width="10.5703125" style="263" customWidth="1"/>
    <col min="10266" max="10266" width="10.85546875" style="263" customWidth="1"/>
    <col min="10267" max="10267" width="9.5703125" style="263" customWidth="1"/>
    <col min="10268" max="10268" width="9.85546875" style="263" customWidth="1"/>
    <col min="10269" max="10509" width="9" style="263"/>
    <col min="10510" max="10510" width="13.7109375" style="263" customWidth="1"/>
    <col min="10511" max="10511" width="18.5703125" style="263" customWidth="1"/>
    <col min="10512" max="10512" width="9.140625" style="263" customWidth="1"/>
    <col min="10513" max="10513" width="17.28515625" style="263" customWidth="1"/>
    <col min="10514" max="10514" width="11.42578125" style="263" customWidth="1"/>
    <col min="10515" max="10515" width="17.140625" style="263" customWidth="1"/>
    <col min="10516" max="10516" width="12" style="263" customWidth="1"/>
    <col min="10517" max="10517" width="17.140625" style="263" customWidth="1"/>
    <col min="10518" max="10518" width="8.85546875" style="263" customWidth="1"/>
    <col min="10519" max="10519" width="9" style="263"/>
    <col min="10520" max="10520" width="12.42578125" style="263" customWidth="1"/>
    <col min="10521" max="10521" width="10.5703125" style="263" customWidth="1"/>
    <col min="10522" max="10522" width="10.85546875" style="263" customWidth="1"/>
    <col min="10523" max="10523" width="9.5703125" style="263" customWidth="1"/>
    <col min="10524" max="10524" width="9.85546875" style="263" customWidth="1"/>
    <col min="10525" max="10765" width="9" style="263"/>
    <col min="10766" max="10766" width="13.7109375" style="263" customWidth="1"/>
    <col min="10767" max="10767" width="18.5703125" style="263" customWidth="1"/>
    <col min="10768" max="10768" width="9.140625" style="263" customWidth="1"/>
    <col min="10769" max="10769" width="17.28515625" style="263" customWidth="1"/>
    <col min="10770" max="10770" width="11.42578125" style="263" customWidth="1"/>
    <col min="10771" max="10771" width="17.140625" style="263" customWidth="1"/>
    <col min="10772" max="10772" width="12" style="263" customWidth="1"/>
    <col min="10773" max="10773" width="17.140625" style="263" customWidth="1"/>
    <col min="10774" max="10774" width="8.85546875" style="263" customWidth="1"/>
    <col min="10775" max="10775" width="9" style="263"/>
    <col min="10776" max="10776" width="12.42578125" style="263" customWidth="1"/>
    <col min="10777" max="10777" width="10.5703125" style="263" customWidth="1"/>
    <col min="10778" max="10778" width="10.85546875" style="263" customWidth="1"/>
    <col min="10779" max="10779" width="9.5703125" style="263" customWidth="1"/>
    <col min="10780" max="10780" width="9.85546875" style="263" customWidth="1"/>
    <col min="10781" max="11021" width="9" style="263"/>
    <col min="11022" max="11022" width="13.7109375" style="263" customWidth="1"/>
    <col min="11023" max="11023" width="18.5703125" style="263" customWidth="1"/>
    <col min="11024" max="11024" width="9.140625" style="263" customWidth="1"/>
    <col min="11025" max="11025" width="17.28515625" style="263" customWidth="1"/>
    <col min="11026" max="11026" width="11.42578125" style="263" customWidth="1"/>
    <col min="11027" max="11027" width="17.140625" style="263" customWidth="1"/>
    <col min="11028" max="11028" width="12" style="263" customWidth="1"/>
    <col min="11029" max="11029" width="17.140625" style="263" customWidth="1"/>
    <col min="11030" max="11030" width="8.85546875" style="263" customWidth="1"/>
    <col min="11031" max="11031" width="9" style="263"/>
    <col min="11032" max="11032" width="12.42578125" style="263" customWidth="1"/>
    <col min="11033" max="11033" width="10.5703125" style="263" customWidth="1"/>
    <col min="11034" max="11034" width="10.85546875" style="263" customWidth="1"/>
    <col min="11035" max="11035" width="9.5703125" style="263" customWidth="1"/>
    <col min="11036" max="11036" width="9.85546875" style="263" customWidth="1"/>
    <col min="11037" max="11277" width="9" style="263"/>
    <col min="11278" max="11278" width="13.7109375" style="263" customWidth="1"/>
    <col min="11279" max="11279" width="18.5703125" style="263" customWidth="1"/>
    <col min="11280" max="11280" width="9.140625" style="263" customWidth="1"/>
    <col min="11281" max="11281" width="17.28515625" style="263" customWidth="1"/>
    <col min="11282" max="11282" width="11.42578125" style="263" customWidth="1"/>
    <col min="11283" max="11283" width="17.140625" style="263" customWidth="1"/>
    <col min="11284" max="11284" width="12" style="263" customWidth="1"/>
    <col min="11285" max="11285" width="17.140625" style="263" customWidth="1"/>
    <col min="11286" max="11286" width="8.85546875" style="263" customWidth="1"/>
    <col min="11287" max="11287" width="9" style="263"/>
    <col min="11288" max="11288" width="12.42578125" style="263" customWidth="1"/>
    <col min="11289" max="11289" width="10.5703125" style="263" customWidth="1"/>
    <col min="11290" max="11290" width="10.85546875" style="263" customWidth="1"/>
    <col min="11291" max="11291" width="9.5703125" style="263" customWidth="1"/>
    <col min="11292" max="11292" width="9.85546875" style="263" customWidth="1"/>
    <col min="11293" max="11533" width="9" style="263"/>
    <col min="11534" max="11534" width="13.7109375" style="263" customWidth="1"/>
    <col min="11535" max="11535" width="18.5703125" style="263" customWidth="1"/>
    <col min="11536" max="11536" width="9.140625" style="263" customWidth="1"/>
    <col min="11537" max="11537" width="17.28515625" style="263" customWidth="1"/>
    <col min="11538" max="11538" width="11.42578125" style="263" customWidth="1"/>
    <col min="11539" max="11539" width="17.140625" style="263" customWidth="1"/>
    <col min="11540" max="11540" width="12" style="263" customWidth="1"/>
    <col min="11541" max="11541" width="17.140625" style="263" customWidth="1"/>
    <col min="11542" max="11542" width="8.85546875" style="263" customWidth="1"/>
    <col min="11543" max="11543" width="9" style="263"/>
    <col min="11544" max="11544" width="12.42578125" style="263" customWidth="1"/>
    <col min="11545" max="11545" width="10.5703125" style="263" customWidth="1"/>
    <col min="11546" max="11546" width="10.85546875" style="263" customWidth="1"/>
    <col min="11547" max="11547" width="9.5703125" style="263" customWidth="1"/>
    <col min="11548" max="11548" width="9.85546875" style="263" customWidth="1"/>
    <col min="11549" max="11789" width="9" style="263"/>
    <col min="11790" max="11790" width="13.7109375" style="263" customWidth="1"/>
    <col min="11791" max="11791" width="18.5703125" style="263" customWidth="1"/>
    <col min="11792" max="11792" width="9.140625" style="263" customWidth="1"/>
    <col min="11793" max="11793" width="17.28515625" style="263" customWidth="1"/>
    <col min="11794" max="11794" width="11.42578125" style="263" customWidth="1"/>
    <col min="11795" max="11795" width="17.140625" style="263" customWidth="1"/>
    <col min="11796" max="11796" width="12" style="263" customWidth="1"/>
    <col min="11797" max="11797" width="17.140625" style="263" customWidth="1"/>
    <col min="11798" max="11798" width="8.85546875" style="263" customWidth="1"/>
    <col min="11799" max="11799" width="9" style="263"/>
    <col min="11800" max="11800" width="12.42578125" style="263" customWidth="1"/>
    <col min="11801" max="11801" width="10.5703125" style="263" customWidth="1"/>
    <col min="11802" max="11802" width="10.85546875" style="263" customWidth="1"/>
    <col min="11803" max="11803" width="9.5703125" style="263" customWidth="1"/>
    <col min="11804" max="11804" width="9.85546875" style="263" customWidth="1"/>
    <col min="11805" max="12045" width="9" style="263"/>
    <col min="12046" max="12046" width="13.7109375" style="263" customWidth="1"/>
    <col min="12047" max="12047" width="18.5703125" style="263" customWidth="1"/>
    <col min="12048" max="12048" width="9.140625" style="263" customWidth="1"/>
    <col min="12049" max="12049" width="17.28515625" style="263" customWidth="1"/>
    <col min="12050" max="12050" width="11.42578125" style="263" customWidth="1"/>
    <col min="12051" max="12051" width="17.140625" style="263" customWidth="1"/>
    <col min="12052" max="12052" width="12" style="263" customWidth="1"/>
    <col min="12053" max="12053" width="17.140625" style="263" customWidth="1"/>
    <col min="12054" max="12054" width="8.85546875" style="263" customWidth="1"/>
    <col min="12055" max="12055" width="9" style="263"/>
    <col min="12056" max="12056" width="12.42578125" style="263" customWidth="1"/>
    <col min="12057" max="12057" width="10.5703125" style="263" customWidth="1"/>
    <col min="12058" max="12058" width="10.85546875" style="263" customWidth="1"/>
    <col min="12059" max="12059" width="9.5703125" style="263" customWidth="1"/>
    <col min="12060" max="12060" width="9.85546875" style="263" customWidth="1"/>
    <col min="12061" max="12301" width="9" style="263"/>
    <col min="12302" max="12302" width="13.7109375" style="263" customWidth="1"/>
    <col min="12303" max="12303" width="18.5703125" style="263" customWidth="1"/>
    <col min="12304" max="12304" width="9.140625" style="263" customWidth="1"/>
    <col min="12305" max="12305" width="17.28515625" style="263" customWidth="1"/>
    <col min="12306" max="12306" width="11.42578125" style="263" customWidth="1"/>
    <col min="12307" max="12307" width="17.140625" style="263" customWidth="1"/>
    <col min="12308" max="12308" width="12" style="263" customWidth="1"/>
    <col min="12309" max="12309" width="17.140625" style="263" customWidth="1"/>
    <col min="12310" max="12310" width="8.85546875" style="263" customWidth="1"/>
    <col min="12311" max="12311" width="9" style="263"/>
    <col min="12312" max="12312" width="12.42578125" style="263" customWidth="1"/>
    <col min="12313" max="12313" width="10.5703125" style="263" customWidth="1"/>
    <col min="12314" max="12314" width="10.85546875" style="263" customWidth="1"/>
    <col min="12315" max="12315" width="9.5703125" style="263" customWidth="1"/>
    <col min="12316" max="12316" width="9.85546875" style="263" customWidth="1"/>
    <col min="12317" max="12557" width="9" style="263"/>
    <col min="12558" max="12558" width="13.7109375" style="263" customWidth="1"/>
    <col min="12559" max="12559" width="18.5703125" style="263" customWidth="1"/>
    <col min="12560" max="12560" width="9.140625" style="263" customWidth="1"/>
    <col min="12561" max="12561" width="17.28515625" style="263" customWidth="1"/>
    <col min="12562" max="12562" width="11.42578125" style="263" customWidth="1"/>
    <col min="12563" max="12563" width="17.140625" style="263" customWidth="1"/>
    <col min="12564" max="12564" width="12" style="263" customWidth="1"/>
    <col min="12565" max="12565" width="17.140625" style="263" customWidth="1"/>
    <col min="12566" max="12566" width="8.85546875" style="263" customWidth="1"/>
    <col min="12567" max="12567" width="9" style="263"/>
    <col min="12568" max="12568" width="12.42578125" style="263" customWidth="1"/>
    <col min="12569" max="12569" width="10.5703125" style="263" customWidth="1"/>
    <col min="12570" max="12570" width="10.85546875" style="263" customWidth="1"/>
    <col min="12571" max="12571" width="9.5703125" style="263" customWidth="1"/>
    <col min="12572" max="12572" width="9.85546875" style="263" customWidth="1"/>
    <col min="12573" max="12813" width="9" style="263"/>
    <col min="12814" max="12814" width="13.7109375" style="263" customWidth="1"/>
    <col min="12815" max="12815" width="18.5703125" style="263" customWidth="1"/>
    <col min="12816" max="12816" width="9.140625" style="263" customWidth="1"/>
    <col min="12817" max="12817" width="17.28515625" style="263" customWidth="1"/>
    <col min="12818" max="12818" width="11.42578125" style="263" customWidth="1"/>
    <col min="12819" max="12819" width="17.140625" style="263" customWidth="1"/>
    <col min="12820" max="12820" width="12" style="263" customWidth="1"/>
    <col min="12821" max="12821" width="17.140625" style="263" customWidth="1"/>
    <col min="12822" max="12822" width="8.85546875" style="263" customWidth="1"/>
    <col min="12823" max="12823" width="9" style="263"/>
    <col min="12824" max="12824" width="12.42578125" style="263" customWidth="1"/>
    <col min="12825" max="12825" width="10.5703125" style="263" customWidth="1"/>
    <col min="12826" max="12826" width="10.85546875" style="263" customWidth="1"/>
    <col min="12827" max="12827" width="9.5703125" style="263" customWidth="1"/>
    <col min="12828" max="12828" width="9.85546875" style="263" customWidth="1"/>
    <col min="12829" max="13069" width="9" style="263"/>
    <col min="13070" max="13070" width="13.7109375" style="263" customWidth="1"/>
    <col min="13071" max="13071" width="18.5703125" style="263" customWidth="1"/>
    <col min="13072" max="13072" width="9.140625" style="263" customWidth="1"/>
    <col min="13073" max="13073" width="17.28515625" style="263" customWidth="1"/>
    <col min="13074" max="13074" width="11.42578125" style="263" customWidth="1"/>
    <col min="13075" max="13075" width="17.140625" style="263" customWidth="1"/>
    <col min="13076" max="13076" width="12" style="263" customWidth="1"/>
    <col min="13077" max="13077" width="17.140625" style="263" customWidth="1"/>
    <col min="13078" max="13078" width="8.85546875" style="263" customWidth="1"/>
    <col min="13079" max="13079" width="9" style="263"/>
    <col min="13080" max="13080" width="12.42578125" style="263" customWidth="1"/>
    <col min="13081" max="13081" width="10.5703125" style="263" customWidth="1"/>
    <col min="13082" max="13082" width="10.85546875" style="263" customWidth="1"/>
    <col min="13083" max="13083" width="9.5703125" style="263" customWidth="1"/>
    <col min="13084" max="13084" width="9.85546875" style="263" customWidth="1"/>
    <col min="13085" max="13325" width="9" style="263"/>
    <col min="13326" max="13326" width="13.7109375" style="263" customWidth="1"/>
    <col min="13327" max="13327" width="18.5703125" style="263" customWidth="1"/>
    <col min="13328" max="13328" width="9.140625" style="263" customWidth="1"/>
    <col min="13329" max="13329" width="17.28515625" style="263" customWidth="1"/>
    <col min="13330" max="13330" width="11.42578125" style="263" customWidth="1"/>
    <col min="13331" max="13331" width="17.140625" style="263" customWidth="1"/>
    <col min="13332" max="13332" width="12" style="263" customWidth="1"/>
    <col min="13333" max="13333" width="17.140625" style="263" customWidth="1"/>
    <col min="13334" max="13334" width="8.85546875" style="263" customWidth="1"/>
    <col min="13335" max="13335" width="9" style="263"/>
    <col min="13336" max="13336" width="12.42578125" style="263" customWidth="1"/>
    <col min="13337" max="13337" width="10.5703125" style="263" customWidth="1"/>
    <col min="13338" max="13338" width="10.85546875" style="263" customWidth="1"/>
    <col min="13339" max="13339" width="9.5703125" style="263" customWidth="1"/>
    <col min="13340" max="13340" width="9.85546875" style="263" customWidth="1"/>
    <col min="13341" max="13581" width="9" style="263"/>
    <col min="13582" max="13582" width="13.7109375" style="263" customWidth="1"/>
    <col min="13583" max="13583" width="18.5703125" style="263" customWidth="1"/>
    <col min="13584" max="13584" width="9.140625" style="263" customWidth="1"/>
    <col min="13585" max="13585" width="17.28515625" style="263" customWidth="1"/>
    <col min="13586" max="13586" width="11.42578125" style="263" customWidth="1"/>
    <col min="13587" max="13587" width="17.140625" style="263" customWidth="1"/>
    <col min="13588" max="13588" width="12" style="263" customWidth="1"/>
    <col min="13589" max="13589" width="17.140625" style="263" customWidth="1"/>
    <col min="13590" max="13590" width="8.85546875" style="263" customWidth="1"/>
    <col min="13591" max="13591" width="9" style="263"/>
    <col min="13592" max="13592" width="12.42578125" style="263" customWidth="1"/>
    <col min="13593" max="13593" width="10.5703125" style="263" customWidth="1"/>
    <col min="13594" max="13594" width="10.85546875" style="263" customWidth="1"/>
    <col min="13595" max="13595" width="9.5703125" style="263" customWidth="1"/>
    <col min="13596" max="13596" width="9.85546875" style="263" customWidth="1"/>
    <col min="13597" max="13837" width="9" style="263"/>
    <col min="13838" max="13838" width="13.7109375" style="263" customWidth="1"/>
    <col min="13839" max="13839" width="18.5703125" style="263" customWidth="1"/>
    <col min="13840" max="13840" width="9.140625" style="263" customWidth="1"/>
    <col min="13841" max="13841" width="17.28515625" style="263" customWidth="1"/>
    <col min="13842" max="13842" width="11.42578125" style="263" customWidth="1"/>
    <col min="13843" max="13843" width="17.140625" style="263" customWidth="1"/>
    <col min="13844" max="13844" width="12" style="263" customWidth="1"/>
    <col min="13845" max="13845" width="17.140625" style="263" customWidth="1"/>
    <col min="13846" max="13846" width="8.85546875" style="263" customWidth="1"/>
    <col min="13847" max="13847" width="9" style="263"/>
    <col min="13848" max="13848" width="12.42578125" style="263" customWidth="1"/>
    <col min="13849" max="13849" width="10.5703125" style="263" customWidth="1"/>
    <col min="13850" max="13850" width="10.85546875" style="263" customWidth="1"/>
    <col min="13851" max="13851" width="9.5703125" style="263" customWidth="1"/>
    <col min="13852" max="13852" width="9.85546875" style="263" customWidth="1"/>
    <col min="13853" max="14093" width="9" style="263"/>
    <col min="14094" max="14094" width="13.7109375" style="263" customWidth="1"/>
    <col min="14095" max="14095" width="18.5703125" style="263" customWidth="1"/>
    <col min="14096" max="14096" width="9.140625" style="263" customWidth="1"/>
    <col min="14097" max="14097" width="17.28515625" style="263" customWidth="1"/>
    <col min="14098" max="14098" width="11.42578125" style="263" customWidth="1"/>
    <col min="14099" max="14099" width="17.140625" style="263" customWidth="1"/>
    <col min="14100" max="14100" width="12" style="263" customWidth="1"/>
    <col min="14101" max="14101" width="17.140625" style="263" customWidth="1"/>
    <col min="14102" max="14102" width="8.85546875" style="263" customWidth="1"/>
    <col min="14103" max="14103" width="9" style="263"/>
    <col min="14104" max="14104" width="12.42578125" style="263" customWidth="1"/>
    <col min="14105" max="14105" width="10.5703125" style="263" customWidth="1"/>
    <col min="14106" max="14106" width="10.85546875" style="263" customWidth="1"/>
    <col min="14107" max="14107" width="9.5703125" style="263" customWidth="1"/>
    <col min="14108" max="14108" width="9.85546875" style="263" customWidth="1"/>
    <col min="14109" max="14349" width="9" style="263"/>
    <col min="14350" max="14350" width="13.7109375" style="263" customWidth="1"/>
    <col min="14351" max="14351" width="18.5703125" style="263" customWidth="1"/>
    <col min="14352" max="14352" width="9.140625" style="263" customWidth="1"/>
    <col min="14353" max="14353" width="17.28515625" style="263" customWidth="1"/>
    <col min="14354" max="14354" width="11.42578125" style="263" customWidth="1"/>
    <col min="14355" max="14355" width="17.140625" style="263" customWidth="1"/>
    <col min="14356" max="14356" width="12" style="263" customWidth="1"/>
    <col min="14357" max="14357" width="17.140625" style="263" customWidth="1"/>
    <col min="14358" max="14358" width="8.85546875" style="263" customWidth="1"/>
    <col min="14359" max="14359" width="9" style="263"/>
    <col min="14360" max="14360" width="12.42578125" style="263" customWidth="1"/>
    <col min="14361" max="14361" width="10.5703125" style="263" customWidth="1"/>
    <col min="14362" max="14362" width="10.85546875" style="263" customWidth="1"/>
    <col min="14363" max="14363" width="9.5703125" style="263" customWidth="1"/>
    <col min="14364" max="14364" width="9.85546875" style="263" customWidth="1"/>
    <col min="14365" max="14605" width="9" style="263"/>
    <col min="14606" max="14606" width="13.7109375" style="263" customWidth="1"/>
    <col min="14607" max="14607" width="18.5703125" style="263" customWidth="1"/>
    <col min="14608" max="14608" width="9.140625" style="263" customWidth="1"/>
    <col min="14609" max="14609" width="17.28515625" style="263" customWidth="1"/>
    <col min="14610" max="14610" width="11.42578125" style="263" customWidth="1"/>
    <col min="14611" max="14611" width="17.140625" style="263" customWidth="1"/>
    <col min="14612" max="14612" width="12" style="263" customWidth="1"/>
    <col min="14613" max="14613" width="17.140625" style="263" customWidth="1"/>
    <col min="14614" max="14614" width="8.85546875" style="263" customWidth="1"/>
    <col min="14615" max="14615" width="9" style="263"/>
    <col min="14616" max="14616" width="12.42578125" style="263" customWidth="1"/>
    <col min="14617" max="14617" width="10.5703125" style="263" customWidth="1"/>
    <col min="14618" max="14618" width="10.85546875" style="263" customWidth="1"/>
    <col min="14619" max="14619" width="9.5703125" style="263" customWidth="1"/>
    <col min="14620" max="14620" width="9.85546875" style="263" customWidth="1"/>
    <col min="14621" max="14861" width="9" style="263"/>
    <col min="14862" max="14862" width="13.7109375" style="263" customWidth="1"/>
    <col min="14863" max="14863" width="18.5703125" style="263" customWidth="1"/>
    <col min="14864" max="14864" width="9.140625" style="263" customWidth="1"/>
    <col min="14865" max="14865" width="17.28515625" style="263" customWidth="1"/>
    <col min="14866" max="14866" width="11.42578125" style="263" customWidth="1"/>
    <col min="14867" max="14867" width="17.140625" style="263" customWidth="1"/>
    <col min="14868" max="14868" width="12" style="263" customWidth="1"/>
    <col min="14869" max="14869" width="17.140625" style="263" customWidth="1"/>
    <col min="14870" max="14870" width="8.85546875" style="263" customWidth="1"/>
    <col min="14871" max="14871" width="9" style="263"/>
    <col min="14872" max="14872" width="12.42578125" style="263" customWidth="1"/>
    <col min="14873" max="14873" width="10.5703125" style="263" customWidth="1"/>
    <col min="14874" max="14874" width="10.85546875" style="263" customWidth="1"/>
    <col min="14875" max="14875" width="9.5703125" style="263" customWidth="1"/>
    <col min="14876" max="14876" width="9.85546875" style="263" customWidth="1"/>
    <col min="14877" max="15117" width="9" style="263"/>
    <col min="15118" max="15118" width="13.7109375" style="263" customWidth="1"/>
    <col min="15119" max="15119" width="18.5703125" style="263" customWidth="1"/>
    <col min="15120" max="15120" width="9.140625" style="263" customWidth="1"/>
    <col min="15121" max="15121" width="17.28515625" style="263" customWidth="1"/>
    <col min="15122" max="15122" width="11.42578125" style="263" customWidth="1"/>
    <col min="15123" max="15123" width="17.140625" style="263" customWidth="1"/>
    <col min="15124" max="15124" width="12" style="263" customWidth="1"/>
    <col min="15125" max="15125" width="17.140625" style="263" customWidth="1"/>
    <col min="15126" max="15126" width="8.85546875" style="263" customWidth="1"/>
    <col min="15127" max="15127" width="9" style="263"/>
    <col min="15128" max="15128" width="12.42578125" style="263" customWidth="1"/>
    <col min="15129" max="15129" width="10.5703125" style="263" customWidth="1"/>
    <col min="15130" max="15130" width="10.85546875" style="263" customWidth="1"/>
    <col min="15131" max="15131" width="9.5703125" style="263" customWidth="1"/>
    <col min="15132" max="15132" width="9.85546875" style="263" customWidth="1"/>
    <col min="15133" max="15373" width="9" style="263"/>
    <col min="15374" max="15374" width="13.7109375" style="263" customWidth="1"/>
    <col min="15375" max="15375" width="18.5703125" style="263" customWidth="1"/>
    <col min="15376" max="15376" width="9.140625" style="263" customWidth="1"/>
    <col min="15377" max="15377" width="17.28515625" style="263" customWidth="1"/>
    <col min="15378" max="15378" width="11.42578125" style="263" customWidth="1"/>
    <col min="15379" max="15379" width="17.140625" style="263" customWidth="1"/>
    <col min="15380" max="15380" width="12" style="263" customWidth="1"/>
    <col min="15381" max="15381" width="17.140625" style="263" customWidth="1"/>
    <col min="15382" max="15382" width="8.85546875" style="263" customWidth="1"/>
    <col min="15383" max="15383" width="9" style="263"/>
    <col min="15384" max="15384" width="12.42578125" style="263" customWidth="1"/>
    <col min="15385" max="15385" width="10.5703125" style="263" customWidth="1"/>
    <col min="15386" max="15386" width="10.85546875" style="263" customWidth="1"/>
    <col min="15387" max="15387" width="9.5703125" style="263" customWidth="1"/>
    <col min="15388" max="15388" width="9.85546875" style="263" customWidth="1"/>
    <col min="15389" max="15629" width="9" style="263"/>
    <col min="15630" max="15630" width="13.7109375" style="263" customWidth="1"/>
    <col min="15631" max="15631" width="18.5703125" style="263" customWidth="1"/>
    <col min="15632" max="15632" width="9.140625" style="263" customWidth="1"/>
    <col min="15633" max="15633" width="17.28515625" style="263" customWidth="1"/>
    <col min="15634" max="15634" width="11.42578125" style="263" customWidth="1"/>
    <col min="15635" max="15635" width="17.140625" style="263" customWidth="1"/>
    <col min="15636" max="15636" width="12" style="263" customWidth="1"/>
    <col min="15637" max="15637" width="17.140625" style="263" customWidth="1"/>
    <col min="15638" max="15638" width="8.85546875" style="263" customWidth="1"/>
    <col min="15639" max="15639" width="9" style="263"/>
    <col min="15640" max="15640" width="12.42578125" style="263" customWidth="1"/>
    <col min="15641" max="15641" width="10.5703125" style="263" customWidth="1"/>
    <col min="15642" max="15642" width="10.85546875" style="263" customWidth="1"/>
    <col min="15643" max="15643" width="9.5703125" style="263" customWidth="1"/>
    <col min="15644" max="15644" width="9.85546875" style="263" customWidth="1"/>
    <col min="15645" max="15885" width="9" style="263"/>
    <col min="15886" max="15886" width="13.7109375" style="263" customWidth="1"/>
    <col min="15887" max="15887" width="18.5703125" style="263" customWidth="1"/>
    <col min="15888" max="15888" width="9.140625" style="263" customWidth="1"/>
    <col min="15889" max="15889" width="17.28515625" style="263" customWidth="1"/>
    <col min="15890" max="15890" width="11.42578125" style="263" customWidth="1"/>
    <col min="15891" max="15891" width="17.140625" style="263" customWidth="1"/>
    <col min="15892" max="15892" width="12" style="263" customWidth="1"/>
    <col min="15893" max="15893" width="17.140625" style="263" customWidth="1"/>
    <col min="15894" max="15894" width="8.85546875" style="263" customWidth="1"/>
    <col min="15895" max="15895" width="9" style="263"/>
    <col min="15896" max="15896" width="12.42578125" style="263" customWidth="1"/>
    <col min="15897" max="15897" width="10.5703125" style="263" customWidth="1"/>
    <col min="15898" max="15898" width="10.85546875" style="263" customWidth="1"/>
    <col min="15899" max="15899" width="9.5703125" style="263" customWidth="1"/>
    <col min="15900" max="15900" width="9.85546875" style="263" customWidth="1"/>
    <col min="15901" max="16141" width="9" style="263"/>
    <col min="16142" max="16142" width="13.7109375" style="263" customWidth="1"/>
    <col min="16143" max="16143" width="18.5703125" style="263" customWidth="1"/>
    <col min="16144" max="16144" width="9.140625" style="263" customWidth="1"/>
    <col min="16145" max="16145" width="17.28515625" style="263" customWidth="1"/>
    <col min="16146" max="16146" width="11.42578125" style="263" customWidth="1"/>
    <col min="16147" max="16147" width="17.140625" style="263" customWidth="1"/>
    <col min="16148" max="16148" width="12" style="263" customWidth="1"/>
    <col min="16149" max="16149" width="17.140625" style="263" customWidth="1"/>
    <col min="16150" max="16150" width="8.85546875" style="263" customWidth="1"/>
    <col min="16151" max="16151" width="9" style="263"/>
    <col min="16152" max="16152" width="12.42578125" style="263" customWidth="1"/>
    <col min="16153" max="16153" width="10.5703125" style="263" customWidth="1"/>
    <col min="16154" max="16154" width="10.85546875" style="263" customWidth="1"/>
    <col min="16155" max="16155" width="9.5703125" style="263" customWidth="1"/>
    <col min="16156" max="16156" width="9.85546875" style="263" customWidth="1"/>
    <col min="16157" max="16384" width="9" style="263"/>
  </cols>
  <sheetData>
    <row r="1" spans="1:29">
      <c r="B1" s="264" t="s">
        <v>128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</row>
    <row r="2" spans="1:29" ht="16.5" customHeight="1">
      <c r="B2" s="264" t="s">
        <v>129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</row>
    <row r="3" spans="1:29" ht="16.5" customHeight="1">
      <c r="B3" s="265" t="s">
        <v>130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spans="1:29" ht="18" customHeight="1">
      <c r="B4" s="264" t="s">
        <v>131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</row>
    <row r="5" spans="1:29" ht="20.25" customHeight="1">
      <c r="A5" s="266" t="s">
        <v>132</v>
      </c>
      <c r="B5" s="266"/>
      <c r="C5" s="266"/>
      <c r="D5" s="266"/>
      <c r="E5" s="266"/>
      <c r="F5" s="266"/>
      <c r="G5" s="267"/>
      <c r="H5" s="267"/>
      <c r="I5" s="267"/>
      <c r="J5" s="267"/>
      <c r="K5" s="267"/>
      <c r="M5" s="268"/>
      <c r="N5" s="268"/>
      <c r="O5" s="269"/>
      <c r="P5" s="269"/>
      <c r="Q5" s="270"/>
      <c r="R5" s="270"/>
      <c r="S5" s="271"/>
      <c r="T5" s="271"/>
      <c r="U5" s="271"/>
      <c r="V5" s="271"/>
      <c r="W5" s="271"/>
      <c r="X5" s="271"/>
      <c r="Y5" s="271"/>
      <c r="Z5" s="268" t="s">
        <v>133</v>
      </c>
      <c r="AA5" s="268"/>
      <c r="AB5" s="268"/>
      <c r="AC5" s="272"/>
    </row>
    <row r="6" spans="1:29" ht="118.9" customHeight="1">
      <c r="A6" s="273" t="s">
        <v>134</v>
      </c>
      <c r="B6" s="273" t="s">
        <v>135</v>
      </c>
      <c r="C6" s="273" t="s">
        <v>136</v>
      </c>
      <c r="D6" s="273" t="s">
        <v>137</v>
      </c>
      <c r="E6" s="273" t="s">
        <v>138</v>
      </c>
      <c r="F6" s="273" t="s">
        <v>139</v>
      </c>
      <c r="G6" s="274" t="s">
        <v>140</v>
      </c>
      <c r="H6" s="275" t="s">
        <v>141</v>
      </c>
      <c r="I6" s="273" t="s">
        <v>142</v>
      </c>
      <c r="J6" s="273" t="s">
        <v>143</v>
      </c>
      <c r="K6" s="273" t="s">
        <v>144</v>
      </c>
      <c r="L6" s="273" t="s">
        <v>145</v>
      </c>
      <c r="M6" s="273" t="s">
        <v>146</v>
      </c>
      <c r="N6" s="276" t="s">
        <v>147</v>
      </c>
      <c r="O6" s="277" t="s">
        <v>148</v>
      </c>
      <c r="P6" s="275" t="s">
        <v>149</v>
      </c>
      <c r="Q6" s="273" t="s">
        <v>150</v>
      </c>
      <c r="R6" s="278" t="s">
        <v>151</v>
      </c>
      <c r="S6" s="274" t="s">
        <v>152</v>
      </c>
      <c r="T6" s="273" t="s">
        <v>153</v>
      </c>
      <c r="U6" s="274" t="s">
        <v>154</v>
      </c>
      <c r="V6" s="274" t="s">
        <v>155</v>
      </c>
      <c r="W6" s="273" t="s">
        <v>156</v>
      </c>
      <c r="X6" s="277" t="s">
        <v>157</v>
      </c>
      <c r="Y6" s="277" t="s">
        <v>158</v>
      </c>
      <c r="Z6" s="277" t="s">
        <v>159</v>
      </c>
      <c r="AA6" s="279" t="s">
        <v>160</v>
      </c>
      <c r="AB6" s="273" t="s">
        <v>161</v>
      </c>
    </row>
    <row r="7" spans="1:29" ht="21" customHeight="1">
      <c r="A7" s="280"/>
      <c r="B7" s="281"/>
      <c r="C7" s="282"/>
      <c r="D7" s="281"/>
      <c r="E7" s="281"/>
      <c r="F7" s="278"/>
      <c r="G7" s="281"/>
      <c r="H7" s="283"/>
      <c r="I7" s="284"/>
      <c r="J7" s="285"/>
      <c r="K7" s="286"/>
      <c r="L7" s="287"/>
      <c r="M7" s="278"/>
      <c r="N7" s="288" t="str">
        <f>IFERROR(IF(K7&gt;0,K7/#REF!,""),"input error")</f>
        <v/>
      </c>
      <c r="O7" s="289"/>
      <c r="P7" s="290"/>
      <c r="Q7" s="291"/>
      <c r="R7" s="292"/>
      <c r="S7" s="293"/>
      <c r="T7" s="293"/>
      <c r="U7" s="293"/>
      <c r="V7" s="293"/>
      <c r="W7" s="294"/>
      <c r="X7" s="295"/>
      <c r="Y7" s="283"/>
      <c r="Z7" s="296"/>
      <c r="AA7" s="297"/>
      <c r="AB7" s="278"/>
    </row>
    <row r="8" spans="1:29" ht="21" customHeight="1">
      <c r="A8" s="280">
        <v>45383</v>
      </c>
      <c r="B8" s="281" t="s">
        <v>162</v>
      </c>
      <c r="C8" s="282" t="s">
        <v>163</v>
      </c>
      <c r="D8" s="281" t="s">
        <v>116</v>
      </c>
      <c r="E8" s="281">
        <v>2.95</v>
      </c>
      <c r="F8" s="278" t="s">
        <v>115</v>
      </c>
      <c r="G8" s="281">
        <v>6</v>
      </c>
      <c r="H8" s="283">
        <f>IFERROR(IF(AA8&lt;&gt;"",W8*G8*AA8,""),"input error")</f>
        <v>38795.206181330635</v>
      </c>
      <c r="I8" s="284">
        <f>10/3</f>
        <v>3.3333333333333335</v>
      </c>
      <c r="J8" s="281" t="s">
        <v>118</v>
      </c>
      <c r="K8" s="286">
        <f>3247+4808+4364</f>
        <v>12419</v>
      </c>
      <c r="L8" s="287">
        <f>(K8*0.5)/1000</f>
        <v>6.2095000000000002</v>
      </c>
      <c r="M8" s="278">
        <f>0.02+0.03</f>
        <v>0.05</v>
      </c>
      <c r="N8" s="288">
        <f t="shared" ref="N8:N17" si="0">IFERROR(IF(K8&gt;0,K8/H8,""),"input error")</f>
        <v>0.32011687067605737</v>
      </c>
      <c r="O8" s="289">
        <f t="shared" ref="O8:O17" si="1">IFERROR(IF(I8&lt;&gt;"",K8/(I8*W8*AA8),""),"input error")</f>
        <v>0.57621036721690322</v>
      </c>
      <c r="P8" s="290">
        <f t="shared" ref="P8:P17" si="2">IFERROR(IF(M8&lt;&gt;"",M8/(L8+M8),""),"input error")</f>
        <v>7.9878584551481748E-3</v>
      </c>
      <c r="Q8" s="291" t="s">
        <v>164</v>
      </c>
      <c r="R8" s="298">
        <v>7.5</v>
      </c>
      <c r="S8" s="298">
        <v>9</v>
      </c>
      <c r="T8" s="298">
        <v>7.5</v>
      </c>
      <c r="U8" s="298">
        <v>0</v>
      </c>
      <c r="V8" s="298">
        <f>IFERROR(IF(S8&gt;0,S8*T8-U8,""),"input error")</f>
        <v>67.5</v>
      </c>
      <c r="W8" s="294">
        <f>'[1]绞线工时Twisting wire'!G5</f>
        <v>765</v>
      </c>
      <c r="X8" s="295">
        <f t="shared" ref="X8:X17" si="3">IFERROR(IF(W8&lt;&gt;"",1/W8,""),"input error")</f>
        <v>1.30718954248366E-3</v>
      </c>
      <c r="Y8" s="283">
        <f t="shared" ref="Y8:Y17" si="4">IFERROR(IF(X8&lt;&gt;"",K8*X8,""),"input error")</f>
        <v>16.233986928104574</v>
      </c>
      <c r="Z8" s="299">
        <f>SUM(Y8:Y17)</f>
        <v>129.64733262380321</v>
      </c>
      <c r="AA8" s="297">
        <f>IFERROR(IF(Y8&lt;&gt;"",$V$8*Y8/$Z$8,""),"input error")</f>
        <v>8.4521146364554767</v>
      </c>
      <c r="AB8" s="278"/>
    </row>
    <row r="9" spans="1:29" ht="21" customHeight="1">
      <c r="A9" s="280">
        <v>45383</v>
      </c>
      <c r="B9" s="281" t="s">
        <v>165</v>
      </c>
      <c r="C9" s="282" t="s">
        <v>163</v>
      </c>
      <c r="D9" s="281" t="s">
        <v>100</v>
      </c>
      <c r="E9" s="281">
        <v>2.91</v>
      </c>
      <c r="F9" s="278" t="s">
        <v>112</v>
      </c>
      <c r="G9" s="281">
        <v>6</v>
      </c>
      <c r="H9" s="283">
        <f t="shared" ref="H9:H17" si="5">IFERROR(IF(AA9&lt;&gt;"",W9*G9*AA9,""),"input error")</f>
        <v>50659.623048767127</v>
      </c>
      <c r="I9" s="284">
        <f t="shared" ref="I9:I17" si="6">10/3</f>
        <v>3.3333333333333335</v>
      </c>
      <c r="J9" s="285" t="s">
        <v>114</v>
      </c>
      <c r="K9" s="286">
        <f>5666+5726+4825</f>
        <v>16217</v>
      </c>
      <c r="L9" s="287">
        <f t="shared" ref="L9:L10" si="7">(K9*0.5)/1000</f>
        <v>8.1084999999999994</v>
      </c>
      <c r="M9" s="278">
        <f>0.01</f>
        <v>0.01</v>
      </c>
      <c r="N9" s="288">
        <f t="shared" si="0"/>
        <v>0.32011687067605732</v>
      </c>
      <c r="O9" s="289">
        <f t="shared" si="1"/>
        <v>0.57621036721690322</v>
      </c>
      <c r="P9" s="290">
        <f t="shared" si="2"/>
        <v>1.2317546344768123E-3</v>
      </c>
      <c r="Q9" s="291" t="s">
        <v>164</v>
      </c>
      <c r="R9" s="300"/>
      <c r="S9" s="300"/>
      <c r="T9" s="300"/>
      <c r="U9" s="300"/>
      <c r="V9" s="300"/>
      <c r="W9" s="294">
        <f>'[1]绞线工时Twisting wire'!G5</f>
        <v>765</v>
      </c>
      <c r="X9" s="295">
        <f t="shared" si="3"/>
        <v>1.30718954248366E-3</v>
      </c>
      <c r="Y9" s="283">
        <f t="shared" si="4"/>
        <v>21.198692810457516</v>
      </c>
      <c r="Z9" s="301"/>
      <c r="AA9" s="297">
        <f>IFERROR(IF(Y9&lt;&gt;"",$V$8*Y9/$Z$8,""),"input error")</f>
        <v>11.036954912585431</v>
      </c>
      <c r="AB9" s="278"/>
    </row>
    <row r="10" spans="1:29" ht="21" customHeight="1">
      <c r="A10" s="280">
        <v>45383</v>
      </c>
      <c r="B10" s="281" t="s">
        <v>166</v>
      </c>
      <c r="C10" s="282" t="s">
        <v>163</v>
      </c>
      <c r="D10" s="281" t="s">
        <v>116</v>
      </c>
      <c r="E10" s="281">
        <v>2.96</v>
      </c>
      <c r="F10" s="278" t="s">
        <v>115</v>
      </c>
      <c r="G10" s="281">
        <v>6</v>
      </c>
      <c r="H10" s="283">
        <f t="shared" si="5"/>
        <v>48882.147220022685</v>
      </c>
      <c r="I10" s="284">
        <f t="shared" si="6"/>
        <v>3.3333333333333335</v>
      </c>
      <c r="J10" s="281" t="s">
        <v>118</v>
      </c>
      <c r="K10" s="286">
        <f>5250+5144+5254</f>
        <v>15648</v>
      </c>
      <c r="L10" s="287">
        <f t="shared" si="7"/>
        <v>7.8239999999999998</v>
      </c>
      <c r="M10" s="278">
        <f>0.01+0</f>
        <v>0.01</v>
      </c>
      <c r="N10" s="288">
        <f t="shared" si="0"/>
        <v>0.32011687067605737</v>
      </c>
      <c r="O10" s="289">
        <f t="shared" si="1"/>
        <v>0.57621036721690333</v>
      </c>
      <c r="P10" s="290">
        <f t="shared" si="2"/>
        <v>1.2764871074802146E-3</v>
      </c>
      <c r="Q10" s="291" t="s">
        <v>167</v>
      </c>
      <c r="R10" s="300"/>
      <c r="S10" s="300"/>
      <c r="T10" s="300"/>
      <c r="U10" s="300"/>
      <c r="V10" s="300"/>
      <c r="W10" s="294">
        <f>'[1]绞线工时Twisting wire'!G5</f>
        <v>765</v>
      </c>
      <c r="X10" s="295">
        <f t="shared" si="3"/>
        <v>1.30718954248366E-3</v>
      </c>
      <c r="Y10" s="283">
        <f t="shared" si="4"/>
        <v>20.454901960784312</v>
      </c>
      <c r="Z10" s="301"/>
      <c r="AA10" s="297">
        <f t="shared" ref="AA10:AA17" si="8">IFERROR(IF(Y10&lt;&gt;"",$V$8*Y10/$Z$8,""),"input error")</f>
        <v>10.649705276693396</v>
      </c>
      <c r="AB10" s="278"/>
    </row>
    <row r="11" spans="1:29" ht="21" customHeight="1">
      <c r="A11" s="280">
        <v>45383</v>
      </c>
      <c r="B11" s="281" t="s">
        <v>168</v>
      </c>
      <c r="C11" s="282" t="s">
        <v>163</v>
      </c>
      <c r="D11" s="281" t="s">
        <v>50</v>
      </c>
      <c r="E11" s="281">
        <v>6.22</v>
      </c>
      <c r="F11" s="302" t="s">
        <v>169</v>
      </c>
      <c r="G11" s="281">
        <v>6</v>
      </c>
      <c r="H11" s="283">
        <f t="shared" si="5"/>
        <v>62314.741356404185</v>
      </c>
      <c r="I11" s="284">
        <f t="shared" si="6"/>
        <v>3.3333333333333335</v>
      </c>
      <c r="J11" s="303" t="s">
        <v>53</v>
      </c>
      <c r="K11" s="286">
        <f>5222+7762+6964</f>
        <v>19948</v>
      </c>
      <c r="L11" s="287">
        <f>(K11*0.3325)/1000</f>
        <v>6.6327100000000003</v>
      </c>
      <c r="M11" s="278">
        <f>0.01+0.01</f>
        <v>0.02</v>
      </c>
      <c r="N11" s="288">
        <f t="shared" si="0"/>
        <v>0.32011687067605732</v>
      </c>
      <c r="O11" s="289">
        <f t="shared" si="1"/>
        <v>0.57621036721690322</v>
      </c>
      <c r="P11" s="290">
        <f t="shared" si="2"/>
        <v>3.0062936758103089E-3</v>
      </c>
      <c r="Q11" s="291" t="s">
        <v>167</v>
      </c>
      <c r="R11" s="300"/>
      <c r="S11" s="300"/>
      <c r="T11" s="300"/>
      <c r="U11" s="300"/>
      <c r="V11" s="300"/>
      <c r="W11" s="294">
        <f>'[1]绞线工时Twisting wire'!G10</f>
        <v>1657.5</v>
      </c>
      <c r="X11" s="295">
        <f t="shared" si="3"/>
        <v>6.0331825037707393E-4</v>
      </c>
      <c r="Y11" s="283">
        <f t="shared" si="4"/>
        <v>12.03499245852187</v>
      </c>
      <c r="Z11" s="301"/>
      <c r="AA11" s="297">
        <f t="shared" si="8"/>
        <v>6.2659367879742769</v>
      </c>
      <c r="AB11" s="278"/>
    </row>
    <row r="12" spans="1:29" ht="21" customHeight="1">
      <c r="A12" s="280">
        <v>45383</v>
      </c>
      <c r="B12" s="281" t="s">
        <v>170</v>
      </c>
      <c r="C12" s="282" t="s">
        <v>163</v>
      </c>
      <c r="D12" s="281" t="s">
        <v>50</v>
      </c>
      <c r="E12" s="281">
        <v>6.22</v>
      </c>
      <c r="F12" s="302" t="s">
        <v>169</v>
      </c>
      <c r="G12" s="281">
        <v>6</v>
      </c>
      <c r="H12" s="283">
        <f t="shared" si="5"/>
        <v>118803.48548854058</v>
      </c>
      <c r="I12" s="284">
        <f t="shared" si="6"/>
        <v>3.3333333333333335</v>
      </c>
      <c r="J12" s="303" t="s">
        <v>53</v>
      </c>
      <c r="K12" s="286">
        <f>5512+14472+18047</f>
        <v>38031</v>
      </c>
      <c r="L12" s="287">
        <f>(K12*0.3325)/1000</f>
        <v>12.645307500000001</v>
      </c>
      <c r="M12" s="278">
        <f>0</f>
        <v>0</v>
      </c>
      <c r="N12" s="288">
        <f t="shared" si="0"/>
        <v>0.32011687067605732</v>
      </c>
      <c r="O12" s="289">
        <f t="shared" si="1"/>
        <v>0.57621036721690322</v>
      </c>
      <c r="P12" s="290">
        <f t="shared" si="2"/>
        <v>0</v>
      </c>
      <c r="Q12" s="291" t="s">
        <v>171</v>
      </c>
      <c r="R12" s="300"/>
      <c r="S12" s="300"/>
      <c r="T12" s="300"/>
      <c r="U12" s="300"/>
      <c r="V12" s="300"/>
      <c r="W12" s="294">
        <f>'[1]绞线工时Twisting wire'!G10</f>
        <v>1657.5</v>
      </c>
      <c r="X12" s="295">
        <f t="shared" si="3"/>
        <v>6.0331825037707393E-4</v>
      </c>
      <c r="Y12" s="283">
        <f t="shared" si="4"/>
        <v>22.944796380090498</v>
      </c>
      <c r="Z12" s="301"/>
      <c r="AA12" s="297">
        <f t="shared" si="8"/>
        <v>11.946051833940732</v>
      </c>
      <c r="AB12" s="278"/>
    </row>
    <row r="13" spans="1:29" ht="21" customHeight="1">
      <c r="A13" s="280">
        <v>45383</v>
      </c>
      <c r="B13" s="281" t="s">
        <v>172</v>
      </c>
      <c r="C13" s="282" t="s">
        <v>163</v>
      </c>
      <c r="D13" s="281" t="s">
        <v>117</v>
      </c>
      <c r="E13" s="281">
        <v>9.26</v>
      </c>
      <c r="F13" s="278" t="s">
        <v>115</v>
      </c>
      <c r="G13" s="281">
        <v>6</v>
      </c>
      <c r="H13" s="283">
        <f t="shared" si="5"/>
        <v>43602.825338514624</v>
      </c>
      <c r="I13" s="284">
        <f t="shared" si="6"/>
        <v>3.3333333333333335</v>
      </c>
      <c r="J13" s="285" t="s">
        <v>118</v>
      </c>
      <c r="K13" s="286">
        <f>7217+6055+686</f>
        <v>13958</v>
      </c>
      <c r="L13" s="287">
        <f t="shared" ref="L13:L14" si="9">(1.596*K13)/1000</f>
        <v>22.276968</v>
      </c>
      <c r="M13" s="278">
        <f>0.03+0+0.01</f>
        <v>0.04</v>
      </c>
      <c r="N13" s="288">
        <f t="shared" si="0"/>
        <v>0.32011687067605732</v>
      </c>
      <c r="O13" s="289">
        <f t="shared" si="1"/>
        <v>0.57621036721690322</v>
      </c>
      <c r="P13" s="290">
        <f t="shared" si="2"/>
        <v>1.7923581733862773E-3</v>
      </c>
      <c r="Q13" s="291" t="s">
        <v>164</v>
      </c>
      <c r="R13" s="300"/>
      <c r="S13" s="300"/>
      <c r="T13" s="300"/>
      <c r="U13" s="300"/>
      <c r="V13" s="300"/>
      <c r="W13" s="294">
        <f>'[1]绞线工时Twisting wire'!G14</f>
        <v>2295</v>
      </c>
      <c r="X13" s="295">
        <f t="shared" si="3"/>
        <v>4.3572984749455336E-4</v>
      </c>
      <c r="Y13" s="283">
        <f t="shared" si="4"/>
        <v>6.0819172113289754</v>
      </c>
      <c r="Z13" s="301"/>
      <c r="AA13" s="297">
        <f t="shared" si="8"/>
        <v>3.1665087391804372</v>
      </c>
      <c r="AB13" s="278"/>
    </row>
    <row r="14" spans="1:29" ht="21" customHeight="1">
      <c r="A14" s="280">
        <v>45383</v>
      </c>
      <c r="B14" s="281" t="s">
        <v>173</v>
      </c>
      <c r="C14" s="282" t="s">
        <v>163</v>
      </c>
      <c r="D14" s="281" t="s">
        <v>117</v>
      </c>
      <c r="E14" s="281">
        <v>9.26</v>
      </c>
      <c r="F14" s="278" t="s">
        <v>115</v>
      </c>
      <c r="G14" s="281">
        <v>6</v>
      </c>
      <c r="H14" s="283">
        <f t="shared" si="5"/>
        <v>68203.215762701671</v>
      </c>
      <c r="I14" s="284">
        <f t="shared" si="6"/>
        <v>3.3333333333333335</v>
      </c>
      <c r="J14" s="285" t="s">
        <v>118</v>
      </c>
      <c r="K14" s="286">
        <f>10075+6286+5472</f>
        <v>21833</v>
      </c>
      <c r="L14" s="287">
        <f t="shared" si="9"/>
        <v>34.845468000000004</v>
      </c>
      <c r="M14" s="278">
        <f>0.03+0+0.02</f>
        <v>0.05</v>
      </c>
      <c r="N14" s="288">
        <f t="shared" si="0"/>
        <v>0.32011687067605726</v>
      </c>
      <c r="O14" s="289">
        <f t="shared" si="1"/>
        <v>0.576210367216903</v>
      </c>
      <c r="P14" s="290">
        <f t="shared" si="2"/>
        <v>1.4328508217743348E-3</v>
      </c>
      <c r="Q14" s="291" t="s">
        <v>174</v>
      </c>
      <c r="R14" s="300"/>
      <c r="S14" s="300"/>
      <c r="T14" s="300"/>
      <c r="U14" s="300"/>
      <c r="V14" s="300"/>
      <c r="W14" s="294">
        <f>'[1]绞线工时Twisting wire'!G14</f>
        <v>2295</v>
      </c>
      <c r="X14" s="295">
        <f t="shared" si="3"/>
        <v>4.3572984749455336E-4</v>
      </c>
      <c r="Y14" s="283">
        <f t="shared" si="4"/>
        <v>9.5132897603485844</v>
      </c>
      <c r="Z14" s="301"/>
      <c r="AA14" s="297">
        <f t="shared" si="8"/>
        <v>4.9530294671533532</v>
      </c>
      <c r="AB14" s="278"/>
    </row>
    <row r="15" spans="1:29" ht="21" customHeight="1">
      <c r="A15" s="280">
        <v>45383</v>
      </c>
      <c r="B15" s="281" t="s">
        <v>175</v>
      </c>
      <c r="C15" s="282" t="s">
        <v>163</v>
      </c>
      <c r="D15" s="281" t="s">
        <v>92</v>
      </c>
      <c r="E15" s="281">
        <v>12.6</v>
      </c>
      <c r="F15" s="278" t="s">
        <v>95</v>
      </c>
      <c r="G15" s="281">
        <v>6</v>
      </c>
      <c r="H15" s="283">
        <f t="shared" si="5"/>
        <v>82476.127997382369</v>
      </c>
      <c r="I15" s="284">
        <f t="shared" si="6"/>
        <v>3.3333333333333335</v>
      </c>
      <c r="J15" s="286" t="s">
        <v>94</v>
      </c>
      <c r="K15" s="286">
        <f>9637+8945+7820</f>
        <v>26402</v>
      </c>
      <c r="L15" s="287">
        <f>(2.01*K15)/1000</f>
        <v>53.068019999999997</v>
      </c>
      <c r="M15" s="278">
        <f>0.03+0.03</f>
        <v>0.06</v>
      </c>
      <c r="N15" s="288">
        <f t="shared" si="0"/>
        <v>0.32011687067605732</v>
      </c>
      <c r="O15" s="289">
        <f t="shared" si="1"/>
        <v>0.57621036721690311</v>
      </c>
      <c r="P15" s="290">
        <f t="shared" si="2"/>
        <v>1.1293475646184442E-3</v>
      </c>
      <c r="Q15" s="291" t="s">
        <v>176</v>
      </c>
      <c r="R15" s="300"/>
      <c r="S15" s="300"/>
      <c r="T15" s="300"/>
      <c r="U15" s="300"/>
      <c r="V15" s="300"/>
      <c r="W15" s="294">
        <f>'[1]绞线工时Twisting wire'!G19</f>
        <v>2827.44</v>
      </c>
      <c r="X15" s="295">
        <f t="shared" si="3"/>
        <v>3.5367682426505956E-4</v>
      </c>
      <c r="Y15" s="283">
        <f t="shared" si="4"/>
        <v>9.3377755142461023</v>
      </c>
      <c r="Z15" s="301"/>
      <c r="AA15" s="297">
        <f t="shared" si="8"/>
        <v>4.8616491712987937</v>
      </c>
      <c r="AB15" s="278"/>
    </row>
    <row r="16" spans="1:29" ht="21" customHeight="1">
      <c r="A16" s="280">
        <v>45383</v>
      </c>
      <c r="B16" s="281" t="s">
        <v>177</v>
      </c>
      <c r="C16" s="282" t="s">
        <v>163</v>
      </c>
      <c r="D16" s="281" t="s">
        <v>117</v>
      </c>
      <c r="E16" s="281">
        <v>9.26</v>
      </c>
      <c r="F16" s="278" t="s">
        <v>115</v>
      </c>
      <c r="G16" s="281">
        <v>6</v>
      </c>
      <c r="H16" s="283">
        <f t="shared" si="5"/>
        <v>58594.225166536678</v>
      </c>
      <c r="I16" s="284">
        <f t="shared" si="6"/>
        <v>3.3333333333333335</v>
      </c>
      <c r="J16" s="285" t="s">
        <v>118</v>
      </c>
      <c r="K16" s="286">
        <f>7061+5967+5729</f>
        <v>18757</v>
      </c>
      <c r="L16" s="287">
        <f t="shared" ref="L16" si="10">(1.596*K16)/1000</f>
        <v>29.936172000000003</v>
      </c>
      <c r="M16" s="278">
        <f>0.03+0.04</f>
        <v>7.0000000000000007E-2</v>
      </c>
      <c r="N16" s="288">
        <f t="shared" si="0"/>
        <v>0.32011687067605721</v>
      </c>
      <c r="O16" s="289">
        <f t="shared" si="1"/>
        <v>0.576210367216903</v>
      </c>
      <c r="P16" s="290">
        <f t="shared" si="2"/>
        <v>2.3328533876297184E-3</v>
      </c>
      <c r="Q16" s="291" t="s">
        <v>178</v>
      </c>
      <c r="R16" s="300"/>
      <c r="S16" s="300"/>
      <c r="T16" s="300"/>
      <c r="U16" s="300"/>
      <c r="V16" s="300"/>
      <c r="W16" s="294">
        <f>'[1]绞线工时Twisting wire'!G14</f>
        <v>2295</v>
      </c>
      <c r="X16" s="295">
        <f t="shared" si="3"/>
        <v>4.3572984749455336E-4</v>
      </c>
      <c r="Y16" s="283">
        <f t="shared" si="4"/>
        <v>8.1729847494553383</v>
      </c>
      <c r="Z16" s="301"/>
      <c r="AA16" s="297">
        <f t="shared" si="8"/>
        <v>4.2552087993127579</v>
      </c>
      <c r="AB16" s="278"/>
    </row>
    <row r="17" spans="1:28" ht="21" customHeight="1">
      <c r="A17" s="280">
        <v>45383</v>
      </c>
      <c r="B17" s="281" t="s">
        <v>179</v>
      </c>
      <c r="C17" s="282" t="s">
        <v>163</v>
      </c>
      <c r="D17" s="281" t="s">
        <v>111</v>
      </c>
      <c r="E17" s="281">
        <v>20.72</v>
      </c>
      <c r="F17" s="278" t="s">
        <v>112</v>
      </c>
      <c r="G17" s="281">
        <v>6</v>
      </c>
      <c r="H17" s="283">
        <f t="shared" si="5"/>
        <v>46358.06906602357</v>
      </c>
      <c r="I17" s="284">
        <f t="shared" si="6"/>
        <v>3.3333333333333335</v>
      </c>
      <c r="J17" s="285" t="s">
        <v>114</v>
      </c>
      <c r="K17" s="286">
        <f>5822+1965+7053</f>
        <v>14840</v>
      </c>
      <c r="L17" s="287">
        <f>(3.194*K17)/1000</f>
        <v>47.398960000000002</v>
      </c>
      <c r="M17" s="278">
        <f>0.02+0.03</f>
        <v>0.05</v>
      </c>
      <c r="N17" s="288">
        <f t="shared" si="0"/>
        <v>0.32011687067605732</v>
      </c>
      <c r="O17" s="289">
        <f t="shared" si="1"/>
        <v>0.576210367216903</v>
      </c>
      <c r="P17" s="290">
        <f t="shared" si="2"/>
        <v>1.0537638759627187E-3</v>
      </c>
      <c r="Q17" s="291" t="s">
        <v>180</v>
      </c>
      <c r="R17" s="304"/>
      <c r="S17" s="304"/>
      <c r="T17" s="304"/>
      <c r="U17" s="304"/>
      <c r="V17" s="304"/>
      <c r="W17" s="294">
        <f>'[1]绞线工时Twisting wire'!G30</f>
        <v>4039.2</v>
      </c>
      <c r="X17" s="295">
        <f t="shared" si="3"/>
        <v>2.4757377698554173E-4</v>
      </c>
      <c r="Y17" s="283">
        <f t="shared" si="4"/>
        <v>3.6739948504654394</v>
      </c>
      <c r="Z17" s="305"/>
      <c r="AA17" s="297">
        <f t="shared" si="8"/>
        <v>1.9128403754053434</v>
      </c>
      <c r="AB17" s="278"/>
    </row>
    <row r="18" spans="1:28" ht="21" customHeight="1">
      <c r="A18" s="280"/>
      <c r="B18" s="281"/>
      <c r="C18" s="282"/>
      <c r="D18" s="281"/>
      <c r="E18" s="281"/>
      <c r="F18" s="278"/>
      <c r="G18" s="281"/>
      <c r="H18" s="283"/>
      <c r="I18" s="284"/>
      <c r="J18" s="285"/>
      <c r="K18" s="286"/>
      <c r="L18" s="287"/>
      <c r="M18" s="278"/>
      <c r="N18" s="288" t="str">
        <f>IFERROR(IF(K18&gt;0,K18/#REF!,""),"input error")</f>
        <v/>
      </c>
      <c r="O18" s="289"/>
      <c r="P18" s="290"/>
      <c r="Q18" s="291"/>
      <c r="R18" s="292"/>
      <c r="S18" s="293"/>
      <c r="T18" s="293"/>
      <c r="U18" s="293"/>
      <c r="V18" s="293"/>
      <c r="W18" s="294"/>
      <c r="X18" s="295"/>
      <c r="Y18" s="283"/>
      <c r="Z18" s="296"/>
      <c r="AA18" s="297"/>
      <c r="AB18" s="278"/>
    </row>
    <row r="19" spans="1:28" ht="21" customHeight="1">
      <c r="A19" s="280">
        <v>45384</v>
      </c>
      <c r="B19" s="281" t="s">
        <v>162</v>
      </c>
      <c r="C19" s="282" t="s">
        <v>163</v>
      </c>
      <c r="D19" s="281" t="s">
        <v>116</v>
      </c>
      <c r="E19" s="281">
        <v>2.95</v>
      </c>
      <c r="F19" s="278" t="s">
        <v>115</v>
      </c>
      <c r="G19" s="281">
        <v>6</v>
      </c>
      <c r="H19" s="283">
        <f>IFERROR(IF(AA19&lt;&gt;"",W19*G19*AA19,""),"input error")</f>
        <v>38512.796591516002</v>
      </c>
      <c r="I19" s="284">
        <f>8/3</f>
        <v>2.6666666666666665</v>
      </c>
      <c r="J19" s="281" t="s">
        <v>118</v>
      </c>
      <c r="K19" s="286">
        <f>3536+3906+3955</f>
        <v>11397</v>
      </c>
      <c r="L19" s="287">
        <f>(K19*0.5)/1000</f>
        <v>5.6985000000000001</v>
      </c>
      <c r="M19" s="278">
        <f>0.01+0.01</f>
        <v>0.02</v>
      </c>
      <c r="N19" s="288">
        <f t="shared" ref="N19:N26" si="11">IFERROR(IF(K19&gt;0,K19/H19,""),"input error")</f>
        <v>0.29592761390147004</v>
      </c>
      <c r="O19" s="289">
        <f t="shared" ref="O19:O26" si="12">IFERROR(IF(I19&lt;&gt;"",K19/(I19*W19*AA19),""),"input error")</f>
        <v>0.66583713127830768</v>
      </c>
      <c r="P19" s="290">
        <f t="shared" ref="P19:P26" si="13">IFERROR(IF(M19&lt;&gt;"",M19/(L19+M19),""),"input error")</f>
        <v>3.4974206522689517E-3</v>
      </c>
      <c r="Q19" s="291" t="s">
        <v>174</v>
      </c>
      <c r="R19" s="298">
        <v>7.5</v>
      </c>
      <c r="S19" s="298">
        <v>9</v>
      </c>
      <c r="T19" s="298">
        <v>7.5</v>
      </c>
      <c r="U19" s="298">
        <v>0</v>
      </c>
      <c r="V19" s="298">
        <f>IFERROR(IF(S19&gt;0,S19*T19-U19,""),"input error")</f>
        <v>67.5</v>
      </c>
      <c r="W19" s="294">
        <f>'[1]绞线工时Twisting wire'!G5</f>
        <v>765</v>
      </c>
      <c r="X19" s="295">
        <f t="shared" ref="X19:X26" si="14">IFERROR(IF(W19&lt;&gt;"",1/W19,""),"input error")</f>
        <v>1.30718954248366E-3</v>
      </c>
      <c r="Y19" s="283">
        <f t="shared" ref="Y19:Y26" si="15">IFERROR(IF(X19&lt;&gt;"",K19*X19,""),"input error")</f>
        <v>14.898039215686273</v>
      </c>
      <c r="Z19" s="299">
        <f>SUM(Y19:Y26)</f>
        <v>119.85068363009538</v>
      </c>
      <c r="AA19" s="297">
        <f>IFERROR(IF(Y19&lt;&gt;"",$V$19*Y19/$Z$19,""),"input error")</f>
        <v>8.390587492705011</v>
      </c>
      <c r="AB19" s="278"/>
    </row>
    <row r="20" spans="1:28" ht="21" customHeight="1">
      <c r="A20" s="280">
        <v>45384</v>
      </c>
      <c r="B20" s="281" t="s">
        <v>165</v>
      </c>
      <c r="C20" s="282" t="s">
        <v>163</v>
      </c>
      <c r="D20" s="281" t="s">
        <v>100</v>
      </c>
      <c r="E20" s="281">
        <v>2.91</v>
      </c>
      <c r="F20" s="278" t="s">
        <v>112</v>
      </c>
      <c r="G20" s="281">
        <v>6</v>
      </c>
      <c r="H20" s="283">
        <f t="shared" ref="H20:H26" si="16">IFERROR(IF(AA20&lt;&gt;"",W20*G20*AA20,""),"input error")</f>
        <v>65935.043177473039</v>
      </c>
      <c r="I20" s="284">
        <f t="shared" ref="I20:I26" si="17">8/3</f>
        <v>2.6666666666666665</v>
      </c>
      <c r="J20" s="285" t="s">
        <v>114</v>
      </c>
      <c r="K20" s="286">
        <f>6380+6308+6824</f>
        <v>19512</v>
      </c>
      <c r="L20" s="287">
        <f t="shared" ref="L20:L21" si="18">(K20*0.5)/1000</f>
        <v>9.7560000000000002</v>
      </c>
      <c r="M20" s="278">
        <f>0.02+0.02</f>
        <v>0.04</v>
      </c>
      <c r="N20" s="288">
        <f t="shared" si="11"/>
        <v>0.2959276139014701</v>
      </c>
      <c r="O20" s="289">
        <f t="shared" si="12"/>
        <v>0.66583713127830768</v>
      </c>
      <c r="P20" s="290">
        <f t="shared" si="13"/>
        <v>4.0832993058391182E-3</v>
      </c>
      <c r="Q20" s="291" t="s">
        <v>176</v>
      </c>
      <c r="R20" s="300"/>
      <c r="S20" s="300"/>
      <c r="T20" s="300"/>
      <c r="U20" s="300"/>
      <c r="V20" s="300"/>
      <c r="W20" s="294">
        <f>'[1]绞线工时Twisting wire'!G5</f>
        <v>765</v>
      </c>
      <c r="X20" s="295">
        <f t="shared" si="14"/>
        <v>1.30718954248366E-3</v>
      </c>
      <c r="Y20" s="283">
        <f t="shared" si="15"/>
        <v>25.505882352941175</v>
      </c>
      <c r="Z20" s="301"/>
      <c r="AA20" s="297">
        <f t="shared" ref="AA20:AA26" si="19">IFERROR(IF(Y20&lt;&gt;"",$V$19*Y20/$Z$19,""),"input error")</f>
        <v>14.36493315413356</v>
      </c>
      <c r="AB20" s="278"/>
    </row>
    <row r="21" spans="1:28" ht="21" customHeight="1">
      <c r="A21" s="280">
        <v>45384</v>
      </c>
      <c r="B21" s="281" t="s">
        <v>166</v>
      </c>
      <c r="C21" s="282" t="s">
        <v>163</v>
      </c>
      <c r="D21" s="281" t="s">
        <v>116</v>
      </c>
      <c r="E21" s="281">
        <v>2.96</v>
      </c>
      <c r="F21" s="278" t="s">
        <v>115</v>
      </c>
      <c r="G21" s="281">
        <v>6</v>
      </c>
      <c r="H21" s="283">
        <f t="shared" si="16"/>
        <v>56321.205649802338</v>
      </c>
      <c r="I21" s="284">
        <f t="shared" si="17"/>
        <v>2.6666666666666665</v>
      </c>
      <c r="J21" s="281" t="s">
        <v>118</v>
      </c>
      <c r="K21" s="286">
        <f>5382+5679+5606</f>
        <v>16667</v>
      </c>
      <c r="L21" s="287">
        <f t="shared" si="18"/>
        <v>8.3335000000000008</v>
      </c>
      <c r="M21" s="278">
        <f>0.02+0.01</f>
        <v>0.03</v>
      </c>
      <c r="N21" s="288">
        <f t="shared" si="11"/>
        <v>0.29592761390147004</v>
      </c>
      <c r="O21" s="289">
        <f t="shared" si="12"/>
        <v>0.66583713127830757</v>
      </c>
      <c r="P21" s="290">
        <f t="shared" si="13"/>
        <v>3.5870150056794402E-3</v>
      </c>
      <c r="Q21" s="291" t="s">
        <v>178</v>
      </c>
      <c r="R21" s="300"/>
      <c r="S21" s="300"/>
      <c r="T21" s="300"/>
      <c r="U21" s="300"/>
      <c r="V21" s="300"/>
      <c r="W21" s="294">
        <f>'[1]绞线工时Twisting wire'!G5</f>
        <v>765</v>
      </c>
      <c r="X21" s="295">
        <f t="shared" si="14"/>
        <v>1.30718954248366E-3</v>
      </c>
      <c r="Y21" s="283">
        <f t="shared" si="15"/>
        <v>21.786928104575161</v>
      </c>
      <c r="Z21" s="301"/>
      <c r="AA21" s="297">
        <f t="shared" si="19"/>
        <v>12.270415174248875</v>
      </c>
      <c r="AB21" s="278"/>
    </row>
    <row r="22" spans="1:28" ht="21" customHeight="1">
      <c r="A22" s="280">
        <v>45384</v>
      </c>
      <c r="B22" s="281" t="s">
        <v>168</v>
      </c>
      <c r="C22" s="282" t="s">
        <v>163</v>
      </c>
      <c r="D22" s="281" t="s">
        <v>50</v>
      </c>
      <c r="E22" s="281">
        <v>6.22</v>
      </c>
      <c r="F22" s="302" t="s">
        <v>169</v>
      </c>
      <c r="G22" s="281">
        <v>6</v>
      </c>
      <c r="H22" s="283">
        <f t="shared" si="16"/>
        <v>63018.789474000354</v>
      </c>
      <c r="I22" s="284">
        <f t="shared" si="17"/>
        <v>2.6666666666666665</v>
      </c>
      <c r="J22" s="303" t="s">
        <v>53</v>
      </c>
      <c r="K22" s="286">
        <f>10330+8319</f>
        <v>18649</v>
      </c>
      <c r="L22" s="287">
        <f>(K22*0.3325)/1000</f>
        <v>6.2007925000000004</v>
      </c>
      <c r="M22" s="278">
        <f>0.01</f>
        <v>0.01</v>
      </c>
      <c r="N22" s="288">
        <f t="shared" si="11"/>
        <v>0.29592761390147004</v>
      </c>
      <c r="O22" s="289">
        <f t="shared" si="12"/>
        <v>0.66583713127830757</v>
      </c>
      <c r="P22" s="290">
        <f t="shared" si="13"/>
        <v>1.610100482345852E-3</v>
      </c>
      <c r="Q22" s="291" t="s">
        <v>180</v>
      </c>
      <c r="R22" s="300"/>
      <c r="S22" s="300"/>
      <c r="T22" s="300"/>
      <c r="U22" s="300"/>
      <c r="V22" s="300"/>
      <c r="W22" s="294">
        <f>'[1]绞线工时Twisting wire'!G10</f>
        <v>1657.5</v>
      </c>
      <c r="X22" s="295">
        <f t="shared" si="14"/>
        <v>6.0331825037707393E-4</v>
      </c>
      <c r="Y22" s="283">
        <f t="shared" si="15"/>
        <v>11.251282051282052</v>
      </c>
      <c r="Z22" s="301"/>
      <c r="AA22" s="297">
        <f t="shared" si="19"/>
        <v>6.3367309677225094</v>
      </c>
      <c r="AB22" s="278"/>
    </row>
    <row r="23" spans="1:28" ht="21" customHeight="1">
      <c r="A23" s="280">
        <v>45384</v>
      </c>
      <c r="B23" s="281" t="s">
        <v>170</v>
      </c>
      <c r="C23" s="282" t="s">
        <v>163</v>
      </c>
      <c r="D23" s="281" t="s">
        <v>50</v>
      </c>
      <c r="E23" s="281">
        <v>6.22</v>
      </c>
      <c r="F23" s="302" t="s">
        <v>169</v>
      </c>
      <c r="G23" s="281">
        <v>6</v>
      </c>
      <c r="H23" s="283">
        <f t="shared" si="16"/>
        <v>157531.76726360383</v>
      </c>
      <c r="I23" s="284">
        <f t="shared" si="17"/>
        <v>2.6666666666666665</v>
      </c>
      <c r="J23" s="303" t="s">
        <v>53</v>
      </c>
      <c r="K23" s="286">
        <f>18030+14482+14106</f>
        <v>46618</v>
      </c>
      <c r="L23" s="287">
        <f>(K23*0.3325)/1000</f>
        <v>15.500485000000001</v>
      </c>
      <c r="M23" s="278">
        <f>0.03+0.01</f>
        <v>0.04</v>
      </c>
      <c r="N23" s="288">
        <f t="shared" si="11"/>
        <v>0.2959276139014701</v>
      </c>
      <c r="O23" s="289">
        <f t="shared" si="12"/>
        <v>0.66583713127830768</v>
      </c>
      <c r="P23" s="290">
        <f t="shared" si="13"/>
        <v>2.5739222424525361E-3</v>
      </c>
      <c r="Q23" s="291" t="s">
        <v>164</v>
      </c>
      <c r="R23" s="300"/>
      <c r="S23" s="300"/>
      <c r="T23" s="300"/>
      <c r="U23" s="300"/>
      <c r="V23" s="300"/>
      <c r="W23" s="294">
        <f>'[1]绞线工时Twisting wire'!G10</f>
        <v>1657.5</v>
      </c>
      <c r="X23" s="295">
        <f t="shared" si="14"/>
        <v>6.0331825037707393E-4</v>
      </c>
      <c r="Y23" s="283">
        <f t="shared" si="15"/>
        <v>28.125490196078431</v>
      </c>
      <c r="Z23" s="301"/>
      <c r="AA23" s="297">
        <f t="shared" si="19"/>
        <v>15.84029836738098</v>
      </c>
      <c r="AB23" s="278"/>
    </row>
    <row r="24" spans="1:28" ht="21" customHeight="1">
      <c r="A24" s="280">
        <v>45384</v>
      </c>
      <c r="B24" s="281" t="s">
        <v>175</v>
      </c>
      <c r="C24" s="282" t="s">
        <v>163</v>
      </c>
      <c r="D24" s="281" t="s">
        <v>92</v>
      </c>
      <c r="E24" s="281">
        <v>12.6</v>
      </c>
      <c r="F24" s="278" t="s">
        <v>95</v>
      </c>
      <c r="G24" s="281">
        <v>6</v>
      </c>
      <c r="H24" s="283">
        <f t="shared" si="16"/>
        <v>34552.368618781358</v>
      </c>
      <c r="I24" s="284">
        <f t="shared" si="17"/>
        <v>2.6666666666666665</v>
      </c>
      <c r="J24" s="286" t="s">
        <v>94</v>
      </c>
      <c r="K24" s="286">
        <f>10225</f>
        <v>10225</v>
      </c>
      <c r="L24" s="287">
        <f>(2.01*K24)/1000</f>
        <v>20.552249999999997</v>
      </c>
      <c r="M24" s="278">
        <f>0.03</f>
        <v>0.03</v>
      </c>
      <c r="N24" s="288">
        <f t="shared" si="11"/>
        <v>0.29592761390147004</v>
      </c>
      <c r="O24" s="289">
        <f t="shared" si="12"/>
        <v>0.66583713127830768</v>
      </c>
      <c r="P24" s="290">
        <f t="shared" si="13"/>
        <v>1.4575665925736982E-3</v>
      </c>
      <c r="Q24" s="291" t="s">
        <v>164</v>
      </c>
      <c r="R24" s="300"/>
      <c r="S24" s="300"/>
      <c r="T24" s="300"/>
      <c r="U24" s="300"/>
      <c r="V24" s="300"/>
      <c r="W24" s="294">
        <f>'[1]绞线工时Twisting wire'!G19</f>
        <v>2827.44</v>
      </c>
      <c r="X24" s="295">
        <f t="shared" si="14"/>
        <v>3.5367682426505956E-4</v>
      </c>
      <c r="Y24" s="283">
        <f t="shared" si="15"/>
        <v>3.6163455281102341</v>
      </c>
      <c r="Z24" s="301"/>
      <c r="AA24" s="297">
        <f t="shared" si="19"/>
        <v>2.0367286673210487</v>
      </c>
      <c r="AB24" s="278"/>
    </row>
    <row r="25" spans="1:28" ht="21" customHeight="1">
      <c r="A25" s="280">
        <v>45384</v>
      </c>
      <c r="B25" s="281" t="s">
        <v>177</v>
      </c>
      <c r="C25" s="282" t="s">
        <v>163</v>
      </c>
      <c r="D25" s="281" t="s">
        <v>117</v>
      </c>
      <c r="E25" s="281">
        <v>9.26</v>
      </c>
      <c r="F25" s="278" t="s">
        <v>115</v>
      </c>
      <c r="G25" s="281">
        <v>6</v>
      </c>
      <c r="H25" s="283">
        <f t="shared" si="16"/>
        <v>70980.195876528349</v>
      </c>
      <c r="I25" s="284">
        <f t="shared" si="17"/>
        <v>2.6666666666666665</v>
      </c>
      <c r="J25" s="285" t="s">
        <v>118</v>
      </c>
      <c r="K25" s="286">
        <f>6434+10404+4167</f>
        <v>21005</v>
      </c>
      <c r="L25" s="287">
        <f t="shared" ref="L25" si="20">(1.596*K25)/1000</f>
        <v>33.523980000000002</v>
      </c>
      <c r="M25" s="278">
        <f>0.02+0.03+0.01</f>
        <v>6.0000000000000005E-2</v>
      </c>
      <c r="N25" s="288">
        <f t="shared" si="11"/>
        <v>0.2959276139014701</v>
      </c>
      <c r="O25" s="289">
        <f t="shared" si="12"/>
        <v>0.66583713127830768</v>
      </c>
      <c r="P25" s="290">
        <f t="shared" si="13"/>
        <v>1.786566094905964E-3</v>
      </c>
      <c r="Q25" s="291" t="s">
        <v>167</v>
      </c>
      <c r="R25" s="300"/>
      <c r="S25" s="300"/>
      <c r="T25" s="300"/>
      <c r="U25" s="300"/>
      <c r="V25" s="300"/>
      <c r="W25" s="294">
        <f>'[1]绞线工时Twisting wire'!G14</f>
        <v>2295</v>
      </c>
      <c r="X25" s="295">
        <f t="shared" si="14"/>
        <v>4.3572984749455336E-4</v>
      </c>
      <c r="Y25" s="283">
        <f t="shared" si="15"/>
        <v>9.1525054466230937</v>
      </c>
      <c r="Z25" s="301"/>
      <c r="AA25" s="297">
        <f t="shared" si="19"/>
        <v>5.1546983207355375</v>
      </c>
      <c r="AB25" s="278"/>
    </row>
    <row r="26" spans="1:28" ht="21" customHeight="1">
      <c r="A26" s="280">
        <v>45384</v>
      </c>
      <c r="B26" s="281" t="s">
        <v>179</v>
      </c>
      <c r="C26" s="282" t="s">
        <v>163</v>
      </c>
      <c r="D26" s="281" t="s">
        <v>111</v>
      </c>
      <c r="E26" s="281">
        <v>20.72</v>
      </c>
      <c r="F26" s="278" t="s">
        <v>112</v>
      </c>
      <c r="G26" s="281">
        <v>6</v>
      </c>
      <c r="H26" s="283">
        <f t="shared" si="16"/>
        <v>75265.027505732738</v>
      </c>
      <c r="I26" s="284">
        <f t="shared" si="17"/>
        <v>2.6666666666666665</v>
      </c>
      <c r="J26" s="285" t="s">
        <v>114</v>
      </c>
      <c r="K26" s="286">
        <f>7870+5513+8890</f>
        <v>22273</v>
      </c>
      <c r="L26" s="287">
        <f>(3.194*K26)/1000</f>
        <v>71.139961999999997</v>
      </c>
      <c r="M26" s="278">
        <f>0.01+0.02</f>
        <v>0.03</v>
      </c>
      <c r="N26" s="288">
        <f t="shared" si="11"/>
        <v>0.29592761390147004</v>
      </c>
      <c r="O26" s="289">
        <f t="shared" si="12"/>
        <v>0.66583713127830757</v>
      </c>
      <c r="P26" s="290">
        <f t="shared" si="13"/>
        <v>4.2152614891096893E-4</v>
      </c>
      <c r="Q26" s="291" t="s">
        <v>167</v>
      </c>
      <c r="R26" s="304"/>
      <c r="S26" s="304"/>
      <c r="T26" s="304"/>
      <c r="U26" s="304"/>
      <c r="V26" s="304"/>
      <c r="W26" s="294">
        <f>'[1]绞线工时Twisting wire'!G30</f>
        <v>4039.2</v>
      </c>
      <c r="X26" s="295">
        <f t="shared" si="14"/>
        <v>2.4757377698554173E-4</v>
      </c>
      <c r="Y26" s="283">
        <f t="shared" si="15"/>
        <v>5.5142107347989713</v>
      </c>
      <c r="Z26" s="305"/>
      <c r="AA26" s="297">
        <f t="shared" si="19"/>
        <v>3.1056078557524902</v>
      </c>
      <c r="AB26" s="278"/>
    </row>
    <row r="27" spans="1:28" ht="21" customHeight="1">
      <c r="A27" s="280"/>
      <c r="B27" s="281"/>
      <c r="C27" s="282"/>
      <c r="D27" s="281"/>
      <c r="E27" s="281"/>
      <c r="F27" s="278"/>
      <c r="G27" s="281"/>
      <c r="H27" s="283"/>
      <c r="I27" s="284"/>
      <c r="J27" s="285"/>
      <c r="K27" s="286"/>
      <c r="L27" s="287"/>
      <c r="M27" s="278"/>
      <c r="N27" s="288" t="str">
        <f>IFERROR(IF(K27&gt;0,K27/#REF!,""),"input error")</f>
        <v/>
      </c>
      <c r="O27" s="289"/>
      <c r="P27" s="290"/>
      <c r="Q27" s="291"/>
      <c r="R27" s="292"/>
      <c r="S27" s="293"/>
      <c r="T27" s="293"/>
      <c r="U27" s="293"/>
      <c r="V27" s="293"/>
      <c r="W27" s="294"/>
      <c r="X27" s="295"/>
      <c r="Y27" s="283"/>
      <c r="Z27" s="296"/>
      <c r="AA27" s="297"/>
      <c r="AB27" s="278"/>
    </row>
    <row r="28" spans="1:28" ht="21" customHeight="1">
      <c r="A28" s="280"/>
      <c r="B28" s="281"/>
      <c r="C28" s="282"/>
      <c r="D28" s="281"/>
      <c r="E28" s="281"/>
      <c r="F28" s="278"/>
      <c r="G28" s="281"/>
      <c r="H28" s="283"/>
      <c r="I28" s="284"/>
      <c r="J28" s="285"/>
      <c r="K28" s="286"/>
      <c r="L28" s="287"/>
      <c r="M28" s="278"/>
      <c r="N28" s="288" t="str">
        <f>IFERROR(IF(K28&gt;0,K28/#REF!,""),"input error")</f>
        <v/>
      </c>
      <c r="O28" s="289"/>
      <c r="P28" s="290"/>
      <c r="Q28" s="291"/>
      <c r="R28" s="292"/>
      <c r="S28" s="293"/>
      <c r="T28" s="293"/>
      <c r="U28" s="293"/>
      <c r="V28" s="293"/>
      <c r="W28" s="294"/>
      <c r="X28" s="295"/>
      <c r="Y28" s="283"/>
      <c r="Z28" s="296"/>
      <c r="AA28" s="297"/>
      <c r="AB28" s="278"/>
    </row>
    <row r="29" spans="1:28" ht="21" customHeight="1">
      <c r="A29" s="280"/>
      <c r="B29" s="281"/>
      <c r="C29" s="282"/>
      <c r="D29" s="281"/>
      <c r="E29" s="281"/>
      <c r="F29" s="278"/>
      <c r="G29" s="281"/>
      <c r="H29" s="283"/>
      <c r="I29" s="284"/>
      <c r="J29" s="285"/>
      <c r="K29" s="286"/>
      <c r="L29" s="287"/>
      <c r="M29" s="278"/>
      <c r="N29" s="288" t="str">
        <f>IFERROR(IF(K29&gt;0,K29/#REF!,""),"input error")</f>
        <v/>
      </c>
      <c r="O29" s="289"/>
      <c r="P29" s="290"/>
      <c r="Q29" s="291"/>
      <c r="R29" s="292"/>
      <c r="S29" s="293"/>
      <c r="T29" s="293"/>
      <c r="U29" s="293"/>
      <c r="V29" s="293"/>
      <c r="W29" s="294"/>
      <c r="X29" s="295"/>
      <c r="Y29" s="283"/>
      <c r="Z29" s="296"/>
      <c r="AA29" s="297"/>
      <c r="AB29" s="278"/>
    </row>
    <row r="30" spans="1:28" ht="21" customHeight="1">
      <c r="A30" s="280"/>
      <c r="B30" s="281"/>
      <c r="C30" s="282"/>
      <c r="D30" s="281"/>
      <c r="E30" s="281"/>
      <c r="F30" s="278"/>
      <c r="G30" s="281"/>
      <c r="H30" s="283"/>
      <c r="I30" s="284"/>
      <c r="J30" s="285"/>
      <c r="K30" s="286"/>
      <c r="L30" s="287"/>
      <c r="M30" s="278"/>
      <c r="N30" s="288" t="str">
        <f>IFERROR(IF(K30&gt;0,K30/#REF!,""),"input error")</f>
        <v/>
      </c>
      <c r="O30" s="289"/>
      <c r="P30" s="290"/>
      <c r="Q30" s="291"/>
      <c r="R30" s="292"/>
      <c r="S30" s="293"/>
      <c r="T30" s="293"/>
      <c r="U30" s="293"/>
      <c r="V30" s="293"/>
      <c r="W30" s="294"/>
      <c r="X30" s="295"/>
      <c r="Y30" s="283"/>
      <c r="Z30" s="296"/>
      <c r="AA30" s="297"/>
      <c r="AB30" s="278"/>
    </row>
    <row r="31" spans="1:28" ht="21" customHeight="1">
      <c r="A31" s="280"/>
      <c r="B31" s="281"/>
      <c r="C31" s="282"/>
      <c r="D31" s="281"/>
      <c r="E31" s="281"/>
      <c r="F31" s="278"/>
      <c r="G31" s="281"/>
      <c r="H31" s="283"/>
      <c r="I31" s="284"/>
      <c r="J31" s="285"/>
      <c r="K31" s="286"/>
      <c r="L31" s="287"/>
      <c r="M31" s="278"/>
      <c r="N31" s="288" t="str">
        <f>IFERROR(IF(K31&gt;0,K31/#REF!,""),"input error")</f>
        <v/>
      </c>
      <c r="O31" s="289"/>
      <c r="P31" s="290"/>
      <c r="Q31" s="291"/>
      <c r="R31" s="292"/>
      <c r="S31" s="293"/>
      <c r="T31" s="293"/>
      <c r="U31" s="293"/>
      <c r="V31" s="293"/>
      <c r="W31" s="294"/>
      <c r="X31" s="295"/>
      <c r="Y31" s="283"/>
      <c r="Z31" s="296"/>
      <c r="AA31" s="297"/>
      <c r="AB31" s="278"/>
    </row>
    <row r="32" spans="1:28" ht="21" customHeight="1">
      <c r="A32" s="306"/>
      <c r="B32" s="281"/>
      <c r="C32" s="282"/>
      <c r="D32" s="281"/>
      <c r="E32" s="281"/>
      <c r="F32" s="278"/>
      <c r="G32" s="281"/>
      <c r="H32" s="283" t="str">
        <f t="shared" ref="H32" si="21">IFERROR(IF(AA32&lt;&gt;"",W32*G32*AA32,""),"input error")</f>
        <v/>
      </c>
      <c r="I32" s="284"/>
      <c r="J32" s="285"/>
      <c r="K32" s="286"/>
      <c r="L32" s="287"/>
      <c r="M32" s="278"/>
      <c r="N32" s="288" t="str">
        <f>IFERROR(IF(K32&gt;0,K32/#REF!,""),"input error")</f>
        <v/>
      </c>
      <c r="O32" s="289"/>
      <c r="P32" s="290"/>
      <c r="Q32" s="291"/>
      <c r="R32" s="292"/>
      <c r="S32" s="307"/>
      <c r="T32" s="278"/>
      <c r="U32" s="278"/>
      <c r="V32" s="278"/>
      <c r="W32" s="294"/>
      <c r="X32" s="295"/>
      <c r="Y32" s="283"/>
      <c r="Z32" s="296"/>
      <c r="AA32" s="297"/>
      <c r="AB32" s="278"/>
    </row>
    <row r="33" spans="2:28" s="308" customFormat="1" ht="42.75" customHeight="1">
      <c r="E33" s="309"/>
      <c r="F33" s="310"/>
      <c r="G33" s="310"/>
      <c r="H33" s="310"/>
      <c r="I33" s="310"/>
      <c r="J33" s="310"/>
      <c r="K33" s="310"/>
      <c r="L33" s="310"/>
      <c r="M33" s="311"/>
      <c r="N33" s="311"/>
      <c r="O33" s="312"/>
      <c r="P33" s="312"/>
      <c r="Q33" s="311"/>
      <c r="R33" s="313"/>
      <c r="S33" s="311"/>
      <c r="T33" s="311"/>
      <c r="U33" s="311"/>
      <c r="V33" s="311"/>
      <c r="W33" s="311"/>
      <c r="X33" s="314" t="s">
        <v>181</v>
      </c>
      <c r="Y33" s="315"/>
      <c r="Z33" s="314" t="s">
        <v>182</v>
      </c>
      <c r="AA33" s="315"/>
      <c r="AB33" s="273" t="s">
        <v>183</v>
      </c>
    </row>
    <row r="34" spans="2:28" s="308" customFormat="1" ht="27.75" customHeight="1">
      <c r="E34" s="310"/>
      <c r="F34" s="310"/>
      <c r="G34" s="310"/>
      <c r="H34" s="310"/>
      <c r="I34" s="310"/>
      <c r="J34" s="310"/>
      <c r="K34" s="310"/>
      <c r="L34" s="316"/>
      <c r="M34" s="272">
        <f>39736-30708</f>
        <v>9028</v>
      </c>
      <c r="N34" s="272"/>
      <c r="O34" s="317"/>
      <c r="P34" s="317"/>
      <c r="Q34" s="272"/>
      <c r="R34" s="318"/>
      <c r="S34" s="319"/>
      <c r="T34" s="319"/>
      <c r="U34" s="319"/>
      <c r="V34" s="272"/>
      <c r="W34" s="272"/>
      <c r="X34" s="320" t="s">
        <v>184</v>
      </c>
      <c r="Y34" s="321"/>
      <c r="Z34" s="322" t="s">
        <v>185</v>
      </c>
      <c r="AA34" s="323"/>
      <c r="AB34" s="273" t="s">
        <v>186</v>
      </c>
    </row>
    <row r="35" spans="2:28" ht="21" customHeight="1"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5"/>
      <c r="R35" s="326"/>
      <c r="S35" s="327"/>
      <c r="T35" s="325"/>
      <c r="U35" s="325"/>
      <c r="V35" s="325"/>
      <c r="W35" s="325"/>
      <c r="X35" s="328" t="s">
        <v>187</v>
      </c>
      <c r="Y35" s="329"/>
      <c r="Z35" s="329"/>
      <c r="AA35" s="329"/>
      <c r="AB35" s="330"/>
    </row>
  </sheetData>
  <autoFilter ref="A6:AB35"/>
  <mergeCells count="25">
    <mergeCell ref="X33:Y33"/>
    <mergeCell ref="Z33:AA33"/>
    <mergeCell ref="X34:Y34"/>
    <mergeCell ref="Z34:AA34"/>
    <mergeCell ref="X35:AB35"/>
    <mergeCell ref="R19:R26"/>
    <mergeCell ref="S19:S26"/>
    <mergeCell ref="T19:T26"/>
    <mergeCell ref="U19:U26"/>
    <mergeCell ref="V19:V26"/>
    <mergeCell ref="Z19:Z26"/>
    <mergeCell ref="R8:R17"/>
    <mergeCell ref="S8:S17"/>
    <mergeCell ref="T8:T17"/>
    <mergeCell ref="U8:U17"/>
    <mergeCell ref="V8:V17"/>
    <mergeCell ref="Z8:Z17"/>
    <mergeCell ref="B1:AB1"/>
    <mergeCell ref="B2:AB2"/>
    <mergeCell ref="B3:AB3"/>
    <mergeCell ref="B4:AB4"/>
    <mergeCell ref="A5:F5"/>
    <mergeCell ref="M5:N5"/>
    <mergeCell ref="Q5:R5"/>
    <mergeCell ref="Z5:AB5"/>
  </mergeCells>
  <conditionalFormatting sqref="N8">
    <cfRule type="cellIs" dxfId="26" priority="3" operator="lessThan">
      <formula>0.5</formula>
    </cfRule>
  </conditionalFormatting>
  <conditionalFormatting sqref="N32">
    <cfRule type="cellIs" dxfId="25" priority="6" operator="lessThan">
      <formula>0.5</formula>
    </cfRule>
  </conditionalFormatting>
  <conditionalFormatting sqref="N9:N17">
    <cfRule type="cellIs" dxfId="24" priority="2" operator="lessThan">
      <formula>0.5</formula>
    </cfRule>
  </conditionalFormatting>
  <conditionalFormatting sqref="N7 N30">
    <cfRule type="cellIs" dxfId="23" priority="5" operator="lessThan">
      <formula>0.5</formula>
    </cfRule>
  </conditionalFormatting>
  <conditionalFormatting sqref="N31 N18 N27:N29">
    <cfRule type="cellIs" dxfId="22" priority="4" operator="lessThan">
      <formula>0.5</formula>
    </cfRule>
  </conditionalFormatting>
  <conditionalFormatting sqref="N19:N26">
    <cfRule type="cellIs" dxfId="21" priority="1" operator="lessThan">
      <formula>0.5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26"/>
  <sheetViews>
    <sheetView showGridLines="0" topLeftCell="C1" zoomScale="85" zoomScaleNormal="85" zoomScaleSheetLayoutView="89" workbookViewId="0">
      <pane ySplit="6" topLeftCell="A7" activePane="bottomLeft" state="frozen"/>
      <selection activeCell="L26" sqref="L26"/>
      <selection pane="bottomLeft" activeCell="L26" sqref="L26"/>
    </sheetView>
  </sheetViews>
  <sheetFormatPr defaultColWidth="9" defaultRowHeight="14.25"/>
  <cols>
    <col min="1" max="1" width="10.7109375" style="263" customWidth="1"/>
    <col min="2" max="2" width="13.7109375" style="263" customWidth="1"/>
    <col min="3" max="3" width="11.42578125" style="263" customWidth="1"/>
    <col min="4" max="4" width="18.5703125" style="263" customWidth="1"/>
    <col min="5" max="5" width="9.140625" style="263" customWidth="1"/>
    <col min="6" max="6" width="17.28515625" style="263" customWidth="1"/>
    <col min="7" max="7" width="8.28515625" style="263" customWidth="1"/>
    <col min="8" max="8" width="10.140625" style="263" customWidth="1"/>
    <col min="9" max="9" width="14.7109375" style="263" customWidth="1"/>
    <col min="10" max="10" width="18.5703125" style="263" customWidth="1"/>
    <col min="11" max="11" width="12" style="263" customWidth="1"/>
    <col min="12" max="12" width="8.85546875" style="263" customWidth="1"/>
    <col min="13" max="13" width="9" style="263"/>
    <col min="14" max="16" width="12.42578125" style="263" customWidth="1"/>
    <col min="17" max="17" width="20.7109375" style="263" customWidth="1"/>
    <col min="18" max="18" width="10.85546875" style="377" customWidth="1"/>
    <col min="19" max="22" width="9.5703125" style="263" customWidth="1"/>
    <col min="23" max="23" width="9.5703125" style="377" customWidth="1"/>
    <col min="24" max="26" width="9.5703125" style="263" customWidth="1"/>
    <col min="27" max="27" width="9.5703125" style="378" customWidth="1"/>
    <col min="28" max="28" width="12.7109375" style="263" customWidth="1"/>
    <col min="29" max="269" width="9" style="263"/>
    <col min="270" max="270" width="13.7109375" style="263" customWidth="1"/>
    <col min="271" max="271" width="18.5703125" style="263" customWidth="1"/>
    <col min="272" max="272" width="9.140625" style="263" customWidth="1"/>
    <col min="273" max="273" width="17.28515625" style="263" customWidth="1"/>
    <col min="274" max="274" width="11.42578125" style="263" customWidth="1"/>
    <col min="275" max="275" width="17.140625" style="263" customWidth="1"/>
    <col min="276" max="276" width="12" style="263" customWidth="1"/>
    <col min="277" max="277" width="17.140625" style="263" customWidth="1"/>
    <col min="278" max="278" width="8.85546875" style="263" customWidth="1"/>
    <col min="279" max="279" width="9" style="263"/>
    <col min="280" max="280" width="12.42578125" style="263" customWidth="1"/>
    <col min="281" max="281" width="10.5703125" style="263" customWidth="1"/>
    <col min="282" max="282" width="10.85546875" style="263" customWidth="1"/>
    <col min="283" max="283" width="9.5703125" style="263" customWidth="1"/>
    <col min="284" max="284" width="9.85546875" style="263" customWidth="1"/>
    <col min="285" max="525" width="9" style="263"/>
    <col min="526" max="526" width="13.7109375" style="263" customWidth="1"/>
    <col min="527" max="527" width="18.5703125" style="263" customWidth="1"/>
    <col min="528" max="528" width="9.140625" style="263" customWidth="1"/>
    <col min="529" max="529" width="17.28515625" style="263" customWidth="1"/>
    <col min="530" max="530" width="11.42578125" style="263" customWidth="1"/>
    <col min="531" max="531" width="17.140625" style="263" customWidth="1"/>
    <col min="532" max="532" width="12" style="263" customWidth="1"/>
    <col min="533" max="533" width="17.140625" style="263" customWidth="1"/>
    <col min="534" max="534" width="8.85546875" style="263" customWidth="1"/>
    <col min="535" max="535" width="9" style="263"/>
    <col min="536" max="536" width="12.42578125" style="263" customWidth="1"/>
    <col min="537" max="537" width="10.5703125" style="263" customWidth="1"/>
    <col min="538" max="538" width="10.85546875" style="263" customWidth="1"/>
    <col min="539" max="539" width="9.5703125" style="263" customWidth="1"/>
    <col min="540" max="540" width="9.85546875" style="263" customWidth="1"/>
    <col min="541" max="781" width="9" style="263"/>
    <col min="782" max="782" width="13.7109375" style="263" customWidth="1"/>
    <col min="783" max="783" width="18.5703125" style="263" customWidth="1"/>
    <col min="784" max="784" width="9.140625" style="263" customWidth="1"/>
    <col min="785" max="785" width="17.28515625" style="263" customWidth="1"/>
    <col min="786" max="786" width="11.42578125" style="263" customWidth="1"/>
    <col min="787" max="787" width="17.140625" style="263" customWidth="1"/>
    <col min="788" max="788" width="12" style="263" customWidth="1"/>
    <col min="789" max="789" width="17.140625" style="263" customWidth="1"/>
    <col min="790" max="790" width="8.85546875" style="263" customWidth="1"/>
    <col min="791" max="791" width="9" style="263"/>
    <col min="792" max="792" width="12.42578125" style="263" customWidth="1"/>
    <col min="793" max="793" width="10.5703125" style="263" customWidth="1"/>
    <col min="794" max="794" width="10.85546875" style="263" customWidth="1"/>
    <col min="795" max="795" width="9.5703125" style="263" customWidth="1"/>
    <col min="796" max="796" width="9.85546875" style="263" customWidth="1"/>
    <col min="797" max="1037" width="9" style="263"/>
    <col min="1038" max="1038" width="13.7109375" style="263" customWidth="1"/>
    <col min="1039" max="1039" width="18.5703125" style="263" customWidth="1"/>
    <col min="1040" max="1040" width="9.140625" style="263" customWidth="1"/>
    <col min="1041" max="1041" width="17.28515625" style="263" customWidth="1"/>
    <col min="1042" max="1042" width="11.42578125" style="263" customWidth="1"/>
    <col min="1043" max="1043" width="17.140625" style="263" customWidth="1"/>
    <col min="1044" max="1044" width="12" style="263" customWidth="1"/>
    <col min="1045" max="1045" width="17.140625" style="263" customWidth="1"/>
    <col min="1046" max="1046" width="8.85546875" style="263" customWidth="1"/>
    <col min="1047" max="1047" width="9" style="263"/>
    <col min="1048" max="1048" width="12.42578125" style="263" customWidth="1"/>
    <col min="1049" max="1049" width="10.5703125" style="263" customWidth="1"/>
    <col min="1050" max="1050" width="10.85546875" style="263" customWidth="1"/>
    <col min="1051" max="1051" width="9.5703125" style="263" customWidth="1"/>
    <col min="1052" max="1052" width="9.85546875" style="263" customWidth="1"/>
    <col min="1053" max="1293" width="9" style="263"/>
    <col min="1294" max="1294" width="13.7109375" style="263" customWidth="1"/>
    <col min="1295" max="1295" width="18.5703125" style="263" customWidth="1"/>
    <col min="1296" max="1296" width="9.140625" style="263" customWidth="1"/>
    <col min="1297" max="1297" width="17.28515625" style="263" customWidth="1"/>
    <col min="1298" max="1298" width="11.42578125" style="263" customWidth="1"/>
    <col min="1299" max="1299" width="17.140625" style="263" customWidth="1"/>
    <col min="1300" max="1300" width="12" style="263" customWidth="1"/>
    <col min="1301" max="1301" width="17.140625" style="263" customWidth="1"/>
    <col min="1302" max="1302" width="8.85546875" style="263" customWidth="1"/>
    <col min="1303" max="1303" width="9" style="263"/>
    <col min="1304" max="1304" width="12.42578125" style="263" customWidth="1"/>
    <col min="1305" max="1305" width="10.5703125" style="263" customWidth="1"/>
    <col min="1306" max="1306" width="10.85546875" style="263" customWidth="1"/>
    <col min="1307" max="1307" width="9.5703125" style="263" customWidth="1"/>
    <col min="1308" max="1308" width="9.85546875" style="263" customWidth="1"/>
    <col min="1309" max="1549" width="9" style="263"/>
    <col min="1550" max="1550" width="13.7109375" style="263" customWidth="1"/>
    <col min="1551" max="1551" width="18.5703125" style="263" customWidth="1"/>
    <col min="1552" max="1552" width="9.140625" style="263" customWidth="1"/>
    <col min="1553" max="1553" width="17.28515625" style="263" customWidth="1"/>
    <col min="1554" max="1554" width="11.42578125" style="263" customWidth="1"/>
    <col min="1555" max="1555" width="17.140625" style="263" customWidth="1"/>
    <col min="1556" max="1556" width="12" style="263" customWidth="1"/>
    <col min="1557" max="1557" width="17.140625" style="263" customWidth="1"/>
    <col min="1558" max="1558" width="8.85546875" style="263" customWidth="1"/>
    <col min="1559" max="1559" width="9" style="263"/>
    <col min="1560" max="1560" width="12.42578125" style="263" customWidth="1"/>
    <col min="1561" max="1561" width="10.5703125" style="263" customWidth="1"/>
    <col min="1562" max="1562" width="10.85546875" style="263" customWidth="1"/>
    <col min="1563" max="1563" width="9.5703125" style="263" customWidth="1"/>
    <col min="1564" max="1564" width="9.85546875" style="263" customWidth="1"/>
    <col min="1565" max="1805" width="9" style="263"/>
    <col min="1806" max="1806" width="13.7109375" style="263" customWidth="1"/>
    <col min="1807" max="1807" width="18.5703125" style="263" customWidth="1"/>
    <col min="1808" max="1808" width="9.140625" style="263" customWidth="1"/>
    <col min="1809" max="1809" width="17.28515625" style="263" customWidth="1"/>
    <col min="1810" max="1810" width="11.42578125" style="263" customWidth="1"/>
    <col min="1811" max="1811" width="17.140625" style="263" customWidth="1"/>
    <col min="1812" max="1812" width="12" style="263" customWidth="1"/>
    <col min="1813" max="1813" width="17.140625" style="263" customWidth="1"/>
    <col min="1814" max="1814" width="8.85546875" style="263" customWidth="1"/>
    <col min="1815" max="1815" width="9" style="263"/>
    <col min="1816" max="1816" width="12.42578125" style="263" customWidth="1"/>
    <col min="1817" max="1817" width="10.5703125" style="263" customWidth="1"/>
    <col min="1818" max="1818" width="10.85546875" style="263" customWidth="1"/>
    <col min="1819" max="1819" width="9.5703125" style="263" customWidth="1"/>
    <col min="1820" max="1820" width="9.85546875" style="263" customWidth="1"/>
    <col min="1821" max="2061" width="9" style="263"/>
    <col min="2062" max="2062" width="13.7109375" style="263" customWidth="1"/>
    <col min="2063" max="2063" width="18.5703125" style="263" customWidth="1"/>
    <col min="2064" max="2064" width="9.140625" style="263" customWidth="1"/>
    <col min="2065" max="2065" width="17.28515625" style="263" customWidth="1"/>
    <col min="2066" max="2066" width="11.42578125" style="263" customWidth="1"/>
    <col min="2067" max="2067" width="17.140625" style="263" customWidth="1"/>
    <col min="2068" max="2068" width="12" style="263" customWidth="1"/>
    <col min="2069" max="2069" width="17.140625" style="263" customWidth="1"/>
    <col min="2070" max="2070" width="8.85546875" style="263" customWidth="1"/>
    <col min="2071" max="2071" width="9" style="263"/>
    <col min="2072" max="2072" width="12.42578125" style="263" customWidth="1"/>
    <col min="2073" max="2073" width="10.5703125" style="263" customWidth="1"/>
    <col min="2074" max="2074" width="10.85546875" style="263" customWidth="1"/>
    <col min="2075" max="2075" width="9.5703125" style="263" customWidth="1"/>
    <col min="2076" max="2076" width="9.85546875" style="263" customWidth="1"/>
    <col min="2077" max="2317" width="9" style="263"/>
    <col min="2318" max="2318" width="13.7109375" style="263" customWidth="1"/>
    <col min="2319" max="2319" width="18.5703125" style="263" customWidth="1"/>
    <col min="2320" max="2320" width="9.140625" style="263" customWidth="1"/>
    <col min="2321" max="2321" width="17.28515625" style="263" customWidth="1"/>
    <col min="2322" max="2322" width="11.42578125" style="263" customWidth="1"/>
    <col min="2323" max="2323" width="17.140625" style="263" customWidth="1"/>
    <col min="2324" max="2324" width="12" style="263" customWidth="1"/>
    <col min="2325" max="2325" width="17.140625" style="263" customWidth="1"/>
    <col min="2326" max="2326" width="8.85546875" style="263" customWidth="1"/>
    <col min="2327" max="2327" width="9" style="263"/>
    <col min="2328" max="2328" width="12.42578125" style="263" customWidth="1"/>
    <col min="2329" max="2329" width="10.5703125" style="263" customWidth="1"/>
    <col min="2330" max="2330" width="10.85546875" style="263" customWidth="1"/>
    <col min="2331" max="2331" width="9.5703125" style="263" customWidth="1"/>
    <col min="2332" max="2332" width="9.85546875" style="263" customWidth="1"/>
    <col min="2333" max="2573" width="9" style="263"/>
    <col min="2574" max="2574" width="13.7109375" style="263" customWidth="1"/>
    <col min="2575" max="2575" width="18.5703125" style="263" customWidth="1"/>
    <col min="2576" max="2576" width="9.140625" style="263" customWidth="1"/>
    <col min="2577" max="2577" width="17.28515625" style="263" customWidth="1"/>
    <col min="2578" max="2578" width="11.42578125" style="263" customWidth="1"/>
    <col min="2579" max="2579" width="17.140625" style="263" customWidth="1"/>
    <col min="2580" max="2580" width="12" style="263" customWidth="1"/>
    <col min="2581" max="2581" width="17.140625" style="263" customWidth="1"/>
    <col min="2582" max="2582" width="8.85546875" style="263" customWidth="1"/>
    <col min="2583" max="2583" width="9" style="263"/>
    <col min="2584" max="2584" width="12.42578125" style="263" customWidth="1"/>
    <col min="2585" max="2585" width="10.5703125" style="263" customWidth="1"/>
    <col min="2586" max="2586" width="10.85546875" style="263" customWidth="1"/>
    <col min="2587" max="2587" width="9.5703125" style="263" customWidth="1"/>
    <col min="2588" max="2588" width="9.85546875" style="263" customWidth="1"/>
    <col min="2589" max="2829" width="9" style="263"/>
    <col min="2830" max="2830" width="13.7109375" style="263" customWidth="1"/>
    <col min="2831" max="2831" width="18.5703125" style="263" customWidth="1"/>
    <col min="2832" max="2832" width="9.140625" style="263" customWidth="1"/>
    <col min="2833" max="2833" width="17.28515625" style="263" customWidth="1"/>
    <col min="2834" max="2834" width="11.42578125" style="263" customWidth="1"/>
    <col min="2835" max="2835" width="17.140625" style="263" customWidth="1"/>
    <col min="2836" max="2836" width="12" style="263" customWidth="1"/>
    <col min="2837" max="2837" width="17.140625" style="263" customWidth="1"/>
    <col min="2838" max="2838" width="8.85546875" style="263" customWidth="1"/>
    <col min="2839" max="2839" width="9" style="263"/>
    <col min="2840" max="2840" width="12.42578125" style="263" customWidth="1"/>
    <col min="2841" max="2841" width="10.5703125" style="263" customWidth="1"/>
    <col min="2842" max="2842" width="10.85546875" style="263" customWidth="1"/>
    <col min="2843" max="2843" width="9.5703125" style="263" customWidth="1"/>
    <col min="2844" max="2844" width="9.85546875" style="263" customWidth="1"/>
    <col min="2845" max="3085" width="9" style="263"/>
    <col min="3086" max="3086" width="13.7109375" style="263" customWidth="1"/>
    <col min="3087" max="3087" width="18.5703125" style="263" customWidth="1"/>
    <col min="3088" max="3088" width="9.140625" style="263" customWidth="1"/>
    <col min="3089" max="3089" width="17.28515625" style="263" customWidth="1"/>
    <col min="3090" max="3090" width="11.42578125" style="263" customWidth="1"/>
    <col min="3091" max="3091" width="17.140625" style="263" customWidth="1"/>
    <col min="3092" max="3092" width="12" style="263" customWidth="1"/>
    <col min="3093" max="3093" width="17.140625" style="263" customWidth="1"/>
    <col min="3094" max="3094" width="8.85546875" style="263" customWidth="1"/>
    <col min="3095" max="3095" width="9" style="263"/>
    <col min="3096" max="3096" width="12.42578125" style="263" customWidth="1"/>
    <col min="3097" max="3097" width="10.5703125" style="263" customWidth="1"/>
    <col min="3098" max="3098" width="10.85546875" style="263" customWidth="1"/>
    <col min="3099" max="3099" width="9.5703125" style="263" customWidth="1"/>
    <col min="3100" max="3100" width="9.85546875" style="263" customWidth="1"/>
    <col min="3101" max="3341" width="9" style="263"/>
    <col min="3342" max="3342" width="13.7109375" style="263" customWidth="1"/>
    <col min="3343" max="3343" width="18.5703125" style="263" customWidth="1"/>
    <col min="3344" max="3344" width="9.140625" style="263" customWidth="1"/>
    <col min="3345" max="3345" width="17.28515625" style="263" customWidth="1"/>
    <col min="3346" max="3346" width="11.42578125" style="263" customWidth="1"/>
    <col min="3347" max="3347" width="17.140625" style="263" customWidth="1"/>
    <col min="3348" max="3348" width="12" style="263" customWidth="1"/>
    <col min="3349" max="3349" width="17.140625" style="263" customWidth="1"/>
    <col min="3350" max="3350" width="8.85546875" style="263" customWidth="1"/>
    <col min="3351" max="3351" width="9" style="263"/>
    <col min="3352" max="3352" width="12.42578125" style="263" customWidth="1"/>
    <col min="3353" max="3353" width="10.5703125" style="263" customWidth="1"/>
    <col min="3354" max="3354" width="10.85546875" style="263" customWidth="1"/>
    <col min="3355" max="3355" width="9.5703125" style="263" customWidth="1"/>
    <col min="3356" max="3356" width="9.85546875" style="263" customWidth="1"/>
    <col min="3357" max="3597" width="9" style="263"/>
    <col min="3598" max="3598" width="13.7109375" style="263" customWidth="1"/>
    <col min="3599" max="3599" width="18.5703125" style="263" customWidth="1"/>
    <col min="3600" max="3600" width="9.140625" style="263" customWidth="1"/>
    <col min="3601" max="3601" width="17.28515625" style="263" customWidth="1"/>
    <col min="3602" max="3602" width="11.42578125" style="263" customWidth="1"/>
    <col min="3603" max="3603" width="17.140625" style="263" customWidth="1"/>
    <col min="3604" max="3604" width="12" style="263" customWidth="1"/>
    <col min="3605" max="3605" width="17.140625" style="263" customWidth="1"/>
    <col min="3606" max="3606" width="8.85546875" style="263" customWidth="1"/>
    <col min="3607" max="3607" width="9" style="263"/>
    <col min="3608" max="3608" width="12.42578125" style="263" customWidth="1"/>
    <col min="3609" max="3609" width="10.5703125" style="263" customWidth="1"/>
    <col min="3610" max="3610" width="10.85546875" style="263" customWidth="1"/>
    <col min="3611" max="3611" width="9.5703125" style="263" customWidth="1"/>
    <col min="3612" max="3612" width="9.85546875" style="263" customWidth="1"/>
    <col min="3613" max="3853" width="9" style="263"/>
    <col min="3854" max="3854" width="13.7109375" style="263" customWidth="1"/>
    <col min="3855" max="3855" width="18.5703125" style="263" customWidth="1"/>
    <col min="3856" max="3856" width="9.140625" style="263" customWidth="1"/>
    <col min="3857" max="3857" width="17.28515625" style="263" customWidth="1"/>
    <col min="3858" max="3858" width="11.42578125" style="263" customWidth="1"/>
    <col min="3859" max="3859" width="17.140625" style="263" customWidth="1"/>
    <col min="3860" max="3860" width="12" style="263" customWidth="1"/>
    <col min="3861" max="3861" width="17.140625" style="263" customWidth="1"/>
    <col min="3862" max="3862" width="8.85546875" style="263" customWidth="1"/>
    <col min="3863" max="3863" width="9" style="263"/>
    <col min="3864" max="3864" width="12.42578125" style="263" customWidth="1"/>
    <col min="3865" max="3865" width="10.5703125" style="263" customWidth="1"/>
    <col min="3866" max="3866" width="10.85546875" style="263" customWidth="1"/>
    <col min="3867" max="3867" width="9.5703125" style="263" customWidth="1"/>
    <col min="3868" max="3868" width="9.85546875" style="263" customWidth="1"/>
    <col min="3869" max="4109" width="9" style="263"/>
    <col min="4110" max="4110" width="13.7109375" style="263" customWidth="1"/>
    <col min="4111" max="4111" width="18.5703125" style="263" customWidth="1"/>
    <col min="4112" max="4112" width="9.140625" style="263" customWidth="1"/>
    <col min="4113" max="4113" width="17.28515625" style="263" customWidth="1"/>
    <col min="4114" max="4114" width="11.42578125" style="263" customWidth="1"/>
    <col min="4115" max="4115" width="17.140625" style="263" customWidth="1"/>
    <col min="4116" max="4116" width="12" style="263" customWidth="1"/>
    <col min="4117" max="4117" width="17.140625" style="263" customWidth="1"/>
    <col min="4118" max="4118" width="8.85546875" style="263" customWidth="1"/>
    <col min="4119" max="4119" width="9" style="263"/>
    <col min="4120" max="4120" width="12.42578125" style="263" customWidth="1"/>
    <col min="4121" max="4121" width="10.5703125" style="263" customWidth="1"/>
    <col min="4122" max="4122" width="10.85546875" style="263" customWidth="1"/>
    <col min="4123" max="4123" width="9.5703125" style="263" customWidth="1"/>
    <col min="4124" max="4124" width="9.85546875" style="263" customWidth="1"/>
    <col min="4125" max="4365" width="9" style="263"/>
    <col min="4366" max="4366" width="13.7109375" style="263" customWidth="1"/>
    <col min="4367" max="4367" width="18.5703125" style="263" customWidth="1"/>
    <col min="4368" max="4368" width="9.140625" style="263" customWidth="1"/>
    <col min="4369" max="4369" width="17.28515625" style="263" customWidth="1"/>
    <col min="4370" max="4370" width="11.42578125" style="263" customWidth="1"/>
    <col min="4371" max="4371" width="17.140625" style="263" customWidth="1"/>
    <col min="4372" max="4372" width="12" style="263" customWidth="1"/>
    <col min="4373" max="4373" width="17.140625" style="263" customWidth="1"/>
    <col min="4374" max="4374" width="8.85546875" style="263" customWidth="1"/>
    <col min="4375" max="4375" width="9" style="263"/>
    <col min="4376" max="4376" width="12.42578125" style="263" customWidth="1"/>
    <col min="4377" max="4377" width="10.5703125" style="263" customWidth="1"/>
    <col min="4378" max="4378" width="10.85546875" style="263" customWidth="1"/>
    <col min="4379" max="4379" width="9.5703125" style="263" customWidth="1"/>
    <col min="4380" max="4380" width="9.85546875" style="263" customWidth="1"/>
    <col min="4381" max="4621" width="9" style="263"/>
    <col min="4622" max="4622" width="13.7109375" style="263" customWidth="1"/>
    <col min="4623" max="4623" width="18.5703125" style="263" customWidth="1"/>
    <col min="4624" max="4624" width="9.140625" style="263" customWidth="1"/>
    <col min="4625" max="4625" width="17.28515625" style="263" customWidth="1"/>
    <col min="4626" max="4626" width="11.42578125" style="263" customWidth="1"/>
    <col min="4627" max="4627" width="17.140625" style="263" customWidth="1"/>
    <col min="4628" max="4628" width="12" style="263" customWidth="1"/>
    <col min="4629" max="4629" width="17.140625" style="263" customWidth="1"/>
    <col min="4630" max="4630" width="8.85546875" style="263" customWidth="1"/>
    <col min="4631" max="4631" width="9" style="263"/>
    <col min="4632" max="4632" width="12.42578125" style="263" customWidth="1"/>
    <col min="4633" max="4633" width="10.5703125" style="263" customWidth="1"/>
    <col min="4634" max="4634" width="10.85546875" style="263" customWidth="1"/>
    <col min="4635" max="4635" width="9.5703125" style="263" customWidth="1"/>
    <col min="4636" max="4636" width="9.85546875" style="263" customWidth="1"/>
    <col min="4637" max="4877" width="9" style="263"/>
    <col min="4878" max="4878" width="13.7109375" style="263" customWidth="1"/>
    <col min="4879" max="4879" width="18.5703125" style="263" customWidth="1"/>
    <col min="4880" max="4880" width="9.140625" style="263" customWidth="1"/>
    <col min="4881" max="4881" width="17.28515625" style="263" customWidth="1"/>
    <col min="4882" max="4882" width="11.42578125" style="263" customWidth="1"/>
    <col min="4883" max="4883" width="17.140625" style="263" customWidth="1"/>
    <col min="4884" max="4884" width="12" style="263" customWidth="1"/>
    <col min="4885" max="4885" width="17.140625" style="263" customWidth="1"/>
    <col min="4886" max="4886" width="8.85546875" style="263" customWidth="1"/>
    <col min="4887" max="4887" width="9" style="263"/>
    <col min="4888" max="4888" width="12.42578125" style="263" customWidth="1"/>
    <col min="4889" max="4889" width="10.5703125" style="263" customWidth="1"/>
    <col min="4890" max="4890" width="10.85546875" style="263" customWidth="1"/>
    <col min="4891" max="4891" width="9.5703125" style="263" customWidth="1"/>
    <col min="4892" max="4892" width="9.85546875" style="263" customWidth="1"/>
    <col min="4893" max="5133" width="9" style="263"/>
    <col min="5134" max="5134" width="13.7109375" style="263" customWidth="1"/>
    <col min="5135" max="5135" width="18.5703125" style="263" customWidth="1"/>
    <col min="5136" max="5136" width="9.140625" style="263" customWidth="1"/>
    <col min="5137" max="5137" width="17.28515625" style="263" customWidth="1"/>
    <col min="5138" max="5138" width="11.42578125" style="263" customWidth="1"/>
    <col min="5139" max="5139" width="17.140625" style="263" customWidth="1"/>
    <col min="5140" max="5140" width="12" style="263" customWidth="1"/>
    <col min="5141" max="5141" width="17.140625" style="263" customWidth="1"/>
    <col min="5142" max="5142" width="8.85546875" style="263" customWidth="1"/>
    <col min="5143" max="5143" width="9" style="263"/>
    <col min="5144" max="5144" width="12.42578125" style="263" customWidth="1"/>
    <col min="5145" max="5145" width="10.5703125" style="263" customWidth="1"/>
    <col min="5146" max="5146" width="10.85546875" style="263" customWidth="1"/>
    <col min="5147" max="5147" width="9.5703125" style="263" customWidth="1"/>
    <col min="5148" max="5148" width="9.85546875" style="263" customWidth="1"/>
    <col min="5149" max="5389" width="9" style="263"/>
    <col min="5390" max="5390" width="13.7109375" style="263" customWidth="1"/>
    <col min="5391" max="5391" width="18.5703125" style="263" customWidth="1"/>
    <col min="5392" max="5392" width="9.140625" style="263" customWidth="1"/>
    <col min="5393" max="5393" width="17.28515625" style="263" customWidth="1"/>
    <col min="5394" max="5394" width="11.42578125" style="263" customWidth="1"/>
    <col min="5395" max="5395" width="17.140625" style="263" customWidth="1"/>
    <col min="5396" max="5396" width="12" style="263" customWidth="1"/>
    <col min="5397" max="5397" width="17.140625" style="263" customWidth="1"/>
    <col min="5398" max="5398" width="8.85546875" style="263" customWidth="1"/>
    <col min="5399" max="5399" width="9" style="263"/>
    <col min="5400" max="5400" width="12.42578125" style="263" customWidth="1"/>
    <col min="5401" max="5401" width="10.5703125" style="263" customWidth="1"/>
    <col min="5402" max="5402" width="10.85546875" style="263" customWidth="1"/>
    <col min="5403" max="5403" width="9.5703125" style="263" customWidth="1"/>
    <col min="5404" max="5404" width="9.85546875" style="263" customWidth="1"/>
    <col min="5405" max="5645" width="9" style="263"/>
    <col min="5646" max="5646" width="13.7109375" style="263" customWidth="1"/>
    <col min="5647" max="5647" width="18.5703125" style="263" customWidth="1"/>
    <col min="5648" max="5648" width="9.140625" style="263" customWidth="1"/>
    <col min="5649" max="5649" width="17.28515625" style="263" customWidth="1"/>
    <col min="5650" max="5650" width="11.42578125" style="263" customWidth="1"/>
    <col min="5651" max="5651" width="17.140625" style="263" customWidth="1"/>
    <col min="5652" max="5652" width="12" style="263" customWidth="1"/>
    <col min="5653" max="5653" width="17.140625" style="263" customWidth="1"/>
    <col min="5654" max="5654" width="8.85546875" style="263" customWidth="1"/>
    <col min="5655" max="5655" width="9" style="263"/>
    <col min="5656" max="5656" width="12.42578125" style="263" customWidth="1"/>
    <col min="5657" max="5657" width="10.5703125" style="263" customWidth="1"/>
    <col min="5658" max="5658" width="10.85546875" style="263" customWidth="1"/>
    <col min="5659" max="5659" width="9.5703125" style="263" customWidth="1"/>
    <col min="5660" max="5660" width="9.85546875" style="263" customWidth="1"/>
    <col min="5661" max="5901" width="9" style="263"/>
    <col min="5902" max="5902" width="13.7109375" style="263" customWidth="1"/>
    <col min="5903" max="5903" width="18.5703125" style="263" customWidth="1"/>
    <col min="5904" max="5904" width="9.140625" style="263" customWidth="1"/>
    <col min="5905" max="5905" width="17.28515625" style="263" customWidth="1"/>
    <col min="5906" max="5906" width="11.42578125" style="263" customWidth="1"/>
    <col min="5907" max="5907" width="17.140625" style="263" customWidth="1"/>
    <col min="5908" max="5908" width="12" style="263" customWidth="1"/>
    <col min="5909" max="5909" width="17.140625" style="263" customWidth="1"/>
    <col min="5910" max="5910" width="8.85546875" style="263" customWidth="1"/>
    <col min="5911" max="5911" width="9" style="263"/>
    <col min="5912" max="5912" width="12.42578125" style="263" customWidth="1"/>
    <col min="5913" max="5913" width="10.5703125" style="263" customWidth="1"/>
    <col min="5914" max="5914" width="10.85546875" style="263" customWidth="1"/>
    <col min="5915" max="5915" width="9.5703125" style="263" customWidth="1"/>
    <col min="5916" max="5916" width="9.85546875" style="263" customWidth="1"/>
    <col min="5917" max="6157" width="9" style="263"/>
    <col min="6158" max="6158" width="13.7109375" style="263" customWidth="1"/>
    <col min="6159" max="6159" width="18.5703125" style="263" customWidth="1"/>
    <col min="6160" max="6160" width="9.140625" style="263" customWidth="1"/>
    <col min="6161" max="6161" width="17.28515625" style="263" customWidth="1"/>
    <col min="6162" max="6162" width="11.42578125" style="263" customWidth="1"/>
    <col min="6163" max="6163" width="17.140625" style="263" customWidth="1"/>
    <col min="6164" max="6164" width="12" style="263" customWidth="1"/>
    <col min="6165" max="6165" width="17.140625" style="263" customWidth="1"/>
    <col min="6166" max="6166" width="8.85546875" style="263" customWidth="1"/>
    <col min="6167" max="6167" width="9" style="263"/>
    <col min="6168" max="6168" width="12.42578125" style="263" customWidth="1"/>
    <col min="6169" max="6169" width="10.5703125" style="263" customWidth="1"/>
    <col min="6170" max="6170" width="10.85546875" style="263" customWidth="1"/>
    <col min="6171" max="6171" width="9.5703125" style="263" customWidth="1"/>
    <col min="6172" max="6172" width="9.85546875" style="263" customWidth="1"/>
    <col min="6173" max="6413" width="9" style="263"/>
    <col min="6414" max="6414" width="13.7109375" style="263" customWidth="1"/>
    <col min="6415" max="6415" width="18.5703125" style="263" customWidth="1"/>
    <col min="6416" max="6416" width="9.140625" style="263" customWidth="1"/>
    <col min="6417" max="6417" width="17.28515625" style="263" customWidth="1"/>
    <col min="6418" max="6418" width="11.42578125" style="263" customWidth="1"/>
    <col min="6419" max="6419" width="17.140625" style="263" customWidth="1"/>
    <col min="6420" max="6420" width="12" style="263" customWidth="1"/>
    <col min="6421" max="6421" width="17.140625" style="263" customWidth="1"/>
    <col min="6422" max="6422" width="8.85546875" style="263" customWidth="1"/>
    <col min="6423" max="6423" width="9" style="263"/>
    <col min="6424" max="6424" width="12.42578125" style="263" customWidth="1"/>
    <col min="6425" max="6425" width="10.5703125" style="263" customWidth="1"/>
    <col min="6426" max="6426" width="10.85546875" style="263" customWidth="1"/>
    <col min="6427" max="6427" width="9.5703125" style="263" customWidth="1"/>
    <col min="6428" max="6428" width="9.85546875" style="263" customWidth="1"/>
    <col min="6429" max="6669" width="9" style="263"/>
    <col min="6670" max="6670" width="13.7109375" style="263" customWidth="1"/>
    <col min="6671" max="6671" width="18.5703125" style="263" customWidth="1"/>
    <col min="6672" max="6672" width="9.140625" style="263" customWidth="1"/>
    <col min="6673" max="6673" width="17.28515625" style="263" customWidth="1"/>
    <col min="6674" max="6674" width="11.42578125" style="263" customWidth="1"/>
    <col min="6675" max="6675" width="17.140625" style="263" customWidth="1"/>
    <col min="6676" max="6676" width="12" style="263" customWidth="1"/>
    <col min="6677" max="6677" width="17.140625" style="263" customWidth="1"/>
    <col min="6678" max="6678" width="8.85546875" style="263" customWidth="1"/>
    <col min="6679" max="6679" width="9" style="263"/>
    <col min="6680" max="6680" width="12.42578125" style="263" customWidth="1"/>
    <col min="6681" max="6681" width="10.5703125" style="263" customWidth="1"/>
    <col min="6682" max="6682" width="10.85546875" style="263" customWidth="1"/>
    <col min="6683" max="6683" width="9.5703125" style="263" customWidth="1"/>
    <col min="6684" max="6684" width="9.85546875" style="263" customWidth="1"/>
    <col min="6685" max="6925" width="9" style="263"/>
    <col min="6926" max="6926" width="13.7109375" style="263" customWidth="1"/>
    <col min="6927" max="6927" width="18.5703125" style="263" customWidth="1"/>
    <col min="6928" max="6928" width="9.140625" style="263" customWidth="1"/>
    <col min="6929" max="6929" width="17.28515625" style="263" customWidth="1"/>
    <col min="6930" max="6930" width="11.42578125" style="263" customWidth="1"/>
    <col min="6931" max="6931" width="17.140625" style="263" customWidth="1"/>
    <col min="6932" max="6932" width="12" style="263" customWidth="1"/>
    <col min="6933" max="6933" width="17.140625" style="263" customWidth="1"/>
    <col min="6934" max="6934" width="8.85546875" style="263" customWidth="1"/>
    <col min="6935" max="6935" width="9" style="263"/>
    <col min="6936" max="6936" width="12.42578125" style="263" customWidth="1"/>
    <col min="6937" max="6937" width="10.5703125" style="263" customWidth="1"/>
    <col min="6938" max="6938" width="10.85546875" style="263" customWidth="1"/>
    <col min="6939" max="6939" width="9.5703125" style="263" customWidth="1"/>
    <col min="6940" max="6940" width="9.85546875" style="263" customWidth="1"/>
    <col min="6941" max="7181" width="9" style="263"/>
    <col min="7182" max="7182" width="13.7109375" style="263" customWidth="1"/>
    <col min="7183" max="7183" width="18.5703125" style="263" customWidth="1"/>
    <col min="7184" max="7184" width="9.140625" style="263" customWidth="1"/>
    <col min="7185" max="7185" width="17.28515625" style="263" customWidth="1"/>
    <col min="7186" max="7186" width="11.42578125" style="263" customWidth="1"/>
    <col min="7187" max="7187" width="17.140625" style="263" customWidth="1"/>
    <col min="7188" max="7188" width="12" style="263" customWidth="1"/>
    <col min="7189" max="7189" width="17.140625" style="263" customWidth="1"/>
    <col min="7190" max="7190" width="8.85546875" style="263" customWidth="1"/>
    <col min="7191" max="7191" width="9" style="263"/>
    <col min="7192" max="7192" width="12.42578125" style="263" customWidth="1"/>
    <col min="7193" max="7193" width="10.5703125" style="263" customWidth="1"/>
    <col min="7194" max="7194" width="10.85546875" style="263" customWidth="1"/>
    <col min="7195" max="7195" width="9.5703125" style="263" customWidth="1"/>
    <col min="7196" max="7196" width="9.85546875" style="263" customWidth="1"/>
    <col min="7197" max="7437" width="9" style="263"/>
    <col min="7438" max="7438" width="13.7109375" style="263" customWidth="1"/>
    <col min="7439" max="7439" width="18.5703125" style="263" customWidth="1"/>
    <col min="7440" max="7440" width="9.140625" style="263" customWidth="1"/>
    <col min="7441" max="7441" width="17.28515625" style="263" customWidth="1"/>
    <col min="7442" max="7442" width="11.42578125" style="263" customWidth="1"/>
    <col min="7443" max="7443" width="17.140625" style="263" customWidth="1"/>
    <col min="7444" max="7444" width="12" style="263" customWidth="1"/>
    <col min="7445" max="7445" width="17.140625" style="263" customWidth="1"/>
    <col min="7446" max="7446" width="8.85546875" style="263" customWidth="1"/>
    <col min="7447" max="7447" width="9" style="263"/>
    <col min="7448" max="7448" width="12.42578125" style="263" customWidth="1"/>
    <col min="7449" max="7449" width="10.5703125" style="263" customWidth="1"/>
    <col min="7450" max="7450" width="10.85546875" style="263" customWidth="1"/>
    <col min="7451" max="7451" width="9.5703125" style="263" customWidth="1"/>
    <col min="7452" max="7452" width="9.85546875" style="263" customWidth="1"/>
    <col min="7453" max="7693" width="9" style="263"/>
    <col min="7694" max="7694" width="13.7109375" style="263" customWidth="1"/>
    <col min="7695" max="7695" width="18.5703125" style="263" customWidth="1"/>
    <col min="7696" max="7696" width="9.140625" style="263" customWidth="1"/>
    <col min="7697" max="7697" width="17.28515625" style="263" customWidth="1"/>
    <col min="7698" max="7698" width="11.42578125" style="263" customWidth="1"/>
    <col min="7699" max="7699" width="17.140625" style="263" customWidth="1"/>
    <col min="7700" max="7700" width="12" style="263" customWidth="1"/>
    <col min="7701" max="7701" width="17.140625" style="263" customWidth="1"/>
    <col min="7702" max="7702" width="8.85546875" style="263" customWidth="1"/>
    <col min="7703" max="7703" width="9" style="263"/>
    <col min="7704" max="7704" width="12.42578125" style="263" customWidth="1"/>
    <col min="7705" max="7705" width="10.5703125" style="263" customWidth="1"/>
    <col min="7706" max="7706" width="10.85546875" style="263" customWidth="1"/>
    <col min="7707" max="7707" width="9.5703125" style="263" customWidth="1"/>
    <col min="7708" max="7708" width="9.85546875" style="263" customWidth="1"/>
    <col min="7709" max="7949" width="9" style="263"/>
    <col min="7950" max="7950" width="13.7109375" style="263" customWidth="1"/>
    <col min="7951" max="7951" width="18.5703125" style="263" customWidth="1"/>
    <col min="7952" max="7952" width="9.140625" style="263" customWidth="1"/>
    <col min="7953" max="7953" width="17.28515625" style="263" customWidth="1"/>
    <col min="7954" max="7954" width="11.42578125" style="263" customWidth="1"/>
    <col min="7955" max="7955" width="17.140625" style="263" customWidth="1"/>
    <col min="7956" max="7956" width="12" style="263" customWidth="1"/>
    <col min="7957" max="7957" width="17.140625" style="263" customWidth="1"/>
    <col min="7958" max="7958" width="8.85546875" style="263" customWidth="1"/>
    <col min="7959" max="7959" width="9" style="263"/>
    <col min="7960" max="7960" width="12.42578125" style="263" customWidth="1"/>
    <col min="7961" max="7961" width="10.5703125" style="263" customWidth="1"/>
    <col min="7962" max="7962" width="10.85546875" style="263" customWidth="1"/>
    <col min="7963" max="7963" width="9.5703125" style="263" customWidth="1"/>
    <col min="7964" max="7964" width="9.85546875" style="263" customWidth="1"/>
    <col min="7965" max="8205" width="9" style="263"/>
    <col min="8206" max="8206" width="13.7109375" style="263" customWidth="1"/>
    <col min="8207" max="8207" width="18.5703125" style="263" customWidth="1"/>
    <col min="8208" max="8208" width="9.140625" style="263" customWidth="1"/>
    <col min="8209" max="8209" width="17.28515625" style="263" customWidth="1"/>
    <col min="8210" max="8210" width="11.42578125" style="263" customWidth="1"/>
    <col min="8211" max="8211" width="17.140625" style="263" customWidth="1"/>
    <col min="8212" max="8212" width="12" style="263" customWidth="1"/>
    <col min="8213" max="8213" width="17.140625" style="263" customWidth="1"/>
    <col min="8214" max="8214" width="8.85546875" style="263" customWidth="1"/>
    <col min="8215" max="8215" width="9" style="263"/>
    <col min="8216" max="8216" width="12.42578125" style="263" customWidth="1"/>
    <col min="8217" max="8217" width="10.5703125" style="263" customWidth="1"/>
    <col min="8218" max="8218" width="10.85546875" style="263" customWidth="1"/>
    <col min="8219" max="8219" width="9.5703125" style="263" customWidth="1"/>
    <col min="8220" max="8220" width="9.85546875" style="263" customWidth="1"/>
    <col min="8221" max="8461" width="9" style="263"/>
    <col min="8462" max="8462" width="13.7109375" style="263" customWidth="1"/>
    <col min="8463" max="8463" width="18.5703125" style="263" customWidth="1"/>
    <col min="8464" max="8464" width="9.140625" style="263" customWidth="1"/>
    <col min="8465" max="8465" width="17.28515625" style="263" customWidth="1"/>
    <col min="8466" max="8466" width="11.42578125" style="263" customWidth="1"/>
    <col min="8467" max="8467" width="17.140625" style="263" customWidth="1"/>
    <col min="8468" max="8468" width="12" style="263" customWidth="1"/>
    <col min="8469" max="8469" width="17.140625" style="263" customWidth="1"/>
    <col min="8470" max="8470" width="8.85546875" style="263" customWidth="1"/>
    <col min="8471" max="8471" width="9" style="263"/>
    <col min="8472" max="8472" width="12.42578125" style="263" customWidth="1"/>
    <col min="8473" max="8473" width="10.5703125" style="263" customWidth="1"/>
    <col min="8474" max="8474" width="10.85546875" style="263" customWidth="1"/>
    <col min="8475" max="8475" width="9.5703125" style="263" customWidth="1"/>
    <col min="8476" max="8476" width="9.85546875" style="263" customWidth="1"/>
    <col min="8477" max="8717" width="9" style="263"/>
    <col min="8718" max="8718" width="13.7109375" style="263" customWidth="1"/>
    <col min="8719" max="8719" width="18.5703125" style="263" customWidth="1"/>
    <col min="8720" max="8720" width="9.140625" style="263" customWidth="1"/>
    <col min="8721" max="8721" width="17.28515625" style="263" customWidth="1"/>
    <col min="8722" max="8722" width="11.42578125" style="263" customWidth="1"/>
    <col min="8723" max="8723" width="17.140625" style="263" customWidth="1"/>
    <col min="8724" max="8724" width="12" style="263" customWidth="1"/>
    <col min="8725" max="8725" width="17.140625" style="263" customWidth="1"/>
    <col min="8726" max="8726" width="8.85546875" style="263" customWidth="1"/>
    <col min="8727" max="8727" width="9" style="263"/>
    <col min="8728" max="8728" width="12.42578125" style="263" customWidth="1"/>
    <col min="8729" max="8729" width="10.5703125" style="263" customWidth="1"/>
    <col min="8730" max="8730" width="10.85546875" style="263" customWidth="1"/>
    <col min="8731" max="8731" width="9.5703125" style="263" customWidth="1"/>
    <col min="8732" max="8732" width="9.85546875" style="263" customWidth="1"/>
    <col min="8733" max="8973" width="9" style="263"/>
    <col min="8974" max="8974" width="13.7109375" style="263" customWidth="1"/>
    <col min="8975" max="8975" width="18.5703125" style="263" customWidth="1"/>
    <col min="8976" max="8976" width="9.140625" style="263" customWidth="1"/>
    <col min="8977" max="8977" width="17.28515625" style="263" customWidth="1"/>
    <col min="8978" max="8978" width="11.42578125" style="263" customWidth="1"/>
    <col min="8979" max="8979" width="17.140625" style="263" customWidth="1"/>
    <col min="8980" max="8980" width="12" style="263" customWidth="1"/>
    <col min="8981" max="8981" width="17.140625" style="263" customWidth="1"/>
    <col min="8982" max="8982" width="8.85546875" style="263" customWidth="1"/>
    <col min="8983" max="8983" width="9" style="263"/>
    <col min="8984" max="8984" width="12.42578125" style="263" customWidth="1"/>
    <col min="8985" max="8985" width="10.5703125" style="263" customWidth="1"/>
    <col min="8986" max="8986" width="10.85546875" style="263" customWidth="1"/>
    <col min="8987" max="8987" width="9.5703125" style="263" customWidth="1"/>
    <col min="8988" max="8988" width="9.85546875" style="263" customWidth="1"/>
    <col min="8989" max="9229" width="9" style="263"/>
    <col min="9230" max="9230" width="13.7109375" style="263" customWidth="1"/>
    <col min="9231" max="9231" width="18.5703125" style="263" customWidth="1"/>
    <col min="9232" max="9232" width="9.140625" style="263" customWidth="1"/>
    <col min="9233" max="9233" width="17.28515625" style="263" customWidth="1"/>
    <col min="9234" max="9234" width="11.42578125" style="263" customWidth="1"/>
    <col min="9235" max="9235" width="17.140625" style="263" customWidth="1"/>
    <col min="9236" max="9236" width="12" style="263" customWidth="1"/>
    <col min="9237" max="9237" width="17.140625" style="263" customWidth="1"/>
    <col min="9238" max="9238" width="8.85546875" style="263" customWidth="1"/>
    <col min="9239" max="9239" width="9" style="263"/>
    <col min="9240" max="9240" width="12.42578125" style="263" customWidth="1"/>
    <col min="9241" max="9241" width="10.5703125" style="263" customWidth="1"/>
    <col min="9242" max="9242" width="10.85546875" style="263" customWidth="1"/>
    <col min="9243" max="9243" width="9.5703125" style="263" customWidth="1"/>
    <col min="9244" max="9244" width="9.85546875" style="263" customWidth="1"/>
    <col min="9245" max="9485" width="9" style="263"/>
    <col min="9486" max="9486" width="13.7109375" style="263" customWidth="1"/>
    <col min="9487" max="9487" width="18.5703125" style="263" customWidth="1"/>
    <col min="9488" max="9488" width="9.140625" style="263" customWidth="1"/>
    <col min="9489" max="9489" width="17.28515625" style="263" customWidth="1"/>
    <col min="9490" max="9490" width="11.42578125" style="263" customWidth="1"/>
    <col min="9491" max="9491" width="17.140625" style="263" customWidth="1"/>
    <col min="9492" max="9492" width="12" style="263" customWidth="1"/>
    <col min="9493" max="9493" width="17.140625" style="263" customWidth="1"/>
    <col min="9494" max="9494" width="8.85546875" style="263" customWidth="1"/>
    <col min="9495" max="9495" width="9" style="263"/>
    <col min="9496" max="9496" width="12.42578125" style="263" customWidth="1"/>
    <col min="9497" max="9497" width="10.5703125" style="263" customWidth="1"/>
    <col min="9498" max="9498" width="10.85546875" style="263" customWidth="1"/>
    <col min="9499" max="9499" width="9.5703125" style="263" customWidth="1"/>
    <col min="9500" max="9500" width="9.85546875" style="263" customWidth="1"/>
    <col min="9501" max="9741" width="9" style="263"/>
    <col min="9742" max="9742" width="13.7109375" style="263" customWidth="1"/>
    <col min="9743" max="9743" width="18.5703125" style="263" customWidth="1"/>
    <col min="9744" max="9744" width="9.140625" style="263" customWidth="1"/>
    <col min="9745" max="9745" width="17.28515625" style="263" customWidth="1"/>
    <col min="9746" max="9746" width="11.42578125" style="263" customWidth="1"/>
    <col min="9747" max="9747" width="17.140625" style="263" customWidth="1"/>
    <col min="9748" max="9748" width="12" style="263" customWidth="1"/>
    <col min="9749" max="9749" width="17.140625" style="263" customWidth="1"/>
    <col min="9750" max="9750" width="8.85546875" style="263" customWidth="1"/>
    <col min="9751" max="9751" width="9" style="263"/>
    <col min="9752" max="9752" width="12.42578125" style="263" customWidth="1"/>
    <col min="9753" max="9753" width="10.5703125" style="263" customWidth="1"/>
    <col min="9754" max="9754" width="10.85546875" style="263" customWidth="1"/>
    <col min="9755" max="9755" width="9.5703125" style="263" customWidth="1"/>
    <col min="9756" max="9756" width="9.85546875" style="263" customWidth="1"/>
    <col min="9757" max="9997" width="9" style="263"/>
    <col min="9998" max="9998" width="13.7109375" style="263" customWidth="1"/>
    <col min="9999" max="9999" width="18.5703125" style="263" customWidth="1"/>
    <col min="10000" max="10000" width="9.140625" style="263" customWidth="1"/>
    <col min="10001" max="10001" width="17.28515625" style="263" customWidth="1"/>
    <col min="10002" max="10002" width="11.42578125" style="263" customWidth="1"/>
    <col min="10003" max="10003" width="17.140625" style="263" customWidth="1"/>
    <col min="10004" max="10004" width="12" style="263" customWidth="1"/>
    <col min="10005" max="10005" width="17.140625" style="263" customWidth="1"/>
    <col min="10006" max="10006" width="8.85546875" style="263" customWidth="1"/>
    <col min="10007" max="10007" width="9" style="263"/>
    <col min="10008" max="10008" width="12.42578125" style="263" customWidth="1"/>
    <col min="10009" max="10009" width="10.5703125" style="263" customWidth="1"/>
    <col min="10010" max="10010" width="10.85546875" style="263" customWidth="1"/>
    <col min="10011" max="10011" width="9.5703125" style="263" customWidth="1"/>
    <col min="10012" max="10012" width="9.85546875" style="263" customWidth="1"/>
    <col min="10013" max="10253" width="9" style="263"/>
    <col min="10254" max="10254" width="13.7109375" style="263" customWidth="1"/>
    <col min="10255" max="10255" width="18.5703125" style="263" customWidth="1"/>
    <col min="10256" max="10256" width="9.140625" style="263" customWidth="1"/>
    <col min="10257" max="10257" width="17.28515625" style="263" customWidth="1"/>
    <col min="10258" max="10258" width="11.42578125" style="263" customWidth="1"/>
    <col min="10259" max="10259" width="17.140625" style="263" customWidth="1"/>
    <col min="10260" max="10260" width="12" style="263" customWidth="1"/>
    <col min="10261" max="10261" width="17.140625" style="263" customWidth="1"/>
    <col min="10262" max="10262" width="8.85546875" style="263" customWidth="1"/>
    <col min="10263" max="10263" width="9" style="263"/>
    <col min="10264" max="10264" width="12.42578125" style="263" customWidth="1"/>
    <col min="10265" max="10265" width="10.5703125" style="263" customWidth="1"/>
    <col min="10266" max="10266" width="10.85546875" style="263" customWidth="1"/>
    <col min="10267" max="10267" width="9.5703125" style="263" customWidth="1"/>
    <col min="10268" max="10268" width="9.85546875" style="263" customWidth="1"/>
    <col min="10269" max="10509" width="9" style="263"/>
    <col min="10510" max="10510" width="13.7109375" style="263" customWidth="1"/>
    <col min="10511" max="10511" width="18.5703125" style="263" customWidth="1"/>
    <col min="10512" max="10512" width="9.140625" style="263" customWidth="1"/>
    <col min="10513" max="10513" width="17.28515625" style="263" customWidth="1"/>
    <col min="10514" max="10514" width="11.42578125" style="263" customWidth="1"/>
    <col min="10515" max="10515" width="17.140625" style="263" customWidth="1"/>
    <col min="10516" max="10516" width="12" style="263" customWidth="1"/>
    <col min="10517" max="10517" width="17.140625" style="263" customWidth="1"/>
    <col min="10518" max="10518" width="8.85546875" style="263" customWidth="1"/>
    <col min="10519" max="10519" width="9" style="263"/>
    <col min="10520" max="10520" width="12.42578125" style="263" customWidth="1"/>
    <col min="10521" max="10521" width="10.5703125" style="263" customWidth="1"/>
    <col min="10522" max="10522" width="10.85546875" style="263" customWidth="1"/>
    <col min="10523" max="10523" width="9.5703125" style="263" customWidth="1"/>
    <col min="10524" max="10524" width="9.85546875" style="263" customWidth="1"/>
    <col min="10525" max="10765" width="9" style="263"/>
    <col min="10766" max="10766" width="13.7109375" style="263" customWidth="1"/>
    <col min="10767" max="10767" width="18.5703125" style="263" customWidth="1"/>
    <col min="10768" max="10768" width="9.140625" style="263" customWidth="1"/>
    <col min="10769" max="10769" width="17.28515625" style="263" customWidth="1"/>
    <col min="10770" max="10770" width="11.42578125" style="263" customWidth="1"/>
    <col min="10771" max="10771" width="17.140625" style="263" customWidth="1"/>
    <col min="10772" max="10772" width="12" style="263" customWidth="1"/>
    <col min="10773" max="10773" width="17.140625" style="263" customWidth="1"/>
    <col min="10774" max="10774" width="8.85546875" style="263" customWidth="1"/>
    <col min="10775" max="10775" width="9" style="263"/>
    <col min="10776" max="10776" width="12.42578125" style="263" customWidth="1"/>
    <col min="10777" max="10777" width="10.5703125" style="263" customWidth="1"/>
    <col min="10778" max="10778" width="10.85546875" style="263" customWidth="1"/>
    <col min="10779" max="10779" width="9.5703125" style="263" customWidth="1"/>
    <col min="10780" max="10780" width="9.85546875" style="263" customWidth="1"/>
    <col min="10781" max="11021" width="9" style="263"/>
    <col min="11022" max="11022" width="13.7109375" style="263" customWidth="1"/>
    <col min="11023" max="11023" width="18.5703125" style="263" customWidth="1"/>
    <col min="11024" max="11024" width="9.140625" style="263" customWidth="1"/>
    <col min="11025" max="11025" width="17.28515625" style="263" customWidth="1"/>
    <col min="11026" max="11026" width="11.42578125" style="263" customWidth="1"/>
    <col min="11027" max="11027" width="17.140625" style="263" customWidth="1"/>
    <col min="11028" max="11028" width="12" style="263" customWidth="1"/>
    <col min="11029" max="11029" width="17.140625" style="263" customWidth="1"/>
    <col min="11030" max="11030" width="8.85546875" style="263" customWidth="1"/>
    <col min="11031" max="11031" width="9" style="263"/>
    <col min="11032" max="11032" width="12.42578125" style="263" customWidth="1"/>
    <col min="11033" max="11033" width="10.5703125" style="263" customWidth="1"/>
    <col min="11034" max="11034" width="10.85546875" style="263" customWidth="1"/>
    <col min="11035" max="11035" width="9.5703125" style="263" customWidth="1"/>
    <col min="11036" max="11036" width="9.85546875" style="263" customWidth="1"/>
    <col min="11037" max="11277" width="9" style="263"/>
    <col min="11278" max="11278" width="13.7109375" style="263" customWidth="1"/>
    <col min="11279" max="11279" width="18.5703125" style="263" customWidth="1"/>
    <col min="11280" max="11280" width="9.140625" style="263" customWidth="1"/>
    <col min="11281" max="11281" width="17.28515625" style="263" customWidth="1"/>
    <col min="11282" max="11282" width="11.42578125" style="263" customWidth="1"/>
    <col min="11283" max="11283" width="17.140625" style="263" customWidth="1"/>
    <col min="11284" max="11284" width="12" style="263" customWidth="1"/>
    <col min="11285" max="11285" width="17.140625" style="263" customWidth="1"/>
    <col min="11286" max="11286" width="8.85546875" style="263" customWidth="1"/>
    <col min="11287" max="11287" width="9" style="263"/>
    <col min="11288" max="11288" width="12.42578125" style="263" customWidth="1"/>
    <col min="11289" max="11289" width="10.5703125" style="263" customWidth="1"/>
    <col min="11290" max="11290" width="10.85546875" style="263" customWidth="1"/>
    <col min="11291" max="11291" width="9.5703125" style="263" customWidth="1"/>
    <col min="11292" max="11292" width="9.85546875" style="263" customWidth="1"/>
    <col min="11293" max="11533" width="9" style="263"/>
    <col min="11534" max="11534" width="13.7109375" style="263" customWidth="1"/>
    <col min="11535" max="11535" width="18.5703125" style="263" customWidth="1"/>
    <col min="11536" max="11536" width="9.140625" style="263" customWidth="1"/>
    <col min="11537" max="11537" width="17.28515625" style="263" customWidth="1"/>
    <col min="11538" max="11538" width="11.42578125" style="263" customWidth="1"/>
    <col min="11539" max="11539" width="17.140625" style="263" customWidth="1"/>
    <col min="11540" max="11540" width="12" style="263" customWidth="1"/>
    <col min="11541" max="11541" width="17.140625" style="263" customWidth="1"/>
    <col min="11542" max="11542" width="8.85546875" style="263" customWidth="1"/>
    <col min="11543" max="11543" width="9" style="263"/>
    <col min="11544" max="11544" width="12.42578125" style="263" customWidth="1"/>
    <col min="11545" max="11545" width="10.5703125" style="263" customWidth="1"/>
    <col min="11546" max="11546" width="10.85546875" style="263" customWidth="1"/>
    <col min="11547" max="11547" width="9.5703125" style="263" customWidth="1"/>
    <col min="11548" max="11548" width="9.85546875" style="263" customWidth="1"/>
    <col min="11549" max="11789" width="9" style="263"/>
    <col min="11790" max="11790" width="13.7109375" style="263" customWidth="1"/>
    <col min="11791" max="11791" width="18.5703125" style="263" customWidth="1"/>
    <col min="11792" max="11792" width="9.140625" style="263" customWidth="1"/>
    <col min="11793" max="11793" width="17.28515625" style="263" customWidth="1"/>
    <col min="11794" max="11794" width="11.42578125" style="263" customWidth="1"/>
    <col min="11795" max="11795" width="17.140625" style="263" customWidth="1"/>
    <col min="11796" max="11796" width="12" style="263" customWidth="1"/>
    <col min="11797" max="11797" width="17.140625" style="263" customWidth="1"/>
    <col min="11798" max="11798" width="8.85546875" style="263" customWidth="1"/>
    <col min="11799" max="11799" width="9" style="263"/>
    <col min="11800" max="11800" width="12.42578125" style="263" customWidth="1"/>
    <col min="11801" max="11801" width="10.5703125" style="263" customWidth="1"/>
    <col min="11802" max="11802" width="10.85546875" style="263" customWidth="1"/>
    <col min="11803" max="11803" width="9.5703125" style="263" customWidth="1"/>
    <col min="11804" max="11804" width="9.85546875" style="263" customWidth="1"/>
    <col min="11805" max="12045" width="9" style="263"/>
    <col min="12046" max="12046" width="13.7109375" style="263" customWidth="1"/>
    <col min="12047" max="12047" width="18.5703125" style="263" customWidth="1"/>
    <col min="12048" max="12048" width="9.140625" style="263" customWidth="1"/>
    <col min="12049" max="12049" width="17.28515625" style="263" customWidth="1"/>
    <col min="12050" max="12050" width="11.42578125" style="263" customWidth="1"/>
    <col min="12051" max="12051" width="17.140625" style="263" customWidth="1"/>
    <col min="12052" max="12052" width="12" style="263" customWidth="1"/>
    <col min="12053" max="12053" width="17.140625" style="263" customWidth="1"/>
    <col min="12054" max="12054" width="8.85546875" style="263" customWidth="1"/>
    <col min="12055" max="12055" width="9" style="263"/>
    <col min="12056" max="12056" width="12.42578125" style="263" customWidth="1"/>
    <col min="12057" max="12057" width="10.5703125" style="263" customWidth="1"/>
    <col min="12058" max="12058" width="10.85546875" style="263" customWidth="1"/>
    <col min="12059" max="12059" width="9.5703125" style="263" customWidth="1"/>
    <col min="12060" max="12060" width="9.85546875" style="263" customWidth="1"/>
    <col min="12061" max="12301" width="9" style="263"/>
    <col min="12302" max="12302" width="13.7109375" style="263" customWidth="1"/>
    <col min="12303" max="12303" width="18.5703125" style="263" customWidth="1"/>
    <col min="12304" max="12304" width="9.140625" style="263" customWidth="1"/>
    <col min="12305" max="12305" width="17.28515625" style="263" customWidth="1"/>
    <col min="12306" max="12306" width="11.42578125" style="263" customWidth="1"/>
    <col min="12307" max="12307" width="17.140625" style="263" customWidth="1"/>
    <col min="12308" max="12308" width="12" style="263" customWidth="1"/>
    <col min="12309" max="12309" width="17.140625" style="263" customWidth="1"/>
    <col min="12310" max="12310" width="8.85546875" style="263" customWidth="1"/>
    <col min="12311" max="12311" width="9" style="263"/>
    <col min="12312" max="12312" width="12.42578125" style="263" customWidth="1"/>
    <col min="12313" max="12313" width="10.5703125" style="263" customWidth="1"/>
    <col min="12314" max="12314" width="10.85546875" style="263" customWidth="1"/>
    <col min="12315" max="12315" width="9.5703125" style="263" customWidth="1"/>
    <col min="12316" max="12316" width="9.85546875" style="263" customWidth="1"/>
    <col min="12317" max="12557" width="9" style="263"/>
    <col min="12558" max="12558" width="13.7109375" style="263" customWidth="1"/>
    <col min="12559" max="12559" width="18.5703125" style="263" customWidth="1"/>
    <col min="12560" max="12560" width="9.140625" style="263" customWidth="1"/>
    <col min="12561" max="12561" width="17.28515625" style="263" customWidth="1"/>
    <col min="12562" max="12562" width="11.42578125" style="263" customWidth="1"/>
    <col min="12563" max="12563" width="17.140625" style="263" customWidth="1"/>
    <col min="12564" max="12564" width="12" style="263" customWidth="1"/>
    <col min="12565" max="12565" width="17.140625" style="263" customWidth="1"/>
    <col min="12566" max="12566" width="8.85546875" style="263" customWidth="1"/>
    <col min="12567" max="12567" width="9" style="263"/>
    <col min="12568" max="12568" width="12.42578125" style="263" customWidth="1"/>
    <col min="12569" max="12569" width="10.5703125" style="263" customWidth="1"/>
    <col min="12570" max="12570" width="10.85546875" style="263" customWidth="1"/>
    <col min="12571" max="12571" width="9.5703125" style="263" customWidth="1"/>
    <col min="12572" max="12572" width="9.85546875" style="263" customWidth="1"/>
    <col min="12573" max="12813" width="9" style="263"/>
    <col min="12814" max="12814" width="13.7109375" style="263" customWidth="1"/>
    <col min="12815" max="12815" width="18.5703125" style="263" customWidth="1"/>
    <col min="12816" max="12816" width="9.140625" style="263" customWidth="1"/>
    <col min="12817" max="12817" width="17.28515625" style="263" customWidth="1"/>
    <col min="12818" max="12818" width="11.42578125" style="263" customWidth="1"/>
    <col min="12819" max="12819" width="17.140625" style="263" customWidth="1"/>
    <col min="12820" max="12820" width="12" style="263" customWidth="1"/>
    <col min="12821" max="12821" width="17.140625" style="263" customWidth="1"/>
    <col min="12822" max="12822" width="8.85546875" style="263" customWidth="1"/>
    <col min="12823" max="12823" width="9" style="263"/>
    <col min="12824" max="12824" width="12.42578125" style="263" customWidth="1"/>
    <col min="12825" max="12825" width="10.5703125" style="263" customWidth="1"/>
    <col min="12826" max="12826" width="10.85546875" style="263" customWidth="1"/>
    <col min="12827" max="12827" width="9.5703125" style="263" customWidth="1"/>
    <col min="12828" max="12828" width="9.85546875" style="263" customWidth="1"/>
    <col min="12829" max="13069" width="9" style="263"/>
    <col min="13070" max="13070" width="13.7109375" style="263" customWidth="1"/>
    <col min="13071" max="13071" width="18.5703125" style="263" customWidth="1"/>
    <col min="13072" max="13072" width="9.140625" style="263" customWidth="1"/>
    <col min="13073" max="13073" width="17.28515625" style="263" customWidth="1"/>
    <col min="13074" max="13074" width="11.42578125" style="263" customWidth="1"/>
    <col min="13075" max="13075" width="17.140625" style="263" customWidth="1"/>
    <col min="13076" max="13076" width="12" style="263" customWidth="1"/>
    <col min="13077" max="13077" width="17.140625" style="263" customWidth="1"/>
    <col min="13078" max="13078" width="8.85546875" style="263" customWidth="1"/>
    <col min="13079" max="13079" width="9" style="263"/>
    <col min="13080" max="13080" width="12.42578125" style="263" customWidth="1"/>
    <col min="13081" max="13081" width="10.5703125" style="263" customWidth="1"/>
    <col min="13082" max="13082" width="10.85546875" style="263" customWidth="1"/>
    <col min="13083" max="13083" width="9.5703125" style="263" customWidth="1"/>
    <col min="13084" max="13084" width="9.85546875" style="263" customWidth="1"/>
    <col min="13085" max="13325" width="9" style="263"/>
    <col min="13326" max="13326" width="13.7109375" style="263" customWidth="1"/>
    <col min="13327" max="13327" width="18.5703125" style="263" customWidth="1"/>
    <col min="13328" max="13328" width="9.140625" style="263" customWidth="1"/>
    <col min="13329" max="13329" width="17.28515625" style="263" customWidth="1"/>
    <col min="13330" max="13330" width="11.42578125" style="263" customWidth="1"/>
    <col min="13331" max="13331" width="17.140625" style="263" customWidth="1"/>
    <col min="13332" max="13332" width="12" style="263" customWidth="1"/>
    <col min="13333" max="13333" width="17.140625" style="263" customWidth="1"/>
    <col min="13334" max="13334" width="8.85546875" style="263" customWidth="1"/>
    <col min="13335" max="13335" width="9" style="263"/>
    <col min="13336" max="13336" width="12.42578125" style="263" customWidth="1"/>
    <col min="13337" max="13337" width="10.5703125" style="263" customWidth="1"/>
    <col min="13338" max="13338" width="10.85546875" style="263" customWidth="1"/>
    <col min="13339" max="13339" width="9.5703125" style="263" customWidth="1"/>
    <col min="13340" max="13340" width="9.85546875" style="263" customWidth="1"/>
    <col min="13341" max="13581" width="9" style="263"/>
    <col min="13582" max="13582" width="13.7109375" style="263" customWidth="1"/>
    <col min="13583" max="13583" width="18.5703125" style="263" customWidth="1"/>
    <col min="13584" max="13584" width="9.140625" style="263" customWidth="1"/>
    <col min="13585" max="13585" width="17.28515625" style="263" customWidth="1"/>
    <col min="13586" max="13586" width="11.42578125" style="263" customWidth="1"/>
    <col min="13587" max="13587" width="17.140625" style="263" customWidth="1"/>
    <col min="13588" max="13588" width="12" style="263" customWidth="1"/>
    <col min="13589" max="13589" width="17.140625" style="263" customWidth="1"/>
    <col min="13590" max="13590" width="8.85546875" style="263" customWidth="1"/>
    <col min="13591" max="13591" width="9" style="263"/>
    <col min="13592" max="13592" width="12.42578125" style="263" customWidth="1"/>
    <col min="13593" max="13593" width="10.5703125" style="263" customWidth="1"/>
    <col min="13594" max="13594" width="10.85546875" style="263" customWidth="1"/>
    <col min="13595" max="13595" width="9.5703125" style="263" customWidth="1"/>
    <col min="13596" max="13596" width="9.85546875" style="263" customWidth="1"/>
    <col min="13597" max="13837" width="9" style="263"/>
    <col min="13838" max="13838" width="13.7109375" style="263" customWidth="1"/>
    <col min="13839" max="13839" width="18.5703125" style="263" customWidth="1"/>
    <col min="13840" max="13840" width="9.140625" style="263" customWidth="1"/>
    <col min="13841" max="13841" width="17.28515625" style="263" customWidth="1"/>
    <col min="13842" max="13842" width="11.42578125" style="263" customWidth="1"/>
    <col min="13843" max="13843" width="17.140625" style="263" customWidth="1"/>
    <col min="13844" max="13844" width="12" style="263" customWidth="1"/>
    <col min="13845" max="13845" width="17.140625" style="263" customWidth="1"/>
    <col min="13846" max="13846" width="8.85546875" style="263" customWidth="1"/>
    <col min="13847" max="13847" width="9" style="263"/>
    <col min="13848" max="13848" width="12.42578125" style="263" customWidth="1"/>
    <col min="13849" max="13849" width="10.5703125" style="263" customWidth="1"/>
    <col min="13850" max="13850" width="10.85546875" style="263" customWidth="1"/>
    <col min="13851" max="13851" width="9.5703125" style="263" customWidth="1"/>
    <col min="13852" max="13852" width="9.85546875" style="263" customWidth="1"/>
    <col min="13853" max="14093" width="9" style="263"/>
    <col min="14094" max="14094" width="13.7109375" style="263" customWidth="1"/>
    <col min="14095" max="14095" width="18.5703125" style="263" customWidth="1"/>
    <col min="14096" max="14096" width="9.140625" style="263" customWidth="1"/>
    <col min="14097" max="14097" width="17.28515625" style="263" customWidth="1"/>
    <col min="14098" max="14098" width="11.42578125" style="263" customWidth="1"/>
    <col min="14099" max="14099" width="17.140625" style="263" customWidth="1"/>
    <col min="14100" max="14100" width="12" style="263" customWidth="1"/>
    <col min="14101" max="14101" width="17.140625" style="263" customWidth="1"/>
    <col min="14102" max="14102" width="8.85546875" style="263" customWidth="1"/>
    <col min="14103" max="14103" width="9" style="263"/>
    <col min="14104" max="14104" width="12.42578125" style="263" customWidth="1"/>
    <col min="14105" max="14105" width="10.5703125" style="263" customWidth="1"/>
    <col min="14106" max="14106" width="10.85546875" style="263" customWidth="1"/>
    <col min="14107" max="14107" width="9.5703125" style="263" customWidth="1"/>
    <col min="14108" max="14108" width="9.85546875" style="263" customWidth="1"/>
    <col min="14109" max="14349" width="9" style="263"/>
    <col min="14350" max="14350" width="13.7109375" style="263" customWidth="1"/>
    <col min="14351" max="14351" width="18.5703125" style="263" customWidth="1"/>
    <col min="14352" max="14352" width="9.140625" style="263" customWidth="1"/>
    <col min="14353" max="14353" width="17.28515625" style="263" customWidth="1"/>
    <col min="14354" max="14354" width="11.42578125" style="263" customWidth="1"/>
    <col min="14355" max="14355" width="17.140625" style="263" customWidth="1"/>
    <col min="14356" max="14356" width="12" style="263" customWidth="1"/>
    <col min="14357" max="14357" width="17.140625" style="263" customWidth="1"/>
    <col min="14358" max="14358" width="8.85546875" style="263" customWidth="1"/>
    <col min="14359" max="14359" width="9" style="263"/>
    <col min="14360" max="14360" width="12.42578125" style="263" customWidth="1"/>
    <col min="14361" max="14361" width="10.5703125" style="263" customWidth="1"/>
    <col min="14362" max="14362" width="10.85546875" style="263" customWidth="1"/>
    <col min="14363" max="14363" width="9.5703125" style="263" customWidth="1"/>
    <col min="14364" max="14364" width="9.85546875" style="263" customWidth="1"/>
    <col min="14365" max="14605" width="9" style="263"/>
    <col min="14606" max="14606" width="13.7109375" style="263" customWidth="1"/>
    <col min="14607" max="14607" width="18.5703125" style="263" customWidth="1"/>
    <col min="14608" max="14608" width="9.140625" style="263" customWidth="1"/>
    <col min="14609" max="14609" width="17.28515625" style="263" customWidth="1"/>
    <col min="14610" max="14610" width="11.42578125" style="263" customWidth="1"/>
    <col min="14611" max="14611" width="17.140625" style="263" customWidth="1"/>
    <col min="14612" max="14612" width="12" style="263" customWidth="1"/>
    <col min="14613" max="14613" width="17.140625" style="263" customWidth="1"/>
    <col min="14614" max="14614" width="8.85546875" style="263" customWidth="1"/>
    <col min="14615" max="14615" width="9" style="263"/>
    <col min="14616" max="14616" width="12.42578125" style="263" customWidth="1"/>
    <col min="14617" max="14617" width="10.5703125" style="263" customWidth="1"/>
    <col min="14618" max="14618" width="10.85546875" style="263" customWidth="1"/>
    <col min="14619" max="14619" width="9.5703125" style="263" customWidth="1"/>
    <col min="14620" max="14620" width="9.85546875" style="263" customWidth="1"/>
    <col min="14621" max="14861" width="9" style="263"/>
    <col min="14862" max="14862" width="13.7109375" style="263" customWidth="1"/>
    <col min="14863" max="14863" width="18.5703125" style="263" customWidth="1"/>
    <col min="14864" max="14864" width="9.140625" style="263" customWidth="1"/>
    <col min="14865" max="14865" width="17.28515625" style="263" customWidth="1"/>
    <col min="14866" max="14866" width="11.42578125" style="263" customWidth="1"/>
    <col min="14867" max="14867" width="17.140625" style="263" customWidth="1"/>
    <col min="14868" max="14868" width="12" style="263" customWidth="1"/>
    <col min="14869" max="14869" width="17.140625" style="263" customWidth="1"/>
    <col min="14870" max="14870" width="8.85546875" style="263" customWidth="1"/>
    <col min="14871" max="14871" width="9" style="263"/>
    <col min="14872" max="14872" width="12.42578125" style="263" customWidth="1"/>
    <col min="14873" max="14873" width="10.5703125" style="263" customWidth="1"/>
    <col min="14874" max="14874" width="10.85546875" style="263" customWidth="1"/>
    <col min="14875" max="14875" width="9.5703125" style="263" customWidth="1"/>
    <col min="14876" max="14876" width="9.85546875" style="263" customWidth="1"/>
    <col min="14877" max="15117" width="9" style="263"/>
    <col min="15118" max="15118" width="13.7109375" style="263" customWidth="1"/>
    <col min="15119" max="15119" width="18.5703125" style="263" customWidth="1"/>
    <col min="15120" max="15120" width="9.140625" style="263" customWidth="1"/>
    <col min="15121" max="15121" width="17.28515625" style="263" customWidth="1"/>
    <col min="15122" max="15122" width="11.42578125" style="263" customWidth="1"/>
    <col min="15123" max="15123" width="17.140625" style="263" customWidth="1"/>
    <col min="15124" max="15124" width="12" style="263" customWidth="1"/>
    <col min="15125" max="15125" width="17.140625" style="263" customWidth="1"/>
    <col min="15126" max="15126" width="8.85546875" style="263" customWidth="1"/>
    <col min="15127" max="15127" width="9" style="263"/>
    <col min="15128" max="15128" width="12.42578125" style="263" customWidth="1"/>
    <col min="15129" max="15129" width="10.5703125" style="263" customWidth="1"/>
    <col min="15130" max="15130" width="10.85546875" style="263" customWidth="1"/>
    <col min="15131" max="15131" width="9.5703125" style="263" customWidth="1"/>
    <col min="15132" max="15132" width="9.85546875" style="263" customWidth="1"/>
    <col min="15133" max="15373" width="9" style="263"/>
    <col min="15374" max="15374" width="13.7109375" style="263" customWidth="1"/>
    <col min="15375" max="15375" width="18.5703125" style="263" customWidth="1"/>
    <col min="15376" max="15376" width="9.140625" style="263" customWidth="1"/>
    <col min="15377" max="15377" width="17.28515625" style="263" customWidth="1"/>
    <col min="15378" max="15378" width="11.42578125" style="263" customWidth="1"/>
    <col min="15379" max="15379" width="17.140625" style="263" customWidth="1"/>
    <col min="15380" max="15380" width="12" style="263" customWidth="1"/>
    <col min="15381" max="15381" width="17.140625" style="263" customWidth="1"/>
    <col min="15382" max="15382" width="8.85546875" style="263" customWidth="1"/>
    <col min="15383" max="15383" width="9" style="263"/>
    <col min="15384" max="15384" width="12.42578125" style="263" customWidth="1"/>
    <col min="15385" max="15385" width="10.5703125" style="263" customWidth="1"/>
    <col min="15386" max="15386" width="10.85546875" style="263" customWidth="1"/>
    <col min="15387" max="15387" width="9.5703125" style="263" customWidth="1"/>
    <col min="15388" max="15388" width="9.85546875" style="263" customWidth="1"/>
    <col min="15389" max="15629" width="9" style="263"/>
    <col min="15630" max="15630" width="13.7109375" style="263" customWidth="1"/>
    <col min="15631" max="15631" width="18.5703125" style="263" customWidth="1"/>
    <col min="15632" max="15632" width="9.140625" style="263" customWidth="1"/>
    <col min="15633" max="15633" width="17.28515625" style="263" customWidth="1"/>
    <col min="15634" max="15634" width="11.42578125" style="263" customWidth="1"/>
    <col min="15635" max="15635" width="17.140625" style="263" customWidth="1"/>
    <col min="15636" max="15636" width="12" style="263" customWidth="1"/>
    <col min="15637" max="15637" width="17.140625" style="263" customWidth="1"/>
    <col min="15638" max="15638" width="8.85546875" style="263" customWidth="1"/>
    <col min="15639" max="15639" width="9" style="263"/>
    <col min="15640" max="15640" width="12.42578125" style="263" customWidth="1"/>
    <col min="15641" max="15641" width="10.5703125" style="263" customWidth="1"/>
    <col min="15642" max="15642" width="10.85546875" style="263" customWidth="1"/>
    <col min="15643" max="15643" width="9.5703125" style="263" customWidth="1"/>
    <col min="15644" max="15644" width="9.85546875" style="263" customWidth="1"/>
    <col min="15645" max="15885" width="9" style="263"/>
    <col min="15886" max="15886" width="13.7109375" style="263" customWidth="1"/>
    <col min="15887" max="15887" width="18.5703125" style="263" customWidth="1"/>
    <col min="15888" max="15888" width="9.140625" style="263" customWidth="1"/>
    <col min="15889" max="15889" width="17.28515625" style="263" customWidth="1"/>
    <col min="15890" max="15890" width="11.42578125" style="263" customWidth="1"/>
    <col min="15891" max="15891" width="17.140625" style="263" customWidth="1"/>
    <col min="15892" max="15892" width="12" style="263" customWidth="1"/>
    <col min="15893" max="15893" width="17.140625" style="263" customWidth="1"/>
    <col min="15894" max="15894" width="8.85546875" style="263" customWidth="1"/>
    <col min="15895" max="15895" width="9" style="263"/>
    <col min="15896" max="15896" width="12.42578125" style="263" customWidth="1"/>
    <col min="15897" max="15897" width="10.5703125" style="263" customWidth="1"/>
    <col min="15898" max="15898" width="10.85546875" style="263" customWidth="1"/>
    <col min="15899" max="15899" width="9.5703125" style="263" customWidth="1"/>
    <col min="15900" max="15900" width="9.85546875" style="263" customWidth="1"/>
    <col min="15901" max="16141" width="9" style="263"/>
    <col min="16142" max="16142" width="13.7109375" style="263" customWidth="1"/>
    <col min="16143" max="16143" width="18.5703125" style="263" customWidth="1"/>
    <col min="16144" max="16144" width="9.140625" style="263" customWidth="1"/>
    <col min="16145" max="16145" width="17.28515625" style="263" customWidth="1"/>
    <col min="16146" max="16146" width="11.42578125" style="263" customWidth="1"/>
    <col min="16147" max="16147" width="17.140625" style="263" customWidth="1"/>
    <col min="16148" max="16148" width="12" style="263" customWidth="1"/>
    <col min="16149" max="16149" width="17.140625" style="263" customWidth="1"/>
    <col min="16150" max="16150" width="8.85546875" style="263" customWidth="1"/>
    <col min="16151" max="16151" width="9" style="263"/>
    <col min="16152" max="16152" width="12.42578125" style="263" customWidth="1"/>
    <col min="16153" max="16153" width="10.5703125" style="263" customWidth="1"/>
    <col min="16154" max="16154" width="10.85546875" style="263" customWidth="1"/>
    <col min="16155" max="16155" width="9.5703125" style="263" customWidth="1"/>
    <col min="16156" max="16156" width="9.85546875" style="263" customWidth="1"/>
    <col min="16157" max="16384" width="9" style="263"/>
  </cols>
  <sheetData>
    <row r="1" spans="1:29" ht="15.75">
      <c r="B1" s="264" t="s">
        <v>128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</row>
    <row r="2" spans="1:29" ht="16.5" customHeight="1">
      <c r="B2" s="264" t="s">
        <v>129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</row>
    <row r="3" spans="1:29" ht="16.5" customHeight="1">
      <c r="B3" s="265" t="s">
        <v>130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spans="1:29" ht="18" customHeight="1">
      <c r="B4" s="264" t="s">
        <v>131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</row>
    <row r="5" spans="1:29" ht="20.25" customHeight="1">
      <c r="A5" s="266" t="s">
        <v>132</v>
      </c>
      <c r="B5" s="266"/>
      <c r="C5" s="266"/>
      <c r="D5" s="266"/>
      <c r="E5" s="266"/>
      <c r="F5" s="266"/>
      <c r="G5" s="267"/>
      <c r="H5" s="267"/>
      <c r="I5" s="267"/>
      <c r="J5" s="267"/>
      <c r="K5" s="267"/>
      <c r="M5" s="268"/>
      <c r="N5" s="268"/>
      <c r="O5" s="269"/>
      <c r="P5" s="269"/>
      <c r="Q5" s="270"/>
      <c r="R5" s="270"/>
      <c r="S5" s="271"/>
      <c r="T5" s="271"/>
      <c r="U5" s="271"/>
      <c r="V5" s="271"/>
      <c r="W5" s="334"/>
      <c r="X5" s="271"/>
      <c r="Y5" s="271"/>
      <c r="Z5" s="268" t="s">
        <v>133</v>
      </c>
      <c r="AA5" s="268"/>
      <c r="AB5" s="268"/>
      <c r="AC5" s="272"/>
    </row>
    <row r="6" spans="1:29" ht="106.15" customHeight="1">
      <c r="A6" s="273" t="s">
        <v>134</v>
      </c>
      <c r="B6" s="273" t="s">
        <v>135</v>
      </c>
      <c r="C6" s="273" t="s">
        <v>136</v>
      </c>
      <c r="D6" s="273" t="s">
        <v>137</v>
      </c>
      <c r="E6" s="273" t="s">
        <v>138</v>
      </c>
      <c r="F6" s="273" t="s">
        <v>139</v>
      </c>
      <c r="G6" s="274" t="s">
        <v>140</v>
      </c>
      <c r="H6" s="277" t="s">
        <v>188</v>
      </c>
      <c r="I6" s="273" t="s">
        <v>142</v>
      </c>
      <c r="J6" s="273" t="s">
        <v>143</v>
      </c>
      <c r="K6" s="273" t="s">
        <v>144</v>
      </c>
      <c r="L6" s="273" t="s">
        <v>145</v>
      </c>
      <c r="M6" s="273" t="s">
        <v>146</v>
      </c>
      <c r="N6" s="276" t="s">
        <v>189</v>
      </c>
      <c r="O6" s="277" t="s">
        <v>148</v>
      </c>
      <c r="P6" s="275" t="s">
        <v>149</v>
      </c>
      <c r="Q6" s="273" t="s">
        <v>150</v>
      </c>
      <c r="R6" s="278" t="s">
        <v>151</v>
      </c>
      <c r="S6" s="274" t="s">
        <v>152</v>
      </c>
      <c r="T6" s="273" t="s">
        <v>153</v>
      </c>
      <c r="U6" s="274" t="s">
        <v>154</v>
      </c>
      <c r="V6" s="274" t="s">
        <v>155</v>
      </c>
      <c r="W6" s="335" t="s">
        <v>156</v>
      </c>
      <c r="X6" s="277" t="s">
        <v>157</v>
      </c>
      <c r="Y6" s="277" t="s">
        <v>158</v>
      </c>
      <c r="Z6" s="274" t="s">
        <v>159</v>
      </c>
      <c r="AA6" s="336" t="s">
        <v>160</v>
      </c>
      <c r="AB6" s="273" t="s">
        <v>161</v>
      </c>
    </row>
    <row r="7" spans="1:29" ht="21" customHeight="1">
      <c r="A7" s="280"/>
      <c r="B7" s="281"/>
      <c r="C7" s="282"/>
      <c r="D7" s="281"/>
      <c r="E7" s="337"/>
      <c r="F7" s="302"/>
      <c r="G7" s="281"/>
      <c r="H7" s="338"/>
      <c r="I7" s="339"/>
      <c r="J7" s="303"/>
      <c r="K7" s="278"/>
      <c r="L7" s="287"/>
      <c r="M7" s="292"/>
      <c r="N7" s="340" t="str">
        <f t="shared" ref="N7:N20" si="0">IFERROR(IF(K7&lt;&gt;"",K7/H7,""),"input error")</f>
        <v/>
      </c>
      <c r="O7" s="289"/>
      <c r="P7" s="341"/>
      <c r="Q7" s="337"/>
      <c r="R7" s="281"/>
      <c r="S7" s="342"/>
      <c r="T7" s="343"/>
      <c r="U7" s="342"/>
      <c r="V7" s="342"/>
      <c r="W7" s="344"/>
      <c r="X7" s="345"/>
      <c r="Y7" s="283"/>
      <c r="Z7" s="346"/>
      <c r="AA7" s="347"/>
      <c r="AB7" s="278"/>
    </row>
    <row r="8" spans="1:29" ht="21" customHeight="1">
      <c r="A8" s="280">
        <v>45383</v>
      </c>
      <c r="B8" s="281" t="s">
        <v>190</v>
      </c>
      <c r="C8" s="282" t="s">
        <v>191</v>
      </c>
      <c r="D8" s="281" t="s">
        <v>80</v>
      </c>
      <c r="E8" s="337">
        <v>24.1</v>
      </c>
      <c r="F8" s="348">
        <v>20240301005</v>
      </c>
      <c r="G8" s="281">
        <v>6</v>
      </c>
      <c r="H8" s="338">
        <f t="shared" ref="H8:H11" si="1">IFERROR(IF(G8&lt;&gt;"",W8*G8*AA8,""),"input error""")</f>
        <v>16665.964729676114</v>
      </c>
      <c r="I8" s="339">
        <v>4</v>
      </c>
      <c r="J8" s="349" t="s">
        <v>79</v>
      </c>
      <c r="K8" s="278">
        <f>2089+1200+2157</f>
        <v>5446</v>
      </c>
      <c r="L8" s="287">
        <f>(K8*27.0168)/1000</f>
        <v>147.1334928</v>
      </c>
      <c r="M8" s="292">
        <v>0</v>
      </c>
      <c r="N8" s="340">
        <f t="shared" si="0"/>
        <v>0.3267737624754854</v>
      </c>
      <c r="O8" s="289">
        <f t="shared" ref="O8:O11" si="2">IFERROR(IF(I8&lt;&gt;"",K8/(I8*W8*AA8),""),"input error")</f>
        <v>0.49016064371322804</v>
      </c>
      <c r="P8" s="341">
        <f t="shared" ref="P8:P11" si="3">IFERROR(IF(L8&lt;&gt;"",M8/(M8+L8),""),"input error")</f>
        <v>0</v>
      </c>
      <c r="Q8" s="350" t="s">
        <v>192</v>
      </c>
      <c r="R8" s="281">
        <v>7.5</v>
      </c>
      <c r="S8" s="351">
        <v>3</v>
      </c>
      <c r="T8" s="352">
        <v>7.5</v>
      </c>
      <c r="U8" s="351">
        <v>0</v>
      </c>
      <c r="V8" s="351">
        <f>IFERROR(IF(S8&gt;0,S8*T8-U8,""),"input error")</f>
        <v>22.5</v>
      </c>
      <c r="W8" s="344">
        <f>'[1]缠绕 编织工时Winding, Braiding,'!G13</f>
        <v>780.84</v>
      </c>
      <c r="X8" s="345">
        <f t="shared" ref="X8:X11" si="4">IFERROR(IF(W8&lt;&gt;"",1/W8,""),"input error")</f>
        <v>1.2806720967163568E-3</v>
      </c>
      <c r="Y8" s="283">
        <f t="shared" ref="Y8:Y11" si="5">IFERROR(IF(K8&lt;&gt;"",K8*X8,""),"input error")</f>
        <v>6.974540238717279</v>
      </c>
      <c r="Z8" s="353">
        <f>SUM(Y8:Y11)</f>
        <v>44.114457934190533</v>
      </c>
      <c r="AA8" s="347">
        <f>IFERROR(IF(Y8&lt;&gt;"",$V$8*Y8/$Z$8,""),"input error")</f>
        <v>3.5572726656925266</v>
      </c>
      <c r="AB8" s="278"/>
    </row>
    <row r="9" spans="1:29" ht="21" customHeight="1">
      <c r="A9" s="280">
        <v>45383</v>
      </c>
      <c r="B9" s="281" t="s">
        <v>193</v>
      </c>
      <c r="C9" s="282" t="s">
        <v>191</v>
      </c>
      <c r="D9" s="281" t="s">
        <v>86</v>
      </c>
      <c r="E9" s="337">
        <v>13.8</v>
      </c>
      <c r="F9" s="354">
        <v>20240313003</v>
      </c>
      <c r="G9" s="281">
        <v>6</v>
      </c>
      <c r="H9" s="338">
        <f t="shared" si="1"/>
        <v>18486.796351812965</v>
      </c>
      <c r="I9" s="339">
        <v>4</v>
      </c>
      <c r="J9" s="303" t="s">
        <v>85</v>
      </c>
      <c r="K9" s="278">
        <f>1934+2007+2100</f>
        <v>6041</v>
      </c>
      <c r="L9" s="287">
        <f t="shared" ref="L9:L11" si="6">(K9*4.6608)/1000</f>
        <v>28.1558928</v>
      </c>
      <c r="M9" s="292">
        <v>0</v>
      </c>
      <c r="N9" s="340">
        <f t="shared" si="0"/>
        <v>0.3267737624754854</v>
      </c>
      <c r="O9" s="289">
        <f t="shared" si="2"/>
        <v>0.49016064371322815</v>
      </c>
      <c r="P9" s="341">
        <f t="shared" si="3"/>
        <v>0</v>
      </c>
      <c r="Q9" s="355"/>
      <c r="R9" s="281">
        <v>7.5</v>
      </c>
      <c r="S9" s="356"/>
      <c r="T9" s="357"/>
      <c r="U9" s="356"/>
      <c r="V9" s="356"/>
      <c r="W9" s="344">
        <f>'[1]缠绕 编织工时Winding, Braiding,'!G10</f>
        <v>447.12</v>
      </c>
      <c r="X9" s="345">
        <f t="shared" si="4"/>
        <v>2.2365360529611735E-3</v>
      </c>
      <c r="Y9" s="283">
        <f t="shared" si="5"/>
        <v>13.51091429593845</v>
      </c>
      <c r="Z9" s="358"/>
      <c r="AA9" s="347">
        <f>IFERROR(IF(Y9&lt;&gt;"",$V$8*Y9/$Z$8,""),"input error")</f>
        <v>6.8910644240967986</v>
      </c>
      <c r="AB9" s="278"/>
    </row>
    <row r="10" spans="1:29" ht="21" customHeight="1">
      <c r="A10" s="280">
        <v>45383</v>
      </c>
      <c r="B10" s="281" t="s">
        <v>194</v>
      </c>
      <c r="C10" s="282" t="s">
        <v>195</v>
      </c>
      <c r="D10" s="281" t="s">
        <v>86</v>
      </c>
      <c r="E10" s="337">
        <v>13.8</v>
      </c>
      <c r="F10" s="354">
        <v>20240313003</v>
      </c>
      <c r="G10" s="281">
        <v>6</v>
      </c>
      <c r="H10" s="338">
        <f t="shared" si="1"/>
        <v>20497.361689197689</v>
      </c>
      <c r="I10" s="339">
        <v>4</v>
      </c>
      <c r="J10" s="303" t="s">
        <v>85</v>
      </c>
      <c r="K10" s="278">
        <f>2194+2142+2362</f>
        <v>6698</v>
      </c>
      <c r="L10" s="287">
        <f t="shared" si="6"/>
        <v>31.218038400000001</v>
      </c>
      <c r="M10" s="292">
        <v>0</v>
      </c>
      <c r="N10" s="340">
        <f t="shared" si="0"/>
        <v>0.3267737624754854</v>
      </c>
      <c r="O10" s="289">
        <f t="shared" si="2"/>
        <v>0.49016064371322815</v>
      </c>
      <c r="P10" s="341">
        <f t="shared" si="3"/>
        <v>0</v>
      </c>
      <c r="Q10" s="355"/>
      <c r="R10" s="281">
        <v>7.5</v>
      </c>
      <c r="S10" s="356"/>
      <c r="T10" s="357"/>
      <c r="U10" s="356"/>
      <c r="V10" s="356"/>
      <c r="W10" s="344">
        <f>'[1]缠绕 编织工时Winding, Braiding,'!G10</f>
        <v>447.12</v>
      </c>
      <c r="X10" s="345">
        <f t="shared" si="4"/>
        <v>2.2365360529611735E-3</v>
      </c>
      <c r="Y10" s="283">
        <f t="shared" si="5"/>
        <v>14.98031848273394</v>
      </c>
      <c r="Z10" s="358"/>
      <c r="AA10" s="347">
        <f t="shared" ref="AA10:AA11" si="7">IFERROR(IF(Y10&lt;&gt;"",$V$8*Y10/$Z$8,""),"input error")</f>
        <v>7.6405147347459623</v>
      </c>
      <c r="AB10" s="278"/>
    </row>
    <row r="11" spans="1:29" ht="21" customHeight="1">
      <c r="A11" s="280">
        <v>45383</v>
      </c>
      <c r="B11" s="281" t="s">
        <v>196</v>
      </c>
      <c r="C11" s="282" t="s">
        <v>195</v>
      </c>
      <c r="D11" s="281" t="s">
        <v>86</v>
      </c>
      <c r="E11" s="337">
        <v>13.8</v>
      </c>
      <c r="F11" s="354">
        <v>20240313003</v>
      </c>
      <c r="G11" s="281">
        <v>6</v>
      </c>
      <c r="H11" s="338">
        <f t="shared" si="1"/>
        <v>11833.87543328269</v>
      </c>
      <c r="I11" s="339">
        <v>4</v>
      </c>
      <c r="J11" s="303" t="s">
        <v>85</v>
      </c>
      <c r="K11" s="278">
        <f>1175+1550+1142</f>
        <v>3867</v>
      </c>
      <c r="L11" s="287">
        <f t="shared" si="6"/>
        <v>18.023313600000002</v>
      </c>
      <c r="M11" s="292">
        <v>0</v>
      </c>
      <c r="N11" s="340">
        <f t="shared" si="0"/>
        <v>0.32677376247548545</v>
      </c>
      <c r="O11" s="289">
        <f t="shared" si="2"/>
        <v>0.49016064371322815</v>
      </c>
      <c r="P11" s="341">
        <f t="shared" si="3"/>
        <v>0</v>
      </c>
      <c r="Q11" s="359"/>
      <c r="R11" s="281">
        <v>7.5</v>
      </c>
      <c r="S11" s="360"/>
      <c r="T11" s="361"/>
      <c r="U11" s="360"/>
      <c r="V11" s="360"/>
      <c r="W11" s="344">
        <f>'[1]缠绕 编织工时Winding, Braiding,'!G10</f>
        <v>447.12</v>
      </c>
      <c r="X11" s="345">
        <f t="shared" si="4"/>
        <v>2.2365360529611735E-3</v>
      </c>
      <c r="Y11" s="283">
        <f t="shared" si="5"/>
        <v>8.6486849168008586</v>
      </c>
      <c r="Z11" s="362"/>
      <c r="AA11" s="347">
        <f t="shared" si="7"/>
        <v>4.4111481754647111</v>
      </c>
      <c r="AB11" s="278"/>
    </row>
    <row r="12" spans="1:29" ht="21" customHeight="1">
      <c r="A12" s="280"/>
      <c r="B12" s="281"/>
      <c r="C12" s="282"/>
      <c r="D12" s="281"/>
      <c r="E12" s="337"/>
      <c r="F12" s="354"/>
      <c r="G12" s="281"/>
      <c r="H12" s="338"/>
      <c r="I12" s="339"/>
      <c r="J12" s="303"/>
      <c r="K12" s="278"/>
      <c r="L12" s="287"/>
      <c r="M12" s="292"/>
      <c r="N12" s="340" t="str">
        <f t="shared" si="0"/>
        <v/>
      </c>
      <c r="O12" s="289"/>
      <c r="P12" s="341"/>
      <c r="Q12" s="363"/>
      <c r="R12" s="281"/>
      <c r="S12" s="342"/>
      <c r="T12" s="343"/>
      <c r="U12" s="342"/>
      <c r="V12" s="342"/>
      <c r="W12" s="344"/>
      <c r="X12" s="345"/>
      <c r="Y12" s="283"/>
      <c r="Z12" s="346"/>
      <c r="AA12" s="347"/>
      <c r="AB12" s="278"/>
    </row>
    <row r="13" spans="1:29" ht="21" customHeight="1">
      <c r="A13" s="280">
        <v>45384</v>
      </c>
      <c r="B13" s="281" t="s">
        <v>190</v>
      </c>
      <c r="C13" s="282" t="s">
        <v>191</v>
      </c>
      <c r="D13" s="281" t="s">
        <v>80</v>
      </c>
      <c r="E13" s="337">
        <v>24.1</v>
      </c>
      <c r="F13" s="348"/>
      <c r="G13" s="281">
        <v>6</v>
      </c>
      <c r="H13" s="338">
        <f t="shared" ref="H13:H16" si="8">IFERROR(IF(G13&lt;&gt;"",W13*G13*AA13,""),"input error""")</f>
        <v>2363.4799070259182</v>
      </c>
      <c r="I13" s="339">
        <v>4</v>
      </c>
      <c r="J13" s="349" t="s">
        <v>79</v>
      </c>
      <c r="K13" s="278">
        <f>627</f>
        <v>627</v>
      </c>
      <c r="L13" s="287">
        <f>(K13*27.0168)/1000</f>
        <v>16.939533599999997</v>
      </c>
      <c r="M13" s="292">
        <v>0</v>
      </c>
      <c r="N13" s="340">
        <f t="shared" si="0"/>
        <v>0.26528679094589158</v>
      </c>
      <c r="O13" s="289">
        <f t="shared" ref="O13:O17" si="9">IFERROR(IF(I13&lt;&gt;"",K13/(I13*W13*AA13),""),"input error")</f>
        <v>0.39793018641883726</v>
      </c>
      <c r="P13" s="341">
        <f t="shared" ref="P13:P17" si="10">IFERROR(IF(L13&lt;&gt;"",M13/(M13+L13),""),"input error")</f>
        <v>0</v>
      </c>
      <c r="Q13" s="350" t="s">
        <v>197</v>
      </c>
      <c r="R13" s="364">
        <v>7.5</v>
      </c>
      <c r="S13" s="351">
        <v>3</v>
      </c>
      <c r="T13" s="352">
        <v>7.5</v>
      </c>
      <c r="U13" s="351">
        <v>0</v>
      </c>
      <c r="V13" s="351">
        <f>IFERROR(IF(S13&gt;0,S13*T13-U13,""),"input error")</f>
        <v>22.5</v>
      </c>
      <c r="W13" s="344">
        <f>'[1]缠绕 编织工时Winding, Braiding,'!G13</f>
        <v>780.84</v>
      </c>
      <c r="X13" s="345">
        <f t="shared" ref="X13:X16" si="11">IFERROR(IF(W13&lt;&gt;"",1/W13,""),"input error")</f>
        <v>1.2806720967163568E-3</v>
      </c>
      <c r="Y13" s="283">
        <f t="shared" ref="Y13:Y16" si="12">IFERROR(IF(K13&lt;&gt;"",K13*X13,""),"input error")</f>
        <v>0.80298140464115575</v>
      </c>
      <c r="Z13" s="353">
        <f>SUM(Y13:Y16)</f>
        <v>35.813716777695362</v>
      </c>
      <c r="AA13" s="347">
        <f>IFERROR(IF(Y13&lt;&gt;"",$V$13*Y13/$Z$13,""),"input error")</f>
        <v>0.50447379467964382</v>
      </c>
      <c r="AB13" s="278"/>
    </row>
    <row r="14" spans="1:29" ht="21" customHeight="1">
      <c r="A14" s="280">
        <v>45384</v>
      </c>
      <c r="B14" s="281" t="s">
        <v>193</v>
      </c>
      <c r="C14" s="282" t="s">
        <v>191</v>
      </c>
      <c r="D14" s="281" t="s">
        <v>86</v>
      </c>
      <c r="E14" s="337">
        <v>13.8</v>
      </c>
      <c r="F14" s="354"/>
      <c r="G14" s="281">
        <v>6</v>
      </c>
      <c r="H14" s="338">
        <f t="shared" si="8"/>
        <v>22990.213641070291</v>
      </c>
      <c r="I14" s="339">
        <v>4</v>
      </c>
      <c r="J14" s="303" t="s">
        <v>85</v>
      </c>
      <c r="K14" s="278">
        <f>1916+2121+2062</f>
        <v>6099</v>
      </c>
      <c r="L14" s="287">
        <f t="shared" ref="L14:L16" si="13">(K14*4.6608)/1000</f>
        <v>28.426219199999998</v>
      </c>
      <c r="M14" s="292">
        <v>0</v>
      </c>
      <c r="N14" s="340">
        <f t="shared" si="0"/>
        <v>0.26528679094589164</v>
      </c>
      <c r="O14" s="289">
        <f t="shared" si="9"/>
        <v>0.39793018641883748</v>
      </c>
      <c r="P14" s="341">
        <f t="shared" si="10"/>
        <v>0</v>
      </c>
      <c r="Q14" s="355"/>
      <c r="R14" s="365"/>
      <c r="S14" s="356"/>
      <c r="T14" s="357"/>
      <c r="U14" s="356"/>
      <c r="V14" s="356"/>
      <c r="W14" s="344">
        <f>'[1]缠绕 编织工时Winding, Braiding,'!G10</f>
        <v>447.12</v>
      </c>
      <c r="X14" s="345">
        <f t="shared" si="11"/>
        <v>2.2365360529611735E-3</v>
      </c>
      <c r="Y14" s="283">
        <f t="shared" si="12"/>
        <v>13.640633387010197</v>
      </c>
      <c r="Z14" s="358"/>
      <c r="AA14" s="347">
        <f t="shared" ref="AA14:AA16" si="14">IFERROR(IF(Y14&lt;&gt;"",$V$13*Y14/$Z$13,""),"input error")</f>
        <v>8.5697402789222465</v>
      </c>
      <c r="AB14" s="278"/>
    </row>
    <row r="15" spans="1:29" ht="21" customHeight="1">
      <c r="A15" s="280">
        <v>45384</v>
      </c>
      <c r="B15" s="281" t="s">
        <v>194</v>
      </c>
      <c r="C15" s="282" t="s">
        <v>195</v>
      </c>
      <c r="D15" s="281" t="s">
        <v>86</v>
      </c>
      <c r="E15" s="337">
        <v>13.8</v>
      </c>
      <c r="F15" s="354"/>
      <c r="G15" s="281">
        <v>6</v>
      </c>
      <c r="H15" s="338">
        <f t="shared" si="8"/>
        <v>25922.888868608039</v>
      </c>
      <c r="I15" s="339">
        <v>4</v>
      </c>
      <c r="J15" s="303" t="s">
        <v>85</v>
      </c>
      <c r="K15" s="278">
        <f>2299+2289+2289</f>
        <v>6877</v>
      </c>
      <c r="L15" s="287">
        <f t="shared" si="13"/>
        <v>32.052321599999999</v>
      </c>
      <c r="M15" s="292">
        <v>0</v>
      </c>
      <c r="N15" s="340">
        <f t="shared" si="0"/>
        <v>0.26528679094589153</v>
      </c>
      <c r="O15" s="289">
        <f t="shared" si="9"/>
        <v>0.39793018641883737</v>
      </c>
      <c r="P15" s="341">
        <f t="shared" si="10"/>
        <v>0</v>
      </c>
      <c r="Q15" s="355"/>
      <c r="R15" s="365"/>
      <c r="S15" s="356"/>
      <c r="T15" s="357"/>
      <c r="U15" s="356"/>
      <c r="V15" s="356"/>
      <c r="W15" s="344">
        <f>'[1]缠绕 编织工时Winding, Braiding,'!G10</f>
        <v>447.12</v>
      </c>
      <c r="X15" s="345">
        <f t="shared" si="11"/>
        <v>2.2365360529611735E-3</v>
      </c>
      <c r="Y15" s="283">
        <f t="shared" si="12"/>
        <v>15.38065843621399</v>
      </c>
      <c r="Z15" s="358"/>
      <c r="AA15" s="347">
        <f t="shared" si="14"/>
        <v>9.662912591924627</v>
      </c>
      <c r="AB15" s="278"/>
    </row>
    <row r="16" spans="1:29" ht="21" customHeight="1">
      <c r="A16" s="280">
        <v>45384</v>
      </c>
      <c r="B16" s="281" t="s">
        <v>196</v>
      </c>
      <c r="C16" s="282" t="s">
        <v>195</v>
      </c>
      <c r="D16" s="281" t="s">
        <v>86</v>
      </c>
      <c r="E16" s="337">
        <v>13.8</v>
      </c>
      <c r="F16" s="354"/>
      <c r="G16" s="281">
        <v>6</v>
      </c>
      <c r="H16" s="338">
        <f t="shared" si="8"/>
        <v>10094.735551858706</v>
      </c>
      <c r="I16" s="339">
        <v>4</v>
      </c>
      <c r="J16" s="303" t="s">
        <v>85</v>
      </c>
      <c r="K16" s="278">
        <f>1081+1597</f>
        <v>2678</v>
      </c>
      <c r="L16" s="287">
        <f t="shared" si="13"/>
        <v>12.481622400000001</v>
      </c>
      <c r="M16" s="292">
        <v>0</v>
      </c>
      <c r="N16" s="340">
        <f t="shared" si="0"/>
        <v>0.26528679094589158</v>
      </c>
      <c r="O16" s="289">
        <f t="shared" si="9"/>
        <v>0.39793018641883737</v>
      </c>
      <c r="P16" s="341">
        <f t="shared" si="10"/>
        <v>0</v>
      </c>
      <c r="Q16" s="359"/>
      <c r="R16" s="366"/>
      <c r="S16" s="360"/>
      <c r="T16" s="361"/>
      <c r="U16" s="360"/>
      <c r="V16" s="360"/>
      <c r="W16" s="344">
        <f>'[1]缠绕 编织工时Winding, Braiding,'!G10</f>
        <v>447.12</v>
      </c>
      <c r="X16" s="345">
        <f t="shared" si="11"/>
        <v>2.2365360529611735E-3</v>
      </c>
      <c r="Y16" s="283">
        <f t="shared" si="12"/>
        <v>5.9894435498300229</v>
      </c>
      <c r="Z16" s="362"/>
      <c r="AA16" s="347">
        <f t="shared" si="14"/>
        <v>3.7628733344734844</v>
      </c>
      <c r="AB16" s="278"/>
    </row>
    <row r="17" spans="1:28" ht="21" customHeight="1">
      <c r="A17" s="280"/>
      <c r="B17" s="281"/>
      <c r="C17" s="282"/>
      <c r="D17" s="281"/>
      <c r="E17" s="337"/>
      <c r="F17" s="354"/>
      <c r="G17" s="281"/>
      <c r="H17" s="338"/>
      <c r="I17" s="339"/>
      <c r="J17" s="303"/>
      <c r="K17" s="278"/>
      <c r="L17" s="287"/>
      <c r="M17" s="292"/>
      <c r="N17" s="340" t="str">
        <f t="shared" si="0"/>
        <v/>
      </c>
      <c r="O17" s="289" t="str">
        <f t="shared" si="9"/>
        <v/>
      </c>
      <c r="P17" s="341" t="str">
        <f t="shared" si="10"/>
        <v/>
      </c>
      <c r="Q17" s="363"/>
      <c r="R17" s="281"/>
      <c r="S17" s="342"/>
      <c r="T17" s="343"/>
      <c r="U17" s="342"/>
      <c r="V17" s="342"/>
      <c r="W17" s="344"/>
      <c r="X17" s="345"/>
      <c r="Y17" s="283"/>
      <c r="Z17" s="346"/>
      <c r="AA17" s="347"/>
      <c r="AB17" s="278"/>
    </row>
    <row r="18" spans="1:28" ht="21" customHeight="1">
      <c r="A18" s="280"/>
      <c r="B18" s="281"/>
      <c r="C18" s="282"/>
      <c r="D18" s="281"/>
      <c r="E18" s="337"/>
      <c r="F18" s="354"/>
      <c r="G18" s="281"/>
      <c r="H18" s="338"/>
      <c r="I18" s="339"/>
      <c r="J18" s="303"/>
      <c r="K18" s="278"/>
      <c r="L18" s="287"/>
      <c r="M18" s="292"/>
      <c r="N18" s="340" t="str">
        <f t="shared" si="0"/>
        <v/>
      </c>
      <c r="O18" s="289"/>
      <c r="P18" s="341"/>
      <c r="Q18" s="363"/>
      <c r="R18" s="281"/>
      <c r="S18" s="342"/>
      <c r="T18" s="343"/>
      <c r="U18" s="342"/>
      <c r="V18" s="342"/>
      <c r="W18" s="344"/>
      <c r="X18" s="345"/>
      <c r="Y18" s="283"/>
      <c r="Z18" s="346"/>
      <c r="AA18" s="347"/>
      <c r="AB18" s="278"/>
    </row>
    <row r="19" spans="1:28" ht="21" customHeight="1">
      <c r="A19" s="280"/>
      <c r="B19" s="281"/>
      <c r="C19" s="282"/>
      <c r="D19" s="281"/>
      <c r="E19" s="337"/>
      <c r="F19" s="302"/>
      <c r="G19" s="281"/>
      <c r="H19" s="338"/>
      <c r="I19" s="339"/>
      <c r="J19" s="303"/>
      <c r="K19" s="278"/>
      <c r="L19" s="287"/>
      <c r="M19" s="292"/>
      <c r="N19" s="340" t="str">
        <f t="shared" si="0"/>
        <v/>
      </c>
      <c r="O19" s="289"/>
      <c r="P19" s="341"/>
      <c r="Q19" s="337"/>
      <c r="R19" s="281"/>
      <c r="S19" s="342"/>
      <c r="T19" s="343"/>
      <c r="U19" s="342"/>
      <c r="V19" s="342"/>
      <c r="W19" s="344"/>
      <c r="X19" s="345"/>
      <c r="Y19" s="283"/>
      <c r="Z19" s="367"/>
      <c r="AA19" s="347"/>
      <c r="AB19" s="278"/>
    </row>
    <row r="20" spans="1:28" ht="21" customHeight="1">
      <c r="A20" s="306"/>
      <c r="B20" s="281"/>
      <c r="C20" s="282"/>
      <c r="D20" s="281"/>
      <c r="E20" s="337"/>
      <c r="F20" s="302"/>
      <c r="G20" s="281"/>
      <c r="H20" s="338"/>
      <c r="I20" s="339"/>
      <c r="J20" s="303"/>
      <c r="K20" s="278"/>
      <c r="L20" s="287"/>
      <c r="M20" s="292"/>
      <c r="N20" s="340" t="str">
        <f t="shared" si="0"/>
        <v/>
      </c>
      <c r="O20" s="289"/>
      <c r="P20" s="341"/>
      <c r="Q20" s="337"/>
      <c r="R20" s="281"/>
      <c r="S20" s="368"/>
      <c r="T20" s="369"/>
      <c r="U20" s="368"/>
      <c r="V20" s="369"/>
      <c r="W20" s="344"/>
      <c r="X20" s="345"/>
      <c r="Y20" s="283"/>
      <c r="Z20" s="370"/>
      <c r="AA20" s="347"/>
      <c r="AB20" s="278"/>
    </row>
    <row r="21" spans="1:28" s="308" customFormat="1" ht="40.5" customHeight="1">
      <c r="E21" s="309"/>
      <c r="F21" s="310"/>
      <c r="G21" s="310"/>
      <c r="H21" s="310"/>
      <c r="I21" s="310"/>
      <c r="J21" s="310"/>
      <c r="K21" s="310"/>
      <c r="L21" s="310"/>
      <c r="M21" s="311"/>
      <c r="N21" s="311"/>
      <c r="O21" s="312"/>
      <c r="P21" s="311"/>
      <c r="Q21" s="311"/>
      <c r="R21" s="371"/>
      <c r="S21" s="311"/>
      <c r="T21" s="311"/>
      <c r="U21" s="311"/>
      <c r="V21" s="311"/>
      <c r="W21" s="371"/>
      <c r="X21" s="372" t="s">
        <v>181</v>
      </c>
      <c r="Y21" s="372"/>
      <c r="Z21" s="372" t="s">
        <v>182</v>
      </c>
      <c r="AA21" s="372"/>
      <c r="AB21" s="273" t="s">
        <v>183</v>
      </c>
    </row>
    <row r="22" spans="1:28" s="308" customFormat="1" ht="28.5" customHeight="1">
      <c r="E22" s="310"/>
      <c r="F22" s="310"/>
      <c r="G22" s="310"/>
      <c r="H22" s="310"/>
      <c r="I22" s="310"/>
      <c r="J22" s="310"/>
      <c r="K22" s="310"/>
      <c r="L22" s="316"/>
      <c r="M22" s="272"/>
      <c r="N22" s="272"/>
      <c r="O22" s="317"/>
      <c r="P22" s="317"/>
      <c r="Q22" s="272"/>
      <c r="R22" s="373" t="e">
        <f>2-(5/SUM(#REF!))*2</f>
        <v>#REF!</v>
      </c>
      <c r="S22" s="319">
        <v>5</v>
      </c>
      <c r="T22" s="319">
        <f>5/27.5</f>
        <v>0.18181818181818182</v>
      </c>
      <c r="U22" s="319">
        <f>2-2*T22</f>
        <v>1.6363636363636362</v>
      </c>
      <c r="V22" s="272"/>
      <c r="W22" s="373"/>
      <c r="X22" s="374" t="s">
        <v>184</v>
      </c>
      <c r="Y22" s="374"/>
      <c r="Z22" s="375" t="s">
        <v>185</v>
      </c>
      <c r="AA22" s="375"/>
      <c r="AB22" s="273" t="s">
        <v>186</v>
      </c>
    </row>
    <row r="23" spans="1:28" ht="23.25" customHeight="1"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5"/>
      <c r="R23" s="373"/>
      <c r="S23" s="325"/>
      <c r="T23" s="325"/>
      <c r="U23" s="325"/>
      <c r="V23" s="325"/>
      <c r="W23" s="373"/>
      <c r="X23" s="376" t="s">
        <v>187</v>
      </c>
      <c r="Y23" s="376"/>
      <c r="Z23" s="376"/>
      <c r="AA23" s="376"/>
      <c r="AB23" s="376"/>
    </row>
    <row r="26" spans="1:28">
      <c r="T26" s="263">
        <f>2-5/27.5*2</f>
        <v>1.6363636363636362</v>
      </c>
    </row>
  </sheetData>
  <autoFilter ref="A6:AB23"/>
  <mergeCells count="26">
    <mergeCell ref="Z13:Z16"/>
    <mergeCell ref="X21:Y21"/>
    <mergeCell ref="Z21:AA21"/>
    <mergeCell ref="X22:Y22"/>
    <mergeCell ref="Z22:AA22"/>
    <mergeCell ref="X23:AB23"/>
    <mergeCell ref="Q13:Q16"/>
    <mergeCell ref="R13:R16"/>
    <mergeCell ref="S13:S16"/>
    <mergeCell ref="T13:T16"/>
    <mergeCell ref="U13:U16"/>
    <mergeCell ref="V13:V16"/>
    <mergeCell ref="Q8:Q11"/>
    <mergeCell ref="S8:S11"/>
    <mergeCell ref="T8:T11"/>
    <mergeCell ref="U8:U11"/>
    <mergeCell ref="V8:V11"/>
    <mergeCell ref="Z8:Z11"/>
    <mergeCell ref="B1:AB1"/>
    <mergeCell ref="B2:AB2"/>
    <mergeCell ref="B3:AB3"/>
    <mergeCell ref="B4:AB4"/>
    <mergeCell ref="A5:F5"/>
    <mergeCell ref="M5:N5"/>
    <mergeCell ref="Q5:R5"/>
    <mergeCell ref="Z5:AB5"/>
  </mergeCells>
  <conditionalFormatting sqref="N7">
    <cfRule type="cellIs" dxfId="20" priority="3" operator="lessThan">
      <formula>0.3</formula>
    </cfRule>
  </conditionalFormatting>
  <conditionalFormatting sqref="N19">
    <cfRule type="cellIs" dxfId="19" priority="5" operator="lessThan">
      <formula>0.3</formula>
    </cfRule>
  </conditionalFormatting>
  <conditionalFormatting sqref="N20">
    <cfRule type="cellIs" dxfId="18" priority="6" operator="lessThan">
      <formula>0.3</formula>
    </cfRule>
  </conditionalFormatting>
  <conditionalFormatting sqref="N8:N11">
    <cfRule type="cellIs" dxfId="17" priority="4" operator="lessThan">
      <formula>0.3</formula>
    </cfRule>
  </conditionalFormatting>
  <conditionalFormatting sqref="N13:N18">
    <cfRule type="cellIs" dxfId="16" priority="2" operator="lessThan">
      <formula>0.3</formula>
    </cfRule>
  </conditionalFormatting>
  <conditionalFormatting sqref="N12">
    <cfRule type="cellIs" dxfId="15" priority="1" operator="lessThan">
      <formula>0.3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25"/>
  <sheetViews>
    <sheetView showGridLines="0" zoomScale="85" zoomScaleNormal="85" zoomScaleSheetLayoutView="89" workbookViewId="0">
      <pane ySplit="6" topLeftCell="A7" activePane="bottomLeft" state="frozen"/>
      <selection activeCell="L26" sqref="L26"/>
      <selection pane="bottomLeft" activeCell="L26" sqref="L26"/>
    </sheetView>
  </sheetViews>
  <sheetFormatPr defaultRowHeight="14.25"/>
  <cols>
    <col min="1" max="1" width="11.7109375" style="263" customWidth="1"/>
    <col min="2" max="3" width="13.7109375" style="263" customWidth="1"/>
    <col min="4" max="4" width="18.5703125" style="263" customWidth="1"/>
    <col min="5" max="5" width="9.140625" style="263" customWidth="1"/>
    <col min="6" max="6" width="17.28515625" style="263" customWidth="1"/>
    <col min="7" max="7" width="8.28515625" style="263" customWidth="1"/>
    <col min="8" max="8" width="15" style="263" customWidth="1"/>
    <col min="9" max="9" width="16.28515625" style="263" customWidth="1"/>
    <col min="10" max="10" width="18.5703125" style="263" customWidth="1"/>
    <col min="11" max="11" width="11.5703125" style="263" customWidth="1"/>
    <col min="12" max="12" width="8.42578125" style="263" customWidth="1"/>
    <col min="13" max="13" width="9.140625" style="263"/>
    <col min="14" max="14" width="12.42578125" style="263" customWidth="1"/>
    <col min="15" max="15" width="9.7109375" style="263" customWidth="1"/>
    <col min="16" max="16" width="12.42578125" style="263" customWidth="1"/>
    <col min="17" max="17" width="19.7109375" style="263" customWidth="1"/>
    <col min="18" max="18" width="7.7109375" style="263" customWidth="1"/>
    <col min="19" max="26" width="9.5703125" style="263" customWidth="1"/>
    <col min="27" max="27" width="18.42578125" style="263" customWidth="1"/>
    <col min="28" max="268" width="9.140625" style="263"/>
    <col min="269" max="269" width="13.7109375" style="263" customWidth="1"/>
    <col min="270" max="270" width="18.5703125" style="263" customWidth="1"/>
    <col min="271" max="271" width="9.140625" style="263" customWidth="1"/>
    <col min="272" max="272" width="17.28515625" style="263" customWidth="1"/>
    <col min="273" max="273" width="11.42578125" style="263" customWidth="1"/>
    <col min="274" max="274" width="17.140625" style="263" customWidth="1"/>
    <col min="275" max="275" width="12" style="263" customWidth="1"/>
    <col min="276" max="276" width="17.140625" style="263" customWidth="1"/>
    <col min="277" max="277" width="8.85546875" style="263" customWidth="1"/>
    <col min="278" max="278" width="9.140625" style="263"/>
    <col min="279" max="279" width="12.42578125" style="263" customWidth="1"/>
    <col min="280" max="280" width="10.5703125" style="263" customWidth="1"/>
    <col min="281" max="281" width="10.85546875" style="263" customWidth="1"/>
    <col min="282" max="282" width="9.5703125" style="263" customWidth="1"/>
    <col min="283" max="283" width="9.85546875" style="263" customWidth="1"/>
    <col min="284" max="524" width="9.140625" style="263"/>
    <col min="525" max="525" width="13.7109375" style="263" customWidth="1"/>
    <col min="526" max="526" width="18.5703125" style="263" customWidth="1"/>
    <col min="527" max="527" width="9.140625" style="263" customWidth="1"/>
    <col min="528" max="528" width="17.28515625" style="263" customWidth="1"/>
    <col min="529" max="529" width="11.42578125" style="263" customWidth="1"/>
    <col min="530" max="530" width="17.140625" style="263" customWidth="1"/>
    <col min="531" max="531" width="12" style="263" customWidth="1"/>
    <col min="532" max="532" width="17.140625" style="263" customWidth="1"/>
    <col min="533" max="533" width="8.85546875" style="263" customWidth="1"/>
    <col min="534" max="534" width="9.140625" style="263"/>
    <col min="535" max="535" width="12.42578125" style="263" customWidth="1"/>
    <col min="536" max="536" width="10.5703125" style="263" customWidth="1"/>
    <col min="537" max="537" width="10.85546875" style="263" customWidth="1"/>
    <col min="538" max="538" width="9.5703125" style="263" customWidth="1"/>
    <col min="539" max="539" width="9.85546875" style="263" customWidth="1"/>
    <col min="540" max="780" width="9.140625" style="263"/>
    <col min="781" max="781" width="13.7109375" style="263" customWidth="1"/>
    <col min="782" max="782" width="18.5703125" style="263" customWidth="1"/>
    <col min="783" max="783" width="9.140625" style="263" customWidth="1"/>
    <col min="784" max="784" width="17.28515625" style="263" customWidth="1"/>
    <col min="785" max="785" width="11.42578125" style="263" customWidth="1"/>
    <col min="786" max="786" width="17.140625" style="263" customWidth="1"/>
    <col min="787" max="787" width="12" style="263" customWidth="1"/>
    <col min="788" max="788" width="17.140625" style="263" customWidth="1"/>
    <col min="789" max="789" width="8.85546875" style="263" customWidth="1"/>
    <col min="790" max="790" width="9.140625" style="263"/>
    <col min="791" max="791" width="12.42578125" style="263" customWidth="1"/>
    <col min="792" max="792" width="10.5703125" style="263" customWidth="1"/>
    <col min="793" max="793" width="10.85546875" style="263" customWidth="1"/>
    <col min="794" max="794" width="9.5703125" style="263" customWidth="1"/>
    <col min="795" max="795" width="9.85546875" style="263" customWidth="1"/>
    <col min="796" max="1036" width="9.140625" style="263"/>
    <col min="1037" max="1037" width="13.7109375" style="263" customWidth="1"/>
    <col min="1038" max="1038" width="18.5703125" style="263" customWidth="1"/>
    <col min="1039" max="1039" width="9.140625" style="263" customWidth="1"/>
    <col min="1040" max="1040" width="17.28515625" style="263" customWidth="1"/>
    <col min="1041" max="1041" width="11.42578125" style="263" customWidth="1"/>
    <col min="1042" max="1042" width="17.140625" style="263" customWidth="1"/>
    <col min="1043" max="1043" width="12" style="263" customWidth="1"/>
    <col min="1044" max="1044" width="17.140625" style="263" customWidth="1"/>
    <col min="1045" max="1045" width="8.85546875" style="263" customWidth="1"/>
    <col min="1046" max="1046" width="9.140625" style="263"/>
    <col min="1047" max="1047" width="12.42578125" style="263" customWidth="1"/>
    <col min="1048" max="1048" width="10.5703125" style="263" customWidth="1"/>
    <col min="1049" max="1049" width="10.85546875" style="263" customWidth="1"/>
    <col min="1050" max="1050" width="9.5703125" style="263" customWidth="1"/>
    <col min="1051" max="1051" width="9.85546875" style="263" customWidth="1"/>
    <col min="1052" max="1292" width="9.140625" style="263"/>
    <col min="1293" max="1293" width="13.7109375" style="263" customWidth="1"/>
    <col min="1294" max="1294" width="18.5703125" style="263" customWidth="1"/>
    <col min="1295" max="1295" width="9.140625" style="263" customWidth="1"/>
    <col min="1296" max="1296" width="17.28515625" style="263" customWidth="1"/>
    <col min="1297" max="1297" width="11.42578125" style="263" customWidth="1"/>
    <col min="1298" max="1298" width="17.140625" style="263" customWidth="1"/>
    <col min="1299" max="1299" width="12" style="263" customWidth="1"/>
    <col min="1300" max="1300" width="17.140625" style="263" customWidth="1"/>
    <col min="1301" max="1301" width="8.85546875" style="263" customWidth="1"/>
    <col min="1302" max="1302" width="9.140625" style="263"/>
    <col min="1303" max="1303" width="12.42578125" style="263" customWidth="1"/>
    <col min="1304" max="1304" width="10.5703125" style="263" customWidth="1"/>
    <col min="1305" max="1305" width="10.85546875" style="263" customWidth="1"/>
    <col min="1306" max="1306" width="9.5703125" style="263" customWidth="1"/>
    <col min="1307" max="1307" width="9.85546875" style="263" customWidth="1"/>
    <col min="1308" max="1548" width="9.140625" style="263"/>
    <col min="1549" max="1549" width="13.7109375" style="263" customWidth="1"/>
    <col min="1550" max="1550" width="18.5703125" style="263" customWidth="1"/>
    <col min="1551" max="1551" width="9.140625" style="263" customWidth="1"/>
    <col min="1552" max="1552" width="17.28515625" style="263" customWidth="1"/>
    <col min="1553" max="1553" width="11.42578125" style="263" customWidth="1"/>
    <col min="1554" max="1554" width="17.140625" style="263" customWidth="1"/>
    <col min="1555" max="1555" width="12" style="263" customWidth="1"/>
    <col min="1556" max="1556" width="17.140625" style="263" customWidth="1"/>
    <col min="1557" max="1557" width="8.85546875" style="263" customWidth="1"/>
    <col min="1558" max="1558" width="9.140625" style="263"/>
    <col min="1559" max="1559" width="12.42578125" style="263" customWidth="1"/>
    <col min="1560" max="1560" width="10.5703125" style="263" customWidth="1"/>
    <col min="1561" max="1561" width="10.85546875" style="263" customWidth="1"/>
    <col min="1562" max="1562" width="9.5703125" style="263" customWidth="1"/>
    <col min="1563" max="1563" width="9.85546875" style="263" customWidth="1"/>
    <col min="1564" max="1804" width="9.140625" style="263"/>
    <col min="1805" max="1805" width="13.7109375" style="263" customWidth="1"/>
    <col min="1806" max="1806" width="18.5703125" style="263" customWidth="1"/>
    <col min="1807" max="1807" width="9.140625" style="263" customWidth="1"/>
    <col min="1808" max="1808" width="17.28515625" style="263" customWidth="1"/>
    <col min="1809" max="1809" width="11.42578125" style="263" customWidth="1"/>
    <col min="1810" max="1810" width="17.140625" style="263" customWidth="1"/>
    <col min="1811" max="1811" width="12" style="263" customWidth="1"/>
    <col min="1812" max="1812" width="17.140625" style="263" customWidth="1"/>
    <col min="1813" max="1813" width="8.85546875" style="263" customWidth="1"/>
    <col min="1814" max="1814" width="9.140625" style="263"/>
    <col min="1815" max="1815" width="12.42578125" style="263" customWidth="1"/>
    <col min="1816" max="1816" width="10.5703125" style="263" customWidth="1"/>
    <col min="1817" max="1817" width="10.85546875" style="263" customWidth="1"/>
    <col min="1818" max="1818" width="9.5703125" style="263" customWidth="1"/>
    <col min="1819" max="1819" width="9.85546875" style="263" customWidth="1"/>
    <col min="1820" max="2060" width="9.140625" style="263"/>
    <col min="2061" max="2061" width="13.7109375" style="263" customWidth="1"/>
    <col min="2062" max="2062" width="18.5703125" style="263" customWidth="1"/>
    <col min="2063" max="2063" width="9.140625" style="263" customWidth="1"/>
    <col min="2064" max="2064" width="17.28515625" style="263" customWidth="1"/>
    <col min="2065" max="2065" width="11.42578125" style="263" customWidth="1"/>
    <col min="2066" max="2066" width="17.140625" style="263" customWidth="1"/>
    <col min="2067" max="2067" width="12" style="263" customWidth="1"/>
    <col min="2068" max="2068" width="17.140625" style="263" customWidth="1"/>
    <col min="2069" max="2069" width="8.85546875" style="263" customWidth="1"/>
    <col min="2070" max="2070" width="9.140625" style="263"/>
    <col min="2071" max="2071" width="12.42578125" style="263" customWidth="1"/>
    <col min="2072" max="2072" width="10.5703125" style="263" customWidth="1"/>
    <col min="2073" max="2073" width="10.85546875" style="263" customWidth="1"/>
    <col min="2074" max="2074" width="9.5703125" style="263" customWidth="1"/>
    <col min="2075" max="2075" width="9.85546875" style="263" customWidth="1"/>
    <col min="2076" max="2316" width="9.140625" style="263"/>
    <col min="2317" max="2317" width="13.7109375" style="263" customWidth="1"/>
    <col min="2318" max="2318" width="18.5703125" style="263" customWidth="1"/>
    <col min="2319" max="2319" width="9.140625" style="263" customWidth="1"/>
    <col min="2320" max="2320" width="17.28515625" style="263" customWidth="1"/>
    <col min="2321" max="2321" width="11.42578125" style="263" customWidth="1"/>
    <col min="2322" max="2322" width="17.140625" style="263" customWidth="1"/>
    <col min="2323" max="2323" width="12" style="263" customWidth="1"/>
    <col min="2324" max="2324" width="17.140625" style="263" customWidth="1"/>
    <col min="2325" max="2325" width="8.85546875" style="263" customWidth="1"/>
    <col min="2326" max="2326" width="9.140625" style="263"/>
    <col min="2327" max="2327" width="12.42578125" style="263" customWidth="1"/>
    <col min="2328" max="2328" width="10.5703125" style="263" customWidth="1"/>
    <col min="2329" max="2329" width="10.85546875" style="263" customWidth="1"/>
    <col min="2330" max="2330" width="9.5703125" style="263" customWidth="1"/>
    <col min="2331" max="2331" width="9.85546875" style="263" customWidth="1"/>
    <col min="2332" max="2572" width="9.140625" style="263"/>
    <col min="2573" max="2573" width="13.7109375" style="263" customWidth="1"/>
    <col min="2574" max="2574" width="18.5703125" style="263" customWidth="1"/>
    <col min="2575" max="2575" width="9.140625" style="263" customWidth="1"/>
    <col min="2576" max="2576" width="17.28515625" style="263" customWidth="1"/>
    <col min="2577" max="2577" width="11.42578125" style="263" customWidth="1"/>
    <col min="2578" max="2578" width="17.140625" style="263" customWidth="1"/>
    <col min="2579" max="2579" width="12" style="263" customWidth="1"/>
    <col min="2580" max="2580" width="17.140625" style="263" customWidth="1"/>
    <col min="2581" max="2581" width="8.85546875" style="263" customWidth="1"/>
    <col min="2582" max="2582" width="9.140625" style="263"/>
    <col min="2583" max="2583" width="12.42578125" style="263" customWidth="1"/>
    <col min="2584" max="2584" width="10.5703125" style="263" customWidth="1"/>
    <col min="2585" max="2585" width="10.85546875" style="263" customWidth="1"/>
    <col min="2586" max="2586" width="9.5703125" style="263" customWidth="1"/>
    <col min="2587" max="2587" width="9.85546875" style="263" customWidth="1"/>
    <col min="2588" max="2828" width="9.140625" style="263"/>
    <col min="2829" max="2829" width="13.7109375" style="263" customWidth="1"/>
    <col min="2830" max="2830" width="18.5703125" style="263" customWidth="1"/>
    <col min="2831" max="2831" width="9.140625" style="263" customWidth="1"/>
    <col min="2832" max="2832" width="17.28515625" style="263" customWidth="1"/>
    <col min="2833" max="2833" width="11.42578125" style="263" customWidth="1"/>
    <col min="2834" max="2834" width="17.140625" style="263" customWidth="1"/>
    <col min="2835" max="2835" width="12" style="263" customWidth="1"/>
    <col min="2836" max="2836" width="17.140625" style="263" customWidth="1"/>
    <col min="2837" max="2837" width="8.85546875" style="263" customWidth="1"/>
    <col min="2838" max="2838" width="9.140625" style="263"/>
    <col min="2839" max="2839" width="12.42578125" style="263" customWidth="1"/>
    <col min="2840" max="2840" width="10.5703125" style="263" customWidth="1"/>
    <col min="2841" max="2841" width="10.85546875" style="263" customWidth="1"/>
    <col min="2842" max="2842" width="9.5703125" style="263" customWidth="1"/>
    <col min="2843" max="2843" width="9.85546875" style="263" customWidth="1"/>
    <col min="2844" max="3084" width="9.140625" style="263"/>
    <col min="3085" max="3085" width="13.7109375" style="263" customWidth="1"/>
    <col min="3086" max="3086" width="18.5703125" style="263" customWidth="1"/>
    <col min="3087" max="3087" width="9.140625" style="263" customWidth="1"/>
    <col min="3088" max="3088" width="17.28515625" style="263" customWidth="1"/>
    <col min="3089" max="3089" width="11.42578125" style="263" customWidth="1"/>
    <col min="3090" max="3090" width="17.140625" style="263" customWidth="1"/>
    <col min="3091" max="3091" width="12" style="263" customWidth="1"/>
    <col min="3092" max="3092" width="17.140625" style="263" customWidth="1"/>
    <col min="3093" max="3093" width="8.85546875" style="263" customWidth="1"/>
    <col min="3094" max="3094" width="9.140625" style="263"/>
    <col min="3095" max="3095" width="12.42578125" style="263" customWidth="1"/>
    <col min="3096" max="3096" width="10.5703125" style="263" customWidth="1"/>
    <col min="3097" max="3097" width="10.85546875" style="263" customWidth="1"/>
    <col min="3098" max="3098" width="9.5703125" style="263" customWidth="1"/>
    <col min="3099" max="3099" width="9.85546875" style="263" customWidth="1"/>
    <col min="3100" max="3340" width="9.140625" style="263"/>
    <col min="3341" max="3341" width="13.7109375" style="263" customWidth="1"/>
    <col min="3342" max="3342" width="18.5703125" style="263" customWidth="1"/>
    <col min="3343" max="3343" width="9.140625" style="263" customWidth="1"/>
    <col min="3344" max="3344" width="17.28515625" style="263" customWidth="1"/>
    <col min="3345" max="3345" width="11.42578125" style="263" customWidth="1"/>
    <col min="3346" max="3346" width="17.140625" style="263" customWidth="1"/>
    <col min="3347" max="3347" width="12" style="263" customWidth="1"/>
    <col min="3348" max="3348" width="17.140625" style="263" customWidth="1"/>
    <col min="3349" max="3349" width="8.85546875" style="263" customWidth="1"/>
    <col min="3350" max="3350" width="9.140625" style="263"/>
    <col min="3351" max="3351" width="12.42578125" style="263" customWidth="1"/>
    <col min="3352" max="3352" width="10.5703125" style="263" customWidth="1"/>
    <col min="3353" max="3353" width="10.85546875" style="263" customWidth="1"/>
    <col min="3354" max="3354" width="9.5703125" style="263" customWidth="1"/>
    <col min="3355" max="3355" width="9.85546875" style="263" customWidth="1"/>
    <col min="3356" max="3596" width="9.140625" style="263"/>
    <col min="3597" max="3597" width="13.7109375" style="263" customWidth="1"/>
    <col min="3598" max="3598" width="18.5703125" style="263" customWidth="1"/>
    <col min="3599" max="3599" width="9.140625" style="263" customWidth="1"/>
    <col min="3600" max="3600" width="17.28515625" style="263" customWidth="1"/>
    <col min="3601" max="3601" width="11.42578125" style="263" customWidth="1"/>
    <col min="3602" max="3602" width="17.140625" style="263" customWidth="1"/>
    <col min="3603" max="3603" width="12" style="263" customWidth="1"/>
    <col min="3604" max="3604" width="17.140625" style="263" customWidth="1"/>
    <col min="3605" max="3605" width="8.85546875" style="263" customWidth="1"/>
    <col min="3606" max="3606" width="9.140625" style="263"/>
    <col min="3607" max="3607" width="12.42578125" style="263" customWidth="1"/>
    <col min="3608" max="3608" width="10.5703125" style="263" customWidth="1"/>
    <col min="3609" max="3609" width="10.85546875" style="263" customWidth="1"/>
    <col min="3610" max="3610" width="9.5703125" style="263" customWidth="1"/>
    <col min="3611" max="3611" width="9.85546875" style="263" customWidth="1"/>
    <col min="3612" max="3852" width="9.140625" style="263"/>
    <col min="3853" max="3853" width="13.7109375" style="263" customWidth="1"/>
    <col min="3854" max="3854" width="18.5703125" style="263" customWidth="1"/>
    <col min="3855" max="3855" width="9.140625" style="263" customWidth="1"/>
    <col min="3856" max="3856" width="17.28515625" style="263" customWidth="1"/>
    <col min="3857" max="3857" width="11.42578125" style="263" customWidth="1"/>
    <col min="3858" max="3858" width="17.140625" style="263" customWidth="1"/>
    <col min="3859" max="3859" width="12" style="263" customWidth="1"/>
    <col min="3860" max="3860" width="17.140625" style="263" customWidth="1"/>
    <col min="3861" max="3861" width="8.85546875" style="263" customWidth="1"/>
    <col min="3862" max="3862" width="9.140625" style="263"/>
    <col min="3863" max="3863" width="12.42578125" style="263" customWidth="1"/>
    <col min="3864" max="3864" width="10.5703125" style="263" customWidth="1"/>
    <col min="3865" max="3865" width="10.85546875" style="263" customWidth="1"/>
    <col min="3866" max="3866" width="9.5703125" style="263" customWidth="1"/>
    <col min="3867" max="3867" width="9.85546875" style="263" customWidth="1"/>
    <col min="3868" max="4108" width="9.140625" style="263"/>
    <col min="4109" max="4109" width="13.7109375" style="263" customWidth="1"/>
    <col min="4110" max="4110" width="18.5703125" style="263" customWidth="1"/>
    <col min="4111" max="4111" width="9.140625" style="263" customWidth="1"/>
    <col min="4112" max="4112" width="17.28515625" style="263" customWidth="1"/>
    <col min="4113" max="4113" width="11.42578125" style="263" customWidth="1"/>
    <col min="4114" max="4114" width="17.140625" style="263" customWidth="1"/>
    <col min="4115" max="4115" width="12" style="263" customWidth="1"/>
    <col min="4116" max="4116" width="17.140625" style="263" customWidth="1"/>
    <col min="4117" max="4117" width="8.85546875" style="263" customWidth="1"/>
    <col min="4118" max="4118" width="9.140625" style="263"/>
    <col min="4119" max="4119" width="12.42578125" style="263" customWidth="1"/>
    <col min="4120" max="4120" width="10.5703125" style="263" customWidth="1"/>
    <col min="4121" max="4121" width="10.85546875" style="263" customWidth="1"/>
    <col min="4122" max="4122" width="9.5703125" style="263" customWidth="1"/>
    <col min="4123" max="4123" width="9.85546875" style="263" customWidth="1"/>
    <col min="4124" max="4364" width="9.140625" style="263"/>
    <col min="4365" max="4365" width="13.7109375" style="263" customWidth="1"/>
    <col min="4366" max="4366" width="18.5703125" style="263" customWidth="1"/>
    <col min="4367" max="4367" width="9.140625" style="263" customWidth="1"/>
    <col min="4368" max="4368" width="17.28515625" style="263" customWidth="1"/>
    <col min="4369" max="4369" width="11.42578125" style="263" customWidth="1"/>
    <col min="4370" max="4370" width="17.140625" style="263" customWidth="1"/>
    <col min="4371" max="4371" width="12" style="263" customWidth="1"/>
    <col min="4372" max="4372" width="17.140625" style="263" customWidth="1"/>
    <col min="4373" max="4373" width="8.85546875" style="263" customWidth="1"/>
    <col min="4374" max="4374" width="9.140625" style="263"/>
    <col min="4375" max="4375" width="12.42578125" style="263" customWidth="1"/>
    <col min="4376" max="4376" width="10.5703125" style="263" customWidth="1"/>
    <col min="4377" max="4377" width="10.85546875" style="263" customWidth="1"/>
    <col min="4378" max="4378" width="9.5703125" style="263" customWidth="1"/>
    <col min="4379" max="4379" width="9.85546875" style="263" customWidth="1"/>
    <col min="4380" max="4620" width="9.140625" style="263"/>
    <col min="4621" max="4621" width="13.7109375" style="263" customWidth="1"/>
    <col min="4622" max="4622" width="18.5703125" style="263" customWidth="1"/>
    <col min="4623" max="4623" width="9.140625" style="263" customWidth="1"/>
    <col min="4624" max="4624" width="17.28515625" style="263" customWidth="1"/>
    <col min="4625" max="4625" width="11.42578125" style="263" customWidth="1"/>
    <col min="4626" max="4626" width="17.140625" style="263" customWidth="1"/>
    <col min="4627" max="4627" width="12" style="263" customWidth="1"/>
    <col min="4628" max="4628" width="17.140625" style="263" customWidth="1"/>
    <col min="4629" max="4629" width="8.85546875" style="263" customWidth="1"/>
    <col min="4630" max="4630" width="9.140625" style="263"/>
    <col min="4631" max="4631" width="12.42578125" style="263" customWidth="1"/>
    <col min="4632" max="4632" width="10.5703125" style="263" customWidth="1"/>
    <col min="4633" max="4633" width="10.85546875" style="263" customWidth="1"/>
    <col min="4634" max="4634" width="9.5703125" style="263" customWidth="1"/>
    <col min="4635" max="4635" width="9.85546875" style="263" customWidth="1"/>
    <col min="4636" max="4876" width="9.140625" style="263"/>
    <col min="4877" max="4877" width="13.7109375" style="263" customWidth="1"/>
    <col min="4878" max="4878" width="18.5703125" style="263" customWidth="1"/>
    <col min="4879" max="4879" width="9.140625" style="263" customWidth="1"/>
    <col min="4880" max="4880" width="17.28515625" style="263" customWidth="1"/>
    <col min="4881" max="4881" width="11.42578125" style="263" customWidth="1"/>
    <col min="4882" max="4882" width="17.140625" style="263" customWidth="1"/>
    <col min="4883" max="4883" width="12" style="263" customWidth="1"/>
    <col min="4884" max="4884" width="17.140625" style="263" customWidth="1"/>
    <col min="4885" max="4885" width="8.85546875" style="263" customWidth="1"/>
    <col min="4886" max="4886" width="9.140625" style="263"/>
    <col min="4887" max="4887" width="12.42578125" style="263" customWidth="1"/>
    <col min="4888" max="4888" width="10.5703125" style="263" customWidth="1"/>
    <col min="4889" max="4889" width="10.85546875" style="263" customWidth="1"/>
    <col min="4890" max="4890" width="9.5703125" style="263" customWidth="1"/>
    <col min="4891" max="4891" width="9.85546875" style="263" customWidth="1"/>
    <col min="4892" max="5132" width="9.140625" style="263"/>
    <col min="5133" max="5133" width="13.7109375" style="263" customWidth="1"/>
    <col min="5134" max="5134" width="18.5703125" style="263" customWidth="1"/>
    <col min="5135" max="5135" width="9.140625" style="263" customWidth="1"/>
    <col min="5136" max="5136" width="17.28515625" style="263" customWidth="1"/>
    <col min="5137" max="5137" width="11.42578125" style="263" customWidth="1"/>
    <col min="5138" max="5138" width="17.140625" style="263" customWidth="1"/>
    <col min="5139" max="5139" width="12" style="263" customWidth="1"/>
    <col min="5140" max="5140" width="17.140625" style="263" customWidth="1"/>
    <col min="5141" max="5141" width="8.85546875" style="263" customWidth="1"/>
    <col min="5142" max="5142" width="9.140625" style="263"/>
    <col min="5143" max="5143" width="12.42578125" style="263" customWidth="1"/>
    <col min="5144" max="5144" width="10.5703125" style="263" customWidth="1"/>
    <col min="5145" max="5145" width="10.85546875" style="263" customWidth="1"/>
    <col min="5146" max="5146" width="9.5703125" style="263" customWidth="1"/>
    <col min="5147" max="5147" width="9.85546875" style="263" customWidth="1"/>
    <col min="5148" max="5388" width="9.140625" style="263"/>
    <col min="5389" max="5389" width="13.7109375" style="263" customWidth="1"/>
    <col min="5390" max="5390" width="18.5703125" style="263" customWidth="1"/>
    <col min="5391" max="5391" width="9.140625" style="263" customWidth="1"/>
    <col min="5392" max="5392" width="17.28515625" style="263" customWidth="1"/>
    <col min="5393" max="5393" width="11.42578125" style="263" customWidth="1"/>
    <col min="5394" max="5394" width="17.140625" style="263" customWidth="1"/>
    <col min="5395" max="5395" width="12" style="263" customWidth="1"/>
    <col min="5396" max="5396" width="17.140625" style="263" customWidth="1"/>
    <col min="5397" max="5397" width="8.85546875" style="263" customWidth="1"/>
    <col min="5398" max="5398" width="9.140625" style="263"/>
    <col min="5399" max="5399" width="12.42578125" style="263" customWidth="1"/>
    <col min="5400" max="5400" width="10.5703125" style="263" customWidth="1"/>
    <col min="5401" max="5401" width="10.85546875" style="263" customWidth="1"/>
    <col min="5402" max="5402" width="9.5703125" style="263" customWidth="1"/>
    <col min="5403" max="5403" width="9.85546875" style="263" customWidth="1"/>
    <col min="5404" max="5644" width="9.140625" style="263"/>
    <col min="5645" max="5645" width="13.7109375" style="263" customWidth="1"/>
    <col min="5646" max="5646" width="18.5703125" style="263" customWidth="1"/>
    <col min="5647" max="5647" width="9.140625" style="263" customWidth="1"/>
    <col min="5648" max="5648" width="17.28515625" style="263" customWidth="1"/>
    <col min="5649" max="5649" width="11.42578125" style="263" customWidth="1"/>
    <col min="5650" max="5650" width="17.140625" style="263" customWidth="1"/>
    <col min="5651" max="5651" width="12" style="263" customWidth="1"/>
    <col min="5652" max="5652" width="17.140625" style="263" customWidth="1"/>
    <col min="5653" max="5653" width="8.85546875" style="263" customWidth="1"/>
    <col min="5654" max="5654" width="9.140625" style="263"/>
    <col min="5655" max="5655" width="12.42578125" style="263" customWidth="1"/>
    <col min="5656" max="5656" width="10.5703125" style="263" customWidth="1"/>
    <col min="5657" max="5657" width="10.85546875" style="263" customWidth="1"/>
    <col min="5658" max="5658" width="9.5703125" style="263" customWidth="1"/>
    <col min="5659" max="5659" width="9.85546875" style="263" customWidth="1"/>
    <col min="5660" max="5900" width="9.140625" style="263"/>
    <col min="5901" max="5901" width="13.7109375" style="263" customWidth="1"/>
    <col min="5902" max="5902" width="18.5703125" style="263" customWidth="1"/>
    <col min="5903" max="5903" width="9.140625" style="263" customWidth="1"/>
    <col min="5904" max="5904" width="17.28515625" style="263" customWidth="1"/>
    <col min="5905" max="5905" width="11.42578125" style="263" customWidth="1"/>
    <col min="5906" max="5906" width="17.140625" style="263" customWidth="1"/>
    <col min="5907" max="5907" width="12" style="263" customWidth="1"/>
    <col min="5908" max="5908" width="17.140625" style="263" customWidth="1"/>
    <col min="5909" max="5909" width="8.85546875" style="263" customWidth="1"/>
    <col min="5910" max="5910" width="9.140625" style="263"/>
    <col min="5911" max="5911" width="12.42578125" style="263" customWidth="1"/>
    <col min="5912" max="5912" width="10.5703125" style="263" customWidth="1"/>
    <col min="5913" max="5913" width="10.85546875" style="263" customWidth="1"/>
    <col min="5914" max="5914" width="9.5703125" style="263" customWidth="1"/>
    <col min="5915" max="5915" width="9.85546875" style="263" customWidth="1"/>
    <col min="5916" max="6156" width="9.140625" style="263"/>
    <col min="6157" max="6157" width="13.7109375" style="263" customWidth="1"/>
    <col min="6158" max="6158" width="18.5703125" style="263" customWidth="1"/>
    <col min="6159" max="6159" width="9.140625" style="263" customWidth="1"/>
    <col min="6160" max="6160" width="17.28515625" style="263" customWidth="1"/>
    <col min="6161" max="6161" width="11.42578125" style="263" customWidth="1"/>
    <col min="6162" max="6162" width="17.140625" style="263" customWidth="1"/>
    <col min="6163" max="6163" width="12" style="263" customWidth="1"/>
    <col min="6164" max="6164" width="17.140625" style="263" customWidth="1"/>
    <col min="6165" max="6165" width="8.85546875" style="263" customWidth="1"/>
    <col min="6166" max="6166" width="9.140625" style="263"/>
    <col min="6167" max="6167" width="12.42578125" style="263" customWidth="1"/>
    <col min="6168" max="6168" width="10.5703125" style="263" customWidth="1"/>
    <col min="6169" max="6169" width="10.85546875" style="263" customWidth="1"/>
    <col min="6170" max="6170" width="9.5703125" style="263" customWidth="1"/>
    <col min="6171" max="6171" width="9.85546875" style="263" customWidth="1"/>
    <col min="6172" max="6412" width="9.140625" style="263"/>
    <col min="6413" max="6413" width="13.7109375" style="263" customWidth="1"/>
    <col min="6414" max="6414" width="18.5703125" style="263" customWidth="1"/>
    <col min="6415" max="6415" width="9.140625" style="263" customWidth="1"/>
    <col min="6416" max="6416" width="17.28515625" style="263" customWidth="1"/>
    <col min="6417" max="6417" width="11.42578125" style="263" customWidth="1"/>
    <col min="6418" max="6418" width="17.140625" style="263" customWidth="1"/>
    <col min="6419" max="6419" width="12" style="263" customWidth="1"/>
    <col min="6420" max="6420" width="17.140625" style="263" customWidth="1"/>
    <col min="6421" max="6421" width="8.85546875" style="263" customWidth="1"/>
    <col min="6422" max="6422" width="9.140625" style="263"/>
    <col min="6423" max="6423" width="12.42578125" style="263" customWidth="1"/>
    <col min="6424" max="6424" width="10.5703125" style="263" customWidth="1"/>
    <col min="6425" max="6425" width="10.85546875" style="263" customWidth="1"/>
    <col min="6426" max="6426" width="9.5703125" style="263" customWidth="1"/>
    <col min="6427" max="6427" width="9.85546875" style="263" customWidth="1"/>
    <col min="6428" max="6668" width="9.140625" style="263"/>
    <col min="6669" max="6669" width="13.7109375" style="263" customWidth="1"/>
    <col min="6670" max="6670" width="18.5703125" style="263" customWidth="1"/>
    <col min="6671" max="6671" width="9.140625" style="263" customWidth="1"/>
    <col min="6672" max="6672" width="17.28515625" style="263" customWidth="1"/>
    <col min="6673" max="6673" width="11.42578125" style="263" customWidth="1"/>
    <col min="6674" max="6674" width="17.140625" style="263" customWidth="1"/>
    <col min="6675" max="6675" width="12" style="263" customWidth="1"/>
    <col min="6676" max="6676" width="17.140625" style="263" customWidth="1"/>
    <col min="6677" max="6677" width="8.85546875" style="263" customWidth="1"/>
    <col min="6678" max="6678" width="9.140625" style="263"/>
    <col min="6679" max="6679" width="12.42578125" style="263" customWidth="1"/>
    <col min="6680" max="6680" width="10.5703125" style="263" customWidth="1"/>
    <col min="6681" max="6681" width="10.85546875" style="263" customWidth="1"/>
    <col min="6682" max="6682" width="9.5703125" style="263" customWidth="1"/>
    <col min="6683" max="6683" width="9.85546875" style="263" customWidth="1"/>
    <col min="6684" max="6924" width="9.140625" style="263"/>
    <col min="6925" max="6925" width="13.7109375" style="263" customWidth="1"/>
    <col min="6926" max="6926" width="18.5703125" style="263" customWidth="1"/>
    <col min="6927" max="6927" width="9.140625" style="263" customWidth="1"/>
    <col min="6928" max="6928" width="17.28515625" style="263" customWidth="1"/>
    <col min="6929" max="6929" width="11.42578125" style="263" customWidth="1"/>
    <col min="6930" max="6930" width="17.140625" style="263" customWidth="1"/>
    <col min="6931" max="6931" width="12" style="263" customWidth="1"/>
    <col min="6932" max="6932" width="17.140625" style="263" customWidth="1"/>
    <col min="6933" max="6933" width="8.85546875" style="263" customWidth="1"/>
    <col min="6934" max="6934" width="9.140625" style="263"/>
    <col min="6935" max="6935" width="12.42578125" style="263" customWidth="1"/>
    <col min="6936" max="6936" width="10.5703125" style="263" customWidth="1"/>
    <col min="6937" max="6937" width="10.85546875" style="263" customWidth="1"/>
    <col min="6938" max="6938" width="9.5703125" style="263" customWidth="1"/>
    <col min="6939" max="6939" width="9.85546875" style="263" customWidth="1"/>
    <col min="6940" max="7180" width="9.140625" style="263"/>
    <col min="7181" max="7181" width="13.7109375" style="263" customWidth="1"/>
    <col min="7182" max="7182" width="18.5703125" style="263" customWidth="1"/>
    <col min="7183" max="7183" width="9.140625" style="263" customWidth="1"/>
    <col min="7184" max="7184" width="17.28515625" style="263" customWidth="1"/>
    <col min="7185" max="7185" width="11.42578125" style="263" customWidth="1"/>
    <col min="7186" max="7186" width="17.140625" style="263" customWidth="1"/>
    <col min="7187" max="7187" width="12" style="263" customWidth="1"/>
    <col min="7188" max="7188" width="17.140625" style="263" customWidth="1"/>
    <col min="7189" max="7189" width="8.85546875" style="263" customWidth="1"/>
    <col min="7190" max="7190" width="9.140625" style="263"/>
    <col min="7191" max="7191" width="12.42578125" style="263" customWidth="1"/>
    <col min="7192" max="7192" width="10.5703125" style="263" customWidth="1"/>
    <col min="7193" max="7193" width="10.85546875" style="263" customWidth="1"/>
    <col min="7194" max="7194" width="9.5703125" style="263" customWidth="1"/>
    <col min="7195" max="7195" width="9.85546875" style="263" customWidth="1"/>
    <col min="7196" max="7436" width="9.140625" style="263"/>
    <col min="7437" max="7437" width="13.7109375" style="263" customWidth="1"/>
    <col min="7438" max="7438" width="18.5703125" style="263" customWidth="1"/>
    <col min="7439" max="7439" width="9.140625" style="263" customWidth="1"/>
    <col min="7440" max="7440" width="17.28515625" style="263" customWidth="1"/>
    <col min="7441" max="7441" width="11.42578125" style="263" customWidth="1"/>
    <col min="7442" max="7442" width="17.140625" style="263" customWidth="1"/>
    <col min="7443" max="7443" width="12" style="263" customWidth="1"/>
    <col min="7444" max="7444" width="17.140625" style="263" customWidth="1"/>
    <col min="7445" max="7445" width="8.85546875" style="263" customWidth="1"/>
    <col min="7446" max="7446" width="9.140625" style="263"/>
    <col min="7447" max="7447" width="12.42578125" style="263" customWidth="1"/>
    <col min="7448" max="7448" width="10.5703125" style="263" customWidth="1"/>
    <col min="7449" max="7449" width="10.85546875" style="263" customWidth="1"/>
    <col min="7450" max="7450" width="9.5703125" style="263" customWidth="1"/>
    <col min="7451" max="7451" width="9.85546875" style="263" customWidth="1"/>
    <col min="7452" max="7692" width="9.140625" style="263"/>
    <col min="7693" max="7693" width="13.7109375" style="263" customWidth="1"/>
    <col min="7694" max="7694" width="18.5703125" style="263" customWidth="1"/>
    <col min="7695" max="7695" width="9.140625" style="263" customWidth="1"/>
    <col min="7696" max="7696" width="17.28515625" style="263" customWidth="1"/>
    <col min="7697" max="7697" width="11.42578125" style="263" customWidth="1"/>
    <col min="7698" max="7698" width="17.140625" style="263" customWidth="1"/>
    <col min="7699" max="7699" width="12" style="263" customWidth="1"/>
    <col min="7700" max="7700" width="17.140625" style="263" customWidth="1"/>
    <col min="7701" max="7701" width="8.85546875" style="263" customWidth="1"/>
    <col min="7702" max="7702" width="9.140625" style="263"/>
    <col min="7703" max="7703" width="12.42578125" style="263" customWidth="1"/>
    <col min="7704" max="7704" width="10.5703125" style="263" customWidth="1"/>
    <col min="7705" max="7705" width="10.85546875" style="263" customWidth="1"/>
    <col min="7706" max="7706" width="9.5703125" style="263" customWidth="1"/>
    <col min="7707" max="7707" width="9.85546875" style="263" customWidth="1"/>
    <col min="7708" max="7948" width="9.140625" style="263"/>
    <col min="7949" max="7949" width="13.7109375" style="263" customWidth="1"/>
    <col min="7950" max="7950" width="18.5703125" style="263" customWidth="1"/>
    <col min="7951" max="7951" width="9.140625" style="263" customWidth="1"/>
    <col min="7952" max="7952" width="17.28515625" style="263" customWidth="1"/>
    <col min="7953" max="7953" width="11.42578125" style="263" customWidth="1"/>
    <col min="7954" max="7954" width="17.140625" style="263" customWidth="1"/>
    <col min="7955" max="7955" width="12" style="263" customWidth="1"/>
    <col min="7956" max="7956" width="17.140625" style="263" customWidth="1"/>
    <col min="7957" max="7957" width="8.85546875" style="263" customWidth="1"/>
    <col min="7958" max="7958" width="9.140625" style="263"/>
    <col min="7959" max="7959" width="12.42578125" style="263" customWidth="1"/>
    <col min="7960" max="7960" width="10.5703125" style="263" customWidth="1"/>
    <col min="7961" max="7961" width="10.85546875" style="263" customWidth="1"/>
    <col min="7962" max="7962" width="9.5703125" style="263" customWidth="1"/>
    <col min="7963" max="7963" width="9.85546875" style="263" customWidth="1"/>
    <col min="7964" max="8204" width="9.140625" style="263"/>
    <col min="8205" max="8205" width="13.7109375" style="263" customWidth="1"/>
    <col min="8206" max="8206" width="18.5703125" style="263" customWidth="1"/>
    <col min="8207" max="8207" width="9.140625" style="263" customWidth="1"/>
    <col min="8208" max="8208" width="17.28515625" style="263" customWidth="1"/>
    <col min="8209" max="8209" width="11.42578125" style="263" customWidth="1"/>
    <col min="8210" max="8210" width="17.140625" style="263" customWidth="1"/>
    <col min="8211" max="8211" width="12" style="263" customWidth="1"/>
    <col min="8212" max="8212" width="17.140625" style="263" customWidth="1"/>
    <col min="8213" max="8213" width="8.85546875" style="263" customWidth="1"/>
    <col min="8214" max="8214" width="9.140625" style="263"/>
    <col min="8215" max="8215" width="12.42578125" style="263" customWidth="1"/>
    <col min="8216" max="8216" width="10.5703125" style="263" customWidth="1"/>
    <col min="8217" max="8217" width="10.85546875" style="263" customWidth="1"/>
    <col min="8218" max="8218" width="9.5703125" style="263" customWidth="1"/>
    <col min="8219" max="8219" width="9.85546875" style="263" customWidth="1"/>
    <col min="8220" max="8460" width="9.140625" style="263"/>
    <col min="8461" max="8461" width="13.7109375" style="263" customWidth="1"/>
    <col min="8462" max="8462" width="18.5703125" style="263" customWidth="1"/>
    <col min="8463" max="8463" width="9.140625" style="263" customWidth="1"/>
    <col min="8464" max="8464" width="17.28515625" style="263" customWidth="1"/>
    <col min="8465" max="8465" width="11.42578125" style="263" customWidth="1"/>
    <col min="8466" max="8466" width="17.140625" style="263" customWidth="1"/>
    <col min="8467" max="8467" width="12" style="263" customWidth="1"/>
    <col min="8468" max="8468" width="17.140625" style="263" customWidth="1"/>
    <col min="8469" max="8469" width="8.85546875" style="263" customWidth="1"/>
    <col min="8470" max="8470" width="9.140625" style="263"/>
    <col min="8471" max="8471" width="12.42578125" style="263" customWidth="1"/>
    <col min="8472" max="8472" width="10.5703125" style="263" customWidth="1"/>
    <col min="8473" max="8473" width="10.85546875" style="263" customWidth="1"/>
    <col min="8474" max="8474" width="9.5703125" style="263" customWidth="1"/>
    <col min="8475" max="8475" width="9.85546875" style="263" customWidth="1"/>
    <col min="8476" max="8716" width="9.140625" style="263"/>
    <col min="8717" max="8717" width="13.7109375" style="263" customWidth="1"/>
    <col min="8718" max="8718" width="18.5703125" style="263" customWidth="1"/>
    <col min="8719" max="8719" width="9.140625" style="263" customWidth="1"/>
    <col min="8720" max="8720" width="17.28515625" style="263" customWidth="1"/>
    <col min="8721" max="8721" width="11.42578125" style="263" customWidth="1"/>
    <col min="8722" max="8722" width="17.140625" style="263" customWidth="1"/>
    <col min="8723" max="8723" width="12" style="263" customWidth="1"/>
    <col min="8724" max="8724" width="17.140625" style="263" customWidth="1"/>
    <col min="8725" max="8725" width="8.85546875" style="263" customWidth="1"/>
    <col min="8726" max="8726" width="9.140625" style="263"/>
    <col min="8727" max="8727" width="12.42578125" style="263" customWidth="1"/>
    <col min="8728" max="8728" width="10.5703125" style="263" customWidth="1"/>
    <col min="8729" max="8729" width="10.85546875" style="263" customWidth="1"/>
    <col min="8730" max="8730" width="9.5703125" style="263" customWidth="1"/>
    <col min="8731" max="8731" width="9.85546875" style="263" customWidth="1"/>
    <col min="8732" max="8972" width="9.140625" style="263"/>
    <col min="8973" max="8973" width="13.7109375" style="263" customWidth="1"/>
    <col min="8974" max="8974" width="18.5703125" style="263" customWidth="1"/>
    <col min="8975" max="8975" width="9.140625" style="263" customWidth="1"/>
    <col min="8976" max="8976" width="17.28515625" style="263" customWidth="1"/>
    <col min="8977" max="8977" width="11.42578125" style="263" customWidth="1"/>
    <col min="8978" max="8978" width="17.140625" style="263" customWidth="1"/>
    <col min="8979" max="8979" width="12" style="263" customWidth="1"/>
    <col min="8980" max="8980" width="17.140625" style="263" customWidth="1"/>
    <col min="8981" max="8981" width="8.85546875" style="263" customWidth="1"/>
    <col min="8982" max="8982" width="9.140625" style="263"/>
    <col min="8983" max="8983" width="12.42578125" style="263" customWidth="1"/>
    <col min="8984" max="8984" width="10.5703125" style="263" customWidth="1"/>
    <col min="8985" max="8985" width="10.85546875" style="263" customWidth="1"/>
    <col min="8986" max="8986" width="9.5703125" style="263" customWidth="1"/>
    <col min="8987" max="8987" width="9.85546875" style="263" customWidth="1"/>
    <col min="8988" max="9228" width="9.140625" style="263"/>
    <col min="9229" max="9229" width="13.7109375" style="263" customWidth="1"/>
    <col min="9230" max="9230" width="18.5703125" style="263" customWidth="1"/>
    <col min="9231" max="9231" width="9.140625" style="263" customWidth="1"/>
    <col min="9232" max="9232" width="17.28515625" style="263" customWidth="1"/>
    <col min="9233" max="9233" width="11.42578125" style="263" customWidth="1"/>
    <col min="9234" max="9234" width="17.140625" style="263" customWidth="1"/>
    <col min="9235" max="9235" width="12" style="263" customWidth="1"/>
    <col min="9236" max="9236" width="17.140625" style="263" customWidth="1"/>
    <col min="9237" max="9237" width="8.85546875" style="263" customWidth="1"/>
    <col min="9238" max="9238" width="9.140625" style="263"/>
    <col min="9239" max="9239" width="12.42578125" style="263" customWidth="1"/>
    <col min="9240" max="9240" width="10.5703125" style="263" customWidth="1"/>
    <col min="9241" max="9241" width="10.85546875" style="263" customWidth="1"/>
    <col min="9242" max="9242" width="9.5703125" style="263" customWidth="1"/>
    <col min="9243" max="9243" width="9.85546875" style="263" customWidth="1"/>
    <col min="9244" max="9484" width="9.140625" style="263"/>
    <col min="9485" max="9485" width="13.7109375" style="263" customWidth="1"/>
    <col min="9486" max="9486" width="18.5703125" style="263" customWidth="1"/>
    <col min="9487" max="9487" width="9.140625" style="263" customWidth="1"/>
    <col min="9488" max="9488" width="17.28515625" style="263" customWidth="1"/>
    <col min="9489" max="9489" width="11.42578125" style="263" customWidth="1"/>
    <col min="9490" max="9490" width="17.140625" style="263" customWidth="1"/>
    <col min="9491" max="9491" width="12" style="263" customWidth="1"/>
    <col min="9492" max="9492" width="17.140625" style="263" customWidth="1"/>
    <col min="9493" max="9493" width="8.85546875" style="263" customWidth="1"/>
    <col min="9494" max="9494" width="9.140625" style="263"/>
    <col min="9495" max="9495" width="12.42578125" style="263" customWidth="1"/>
    <col min="9496" max="9496" width="10.5703125" style="263" customWidth="1"/>
    <col min="9497" max="9497" width="10.85546875" style="263" customWidth="1"/>
    <col min="9498" max="9498" width="9.5703125" style="263" customWidth="1"/>
    <col min="9499" max="9499" width="9.85546875" style="263" customWidth="1"/>
    <col min="9500" max="9740" width="9.140625" style="263"/>
    <col min="9741" max="9741" width="13.7109375" style="263" customWidth="1"/>
    <col min="9742" max="9742" width="18.5703125" style="263" customWidth="1"/>
    <col min="9743" max="9743" width="9.140625" style="263" customWidth="1"/>
    <col min="9744" max="9744" width="17.28515625" style="263" customWidth="1"/>
    <col min="9745" max="9745" width="11.42578125" style="263" customWidth="1"/>
    <col min="9746" max="9746" width="17.140625" style="263" customWidth="1"/>
    <col min="9747" max="9747" width="12" style="263" customWidth="1"/>
    <col min="9748" max="9748" width="17.140625" style="263" customWidth="1"/>
    <col min="9749" max="9749" width="8.85546875" style="263" customWidth="1"/>
    <col min="9750" max="9750" width="9.140625" style="263"/>
    <col min="9751" max="9751" width="12.42578125" style="263" customWidth="1"/>
    <col min="9752" max="9752" width="10.5703125" style="263" customWidth="1"/>
    <col min="9753" max="9753" width="10.85546875" style="263" customWidth="1"/>
    <col min="9754" max="9754" width="9.5703125" style="263" customWidth="1"/>
    <col min="9755" max="9755" width="9.85546875" style="263" customWidth="1"/>
    <col min="9756" max="9996" width="9.140625" style="263"/>
    <col min="9997" max="9997" width="13.7109375" style="263" customWidth="1"/>
    <col min="9998" max="9998" width="18.5703125" style="263" customWidth="1"/>
    <col min="9999" max="9999" width="9.140625" style="263" customWidth="1"/>
    <col min="10000" max="10000" width="17.28515625" style="263" customWidth="1"/>
    <col min="10001" max="10001" width="11.42578125" style="263" customWidth="1"/>
    <col min="10002" max="10002" width="17.140625" style="263" customWidth="1"/>
    <col min="10003" max="10003" width="12" style="263" customWidth="1"/>
    <col min="10004" max="10004" width="17.140625" style="263" customWidth="1"/>
    <col min="10005" max="10005" width="8.85546875" style="263" customWidth="1"/>
    <col min="10006" max="10006" width="9.140625" style="263"/>
    <col min="10007" max="10007" width="12.42578125" style="263" customWidth="1"/>
    <col min="10008" max="10008" width="10.5703125" style="263" customWidth="1"/>
    <col min="10009" max="10009" width="10.85546875" style="263" customWidth="1"/>
    <col min="10010" max="10010" width="9.5703125" style="263" customWidth="1"/>
    <col min="10011" max="10011" width="9.85546875" style="263" customWidth="1"/>
    <col min="10012" max="10252" width="9.140625" style="263"/>
    <col min="10253" max="10253" width="13.7109375" style="263" customWidth="1"/>
    <col min="10254" max="10254" width="18.5703125" style="263" customWidth="1"/>
    <col min="10255" max="10255" width="9.140625" style="263" customWidth="1"/>
    <col min="10256" max="10256" width="17.28515625" style="263" customWidth="1"/>
    <col min="10257" max="10257" width="11.42578125" style="263" customWidth="1"/>
    <col min="10258" max="10258" width="17.140625" style="263" customWidth="1"/>
    <col min="10259" max="10259" width="12" style="263" customWidth="1"/>
    <col min="10260" max="10260" width="17.140625" style="263" customWidth="1"/>
    <col min="10261" max="10261" width="8.85546875" style="263" customWidth="1"/>
    <col min="10262" max="10262" width="9.140625" style="263"/>
    <col min="10263" max="10263" width="12.42578125" style="263" customWidth="1"/>
    <col min="10264" max="10264" width="10.5703125" style="263" customWidth="1"/>
    <col min="10265" max="10265" width="10.85546875" style="263" customWidth="1"/>
    <col min="10266" max="10266" width="9.5703125" style="263" customWidth="1"/>
    <col min="10267" max="10267" width="9.85546875" style="263" customWidth="1"/>
    <col min="10268" max="10508" width="9.140625" style="263"/>
    <col min="10509" max="10509" width="13.7109375" style="263" customWidth="1"/>
    <col min="10510" max="10510" width="18.5703125" style="263" customWidth="1"/>
    <col min="10511" max="10511" width="9.140625" style="263" customWidth="1"/>
    <col min="10512" max="10512" width="17.28515625" style="263" customWidth="1"/>
    <col min="10513" max="10513" width="11.42578125" style="263" customWidth="1"/>
    <col min="10514" max="10514" width="17.140625" style="263" customWidth="1"/>
    <col min="10515" max="10515" width="12" style="263" customWidth="1"/>
    <col min="10516" max="10516" width="17.140625" style="263" customWidth="1"/>
    <col min="10517" max="10517" width="8.85546875" style="263" customWidth="1"/>
    <col min="10518" max="10518" width="9.140625" style="263"/>
    <col min="10519" max="10519" width="12.42578125" style="263" customWidth="1"/>
    <col min="10520" max="10520" width="10.5703125" style="263" customWidth="1"/>
    <col min="10521" max="10521" width="10.85546875" style="263" customWidth="1"/>
    <col min="10522" max="10522" width="9.5703125" style="263" customWidth="1"/>
    <col min="10523" max="10523" width="9.85546875" style="263" customWidth="1"/>
    <col min="10524" max="10764" width="9.140625" style="263"/>
    <col min="10765" max="10765" width="13.7109375" style="263" customWidth="1"/>
    <col min="10766" max="10766" width="18.5703125" style="263" customWidth="1"/>
    <col min="10767" max="10767" width="9.140625" style="263" customWidth="1"/>
    <col min="10768" max="10768" width="17.28515625" style="263" customWidth="1"/>
    <col min="10769" max="10769" width="11.42578125" style="263" customWidth="1"/>
    <col min="10770" max="10770" width="17.140625" style="263" customWidth="1"/>
    <col min="10771" max="10771" width="12" style="263" customWidth="1"/>
    <col min="10772" max="10772" width="17.140625" style="263" customWidth="1"/>
    <col min="10773" max="10773" width="8.85546875" style="263" customWidth="1"/>
    <col min="10774" max="10774" width="9.140625" style="263"/>
    <col min="10775" max="10775" width="12.42578125" style="263" customWidth="1"/>
    <col min="10776" max="10776" width="10.5703125" style="263" customWidth="1"/>
    <col min="10777" max="10777" width="10.85546875" style="263" customWidth="1"/>
    <col min="10778" max="10778" width="9.5703125" style="263" customWidth="1"/>
    <col min="10779" max="10779" width="9.85546875" style="263" customWidth="1"/>
    <col min="10780" max="11020" width="9.140625" style="263"/>
    <col min="11021" max="11021" width="13.7109375" style="263" customWidth="1"/>
    <col min="11022" max="11022" width="18.5703125" style="263" customWidth="1"/>
    <col min="11023" max="11023" width="9.140625" style="263" customWidth="1"/>
    <col min="11024" max="11024" width="17.28515625" style="263" customWidth="1"/>
    <col min="11025" max="11025" width="11.42578125" style="263" customWidth="1"/>
    <col min="11026" max="11026" width="17.140625" style="263" customWidth="1"/>
    <col min="11027" max="11027" width="12" style="263" customWidth="1"/>
    <col min="11028" max="11028" width="17.140625" style="263" customWidth="1"/>
    <col min="11029" max="11029" width="8.85546875" style="263" customWidth="1"/>
    <col min="11030" max="11030" width="9.140625" style="263"/>
    <col min="11031" max="11031" width="12.42578125" style="263" customWidth="1"/>
    <col min="11032" max="11032" width="10.5703125" style="263" customWidth="1"/>
    <col min="11033" max="11033" width="10.85546875" style="263" customWidth="1"/>
    <col min="11034" max="11034" width="9.5703125" style="263" customWidth="1"/>
    <col min="11035" max="11035" width="9.85546875" style="263" customWidth="1"/>
    <col min="11036" max="11276" width="9.140625" style="263"/>
    <col min="11277" max="11277" width="13.7109375" style="263" customWidth="1"/>
    <col min="11278" max="11278" width="18.5703125" style="263" customWidth="1"/>
    <col min="11279" max="11279" width="9.140625" style="263" customWidth="1"/>
    <col min="11280" max="11280" width="17.28515625" style="263" customWidth="1"/>
    <col min="11281" max="11281" width="11.42578125" style="263" customWidth="1"/>
    <col min="11282" max="11282" width="17.140625" style="263" customWidth="1"/>
    <col min="11283" max="11283" width="12" style="263" customWidth="1"/>
    <col min="11284" max="11284" width="17.140625" style="263" customWidth="1"/>
    <col min="11285" max="11285" width="8.85546875" style="263" customWidth="1"/>
    <col min="11286" max="11286" width="9.140625" style="263"/>
    <col min="11287" max="11287" width="12.42578125" style="263" customWidth="1"/>
    <col min="11288" max="11288" width="10.5703125" style="263" customWidth="1"/>
    <col min="11289" max="11289" width="10.85546875" style="263" customWidth="1"/>
    <col min="11290" max="11290" width="9.5703125" style="263" customWidth="1"/>
    <col min="11291" max="11291" width="9.85546875" style="263" customWidth="1"/>
    <col min="11292" max="11532" width="9.140625" style="263"/>
    <col min="11533" max="11533" width="13.7109375" style="263" customWidth="1"/>
    <col min="11534" max="11534" width="18.5703125" style="263" customWidth="1"/>
    <col min="11535" max="11535" width="9.140625" style="263" customWidth="1"/>
    <col min="11536" max="11536" width="17.28515625" style="263" customWidth="1"/>
    <col min="11537" max="11537" width="11.42578125" style="263" customWidth="1"/>
    <col min="11538" max="11538" width="17.140625" style="263" customWidth="1"/>
    <col min="11539" max="11539" width="12" style="263" customWidth="1"/>
    <col min="11540" max="11540" width="17.140625" style="263" customWidth="1"/>
    <col min="11541" max="11541" width="8.85546875" style="263" customWidth="1"/>
    <col min="11542" max="11542" width="9.140625" style="263"/>
    <col min="11543" max="11543" width="12.42578125" style="263" customWidth="1"/>
    <col min="11544" max="11544" width="10.5703125" style="263" customWidth="1"/>
    <col min="11545" max="11545" width="10.85546875" style="263" customWidth="1"/>
    <col min="11546" max="11546" width="9.5703125" style="263" customWidth="1"/>
    <col min="11547" max="11547" width="9.85546875" style="263" customWidth="1"/>
    <col min="11548" max="11788" width="9.140625" style="263"/>
    <col min="11789" max="11789" width="13.7109375" style="263" customWidth="1"/>
    <col min="11790" max="11790" width="18.5703125" style="263" customWidth="1"/>
    <col min="11791" max="11791" width="9.140625" style="263" customWidth="1"/>
    <col min="11792" max="11792" width="17.28515625" style="263" customWidth="1"/>
    <col min="11793" max="11793" width="11.42578125" style="263" customWidth="1"/>
    <col min="11794" max="11794" width="17.140625" style="263" customWidth="1"/>
    <col min="11795" max="11795" width="12" style="263" customWidth="1"/>
    <col min="11796" max="11796" width="17.140625" style="263" customWidth="1"/>
    <col min="11797" max="11797" width="8.85546875" style="263" customWidth="1"/>
    <col min="11798" max="11798" width="9.140625" style="263"/>
    <col min="11799" max="11799" width="12.42578125" style="263" customWidth="1"/>
    <col min="11800" max="11800" width="10.5703125" style="263" customWidth="1"/>
    <col min="11801" max="11801" width="10.85546875" style="263" customWidth="1"/>
    <col min="11802" max="11802" width="9.5703125" style="263" customWidth="1"/>
    <col min="11803" max="11803" width="9.85546875" style="263" customWidth="1"/>
    <col min="11804" max="12044" width="9.140625" style="263"/>
    <col min="12045" max="12045" width="13.7109375" style="263" customWidth="1"/>
    <col min="12046" max="12046" width="18.5703125" style="263" customWidth="1"/>
    <col min="12047" max="12047" width="9.140625" style="263" customWidth="1"/>
    <col min="12048" max="12048" width="17.28515625" style="263" customWidth="1"/>
    <col min="12049" max="12049" width="11.42578125" style="263" customWidth="1"/>
    <col min="12050" max="12050" width="17.140625" style="263" customWidth="1"/>
    <col min="12051" max="12051" width="12" style="263" customWidth="1"/>
    <col min="12052" max="12052" width="17.140625" style="263" customWidth="1"/>
    <col min="12053" max="12053" width="8.85546875" style="263" customWidth="1"/>
    <col min="12054" max="12054" width="9.140625" style="263"/>
    <col min="12055" max="12055" width="12.42578125" style="263" customWidth="1"/>
    <col min="12056" max="12056" width="10.5703125" style="263" customWidth="1"/>
    <col min="12057" max="12057" width="10.85546875" style="263" customWidth="1"/>
    <col min="12058" max="12058" width="9.5703125" style="263" customWidth="1"/>
    <col min="12059" max="12059" width="9.85546875" style="263" customWidth="1"/>
    <col min="12060" max="12300" width="9.140625" style="263"/>
    <col min="12301" max="12301" width="13.7109375" style="263" customWidth="1"/>
    <col min="12302" max="12302" width="18.5703125" style="263" customWidth="1"/>
    <col min="12303" max="12303" width="9.140625" style="263" customWidth="1"/>
    <col min="12304" max="12304" width="17.28515625" style="263" customWidth="1"/>
    <col min="12305" max="12305" width="11.42578125" style="263" customWidth="1"/>
    <col min="12306" max="12306" width="17.140625" style="263" customWidth="1"/>
    <col min="12307" max="12307" width="12" style="263" customWidth="1"/>
    <col min="12308" max="12308" width="17.140625" style="263" customWidth="1"/>
    <col min="12309" max="12309" width="8.85546875" style="263" customWidth="1"/>
    <col min="12310" max="12310" width="9.140625" style="263"/>
    <col min="12311" max="12311" width="12.42578125" style="263" customWidth="1"/>
    <col min="12312" max="12312" width="10.5703125" style="263" customWidth="1"/>
    <col min="12313" max="12313" width="10.85546875" style="263" customWidth="1"/>
    <col min="12314" max="12314" width="9.5703125" style="263" customWidth="1"/>
    <col min="12315" max="12315" width="9.85546875" style="263" customWidth="1"/>
    <col min="12316" max="12556" width="9.140625" style="263"/>
    <col min="12557" max="12557" width="13.7109375" style="263" customWidth="1"/>
    <col min="12558" max="12558" width="18.5703125" style="263" customWidth="1"/>
    <col min="12559" max="12559" width="9.140625" style="263" customWidth="1"/>
    <col min="12560" max="12560" width="17.28515625" style="263" customWidth="1"/>
    <col min="12561" max="12561" width="11.42578125" style="263" customWidth="1"/>
    <col min="12562" max="12562" width="17.140625" style="263" customWidth="1"/>
    <col min="12563" max="12563" width="12" style="263" customWidth="1"/>
    <col min="12564" max="12564" width="17.140625" style="263" customWidth="1"/>
    <col min="12565" max="12565" width="8.85546875" style="263" customWidth="1"/>
    <col min="12566" max="12566" width="9.140625" style="263"/>
    <col min="12567" max="12567" width="12.42578125" style="263" customWidth="1"/>
    <col min="12568" max="12568" width="10.5703125" style="263" customWidth="1"/>
    <col min="12569" max="12569" width="10.85546875" style="263" customWidth="1"/>
    <col min="12570" max="12570" width="9.5703125" style="263" customWidth="1"/>
    <col min="12571" max="12571" width="9.85546875" style="263" customWidth="1"/>
    <col min="12572" max="12812" width="9.140625" style="263"/>
    <col min="12813" max="12813" width="13.7109375" style="263" customWidth="1"/>
    <col min="12814" max="12814" width="18.5703125" style="263" customWidth="1"/>
    <col min="12815" max="12815" width="9.140625" style="263" customWidth="1"/>
    <col min="12816" max="12816" width="17.28515625" style="263" customWidth="1"/>
    <col min="12817" max="12817" width="11.42578125" style="263" customWidth="1"/>
    <col min="12818" max="12818" width="17.140625" style="263" customWidth="1"/>
    <col min="12819" max="12819" width="12" style="263" customWidth="1"/>
    <col min="12820" max="12820" width="17.140625" style="263" customWidth="1"/>
    <col min="12821" max="12821" width="8.85546875" style="263" customWidth="1"/>
    <col min="12822" max="12822" width="9.140625" style="263"/>
    <col min="12823" max="12823" width="12.42578125" style="263" customWidth="1"/>
    <col min="12824" max="12824" width="10.5703125" style="263" customWidth="1"/>
    <col min="12825" max="12825" width="10.85546875" style="263" customWidth="1"/>
    <col min="12826" max="12826" width="9.5703125" style="263" customWidth="1"/>
    <col min="12827" max="12827" width="9.85546875" style="263" customWidth="1"/>
    <col min="12828" max="13068" width="9.140625" style="263"/>
    <col min="13069" max="13069" width="13.7109375" style="263" customWidth="1"/>
    <col min="13070" max="13070" width="18.5703125" style="263" customWidth="1"/>
    <col min="13071" max="13071" width="9.140625" style="263" customWidth="1"/>
    <col min="13072" max="13072" width="17.28515625" style="263" customWidth="1"/>
    <col min="13073" max="13073" width="11.42578125" style="263" customWidth="1"/>
    <col min="13074" max="13074" width="17.140625" style="263" customWidth="1"/>
    <col min="13075" max="13075" width="12" style="263" customWidth="1"/>
    <col min="13076" max="13076" width="17.140625" style="263" customWidth="1"/>
    <col min="13077" max="13077" width="8.85546875" style="263" customWidth="1"/>
    <col min="13078" max="13078" width="9.140625" style="263"/>
    <col min="13079" max="13079" width="12.42578125" style="263" customWidth="1"/>
    <col min="13080" max="13080" width="10.5703125" style="263" customWidth="1"/>
    <col min="13081" max="13081" width="10.85546875" style="263" customWidth="1"/>
    <col min="13082" max="13082" width="9.5703125" style="263" customWidth="1"/>
    <col min="13083" max="13083" width="9.85546875" style="263" customWidth="1"/>
    <col min="13084" max="13324" width="9.140625" style="263"/>
    <col min="13325" max="13325" width="13.7109375" style="263" customWidth="1"/>
    <col min="13326" max="13326" width="18.5703125" style="263" customWidth="1"/>
    <col min="13327" max="13327" width="9.140625" style="263" customWidth="1"/>
    <col min="13328" max="13328" width="17.28515625" style="263" customWidth="1"/>
    <col min="13329" max="13329" width="11.42578125" style="263" customWidth="1"/>
    <col min="13330" max="13330" width="17.140625" style="263" customWidth="1"/>
    <col min="13331" max="13331" width="12" style="263" customWidth="1"/>
    <col min="13332" max="13332" width="17.140625" style="263" customWidth="1"/>
    <col min="13333" max="13333" width="8.85546875" style="263" customWidth="1"/>
    <col min="13334" max="13334" width="9.140625" style="263"/>
    <col min="13335" max="13335" width="12.42578125" style="263" customWidth="1"/>
    <col min="13336" max="13336" width="10.5703125" style="263" customWidth="1"/>
    <col min="13337" max="13337" width="10.85546875" style="263" customWidth="1"/>
    <col min="13338" max="13338" width="9.5703125" style="263" customWidth="1"/>
    <col min="13339" max="13339" width="9.85546875" style="263" customWidth="1"/>
    <col min="13340" max="13580" width="9.140625" style="263"/>
    <col min="13581" max="13581" width="13.7109375" style="263" customWidth="1"/>
    <col min="13582" max="13582" width="18.5703125" style="263" customWidth="1"/>
    <col min="13583" max="13583" width="9.140625" style="263" customWidth="1"/>
    <col min="13584" max="13584" width="17.28515625" style="263" customWidth="1"/>
    <col min="13585" max="13585" width="11.42578125" style="263" customWidth="1"/>
    <col min="13586" max="13586" width="17.140625" style="263" customWidth="1"/>
    <col min="13587" max="13587" width="12" style="263" customWidth="1"/>
    <col min="13588" max="13588" width="17.140625" style="263" customWidth="1"/>
    <col min="13589" max="13589" width="8.85546875" style="263" customWidth="1"/>
    <col min="13590" max="13590" width="9.140625" style="263"/>
    <col min="13591" max="13591" width="12.42578125" style="263" customWidth="1"/>
    <col min="13592" max="13592" width="10.5703125" style="263" customWidth="1"/>
    <col min="13593" max="13593" width="10.85546875" style="263" customWidth="1"/>
    <col min="13594" max="13594" width="9.5703125" style="263" customWidth="1"/>
    <col min="13595" max="13595" width="9.85546875" style="263" customWidth="1"/>
    <col min="13596" max="13836" width="9.140625" style="263"/>
    <col min="13837" max="13837" width="13.7109375" style="263" customWidth="1"/>
    <col min="13838" max="13838" width="18.5703125" style="263" customWidth="1"/>
    <col min="13839" max="13839" width="9.140625" style="263" customWidth="1"/>
    <col min="13840" max="13840" width="17.28515625" style="263" customWidth="1"/>
    <col min="13841" max="13841" width="11.42578125" style="263" customWidth="1"/>
    <col min="13842" max="13842" width="17.140625" style="263" customWidth="1"/>
    <col min="13843" max="13843" width="12" style="263" customWidth="1"/>
    <col min="13844" max="13844" width="17.140625" style="263" customWidth="1"/>
    <col min="13845" max="13845" width="8.85546875" style="263" customWidth="1"/>
    <col min="13846" max="13846" width="9.140625" style="263"/>
    <col min="13847" max="13847" width="12.42578125" style="263" customWidth="1"/>
    <col min="13848" max="13848" width="10.5703125" style="263" customWidth="1"/>
    <col min="13849" max="13849" width="10.85546875" style="263" customWidth="1"/>
    <col min="13850" max="13850" width="9.5703125" style="263" customWidth="1"/>
    <col min="13851" max="13851" width="9.85546875" style="263" customWidth="1"/>
    <col min="13852" max="14092" width="9.140625" style="263"/>
    <col min="14093" max="14093" width="13.7109375" style="263" customWidth="1"/>
    <col min="14094" max="14094" width="18.5703125" style="263" customWidth="1"/>
    <col min="14095" max="14095" width="9.140625" style="263" customWidth="1"/>
    <col min="14096" max="14096" width="17.28515625" style="263" customWidth="1"/>
    <col min="14097" max="14097" width="11.42578125" style="263" customWidth="1"/>
    <col min="14098" max="14098" width="17.140625" style="263" customWidth="1"/>
    <col min="14099" max="14099" width="12" style="263" customWidth="1"/>
    <col min="14100" max="14100" width="17.140625" style="263" customWidth="1"/>
    <col min="14101" max="14101" width="8.85546875" style="263" customWidth="1"/>
    <col min="14102" max="14102" width="9.140625" style="263"/>
    <col min="14103" max="14103" width="12.42578125" style="263" customWidth="1"/>
    <col min="14104" max="14104" width="10.5703125" style="263" customWidth="1"/>
    <col min="14105" max="14105" width="10.85546875" style="263" customWidth="1"/>
    <col min="14106" max="14106" width="9.5703125" style="263" customWidth="1"/>
    <col min="14107" max="14107" width="9.85546875" style="263" customWidth="1"/>
    <col min="14108" max="14348" width="9.140625" style="263"/>
    <col min="14349" max="14349" width="13.7109375" style="263" customWidth="1"/>
    <col min="14350" max="14350" width="18.5703125" style="263" customWidth="1"/>
    <col min="14351" max="14351" width="9.140625" style="263" customWidth="1"/>
    <col min="14352" max="14352" width="17.28515625" style="263" customWidth="1"/>
    <col min="14353" max="14353" width="11.42578125" style="263" customWidth="1"/>
    <col min="14354" max="14354" width="17.140625" style="263" customWidth="1"/>
    <col min="14355" max="14355" width="12" style="263" customWidth="1"/>
    <col min="14356" max="14356" width="17.140625" style="263" customWidth="1"/>
    <col min="14357" max="14357" width="8.85546875" style="263" customWidth="1"/>
    <col min="14358" max="14358" width="9.140625" style="263"/>
    <col min="14359" max="14359" width="12.42578125" style="263" customWidth="1"/>
    <col min="14360" max="14360" width="10.5703125" style="263" customWidth="1"/>
    <col min="14361" max="14361" width="10.85546875" style="263" customWidth="1"/>
    <col min="14362" max="14362" width="9.5703125" style="263" customWidth="1"/>
    <col min="14363" max="14363" width="9.85546875" style="263" customWidth="1"/>
    <col min="14364" max="14604" width="9.140625" style="263"/>
    <col min="14605" max="14605" width="13.7109375" style="263" customWidth="1"/>
    <col min="14606" max="14606" width="18.5703125" style="263" customWidth="1"/>
    <col min="14607" max="14607" width="9.140625" style="263" customWidth="1"/>
    <col min="14608" max="14608" width="17.28515625" style="263" customWidth="1"/>
    <col min="14609" max="14609" width="11.42578125" style="263" customWidth="1"/>
    <col min="14610" max="14610" width="17.140625" style="263" customWidth="1"/>
    <col min="14611" max="14611" width="12" style="263" customWidth="1"/>
    <col min="14612" max="14612" width="17.140625" style="263" customWidth="1"/>
    <col min="14613" max="14613" width="8.85546875" style="263" customWidth="1"/>
    <col min="14614" max="14614" width="9.140625" style="263"/>
    <col min="14615" max="14615" width="12.42578125" style="263" customWidth="1"/>
    <col min="14616" max="14616" width="10.5703125" style="263" customWidth="1"/>
    <col min="14617" max="14617" width="10.85546875" style="263" customWidth="1"/>
    <col min="14618" max="14618" width="9.5703125" style="263" customWidth="1"/>
    <col min="14619" max="14619" width="9.85546875" style="263" customWidth="1"/>
    <col min="14620" max="14860" width="9.140625" style="263"/>
    <col min="14861" max="14861" width="13.7109375" style="263" customWidth="1"/>
    <col min="14862" max="14862" width="18.5703125" style="263" customWidth="1"/>
    <col min="14863" max="14863" width="9.140625" style="263" customWidth="1"/>
    <col min="14864" max="14864" width="17.28515625" style="263" customWidth="1"/>
    <col min="14865" max="14865" width="11.42578125" style="263" customWidth="1"/>
    <col min="14866" max="14866" width="17.140625" style="263" customWidth="1"/>
    <col min="14867" max="14867" width="12" style="263" customWidth="1"/>
    <col min="14868" max="14868" width="17.140625" style="263" customWidth="1"/>
    <col min="14869" max="14869" width="8.85546875" style="263" customWidth="1"/>
    <col min="14870" max="14870" width="9.140625" style="263"/>
    <col min="14871" max="14871" width="12.42578125" style="263" customWidth="1"/>
    <col min="14872" max="14872" width="10.5703125" style="263" customWidth="1"/>
    <col min="14873" max="14873" width="10.85546875" style="263" customWidth="1"/>
    <col min="14874" max="14874" width="9.5703125" style="263" customWidth="1"/>
    <col min="14875" max="14875" width="9.85546875" style="263" customWidth="1"/>
    <col min="14876" max="15116" width="9.140625" style="263"/>
    <col min="15117" max="15117" width="13.7109375" style="263" customWidth="1"/>
    <col min="15118" max="15118" width="18.5703125" style="263" customWidth="1"/>
    <col min="15119" max="15119" width="9.140625" style="263" customWidth="1"/>
    <col min="15120" max="15120" width="17.28515625" style="263" customWidth="1"/>
    <col min="15121" max="15121" width="11.42578125" style="263" customWidth="1"/>
    <col min="15122" max="15122" width="17.140625" style="263" customWidth="1"/>
    <col min="15123" max="15123" width="12" style="263" customWidth="1"/>
    <col min="15124" max="15124" width="17.140625" style="263" customWidth="1"/>
    <col min="15125" max="15125" width="8.85546875" style="263" customWidth="1"/>
    <col min="15126" max="15126" width="9.140625" style="263"/>
    <col min="15127" max="15127" width="12.42578125" style="263" customWidth="1"/>
    <col min="15128" max="15128" width="10.5703125" style="263" customWidth="1"/>
    <col min="15129" max="15129" width="10.85546875" style="263" customWidth="1"/>
    <col min="15130" max="15130" width="9.5703125" style="263" customWidth="1"/>
    <col min="15131" max="15131" width="9.85546875" style="263" customWidth="1"/>
    <col min="15132" max="15372" width="9.140625" style="263"/>
    <col min="15373" max="15373" width="13.7109375" style="263" customWidth="1"/>
    <col min="15374" max="15374" width="18.5703125" style="263" customWidth="1"/>
    <col min="15375" max="15375" width="9.140625" style="263" customWidth="1"/>
    <col min="15376" max="15376" width="17.28515625" style="263" customWidth="1"/>
    <col min="15377" max="15377" width="11.42578125" style="263" customWidth="1"/>
    <col min="15378" max="15378" width="17.140625" style="263" customWidth="1"/>
    <col min="15379" max="15379" width="12" style="263" customWidth="1"/>
    <col min="15380" max="15380" width="17.140625" style="263" customWidth="1"/>
    <col min="15381" max="15381" width="8.85546875" style="263" customWidth="1"/>
    <col min="15382" max="15382" width="9.140625" style="263"/>
    <col min="15383" max="15383" width="12.42578125" style="263" customWidth="1"/>
    <col min="15384" max="15384" width="10.5703125" style="263" customWidth="1"/>
    <col min="15385" max="15385" width="10.85546875" style="263" customWidth="1"/>
    <col min="15386" max="15386" width="9.5703125" style="263" customWidth="1"/>
    <col min="15387" max="15387" width="9.85546875" style="263" customWidth="1"/>
    <col min="15388" max="15628" width="9.140625" style="263"/>
    <col min="15629" max="15629" width="13.7109375" style="263" customWidth="1"/>
    <col min="15630" max="15630" width="18.5703125" style="263" customWidth="1"/>
    <col min="15631" max="15631" width="9.140625" style="263" customWidth="1"/>
    <col min="15632" max="15632" width="17.28515625" style="263" customWidth="1"/>
    <col min="15633" max="15633" width="11.42578125" style="263" customWidth="1"/>
    <col min="15634" max="15634" width="17.140625" style="263" customWidth="1"/>
    <col min="15635" max="15635" width="12" style="263" customWidth="1"/>
    <col min="15636" max="15636" width="17.140625" style="263" customWidth="1"/>
    <col min="15637" max="15637" width="8.85546875" style="263" customWidth="1"/>
    <col min="15638" max="15638" width="9.140625" style="263"/>
    <col min="15639" max="15639" width="12.42578125" style="263" customWidth="1"/>
    <col min="15640" max="15640" width="10.5703125" style="263" customWidth="1"/>
    <col min="15641" max="15641" width="10.85546875" style="263" customWidth="1"/>
    <col min="15642" max="15642" width="9.5703125" style="263" customWidth="1"/>
    <col min="15643" max="15643" width="9.85546875" style="263" customWidth="1"/>
    <col min="15644" max="15884" width="9.140625" style="263"/>
    <col min="15885" max="15885" width="13.7109375" style="263" customWidth="1"/>
    <col min="15886" max="15886" width="18.5703125" style="263" customWidth="1"/>
    <col min="15887" max="15887" width="9.140625" style="263" customWidth="1"/>
    <col min="15888" max="15888" width="17.28515625" style="263" customWidth="1"/>
    <col min="15889" max="15889" width="11.42578125" style="263" customWidth="1"/>
    <col min="15890" max="15890" width="17.140625" style="263" customWidth="1"/>
    <col min="15891" max="15891" width="12" style="263" customWidth="1"/>
    <col min="15892" max="15892" width="17.140625" style="263" customWidth="1"/>
    <col min="15893" max="15893" width="8.85546875" style="263" customWidth="1"/>
    <col min="15894" max="15894" width="9.140625" style="263"/>
    <col min="15895" max="15895" width="12.42578125" style="263" customWidth="1"/>
    <col min="15896" max="15896" width="10.5703125" style="263" customWidth="1"/>
    <col min="15897" max="15897" width="10.85546875" style="263" customWidth="1"/>
    <col min="15898" max="15898" width="9.5703125" style="263" customWidth="1"/>
    <col min="15899" max="15899" width="9.85546875" style="263" customWidth="1"/>
    <col min="15900" max="16140" width="9.140625" style="263"/>
    <col min="16141" max="16141" width="13.7109375" style="263" customWidth="1"/>
    <col min="16142" max="16142" width="18.5703125" style="263" customWidth="1"/>
    <col min="16143" max="16143" width="9.140625" style="263" customWidth="1"/>
    <col min="16144" max="16144" width="17.28515625" style="263" customWidth="1"/>
    <col min="16145" max="16145" width="11.42578125" style="263" customWidth="1"/>
    <col min="16146" max="16146" width="17.140625" style="263" customWidth="1"/>
    <col min="16147" max="16147" width="12" style="263" customWidth="1"/>
    <col min="16148" max="16148" width="17.140625" style="263" customWidth="1"/>
    <col min="16149" max="16149" width="8.85546875" style="263" customWidth="1"/>
    <col min="16150" max="16150" width="9.140625" style="263"/>
    <col min="16151" max="16151" width="12.42578125" style="263" customWidth="1"/>
    <col min="16152" max="16152" width="10.5703125" style="263" customWidth="1"/>
    <col min="16153" max="16153" width="10.85546875" style="263" customWidth="1"/>
    <col min="16154" max="16154" width="9.5703125" style="263" customWidth="1"/>
    <col min="16155" max="16155" width="9.85546875" style="263" customWidth="1"/>
    <col min="16156" max="16384" width="9.140625" style="263"/>
  </cols>
  <sheetData>
    <row r="1" spans="1:28" ht="15.75">
      <c r="B1" s="264" t="s">
        <v>128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</row>
    <row r="2" spans="1:28" ht="16.5" customHeight="1">
      <c r="B2" s="264" t="s">
        <v>129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</row>
    <row r="3" spans="1:28" ht="16.5" customHeight="1">
      <c r="B3" s="265" t="s">
        <v>130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</row>
    <row r="4" spans="1:28" ht="18" customHeight="1">
      <c r="B4" s="379" t="s">
        <v>131</v>
      </c>
      <c r="C4" s="379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</row>
    <row r="5" spans="1:28" ht="20.25" customHeight="1">
      <c r="A5" s="266" t="s">
        <v>198</v>
      </c>
      <c r="B5" s="266"/>
      <c r="C5" s="266"/>
      <c r="D5" s="266"/>
      <c r="E5" s="266"/>
      <c r="F5" s="266"/>
      <c r="G5" s="267"/>
      <c r="H5" s="267"/>
      <c r="I5" s="267"/>
      <c r="J5" s="267"/>
      <c r="K5" s="267"/>
      <c r="M5" s="268"/>
      <c r="N5" s="268"/>
      <c r="O5" s="269"/>
      <c r="P5" s="269"/>
      <c r="Q5" s="380"/>
      <c r="R5" s="271"/>
      <c r="S5" s="271"/>
      <c r="T5" s="271"/>
      <c r="U5" s="271"/>
      <c r="V5" s="271"/>
      <c r="W5" s="271"/>
      <c r="X5" s="271"/>
      <c r="Y5" s="268" t="s">
        <v>133</v>
      </c>
      <c r="Z5" s="268"/>
      <c r="AA5" s="268"/>
      <c r="AB5" s="272"/>
    </row>
    <row r="6" spans="1:28" ht="115.15" customHeight="1">
      <c r="A6" s="273" t="s">
        <v>134</v>
      </c>
      <c r="B6" s="273" t="s">
        <v>135</v>
      </c>
      <c r="C6" s="273" t="s">
        <v>136</v>
      </c>
      <c r="D6" s="273" t="s">
        <v>137</v>
      </c>
      <c r="E6" s="273" t="s">
        <v>199</v>
      </c>
      <c r="F6" s="273" t="s">
        <v>139</v>
      </c>
      <c r="G6" s="274" t="s">
        <v>140</v>
      </c>
      <c r="H6" s="273" t="s">
        <v>142</v>
      </c>
      <c r="I6" s="275" t="s">
        <v>141</v>
      </c>
      <c r="J6" s="273" t="s">
        <v>200</v>
      </c>
      <c r="K6" s="273" t="s">
        <v>144</v>
      </c>
      <c r="L6" s="273" t="s">
        <v>145</v>
      </c>
      <c r="M6" s="273" t="s">
        <v>146</v>
      </c>
      <c r="N6" s="276" t="s">
        <v>189</v>
      </c>
      <c r="O6" s="277" t="s">
        <v>148</v>
      </c>
      <c r="P6" s="275" t="s">
        <v>149</v>
      </c>
      <c r="Q6" s="273" t="s">
        <v>150</v>
      </c>
      <c r="R6" s="274" t="s">
        <v>152</v>
      </c>
      <c r="S6" s="273" t="s">
        <v>153</v>
      </c>
      <c r="T6" s="274" t="s">
        <v>154</v>
      </c>
      <c r="U6" s="274" t="s">
        <v>155</v>
      </c>
      <c r="V6" s="274" t="s">
        <v>156</v>
      </c>
      <c r="W6" s="277" t="s">
        <v>157</v>
      </c>
      <c r="X6" s="277" t="s">
        <v>158</v>
      </c>
      <c r="Y6" s="274" t="s">
        <v>159</v>
      </c>
      <c r="Z6" s="381" t="s">
        <v>160</v>
      </c>
      <c r="AA6" s="273" t="s">
        <v>161</v>
      </c>
    </row>
    <row r="7" spans="1:28" ht="21" customHeight="1">
      <c r="A7" s="280"/>
      <c r="B7" s="281"/>
      <c r="C7" s="282"/>
      <c r="D7" s="281"/>
      <c r="E7" s="281"/>
      <c r="F7" s="307"/>
      <c r="G7" s="286"/>
      <c r="H7" s="339"/>
      <c r="I7" s="338"/>
      <c r="J7" s="281"/>
      <c r="K7" s="286"/>
      <c r="L7" s="287"/>
      <c r="M7" s="286"/>
      <c r="N7" s="340" t="str">
        <f t="shared" ref="N7:N22" si="0">IFERROR(IF(I7&lt;&gt;"",K7/I7,""),"input error")</f>
        <v/>
      </c>
      <c r="O7" s="289"/>
      <c r="P7" s="290"/>
      <c r="Q7" s="337"/>
      <c r="R7" s="382"/>
      <c r="S7" s="383"/>
      <c r="T7" s="382"/>
      <c r="U7" s="382"/>
      <c r="V7" s="384"/>
      <c r="W7" s="385"/>
      <c r="X7" s="386"/>
      <c r="Y7" s="370"/>
      <c r="Z7" s="387"/>
      <c r="AA7" s="388"/>
    </row>
    <row r="8" spans="1:28" ht="21" customHeight="1">
      <c r="A8" s="280">
        <v>45383</v>
      </c>
      <c r="B8" s="281" t="s">
        <v>201</v>
      </c>
      <c r="C8" s="282" t="s">
        <v>202</v>
      </c>
      <c r="D8" s="278" t="s">
        <v>115</v>
      </c>
      <c r="E8" s="281">
        <v>40</v>
      </c>
      <c r="F8" s="389">
        <v>20240318001</v>
      </c>
      <c r="G8" s="286">
        <v>2</v>
      </c>
      <c r="H8" s="339">
        <v>3</v>
      </c>
      <c r="I8" s="338">
        <f>IFERROR(IF(G8&gt;0,V8*G8*Z8,""),"input error""")</f>
        <v>38556.409195109532</v>
      </c>
      <c r="J8" s="285" t="s">
        <v>118</v>
      </c>
      <c r="K8" s="286">
        <f>2423+4521+1270+3250+3660+1621+2100</f>
        <v>18845</v>
      </c>
      <c r="L8" s="287">
        <f>(K8*9.8778)/1000</f>
        <v>186.147141</v>
      </c>
      <c r="M8" s="286">
        <v>0</v>
      </c>
      <c r="N8" s="340">
        <f t="shared" si="0"/>
        <v>0.48876439464674754</v>
      </c>
      <c r="O8" s="289">
        <f t="shared" ref="O8:O13" si="1">IFERROR(IF(I8&lt;&gt;"",K8/(H8*V8*Z8),""),"input error")</f>
        <v>0.32584292976449836</v>
      </c>
      <c r="P8" s="290">
        <f t="shared" ref="P8:P13" si="2">IFERROR(IF(L8&lt;&gt;"",M8/(M8+L8),""),"input error")</f>
        <v>0</v>
      </c>
      <c r="Q8" s="337" t="s">
        <v>203</v>
      </c>
      <c r="R8" s="390">
        <v>6</v>
      </c>
      <c r="S8" s="391">
        <v>7.5</v>
      </c>
      <c r="T8" s="390">
        <v>0</v>
      </c>
      <c r="U8" s="390">
        <f>IFERROR(IF(R8&gt;0,R8*S8-T8,""),"input error")</f>
        <v>45</v>
      </c>
      <c r="V8" s="384">
        <f>'[1]对绞 总绞工时Twisting core'!G30</f>
        <v>803.25</v>
      </c>
      <c r="W8" s="345">
        <f>1/V8</f>
        <v>1.2449424214130097E-3</v>
      </c>
      <c r="X8" s="283">
        <f>IFERROR(IF(W8&lt;&gt;"",K8*W8,""),"input error")</f>
        <v>23.460939931528166</v>
      </c>
      <c r="Y8" s="392">
        <f>SUM(X8:X9)</f>
        <v>43.988795518207283</v>
      </c>
      <c r="Z8" s="347">
        <f>IFERROR(IF(X8&lt;&gt;"",$U$8*X8/$Y$8,""),"input error")</f>
        <v>24.000254712175245</v>
      </c>
      <c r="AA8" s="388"/>
    </row>
    <row r="9" spans="1:28" ht="21" customHeight="1">
      <c r="A9" s="280">
        <v>45383</v>
      </c>
      <c r="B9" s="281" t="s">
        <v>204</v>
      </c>
      <c r="C9" s="282" t="s">
        <v>202</v>
      </c>
      <c r="D9" s="278" t="s">
        <v>115</v>
      </c>
      <c r="E9" s="281">
        <v>40</v>
      </c>
      <c r="F9" s="389">
        <v>20240318001</v>
      </c>
      <c r="G9" s="286">
        <v>2</v>
      </c>
      <c r="H9" s="339">
        <v>3</v>
      </c>
      <c r="I9" s="338">
        <f t="shared" ref="I9:I13" si="3">IFERROR(IF(G9&gt;0,V9*G9*Z9,""),"input error""")</f>
        <v>33736.090804890475</v>
      </c>
      <c r="J9" s="285" t="s">
        <v>118</v>
      </c>
      <c r="K9" s="286">
        <f>3961+3000+1520+3570+4154+284</f>
        <v>16489</v>
      </c>
      <c r="L9" s="287">
        <f>(K9*9.8778)/1000</f>
        <v>162.87504419999999</v>
      </c>
      <c r="M9" s="286">
        <v>0</v>
      </c>
      <c r="N9" s="340">
        <f t="shared" si="0"/>
        <v>0.48876439464674759</v>
      </c>
      <c r="O9" s="289">
        <f t="shared" si="1"/>
        <v>0.32584292976449841</v>
      </c>
      <c r="P9" s="290">
        <f t="shared" si="2"/>
        <v>0</v>
      </c>
      <c r="Q9" s="337" t="s">
        <v>205</v>
      </c>
      <c r="R9" s="390"/>
      <c r="S9" s="391"/>
      <c r="T9" s="390"/>
      <c r="U9" s="390"/>
      <c r="V9" s="384">
        <f>'[1]对绞 总绞工时Twisting core'!G30</f>
        <v>803.25</v>
      </c>
      <c r="W9" s="345">
        <f t="shared" ref="W9:W13" si="4">1/V9</f>
        <v>1.2449424214130097E-3</v>
      </c>
      <c r="X9" s="283">
        <f>IFERROR(IF(W9&lt;&gt;"",K9*W9,""),"input error")</f>
        <v>20.527855586679117</v>
      </c>
      <c r="Y9" s="393"/>
      <c r="Z9" s="347">
        <f t="shared" ref="Z9" si="5">IFERROR(IF(X9&lt;&gt;"",$U$8*X9/$Y$8,""),"input error")</f>
        <v>20.999745287824759</v>
      </c>
      <c r="AA9" s="388"/>
    </row>
    <row r="10" spans="1:28" ht="21" customHeight="1">
      <c r="A10" s="280">
        <v>45383</v>
      </c>
      <c r="B10" s="281" t="s">
        <v>206</v>
      </c>
      <c r="C10" s="282" t="s">
        <v>207</v>
      </c>
      <c r="D10" s="281" t="s">
        <v>169</v>
      </c>
      <c r="E10" s="281">
        <v>20</v>
      </c>
      <c r="F10" s="348">
        <v>20240217007</v>
      </c>
      <c r="G10" s="286">
        <v>6</v>
      </c>
      <c r="H10" s="339">
        <v>1</v>
      </c>
      <c r="I10" s="338">
        <f t="shared" si="3"/>
        <v>81000</v>
      </c>
      <c r="J10" s="349" t="s">
        <v>53</v>
      </c>
      <c r="K10" s="286">
        <f>478+4114</f>
        <v>4592</v>
      </c>
      <c r="L10" s="287">
        <f>(K10*1.655)/1000</f>
        <v>7.5997599999999998</v>
      </c>
      <c r="M10" s="286">
        <v>0</v>
      </c>
      <c r="N10" s="340">
        <f t="shared" si="0"/>
        <v>5.6691358024691357E-2</v>
      </c>
      <c r="O10" s="289">
        <f t="shared" si="1"/>
        <v>0.34014814814814814</v>
      </c>
      <c r="P10" s="290">
        <f t="shared" si="2"/>
        <v>0</v>
      </c>
      <c r="Q10" s="337" t="s">
        <v>208</v>
      </c>
      <c r="R10" s="382">
        <v>2</v>
      </c>
      <c r="S10" s="383">
        <v>7.5</v>
      </c>
      <c r="T10" s="382">
        <v>0</v>
      </c>
      <c r="U10" s="339">
        <f>IFERROR(IF(R10&gt;0,R10*S10-T10,""),"input error")</f>
        <v>15</v>
      </c>
      <c r="V10" s="384">
        <f>'[1]对绞 总绞工时Twisting core'!G9</f>
        <v>900</v>
      </c>
      <c r="W10" s="345">
        <f t="shared" si="4"/>
        <v>1.1111111111111111E-3</v>
      </c>
      <c r="X10" s="283">
        <f>IFERROR(IF(W10&lt;&gt;"",K10*W10,""),"input error")</f>
        <v>5.1022222222222222</v>
      </c>
      <c r="Y10" s="394">
        <f>IFERROR(IF(X10&lt;&gt;"",SUM(X10),""),"input error")</f>
        <v>5.1022222222222222</v>
      </c>
      <c r="Z10" s="347">
        <f>IFERROR(IF(U10&lt;&gt;"",U10*X10/Y10,""),"input error")</f>
        <v>15</v>
      </c>
      <c r="AA10" s="388"/>
    </row>
    <row r="11" spans="1:28" ht="21" customHeight="1">
      <c r="A11" s="280">
        <v>45383</v>
      </c>
      <c r="B11" s="281" t="s">
        <v>209</v>
      </c>
      <c r="C11" s="282" t="s">
        <v>210</v>
      </c>
      <c r="D11" s="281" t="s">
        <v>169</v>
      </c>
      <c r="E11" s="281">
        <v>5.2</v>
      </c>
      <c r="F11" s="348">
        <v>20240217007</v>
      </c>
      <c r="G11" s="286">
        <v>8</v>
      </c>
      <c r="H11" s="339">
        <v>3</v>
      </c>
      <c r="I11" s="338">
        <f t="shared" si="3"/>
        <v>6084</v>
      </c>
      <c r="J11" s="349" t="s">
        <v>53</v>
      </c>
      <c r="K11" s="286">
        <f>2000</f>
        <v>2000</v>
      </c>
      <c r="L11" s="287">
        <f>(K11*2.0513)/1000</f>
        <v>4.1025999999999998</v>
      </c>
      <c r="M11" s="286">
        <v>0</v>
      </c>
      <c r="N11" s="340">
        <f t="shared" si="0"/>
        <v>0.32873109796186717</v>
      </c>
      <c r="O11" s="289">
        <f t="shared" si="1"/>
        <v>0.87661626123164582</v>
      </c>
      <c r="P11" s="290">
        <f t="shared" si="2"/>
        <v>0</v>
      </c>
      <c r="Q11" s="337" t="s">
        <v>211</v>
      </c>
      <c r="R11" s="395">
        <v>2</v>
      </c>
      <c r="S11" s="396">
        <v>7.5</v>
      </c>
      <c r="T11" s="395">
        <v>0</v>
      </c>
      <c r="U11" s="395">
        <f>IFERROR(IF(R11&gt;0,R11*S11-T11,""),"input error")</f>
        <v>15</v>
      </c>
      <c r="V11" s="384">
        <f>'[1]对绞 总绞工时Twisting core'!G27</f>
        <v>405.6</v>
      </c>
      <c r="W11" s="345">
        <f t="shared" si="4"/>
        <v>2.465483234714004E-3</v>
      </c>
      <c r="X11" s="283">
        <f t="shared" ref="X11:X13" si="6">IFERROR(IF(W11&lt;&gt;"",K11*W11,""),"input error")</f>
        <v>4.9309664694280082</v>
      </c>
      <c r="Y11" s="392">
        <f>SUM(X11:X13)</f>
        <v>39.447731755424066</v>
      </c>
      <c r="Z11" s="347">
        <f>IFERROR(IF(X11&lt;&gt;"",$U$11*X11/$Y$11,""),"input error")</f>
        <v>1.8749999999999998</v>
      </c>
      <c r="AA11" s="388"/>
    </row>
    <row r="12" spans="1:28" ht="21" customHeight="1">
      <c r="A12" s="280">
        <v>45383</v>
      </c>
      <c r="B12" s="281" t="s">
        <v>212</v>
      </c>
      <c r="C12" s="282" t="s">
        <v>210</v>
      </c>
      <c r="D12" s="281" t="s">
        <v>169</v>
      </c>
      <c r="E12" s="281">
        <v>5.2</v>
      </c>
      <c r="F12" s="348">
        <v>20240217007</v>
      </c>
      <c r="G12" s="286">
        <v>8</v>
      </c>
      <c r="H12" s="339">
        <v>3</v>
      </c>
      <c r="I12" s="338">
        <f t="shared" si="3"/>
        <v>21294.000000000004</v>
      </c>
      <c r="J12" s="349" t="s">
        <v>53</v>
      </c>
      <c r="K12" s="286">
        <f>2000+5000</f>
        <v>7000</v>
      </c>
      <c r="L12" s="287">
        <f>(K12*2.0513)/1000</f>
        <v>14.359099999999998</v>
      </c>
      <c r="M12" s="286">
        <v>0</v>
      </c>
      <c r="N12" s="340">
        <f t="shared" si="0"/>
        <v>0.32873109796186711</v>
      </c>
      <c r="O12" s="289">
        <f t="shared" si="1"/>
        <v>0.8766162612316456</v>
      </c>
      <c r="P12" s="290">
        <f t="shared" si="2"/>
        <v>0</v>
      </c>
      <c r="Q12" s="337" t="s">
        <v>211</v>
      </c>
      <c r="R12" s="397"/>
      <c r="S12" s="398"/>
      <c r="T12" s="397"/>
      <c r="U12" s="397"/>
      <c r="V12" s="384">
        <f>'[1]对绞 总绞工时Twisting core'!G27</f>
        <v>405.6</v>
      </c>
      <c r="W12" s="345">
        <f t="shared" si="4"/>
        <v>2.465483234714004E-3</v>
      </c>
      <c r="X12" s="283">
        <f t="shared" si="6"/>
        <v>17.258382642998029</v>
      </c>
      <c r="Y12" s="393"/>
      <c r="Z12" s="347">
        <f t="shared" ref="Z12:Z13" si="7">IFERROR(IF(X12&lt;&gt;"",$U$11*X12/$Y$11,""),"input error")</f>
        <v>6.5625000000000009</v>
      </c>
      <c r="AA12" s="388"/>
    </row>
    <row r="13" spans="1:28" ht="21" customHeight="1">
      <c r="A13" s="280">
        <v>45383</v>
      </c>
      <c r="B13" s="281" t="s">
        <v>213</v>
      </c>
      <c r="C13" s="282" t="s">
        <v>210</v>
      </c>
      <c r="D13" s="281" t="s">
        <v>169</v>
      </c>
      <c r="E13" s="281">
        <v>5.2</v>
      </c>
      <c r="F13" s="348">
        <v>20240217007</v>
      </c>
      <c r="G13" s="286">
        <v>8</v>
      </c>
      <c r="H13" s="339">
        <v>3</v>
      </c>
      <c r="I13" s="338">
        <f t="shared" si="3"/>
        <v>21294.000000000004</v>
      </c>
      <c r="J13" s="349" t="s">
        <v>53</v>
      </c>
      <c r="K13" s="286">
        <f>2000+5000</f>
        <v>7000</v>
      </c>
      <c r="L13" s="287">
        <f t="shared" ref="L13" si="8">(K13*2.0513)/1000</f>
        <v>14.359099999999998</v>
      </c>
      <c r="M13" s="286">
        <v>0</v>
      </c>
      <c r="N13" s="340">
        <f t="shared" si="0"/>
        <v>0.32873109796186711</v>
      </c>
      <c r="O13" s="289">
        <f t="shared" si="1"/>
        <v>0.8766162612316456</v>
      </c>
      <c r="P13" s="290">
        <f t="shared" si="2"/>
        <v>0</v>
      </c>
      <c r="Q13" s="337" t="s">
        <v>211</v>
      </c>
      <c r="R13" s="399"/>
      <c r="S13" s="400"/>
      <c r="T13" s="399"/>
      <c r="U13" s="399"/>
      <c r="V13" s="384">
        <f>'[1]对绞 总绞工时Twisting core'!G27</f>
        <v>405.6</v>
      </c>
      <c r="W13" s="345">
        <f t="shared" si="4"/>
        <v>2.465483234714004E-3</v>
      </c>
      <c r="X13" s="283">
        <f t="shared" si="6"/>
        <v>17.258382642998029</v>
      </c>
      <c r="Y13" s="401"/>
      <c r="Z13" s="347">
        <f t="shared" si="7"/>
        <v>6.5625000000000009</v>
      </c>
      <c r="AA13" s="388"/>
    </row>
    <row r="14" spans="1:28" ht="21" customHeight="1">
      <c r="A14" s="280"/>
      <c r="B14" s="281"/>
      <c r="C14" s="282"/>
      <c r="D14" s="281"/>
      <c r="E14" s="281"/>
      <c r="F14" s="348"/>
      <c r="G14" s="286"/>
      <c r="H14" s="339"/>
      <c r="I14" s="338"/>
      <c r="J14" s="349"/>
      <c r="K14" s="286"/>
      <c r="L14" s="287"/>
      <c r="M14" s="286"/>
      <c r="N14" s="340"/>
      <c r="O14" s="289"/>
      <c r="P14" s="290"/>
      <c r="Q14" s="337"/>
      <c r="R14" s="382"/>
      <c r="S14" s="383"/>
      <c r="T14" s="382"/>
      <c r="U14" s="382"/>
      <c r="V14" s="384"/>
      <c r="W14" s="385"/>
      <c r="X14" s="386"/>
      <c r="Y14" s="370"/>
      <c r="Z14" s="387"/>
      <c r="AA14" s="388"/>
    </row>
    <row r="15" spans="1:28" ht="21" customHeight="1">
      <c r="A15" s="280">
        <v>45384</v>
      </c>
      <c r="B15" s="281" t="s">
        <v>201</v>
      </c>
      <c r="C15" s="282" t="s">
        <v>202</v>
      </c>
      <c r="D15" s="278" t="s">
        <v>115</v>
      </c>
      <c r="E15" s="281">
        <v>40</v>
      </c>
      <c r="F15" s="389"/>
      <c r="G15" s="286">
        <v>2</v>
      </c>
      <c r="H15" s="339">
        <v>3</v>
      </c>
      <c r="I15" s="338">
        <f>IFERROR(IF(G15&gt;0,V15*G15*Z15,""),"input error""")</f>
        <v>14793.485212479303</v>
      </c>
      <c r="J15" s="285" t="s">
        <v>118</v>
      </c>
      <c r="K15" s="286">
        <f>733+4276+664</f>
        <v>5673</v>
      </c>
      <c r="L15" s="287">
        <f>(K15*9.8778)/1000</f>
        <v>56.036759400000001</v>
      </c>
      <c r="M15" s="286">
        <v>0</v>
      </c>
      <c r="N15" s="340">
        <f t="shared" ref="N15:N21" si="9">IFERROR(IF(I15&lt;&gt;"",K15/I15,""),"input error")</f>
        <v>0.38347961406784936</v>
      </c>
      <c r="O15" s="289">
        <f t="shared" ref="O15:O21" si="10">IFERROR(IF(I15&lt;&gt;"",K15/(H15*V15*Z15),""),"input error")</f>
        <v>0.25565307604523291</v>
      </c>
      <c r="P15" s="290">
        <f t="shared" ref="P15:P21" si="11">IFERROR(IF(L15&lt;&gt;"",M15/(M15+L15),""),"input error")</f>
        <v>0</v>
      </c>
      <c r="Q15" s="350" t="s">
        <v>214</v>
      </c>
      <c r="R15" s="395">
        <v>2</v>
      </c>
      <c r="S15" s="391">
        <v>7.5</v>
      </c>
      <c r="T15" s="390">
        <v>0</v>
      </c>
      <c r="U15" s="390">
        <f>IFERROR(IF(R15&gt;0,R15*S15-T15,""),"input error")</f>
        <v>15</v>
      </c>
      <c r="V15" s="384">
        <f>'[1]对绞 总绞工时Twisting core'!G30</f>
        <v>803.25</v>
      </c>
      <c r="W15" s="345">
        <f t="shared" ref="W15:W21" si="12">1/V15</f>
        <v>1.2449424214130097E-3</v>
      </c>
      <c r="X15" s="283">
        <f t="shared" ref="X15:X21" si="13">IFERROR(IF(W15&lt;&gt;"",K15*W15,""),"input error")</f>
        <v>7.0625583566760044</v>
      </c>
      <c r="Y15" s="392">
        <f>SUM(X15:X16)</f>
        <v>11.504388422035483</v>
      </c>
      <c r="Z15" s="347">
        <f>IFERROR(IF(X15&lt;&gt;"",$U$15*X15/$Y$15,""),"input error")</f>
        <v>9.2085186507807677</v>
      </c>
      <c r="AA15" s="388"/>
    </row>
    <row r="16" spans="1:28" ht="21" customHeight="1">
      <c r="A16" s="280">
        <v>45384</v>
      </c>
      <c r="B16" s="281" t="s">
        <v>215</v>
      </c>
      <c r="C16" s="282" t="s">
        <v>202</v>
      </c>
      <c r="D16" s="281" t="s">
        <v>112</v>
      </c>
      <c r="E16" s="281">
        <v>50</v>
      </c>
      <c r="F16" s="307"/>
      <c r="G16" s="286">
        <v>2</v>
      </c>
      <c r="H16" s="339">
        <v>3</v>
      </c>
      <c r="I16" s="338">
        <v>7734.4622487114721</v>
      </c>
      <c r="J16" s="281" t="s">
        <v>114</v>
      </c>
      <c r="K16" s="286">
        <f>4320+777</f>
        <v>5097</v>
      </c>
      <c r="L16" s="287">
        <f>(K16*9.8816)/1000</f>
        <v>50.366515200000002</v>
      </c>
      <c r="M16" s="286">
        <v>0</v>
      </c>
      <c r="N16" s="340">
        <f t="shared" si="9"/>
        <v>0.65899862667881504</v>
      </c>
      <c r="O16" s="289">
        <f t="shared" si="10"/>
        <v>0.25565307604523296</v>
      </c>
      <c r="P16" s="290">
        <f t="shared" si="11"/>
        <v>0</v>
      </c>
      <c r="Q16" s="359"/>
      <c r="R16" s="399"/>
      <c r="S16" s="391"/>
      <c r="T16" s="390"/>
      <c r="U16" s="390"/>
      <c r="V16" s="384">
        <f>'[1]对绞 总绞工时Twisting core'!G31</f>
        <v>1147.5</v>
      </c>
      <c r="W16" s="345">
        <f t="shared" si="12"/>
        <v>8.7145969498910673E-4</v>
      </c>
      <c r="X16" s="283">
        <f t="shared" si="13"/>
        <v>4.4418300653594773</v>
      </c>
      <c r="Y16" s="393"/>
      <c r="Z16" s="347">
        <f>IFERROR(IF(X16&lt;&gt;"",$U$15*X16/$Y$15,""),"input error")</f>
        <v>5.7914813492192305</v>
      </c>
      <c r="AA16" s="388"/>
    </row>
    <row r="17" spans="1:27" ht="21" customHeight="1">
      <c r="A17" s="280">
        <v>45384</v>
      </c>
      <c r="B17" s="281" t="s">
        <v>206</v>
      </c>
      <c r="C17" s="282" t="s">
        <v>207</v>
      </c>
      <c r="D17" s="281" t="s">
        <v>169</v>
      </c>
      <c r="E17" s="281">
        <v>20</v>
      </c>
      <c r="F17" s="348"/>
      <c r="G17" s="286">
        <v>6</v>
      </c>
      <c r="H17" s="339">
        <v>1</v>
      </c>
      <c r="I17" s="338">
        <f t="shared" ref="I17:I21" si="14">IFERROR(IF(G17&gt;0,V17*G17*Z17,""),"input error""")</f>
        <v>81000</v>
      </c>
      <c r="J17" s="349" t="s">
        <v>53</v>
      </c>
      <c r="K17" s="286">
        <f>6615</f>
        <v>6615</v>
      </c>
      <c r="L17" s="287">
        <f>(K17*1.655)/1000</f>
        <v>10.947825</v>
      </c>
      <c r="M17" s="286">
        <v>0</v>
      </c>
      <c r="N17" s="340">
        <f t="shared" si="9"/>
        <v>8.1666666666666665E-2</v>
      </c>
      <c r="O17" s="289">
        <f t="shared" si="10"/>
        <v>0.49</v>
      </c>
      <c r="P17" s="290">
        <f t="shared" si="11"/>
        <v>0</v>
      </c>
      <c r="Q17" s="337" t="s">
        <v>208</v>
      </c>
      <c r="R17" s="382">
        <v>2</v>
      </c>
      <c r="S17" s="383">
        <v>7.5</v>
      </c>
      <c r="T17" s="382">
        <v>0</v>
      </c>
      <c r="U17" s="339">
        <f>IFERROR(IF(R17&gt;0,R17*S17-T17,""),"input error")</f>
        <v>15</v>
      </c>
      <c r="V17" s="384">
        <f>'[1]对绞 总绞工时Twisting core'!G9</f>
        <v>900</v>
      </c>
      <c r="W17" s="345">
        <f t="shared" si="12"/>
        <v>1.1111111111111111E-3</v>
      </c>
      <c r="X17" s="283">
        <f t="shared" si="13"/>
        <v>7.35</v>
      </c>
      <c r="Y17" s="394">
        <f>IFERROR(IF(X17&lt;&gt;"",SUM(X17),""),"input error")</f>
        <v>7.35</v>
      </c>
      <c r="Z17" s="347">
        <f>IFERROR(IF(U17&lt;&gt;"",U17*X17/Y17,""),"input error")</f>
        <v>15</v>
      </c>
      <c r="AA17" s="388"/>
    </row>
    <row r="18" spans="1:27" ht="21" customHeight="1">
      <c r="A18" s="280">
        <v>45384</v>
      </c>
      <c r="B18" s="281" t="s">
        <v>209</v>
      </c>
      <c r="C18" s="282" t="s">
        <v>210</v>
      </c>
      <c r="D18" s="281" t="s">
        <v>169</v>
      </c>
      <c r="E18" s="281">
        <v>5.2</v>
      </c>
      <c r="F18" s="348"/>
      <c r="G18" s="286">
        <v>8</v>
      </c>
      <c r="H18" s="339">
        <v>4</v>
      </c>
      <c r="I18" s="338">
        <f t="shared" si="14"/>
        <v>8620.1397411750404</v>
      </c>
      <c r="J18" s="349" t="s">
        <v>53</v>
      </c>
      <c r="K18" s="286">
        <f>3975</f>
        <v>3975</v>
      </c>
      <c r="L18" s="287">
        <f>(K18*2.0513)/1000</f>
        <v>8.1539175000000004</v>
      </c>
      <c r="M18" s="286">
        <v>0</v>
      </c>
      <c r="N18" s="340">
        <f t="shared" si="9"/>
        <v>0.46112941545633856</v>
      </c>
      <c r="O18" s="289">
        <f t="shared" si="10"/>
        <v>0.92225883091267713</v>
      </c>
      <c r="P18" s="290">
        <f t="shared" si="11"/>
        <v>0</v>
      </c>
      <c r="Q18" s="350" t="s">
        <v>216</v>
      </c>
      <c r="R18" s="395">
        <v>2</v>
      </c>
      <c r="S18" s="396">
        <v>7.5</v>
      </c>
      <c r="T18" s="395">
        <v>4</v>
      </c>
      <c r="U18" s="395">
        <f>IFERROR(IF(R18&gt;0,R18*S18-T18,""),"input error")</f>
        <v>11</v>
      </c>
      <c r="V18" s="384">
        <f>'[1]对绞 总绞工时Twisting core'!G27</f>
        <v>405.6</v>
      </c>
      <c r="W18" s="345">
        <f t="shared" si="12"/>
        <v>2.465483234714004E-3</v>
      </c>
      <c r="X18" s="283">
        <f t="shared" si="13"/>
        <v>9.800295857988166</v>
      </c>
      <c r="Y18" s="392">
        <f>SUM(X18:X21)</f>
        <v>40.579388560157795</v>
      </c>
      <c r="Z18" s="347">
        <f>IFERROR(IF(X18&lt;&gt;"",$U$18*X18/$Y$18,""),"input error")</f>
        <v>2.6566012515948718</v>
      </c>
      <c r="AA18" s="388"/>
    </row>
    <row r="19" spans="1:27" ht="21" customHeight="1">
      <c r="A19" s="280">
        <v>45384</v>
      </c>
      <c r="B19" s="281" t="s">
        <v>217</v>
      </c>
      <c r="C19" s="282" t="s">
        <v>210</v>
      </c>
      <c r="D19" s="281" t="s">
        <v>169</v>
      </c>
      <c r="E19" s="281">
        <v>5.2</v>
      </c>
      <c r="F19" s="348"/>
      <c r="G19" s="286">
        <v>8</v>
      </c>
      <c r="H19" s="339">
        <v>4</v>
      </c>
      <c r="I19" s="338">
        <f t="shared" si="14"/>
        <v>6601.1837414180691</v>
      </c>
      <c r="J19" s="349" t="s">
        <v>53</v>
      </c>
      <c r="K19" s="286">
        <f>1814+1230</f>
        <v>3044</v>
      </c>
      <c r="L19" s="287">
        <f>(K19*2.0513)/1000</f>
        <v>6.2441572000000001</v>
      </c>
      <c r="M19" s="286">
        <v>0</v>
      </c>
      <c r="N19" s="340">
        <f t="shared" si="9"/>
        <v>0.46112941545633856</v>
      </c>
      <c r="O19" s="289">
        <f t="shared" si="10"/>
        <v>0.92225883091267713</v>
      </c>
      <c r="P19" s="290">
        <f t="shared" si="11"/>
        <v>0</v>
      </c>
      <c r="Q19" s="355"/>
      <c r="R19" s="397"/>
      <c r="S19" s="398"/>
      <c r="T19" s="397"/>
      <c r="U19" s="397"/>
      <c r="V19" s="384">
        <f>'[1]对绞 总绞工时Twisting core'!G27</f>
        <v>405.6</v>
      </c>
      <c r="W19" s="345">
        <f t="shared" si="12"/>
        <v>2.465483234714004E-3</v>
      </c>
      <c r="X19" s="283">
        <f t="shared" si="13"/>
        <v>7.5049309664694279</v>
      </c>
      <c r="Y19" s="393"/>
      <c r="Z19" s="347">
        <f t="shared" ref="Z19:Z20" si="15">IFERROR(IF(X19&lt;&gt;"",$U$18*X19/$Y$18,""),"input error")</f>
        <v>2.0343884804666139</v>
      </c>
      <c r="AA19" s="388"/>
    </row>
    <row r="20" spans="1:27" ht="21" customHeight="1">
      <c r="A20" s="280">
        <v>45384</v>
      </c>
      <c r="B20" s="281" t="s">
        <v>212</v>
      </c>
      <c r="C20" s="282" t="s">
        <v>210</v>
      </c>
      <c r="D20" s="281" t="s">
        <v>169</v>
      </c>
      <c r="E20" s="281">
        <v>5.2</v>
      </c>
      <c r="F20" s="348"/>
      <c r="G20" s="286">
        <v>8</v>
      </c>
      <c r="H20" s="339">
        <v>4</v>
      </c>
      <c r="I20" s="338">
        <f t="shared" si="14"/>
        <v>10452.59712011665</v>
      </c>
      <c r="J20" s="349" t="s">
        <v>53</v>
      </c>
      <c r="K20" s="286">
        <f>4820</f>
        <v>4820</v>
      </c>
      <c r="L20" s="287">
        <f>(K20*2.0513)/1000</f>
        <v>9.8872660000000003</v>
      </c>
      <c r="M20" s="286">
        <v>0</v>
      </c>
      <c r="N20" s="340">
        <f t="shared" si="9"/>
        <v>0.46112941545633868</v>
      </c>
      <c r="O20" s="289">
        <f t="shared" si="10"/>
        <v>0.92225883091267735</v>
      </c>
      <c r="P20" s="290">
        <f t="shared" si="11"/>
        <v>0</v>
      </c>
      <c r="Q20" s="355"/>
      <c r="R20" s="397"/>
      <c r="S20" s="398"/>
      <c r="T20" s="397"/>
      <c r="U20" s="397"/>
      <c r="V20" s="384">
        <f>'[1]对绞 总绞工时Twisting core'!G27</f>
        <v>405.6</v>
      </c>
      <c r="W20" s="345">
        <f t="shared" si="12"/>
        <v>2.465483234714004E-3</v>
      </c>
      <c r="X20" s="283">
        <f t="shared" si="13"/>
        <v>11.883629191321498</v>
      </c>
      <c r="Y20" s="393"/>
      <c r="Z20" s="347">
        <f t="shared" si="15"/>
        <v>3.2213378698584352</v>
      </c>
      <c r="AA20" s="388"/>
    </row>
    <row r="21" spans="1:27" ht="21" customHeight="1">
      <c r="A21" s="280">
        <v>45384</v>
      </c>
      <c r="B21" s="281" t="s">
        <v>213</v>
      </c>
      <c r="C21" s="282" t="s">
        <v>210</v>
      </c>
      <c r="D21" s="281" t="s">
        <v>169</v>
      </c>
      <c r="E21" s="281">
        <v>5.2</v>
      </c>
      <c r="F21" s="348"/>
      <c r="G21" s="286">
        <v>8</v>
      </c>
      <c r="H21" s="339">
        <v>4</v>
      </c>
      <c r="I21" s="338">
        <f t="shared" si="14"/>
        <v>10018.879397290237</v>
      </c>
      <c r="J21" s="349" t="s">
        <v>53</v>
      </c>
      <c r="K21" s="286">
        <f>4620</f>
        <v>4620</v>
      </c>
      <c r="L21" s="287">
        <f>(K21*2.0513)/1000</f>
        <v>9.4770059999999994</v>
      </c>
      <c r="M21" s="286">
        <v>0</v>
      </c>
      <c r="N21" s="340">
        <f t="shared" si="9"/>
        <v>0.46112941545633851</v>
      </c>
      <c r="O21" s="289">
        <f t="shared" si="10"/>
        <v>0.92225883091267702</v>
      </c>
      <c r="P21" s="290">
        <f t="shared" si="11"/>
        <v>0</v>
      </c>
      <c r="Q21" s="359"/>
      <c r="R21" s="399"/>
      <c r="S21" s="400"/>
      <c r="T21" s="399"/>
      <c r="U21" s="399"/>
      <c r="V21" s="384">
        <f>'[1]对绞 总绞工时Twisting core'!G27</f>
        <v>405.6</v>
      </c>
      <c r="W21" s="345">
        <f t="shared" si="12"/>
        <v>2.465483234714004E-3</v>
      </c>
      <c r="X21" s="283">
        <f t="shared" si="13"/>
        <v>11.390532544378699</v>
      </c>
      <c r="Y21" s="401"/>
      <c r="Z21" s="347">
        <f>IFERROR(IF(X21&lt;&gt;"",$U$18*X21/$Y$18,""),"input error")</f>
        <v>3.0876723980800778</v>
      </c>
      <c r="AA21" s="388"/>
    </row>
    <row r="22" spans="1:27" ht="21" customHeight="1">
      <c r="A22" s="306"/>
      <c r="B22" s="281"/>
      <c r="C22" s="282"/>
      <c r="D22" s="281"/>
      <c r="E22" s="281"/>
      <c r="F22" s="307"/>
      <c r="G22" s="286"/>
      <c r="H22" s="339"/>
      <c r="I22" s="338"/>
      <c r="J22" s="281"/>
      <c r="K22" s="286"/>
      <c r="L22" s="287"/>
      <c r="M22" s="286"/>
      <c r="N22" s="340" t="str">
        <f t="shared" si="0"/>
        <v/>
      </c>
      <c r="O22" s="341"/>
      <c r="P22" s="290"/>
      <c r="Q22" s="337"/>
      <c r="R22" s="382"/>
      <c r="S22" s="383"/>
      <c r="T22" s="382"/>
      <c r="U22" s="402"/>
      <c r="V22" s="384"/>
      <c r="W22" s="385"/>
      <c r="X22" s="386"/>
      <c r="Y22" s="403"/>
      <c r="Z22" s="387"/>
      <c r="AA22" s="404"/>
    </row>
    <row r="23" spans="1:27" s="308" customFormat="1" ht="40.5" customHeight="1">
      <c r="E23" s="309"/>
      <c r="F23" s="310"/>
      <c r="G23" s="310"/>
      <c r="H23" s="310"/>
      <c r="I23" s="310"/>
      <c r="J23" s="310"/>
      <c r="K23" s="310"/>
      <c r="L23" s="310"/>
      <c r="M23" s="405"/>
      <c r="N23" s="405"/>
      <c r="O23" s="317"/>
      <c r="P23" s="317"/>
      <c r="Q23" s="317"/>
      <c r="R23" s="272"/>
      <c r="S23" s="272"/>
      <c r="T23" s="272"/>
      <c r="U23" s="311"/>
      <c r="V23" s="311"/>
      <c r="W23" s="372" t="s">
        <v>181</v>
      </c>
      <c r="X23" s="372"/>
      <c r="Y23" s="372" t="s">
        <v>182</v>
      </c>
      <c r="Z23" s="372"/>
      <c r="AA23" s="273" t="s">
        <v>183</v>
      </c>
    </row>
    <row r="24" spans="1:27" s="308" customFormat="1" ht="28.5" customHeight="1">
      <c r="E24" s="310"/>
      <c r="F24" s="310"/>
      <c r="G24" s="310"/>
      <c r="H24" s="310"/>
      <c r="I24" s="310"/>
      <c r="J24" s="310"/>
      <c r="K24" s="310"/>
      <c r="L24" s="316"/>
      <c r="M24" s="405"/>
      <c r="N24" s="405"/>
      <c r="O24" s="317"/>
      <c r="P24" s="317"/>
      <c r="Q24" s="317"/>
      <c r="R24" s="319"/>
      <c r="S24" s="319"/>
      <c r="T24" s="319"/>
      <c r="U24" s="272"/>
      <c r="V24" s="272"/>
      <c r="W24" s="374" t="s">
        <v>184</v>
      </c>
      <c r="X24" s="374"/>
      <c r="Y24" s="375" t="s">
        <v>185</v>
      </c>
      <c r="Z24" s="375"/>
      <c r="AA24" s="273" t="s">
        <v>186</v>
      </c>
    </row>
    <row r="25" spans="1:27" ht="23.25" customHeight="1"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5"/>
      <c r="R25" s="325"/>
      <c r="S25" s="325"/>
      <c r="T25" s="325"/>
      <c r="U25" s="325"/>
      <c r="V25" s="325"/>
      <c r="W25" s="376" t="s">
        <v>187</v>
      </c>
      <c r="X25" s="376"/>
      <c r="Y25" s="376"/>
      <c r="Z25" s="376"/>
      <c r="AA25" s="376"/>
    </row>
  </sheetData>
  <autoFilter ref="A6:AA25"/>
  <mergeCells count="36">
    <mergeCell ref="W25:AA25"/>
    <mergeCell ref="M23:N23"/>
    <mergeCell ref="W23:X23"/>
    <mergeCell ref="Y23:Z23"/>
    <mergeCell ref="M24:N24"/>
    <mergeCell ref="W24:X24"/>
    <mergeCell ref="Y24:Z24"/>
    <mergeCell ref="Q18:Q21"/>
    <mergeCell ref="R18:R21"/>
    <mergeCell ref="S18:S21"/>
    <mergeCell ref="T18:T21"/>
    <mergeCell ref="U18:U21"/>
    <mergeCell ref="Y18:Y21"/>
    <mergeCell ref="Q15:Q16"/>
    <mergeCell ref="R15:R16"/>
    <mergeCell ref="S15:S16"/>
    <mergeCell ref="T15:T16"/>
    <mergeCell ref="U15:U16"/>
    <mergeCell ref="Y15:Y16"/>
    <mergeCell ref="R8:R9"/>
    <mergeCell ref="S8:S9"/>
    <mergeCell ref="T8:T9"/>
    <mergeCell ref="U8:U9"/>
    <mergeCell ref="Y8:Y9"/>
    <mergeCell ref="R11:R13"/>
    <mergeCell ref="S11:S13"/>
    <mergeCell ref="T11:T13"/>
    <mergeCell ref="U11:U13"/>
    <mergeCell ref="Y11:Y13"/>
    <mergeCell ref="B1:AA1"/>
    <mergeCell ref="B2:AA2"/>
    <mergeCell ref="B3:AA3"/>
    <mergeCell ref="B4:AA4"/>
    <mergeCell ref="A5:F5"/>
    <mergeCell ref="M5:N5"/>
    <mergeCell ref="Y5:AA5"/>
  </mergeCells>
  <conditionalFormatting sqref="N22">
    <cfRule type="cellIs" dxfId="14" priority="2" operator="lessThan">
      <formula>0.4</formula>
    </cfRule>
  </conditionalFormatting>
  <conditionalFormatting sqref="N7:N14">
    <cfRule type="cellIs" dxfId="13" priority="3" operator="lessThan">
      <formula>0.4</formula>
    </cfRule>
  </conditionalFormatting>
  <conditionalFormatting sqref="N15:N21">
    <cfRule type="cellIs" dxfId="12" priority="1" operator="lessThan">
      <formula>0.4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35"/>
  <sheetViews>
    <sheetView showGridLines="0" zoomScale="86" zoomScaleNormal="86" workbookViewId="0">
      <pane ySplit="6" topLeftCell="A7" activePane="bottomLeft" state="frozen"/>
      <selection activeCell="L26" sqref="L26"/>
      <selection pane="bottomLeft" activeCell="L26" sqref="L26"/>
    </sheetView>
  </sheetViews>
  <sheetFormatPr defaultRowHeight="15"/>
  <cols>
    <col min="1" max="1" width="10.42578125" style="308" customWidth="1"/>
    <col min="2" max="2" width="11.7109375" style="308" customWidth="1"/>
    <col min="3" max="3" width="13.85546875" style="308" customWidth="1"/>
    <col min="4" max="4" width="26.5703125" style="309" customWidth="1"/>
    <col min="5" max="5" width="10.85546875" style="310" customWidth="1"/>
    <col min="6" max="6" width="17.85546875" style="310" customWidth="1"/>
    <col min="7" max="7" width="10.140625" style="310" customWidth="1"/>
    <col min="8" max="8" width="14.140625" style="310" customWidth="1"/>
    <col min="9" max="10" width="10" style="310" customWidth="1"/>
    <col min="11" max="11" width="12" style="310" customWidth="1"/>
    <col min="12" max="12" width="12.85546875" style="310" customWidth="1"/>
    <col min="13" max="13" width="12.5703125" style="310" customWidth="1"/>
    <col min="14" max="14" width="26" style="310" customWidth="1"/>
    <col min="15" max="15" width="8.7109375" style="310" customWidth="1"/>
    <col min="16" max="16" width="9.85546875" style="310" customWidth="1"/>
    <col min="17" max="17" width="9.28515625" style="310" customWidth="1"/>
    <col min="18" max="19" width="10.85546875" style="308" customWidth="1"/>
    <col min="20" max="20" width="12" style="308" customWidth="1"/>
    <col min="21" max="23" width="10.85546875" style="308" customWidth="1"/>
    <col min="24" max="24" width="20.85546875" style="308" customWidth="1"/>
    <col min="25" max="265" width="9.140625" style="308"/>
    <col min="266" max="266" width="9.42578125" style="308" customWidth="1"/>
    <col min="267" max="267" width="16" style="308" customWidth="1"/>
    <col min="268" max="268" width="23.42578125" style="308" customWidth="1"/>
    <col min="269" max="269" width="10.42578125" style="308" customWidth="1"/>
    <col min="270" max="270" width="17.85546875" style="308" customWidth="1"/>
    <col min="271" max="271" width="10.140625" style="308" customWidth="1"/>
    <col min="272" max="272" width="11.7109375" style="308" customWidth="1"/>
    <col min="273" max="273" width="10.42578125" style="308" customWidth="1"/>
    <col min="274" max="274" width="10" style="308" customWidth="1"/>
    <col min="275" max="275" width="12" style="308" customWidth="1"/>
    <col min="276" max="276" width="9.140625" style="308"/>
    <col min="277" max="277" width="11" style="308" customWidth="1"/>
    <col min="278" max="278" width="9.140625" style="308" customWidth="1"/>
    <col min="279" max="279" width="9" style="308" customWidth="1"/>
    <col min="280" max="280" width="10.28515625" style="308" customWidth="1"/>
    <col min="281" max="521" width="9.140625" style="308"/>
    <col min="522" max="522" width="9.42578125" style="308" customWidth="1"/>
    <col min="523" max="523" width="16" style="308" customWidth="1"/>
    <col min="524" max="524" width="23.42578125" style="308" customWidth="1"/>
    <col min="525" max="525" width="10.42578125" style="308" customWidth="1"/>
    <col min="526" max="526" width="17.85546875" style="308" customWidth="1"/>
    <col min="527" max="527" width="10.140625" style="308" customWidth="1"/>
    <col min="528" max="528" width="11.7109375" style="308" customWidth="1"/>
    <col min="529" max="529" width="10.42578125" style="308" customWidth="1"/>
    <col min="530" max="530" width="10" style="308" customWidth="1"/>
    <col min="531" max="531" width="12" style="308" customWidth="1"/>
    <col min="532" max="532" width="9.140625" style="308"/>
    <col min="533" max="533" width="11" style="308" customWidth="1"/>
    <col min="534" max="534" width="9.140625" style="308" customWidth="1"/>
    <col min="535" max="535" width="9" style="308" customWidth="1"/>
    <col min="536" max="536" width="10.28515625" style="308" customWidth="1"/>
    <col min="537" max="777" width="9.140625" style="308"/>
    <col min="778" max="778" width="9.42578125" style="308" customWidth="1"/>
    <col min="779" max="779" width="16" style="308" customWidth="1"/>
    <col min="780" max="780" width="23.42578125" style="308" customWidth="1"/>
    <col min="781" max="781" width="10.42578125" style="308" customWidth="1"/>
    <col min="782" max="782" width="17.85546875" style="308" customWidth="1"/>
    <col min="783" max="783" width="10.140625" style="308" customWidth="1"/>
    <col min="784" max="784" width="11.7109375" style="308" customWidth="1"/>
    <col min="785" max="785" width="10.42578125" style="308" customWidth="1"/>
    <col min="786" max="786" width="10" style="308" customWidth="1"/>
    <col min="787" max="787" width="12" style="308" customWidth="1"/>
    <col min="788" max="788" width="9.140625" style="308"/>
    <col min="789" max="789" width="11" style="308" customWidth="1"/>
    <col min="790" max="790" width="9.140625" style="308" customWidth="1"/>
    <col min="791" max="791" width="9" style="308" customWidth="1"/>
    <col min="792" max="792" width="10.28515625" style="308" customWidth="1"/>
    <col min="793" max="1033" width="9.140625" style="308"/>
    <col min="1034" max="1034" width="9.42578125" style="308" customWidth="1"/>
    <col min="1035" max="1035" width="16" style="308" customWidth="1"/>
    <col min="1036" max="1036" width="23.42578125" style="308" customWidth="1"/>
    <col min="1037" max="1037" width="10.42578125" style="308" customWidth="1"/>
    <col min="1038" max="1038" width="17.85546875" style="308" customWidth="1"/>
    <col min="1039" max="1039" width="10.140625" style="308" customWidth="1"/>
    <col min="1040" max="1040" width="11.7109375" style="308" customWidth="1"/>
    <col min="1041" max="1041" width="10.42578125" style="308" customWidth="1"/>
    <col min="1042" max="1042" width="10" style="308" customWidth="1"/>
    <col min="1043" max="1043" width="12" style="308" customWidth="1"/>
    <col min="1044" max="1044" width="9.140625" style="308"/>
    <col min="1045" max="1045" width="11" style="308" customWidth="1"/>
    <col min="1046" max="1046" width="9.140625" style="308" customWidth="1"/>
    <col min="1047" max="1047" width="9" style="308" customWidth="1"/>
    <col min="1048" max="1048" width="10.28515625" style="308" customWidth="1"/>
    <col min="1049" max="1289" width="9.140625" style="308"/>
    <col min="1290" max="1290" width="9.42578125" style="308" customWidth="1"/>
    <col min="1291" max="1291" width="16" style="308" customWidth="1"/>
    <col min="1292" max="1292" width="23.42578125" style="308" customWidth="1"/>
    <col min="1293" max="1293" width="10.42578125" style="308" customWidth="1"/>
    <col min="1294" max="1294" width="17.85546875" style="308" customWidth="1"/>
    <col min="1295" max="1295" width="10.140625" style="308" customWidth="1"/>
    <col min="1296" max="1296" width="11.7109375" style="308" customWidth="1"/>
    <col min="1297" max="1297" width="10.42578125" style="308" customWidth="1"/>
    <col min="1298" max="1298" width="10" style="308" customWidth="1"/>
    <col min="1299" max="1299" width="12" style="308" customWidth="1"/>
    <col min="1300" max="1300" width="9.140625" style="308"/>
    <col min="1301" max="1301" width="11" style="308" customWidth="1"/>
    <col min="1302" max="1302" width="9.140625" style="308" customWidth="1"/>
    <col min="1303" max="1303" width="9" style="308" customWidth="1"/>
    <col min="1304" max="1304" width="10.28515625" style="308" customWidth="1"/>
    <col min="1305" max="1545" width="9.140625" style="308"/>
    <col min="1546" max="1546" width="9.42578125" style="308" customWidth="1"/>
    <col min="1547" max="1547" width="16" style="308" customWidth="1"/>
    <col min="1548" max="1548" width="23.42578125" style="308" customWidth="1"/>
    <col min="1549" max="1549" width="10.42578125" style="308" customWidth="1"/>
    <col min="1550" max="1550" width="17.85546875" style="308" customWidth="1"/>
    <col min="1551" max="1551" width="10.140625" style="308" customWidth="1"/>
    <col min="1552" max="1552" width="11.7109375" style="308" customWidth="1"/>
    <col min="1553" max="1553" width="10.42578125" style="308" customWidth="1"/>
    <col min="1554" max="1554" width="10" style="308" customWidth="1"/>
    <col min="1555" max="1555" width="12" style="308" customWidth="1"/>
    <col min="1556" max="1556" width="9.140625" style="308"/>
    <col min="1557" max="1557" width="11" style="308" customWidth="1"/>
    <col min="1558" max="1558" width="9.140625" style="308" customWidth="1"/>
    <col min="1559" max="1559" width="9" style="308" customWidth="1"/>
    <col min="1560" max="1560" width="10.28515625" style="308" customWidth="1"/>
    <col min="1561" max="1801" width="9.140625" style="308"/>
    <col min="1802" max="1802" width="9.42578125" style="308" customWidth="1"/>
    <col min="1803" max="1803" width="16" style="308" customWidth="1"/>
    <col min="1804" max="1804" width="23.42578125" style="308" customWidth="1"/>
    <col min="1805" max="1805" width="10.42578125" style="308" customWidth="1"/>
    <col min="1806" max="1806" width="17.85546875" style="308" customWidth="1"/>
    <col min="1807" max="1807" width="10.140625" style="308" customWidth="1"/>
    <col min="1808" max="1808" width="11.7109375" style="308" customWidth="1"/>
    <col min="1809" max="1809" width="10.42578125" style="308" customWidth="1"/>
    <col min="1810" max="1810" width="10" style="308" customWidth="1"/>
    <col min="1811" max="1811" width="12" style="308" customWidth="1"/>
    <col min="1812" max="1812" width="9.140625" style="308"/>
    <col min="1813" max="1813" width="11" style="308" customWidth="1"/>
    <col min="1814" max="1814" width="9.140625" style="308" customWidth="1"/>
    <col min="1815" max="1815" width="9" style="308" customWidth="1"/>
    <col min="1816" max="1816" width="10.28515625" style="308" customWidth="1"/>
    <col min="1817" max="2057" width="9.140625" style="308"/>
    <col min="2058" max="2058" width="9.42578125" style="308" customWidth="1"/>
    <col min="2059" max="2059" width="16" style="308" customWidth="1"/>
    <col min="2060" max="2060" width="23.42578125" style="308" customWidth="1"/>
    <col min="2061" max="2061" width="10.42578125" style="308" customWidth="1"/>
    <col min="2062" max="2062" width="17.85546875" style="308" customWidth="1"/>
    <col min="2063" max="2063" width="10.140625" style="308" customWidth="1"/>
    <col min="2064" max="2064" width="11.7109375" style="308" customWidth="1"/>
    <col min="2065" max="2065" width="10.42578125" style="308" customWidth="1"/>
    <col min="2066" max="2066" width="10" style="308" customWidth="1"/>
    <col min="2067" max="2067" width="12" style="308" customWidth="1"/>
    <col min="2068" max="2068" width="9.140625" style="308"/>
    <col min="2069" max="2069" width="11" style="308" customWidth="1"/>
    <col min="2070" max="2070" width="9.140625" style="308" customWidth="1"/>
    <col min="2071" max="2071" width="9" style="308" customWidth="1"/>
    <col min="2072" max="2072" width="10.28515625" style="308" customWidth="1"/>
    <col min="2073" max="2313" width="9.140625" style="308"/>
    <col min="2314" max="2314" width="9.42578125" style="308" customWidth="1"/>
    <col min="2315" max="2315" width="16" style="308" customWidth="1"/>
    <col min="2316" max="2316" width="23.42578125" style="308" customWidth="1"/>
    <col min="2317" max="2317" width="10.42578125" style="308" customWidth="1"/>
    <col min="2318" max="2318" width="17.85546875" style="308" customWidth="1"/>
    <col min="2319" max="2319" width="10.140625" style="308" customWidth="1"/>
    <col min="2320" max="2320" width="11.7109375" style="308" customWidth="1"/>
    <col min="2321" max="2321" width="10.42578125" style="308" customWidth="1"/>
    <col min="2322" max="2322" width="10" style="308" customWidth="1"/>
    <col min="2323" max="2323" width="12" style="308" customWidth="1"/>
    <col min="2324" max="2324" width="9.140625" style="308"/>
    <col min="2325" max="2325" width="11" style="308" customWidth="1"/>
    <col min="2326" max="2326" width="9.140625" style="308" customWidth="1"/>
    <col min="2327" max="2327" width="9" style="308" customWidth="1"/>
    <col min="2328" max="2328" width="10.28515625" style="308" customWidth="1"/>
    <col min="2329" max="2569" width="9.140625" style="308"/>
    <col min="2570" max="2570" width="9.42578125" style="308" customWidth="1"/>
    <col min="2571" max="2571" width="16" style="308" customWidth="1"/>
    <col min="2572" max="2572" width="23.42578125" style="308" customWidth="1"/>
    <col min="2573" max="2573" width="10.42578125" style="308" customWidth="1"/>
    <col min="2574" max="2574" width="17.85546875" style="308" customWidth="1"/>
    <col min="2575" max="2575" width="10.140625" style="308" customWidth="1"/>
    <col min="2576" max="2576" width="11.7109375" style="308" customWidth="1"/>
    <col min="2577" max="2577" width="10.42578125" style="308" customWidth="1"/>
    <col min="2578" max="2578" width="10" style="308" customWidth="1"/>
    <col min="2579" max="2579" width="12" style="308" customWidth="1"/>
    <col min="2580" max="2580" width="9.140625" style="308"/>
    <col min="2581" max="2581" width="11" style="308" customWidth="1"/>
    <col min="2582" max="2582" width="9.140625" style="308" customWidth="1"/>
    <col min="2583" max="2583" width="9" style="308" customWidth="1"/>
    <col min="2584" max="2584" width="10.28515625" style="308" customWidth="1"/>
    <col min="2585" max="2825" width="9.140625" style="308"/>
    <col min="2826" max="2826" width="9.42578125" style="308" customWidth="1"/>
    <col min="2827" max="2827" width="16" style="308" customWidth="1"/>
    <col min="2828" max="2828" width="23.42578125" style="308" customWidth="1"/>
    <col min="2829" max="2829" width="10.42578125" style="308" customWidth="1"/>
    <col min="2830" max="2830" width="17.85546875" style="308" customWidth="1"/>
    <col min="2831" max="2831" width="10.140625" style="308" customWidth="1"/>
    <col min="2832" max="2832" width="11.7109375" style="308" customWidth="1"/>
    <col min="2833" max="2833" width="10.42578125" style="308" customWidth="1"/>
    <col min="2834" max="2834" width="10" style="308" customWidth="1"/>
    <col min="2835" max="2835" width="12" style="308" customWidth="1"/>
    <col min="2836" max="2836" width="9.140625" style="308"/>
    <col min="2837" max="2837" width="11" style="308" customWidth="1"/>
    <col min="2838" max="2838" width="9.140625" style="308" customWidth="1"/>
    <col min="2839" max="2839" width="9" style="308" customWidth="1"/>
    <col min="2840" max="2840" width="10.28515625" style="308" customWidth="1"/>
    <col min="2841" max="3081" width="9.140625" style="308"/>
    <col min="3082" max="3082" width="9.42578125" style="308" customWidth="1"/>
    <col min="3083" max="3083" width="16" style="308" customWidth="1"/>
    <col min="3084" max="3084" width="23.42578125" style="308" customWidth="1"/>
    <col min="3085" max="3085" width="10.42578125" style="308" customWidth="1"/>
    <col min="3086" max="3086" width="17.85546875" style="308" customWidth="1"/>
    <col min="3087" max="3087" width="10.140625" style="308" customWidth="1"/>
    <col min="3088" max="3088" width="11.7109375" style="308" customWidth="1"/>
    <col min="3089" max="3089" width="10.42578125" style="308" customWidth="1"/>
    <col min="3090" max="3090" width="10" style="308" customWidth="1"/>
    <col min="3091" max="3091" width="12" style="308" customWidth="1"/>
    <col min="3092" max="3092" width="9.140625" style="308"/>
    <col min="3093" max="3093" width="11" style="308" customWidth="1"/>
    <col min="3094" max="3094" width="9.140625" style="308" customWidth="1"/>
    <col min="3095" max="3095" width="9" style="308" customWidth="1"/>
    <col min="3096" max="3096" width="10.28515625" style="308" customWidth="1"/>
    <col min="3097" max="3337" width="9.140625" style="308"/>
    <col min="3338" max="3338" width="9.42578125" style="308" customWidth="1"/>
    <col min="3339" max="3339" width="16" style="308" customWidth="1"/>
    <col min="3340" max="3340" width="23.42578125" style="308" customWidth="1"/>
    <col min="3341" max="3341" width="10.42578125" style="308" customWidth="1"/>
    <col min="3342" max="3342" width="17.85546875" style="308" customWidth="1"/>
    <col min="3343" max="3343" width="10.140625" style="308" customWidth="1"/>
    <col min="3344" max="3344" width="11.7109375" style="308" customWidth="1"/>
    <col min="3345" max="3345" width="10.42578125" style="308" customWidth="1"/>
    <col min="3346" max="3346" width="10" style="308" customWidth="1"/>
    <col min="3347" max="3347" width="12" style="308" customWidth="1"/>
    <col min="3348" max="3348" width="9.140625" style="308"/>
    <col min="3349" max="3349" width="11" style="308" customWidth="1"/>
    <col min="3350" max="3350" width="9.140625" style="308" customWidth="1"/>
    <col min="3351" max="3351" width="9" style="308" customWidth="1"/>
    <col min="3352" max="3352" width="10.28515625" style="308" customWidth="1"/>
    <col min="3353" max="3593" width="9.140625" style="308"/>
    <col min="3594" max="3594" width="9.42578125" style="308" customWidth="1"/>
    <col min="3595" max="3595" width="16" style="308" customWidth="1"/>
    <col min="3596" max="3596" width="23.42578125" style="308" customWidth="1"/>
    <col min="3597" max="3597" width="10.42578125" style="308" customWidth="1"/>
    <col min="3598" max="3598" width="17.85546875" style="308" customWidth="1"/>
    <col min="3599" max="3599" width="10.140625" style="308" customWidth="1"/>
    <col min="3600" max="3600" width="11.7109375" style="308" customWidth="1"/>
    <col min="3601" max="3601" width="10.42578125" style="308" customWidth="1"/>
    <col min="3602" max="3602" width="10" style="308" customWidth="1"/>
    <col min="3603" max="3603" width="12" style="308" customWidth="1"/>
    <col min="3604" max="3604" width="9.140625" style="308"/>
    <col min="3605" max="3605" width="11" style="308" customWidth="1"/>
    <col min="3606" max="3606" width="9.140625" style="308" customWidth="1"/>
    <col min="3607" max="3607" width="9" style="308" customWidth="1"/>
    <col min="3608" max="3608" width="10.28515625" style="308" customWidth="1"/>
    <col min="3609" max="3849" width="9.140625" style="308"/>
    <col min="3850" max="3850" width="9.42578125" style="308" customWidth="1"/>
    <col min="3851" max="3851" width="16" style="308" customWidth="1"/>
    <col min="3852" max="3852" width="23.42578125" style="308" customWidth="1"/>
    <col min="3853" max="3853" width="10.42578125" style="308" customWidth="1"/>
    <col min="3854" max="3854" width="17.85546875" style="308" customWidth="1"/>
    <col min="3855" max="3855" width="10.140625" style="308" customWidth="1"/>
    <col min="3856" max="3856" width="11.7109375" style="308" customWidth="1"/>
    <col min="3857" max="3857" width="10.42578125" style="308" customWidth="1"/>
    <col min="3858" max="3858" width="10" style="308" customWidth="1"/>
    <col min="3859" max="3859" width="12" style="308" customWidth="1"/>
    <col min="3860" max="3860" width="9.140625" style="308"/>
    <col min="3861" max="3861" width="11" style="308" customWidth="1"/>
    <col min="3862" max="3862" width="9.140625" style="308" customWidth="1"/>
    <col min="3863" max="3863" width="9" style="308" customWidth="1"/>
    <col min="3864" max="3864" width="10.28515625" style="308" customWidth="1"/>
    <col min="3865" max="4105" width="9.140625" style="308"/>
    <col min="4106" max="4106" width="9.42578125" style="308" customWidth="1"/>
    <col min="4107" max="4107" width="16" style="308" customWidth="1"/>
    <col min="4108" max="4108" width="23.42578125" style="308" customWidth="1"/>
    <col min="4109" max="4109" width="10.42578125" style="308" customWidth="1"/>
    <col min="4110" max="4110" width="17.85546875" style="308" customWidth="1"/>
    <col min="4111" max="4111" width="10.140625" style="308" customWidth="1"/>
    <col min="4112" max="4112" width="11.7109375" style="308" customWidth="1"/>
    <col min="4113" max="4113" width="10.42578125" style="308" customWidth="1"/>
    <col min="4114" max="4114" width="10" style="308" customWidth="1"/>
    <col min="4115" max="4115" width="12" style="308" customWidth="1"/>
    <col min="4116" max="4116" width="9.140625" style="308"/>
    <col min="4117" max="4117" width="11" style="308" customWidth="1"/>
    <col min="4118" max="4118" width="9.140625" style="308" customWidth="1"/>
    <col min="4119" max="4119" width="9" style="308" customWidth="1"/>
    <col min="4120" max="4120" width="10.28515625" style="308" customWidth="1"/>
    <col min="4121" max="4361" width="9.140625" style="308"/>
    <col min="4362" max="4362" width="9.42578125" style="308" customWidth="1"/>
    <col min="4363" max="4363" width="16" style="308" customWidth="1"/>
    <col min="4364" max="4364" width="23.42578125" style="308" customWidth="1"/>
    <col min="4365" max="4365" width="10.42578125" style="308" customWidth="1"/>
    <col min="4366" max="4366" width="17.85546875" style="308" customWidth="1"/>
    <col min="4367" max="4367" width="10.140625" style="308" customWidth="1"/>
    <col min="4368" max="4368" width="11.7109375" style="308" customWidth="1"/>
    <col min="4369" max="4369" width="10.42578125" style="308" customWidth="1"/>
    <col min="4370" max="4370" width="10" style="308" customWidth="1"/>
    <col min="4371" max="4371" width="12" style="308" customWidth="1"/>
    <col min="4372" max="4372" width="9.140625" style="308"/>
    <col min="4373" max="4373" width="11" style="308" customWidth="1"/>
    <col min="4374" max="4374" width="9.140625" style="308" customWidth="1"/>
    <col min="4375" max="4375" width="9" style="308" customWidth="1"/>
    <col min="4376" max="4376" width="10.28515625" style="308" customWidth="1"/>
    <col min="4377" max="4617" width="9.140625" style="308"/>
    <col min="4618" max="4618" width="9.42578125" style="308" customWidth="1"/>
    <col min="4619" max="4619" width="16" style="308" customWidth="1"/>
    <col min="4620" max="4620" width="23.42578125" style="308" customWidth="1"/>
    <col min="4621" max="4621" width="10.42578125" style="308" customWidth="1"/>
    <col min="4622" max="4622" width="17.85546875" style="308" customWidth="1"/>
    <col min="4623" max="4623" width="10.140625" style="308" customWidth="1"/>
    <col min="4624" max="4624" width="11.7109375" style="308" customWidth="1"/>
    <col min="4625" max="4625" width="10.42578125" style="308" customWidth="1"/>
    <col min="4626" max="4626" width="10" style="308" customWidth="1"/>
    <col min="4627" max="4627" width="12" style="308" customWidth="1"/>
    <col min="4628" max="4628" width="9.140625" style="308"/>
    <col min="4629" max="4629" width="11" style="308" customWidth="1"/>
    <col min="4630" max="4630" width="9.140625" style="308" customWidth="1"/>
    <col min="4631" max="4631" width="9" style="308" customWidth="1"/>
    <col min="4632" max="4632" width="10.28515625" style="308" customWidth="1"/>
    <col min="4633" max="4873" width="9.140625" style="308"/>
    <col min="4874" max="4874" width="9.42578125" style="308" customWidth="1"/>
    <col min="4875" max="4875" width="16" style="308" customWidth="1"/>
    <col min="4876" max="4876" width="23.42578125" style="308" customWidth="1"/>
    <col min="4877" max="4877" width="10.42578125" style="308" customWidth="1"/>
    <col min="4878" max="4878" width="17.85546875" style="308" customWidth="1"/>
    <col min="4879" max="4879" width="10.140625" style="308" customWidth="1"/>
    <col min="4880" max="4880" width="11.7109375" style="308" customWidth="1"/>
    <col min="4881" max="4881" width="10.42578125" style="308" customWidth="1"/>
    <col min="4882" max="4882" width="10" style="308" customWidth="1"/>
    <col min="4883" max="4883" width="12" style="308" customWidth="1"/>
    <col min="4884" max="4884" width="9.140625" style="308"/>
    <col min="4885" max="4885" width="11" style="308" customWidth="1"/>
    <col min="4886" max="4886" width="9.140625" style="308" customWidth="1"/>
    <col min="4887" max="4887" width="9" style="308" customWidth="1"/>
    <col min="4888" max="4888" width="10.28515625" style="308" customWidth="1"/>
    <col min="4889" max="5129" width="9.140625" style="308"/>
    <col min="5130" max="5130" width="9.42578125" style="308" customWidth="1"/>
    <col min="5131" max="5131" width="16" style="308" customWidth="1"/>
    <col min="5132" max="5132" width="23.42578125" style="308" customWidth="1"/>
    <col min="5133" max="5133" width="10.42578125" style="308" customWidth="1"/>
    <col min="5134" max="5134" width="17.85546875" style="308" customWidth="1"/>
    <col min="5135" max="5135" width="10.140625" style="308" customWidth="1"/>
    <col min="5136" max="5136" width="11.7109375" style="308" customWidth="1"/>
    <col min="5137" max="5137" width="10.42578125" style="308" customWidth="1"/>
    <col min="5138" max="5138" width="10" style="308" customWidth="1"/>
    <col min="5139" max="5139" width="12" style="308" customWidth="1"/>
    <col min="5140" max="5140" width="9.140625" style="308"/>
    <col min="5141" max="5141" width="11" style="308" customWidth="1"/>
    <col min="5142" max="5142" width="9.140625" style="308" customWidth="1"/>
    <col min="5143" max="5143" width="9" style="308" customWidth="1"/>
    <col min="5144" max="5144" width="10.28515625" style="308" customWidth="1"/>
    <col min="5145" max="5385" width="9.140625" style="308"/>
    <col min="5386" max="5386" width="9.42578125" style="308" customWidth="1"/>
    <col min="5387" max="5387" width="16" style="308" customWidth="1"/>
    <col min="5388" max="5388" width="23.42578125" style="308" customWidth="1"/>
    <col min="5389" max="5389" width="10.42578125" style="308" customWidth="1"/>
    <col min="5390" max="5390" width="17.85546875" style="308" customWidth="1"/>
    <col min="5391" max="5391" width="10.140625" style="308" customWidth="1"/>
    <col min="5392" max="5392" width="11.7109375" style="308" customWidth="1"/>
    <col min="5393" max="5393" width="10.42578125" style="308" customWidth="1"/>
    <col min="5394" max="5394" width="10" style="308" customWidth="1"/>
    <col min="5395" max="5395" width="12" style="308" customWidth="1"/>
    <col min="5396" max="5396" width="9.140625" style="308"/>
    <col min="5397" max="5397" width="11" style="308" customWidth="1"/>
    <col min="5398" max="5398" width="9.140625" style="308" customWidth="1"/>
    <col min="5399" max="5399" width="9" style="308" customWidth="1"/>
    <col min="5400" max="5400" width="10.28515625" style="308" customWidth="1"/>
    <col min="5401" max="5641" width="9.140625" style="308"/>
    <col min="5642" max="5642" width="9.42578125" style="308" customWidth="1"/>
    <col min="5643" max="5643" width="16" style="308" customWidth="1"/>
    <col min="5644" max="5644" width="23.42578125" style="308" customWidth="1"/>
    <col min="5645" max="5645" width="10.42578125" style="308" customWidth="1"/>
    <col min="5646" max="5646" width="17.85546875" style="308" customWidth="1"/>
    <col min="5647" max="5647" width="10.140625" style="308" customWidth="1"/>
    <col min="5648" max="5648" width="11.7109375" style="308" customWidth="1"/>
    <col min="5649" max="5649" width="10.42578125" style="308" customWidth="1"/>
    <col min="5650" max="5650" width="10" style="308" customWidth="1"/>
    <col min="5651" max="5651" width="12" style="308" customWidth="1"/>
    <col min="5652" max="5652" width="9.140625" style="308"/>
    <col min="5653" max="5653" width="11" style="308" customWidth="1"/>
    <col min="5654" max="5654" width="9.140625" style="308" customWidth="1"/>
    <col min="5655" max="5655" width="9" style="308" customWidth="1"/>
    <col min="5656" max="5656" width="10.28515625" style="308" customWidth="1"/>
    <col min="5657" max="5897" width="9.140625" style="308"/>
    <col min="5898" max="5898" width="9.42578125" style="308" customWidth="1"/>
    <col min="5899" max="5899" width="16" style="308" customWidth="1"/>
    <col min="5900" max="5900" width="23.42578125" style="308" customWidth="1"/>
    <col min="5901" max="5901" width="10.42578125" style="308" customWidth="1"/>
    <col min="5902" max="5902" width="17.85546875" style="308" customWidth="1"/>
    <col min="5903" max="5903" width="10.140625" style="308" customWidth="1"/>
    <col min="5904" max="5904" width="11.7109375" style="308" customWidth="1"/>
    <col min="5905" max="5905" width="10.42578125" style="308" customWidth="1"/>
    <col min="5906" max="5906" width="10" style="308" customWidth="1"/>
    <col min="5907" max="5907" width="12" style="308" customWidth="1"/>
    <col min="5908" max="5908" width="9.140625" style="308"/>
    <col min="5909" max="5909" width="11" style="308" customWidth="1"/>
    <col min="5910" max="5910" width="9.140625" style="308" customWidth="1"/>
    <col min="5911" max="5911" width="9" style="308" customWidth="1"/>
    <col min="5912" max="5912" width="10.28515625" style="308" customWidth="1"/>
    <col min="5913" max="6153" width="9.140625" style="308"/>
    <col min="6154" max="6154" width="9.42578125" style="308" customWidth="1"/>
    <col min="6155" max="6155" width="16" style="308" customWidth="1"/>
    <col min="6156" max="6156" width="23.42578125" style="308" customWidth="1"/>
    <col min="6157" max="6157" width="10.42578125" style="308" customWidth="1"/>
    <col min="6158" max="6158" width="17.85546875" style="308" customWidth="1"/>
    <col min="6159" max="6159" width="10.140625" style="308" customWidth="1"/>
    <col min="6160" max="6160" width="11.7109375" style="308" customWidth="1"/>
    <col min="6161" max="6161" width="10.42578125" style="308" customWidth="1"/>
    <col min="6162" max="6162" width="10" style="308" customWidth="1"/>
    <col min="6163" max="6163" width="12" style="308" customWidth="1"/>
    <col min="6164" max="6164" width="9.140625" style="308"/>
    <col min="6165" max="6165" width="11" style="308" customWidth="1"/>
    <col min="6166" max="6166" width="9.140625" style="308" customWidth="1"/>
    <col min="6167" max="6167" width="9" style="308" customWidth="1"/>
    <col min="6168" max="6168" width="10.28515625" style="308" customWidth="1"/>
    <col min="6169" max="6409" width="9.140625" style="308"/>
    <col min="6410" max="6410" width="9.42578125" style="308" customWidth="1"/>
    <col min="6411" max="6411" width="16" style="308" customWidth="1"/>
    <col min="6412" max="6412" width="23.42578125" style="308" customWidth="1"/>
    <col min="6413" max="6413" width="10.42578125" style="308" customWidth="1"/>
    <col min="6414" max="6414" width="17.85546875" style="308" customWidth="1"/>
    <col min="6415" max="6415" width="10.140625" style="308" customWidth="1"/>
    <col min="6416" max="6416" width="11.7109375" style="308" customWidth="1"/>
    <col min="6417" max="6417" width="10.42578125" style="308" customWidth="1"/>
    <col min="6418" max="6418" width="10" style="308" customWidth="1"/>
    <col min="6419" max="6419" width="12" style="308" customWidth="1"/>
    <col min="6420" max="6420" width="9.140625" style="308"/>
    <col min="6421" max="6421" width="11" style="308" customWidth="1"/>
    <col min="6422" max="6422" width="9.140625" style="308" customWidth="1"/>
    <col min="6423" max="6423" width="9" style="308" customWidth="1"/>
    <col min="6424" max="6424" width="10.28515625" style="308" customWidth="1"/>
    <col min="6425" max="6665" width="9.140625" style="308"/>
    <col min="6666" max="6666" width="9.42578125" style="308" customWidth="1"/>
    <col min="6667" max="6667" width="16" style="308" customWidth="1"/>
    <col min="6668" max="6668" width="23.42578125" style="308" customWidth="1"/>
    <col min="6669" max="6669" width="10.42578125" style="308" customWidth="1"/>
    <col min="6670" max="6670" width="17.85546875" style="308" customWidth="1"/>
    <col min="6671" max="6671" width="10.140625" style="308" customWidth="1"/>
    <col min="6672" max="6672" width="11.7109375" style="308" customWidth="1"/>
    <col min="6673" max="6673" width="10.42578125" style="308" customWidth="1"/>
    <col min="6674" max="6674" width="10" style="308" customWidth="1"/>
    <col min="6675" max="6675" width="12" style="308" customWidth="1"/>
    <col min="6676" max="6676" width="9.140625" style="308"/>
    <col min="6677" max="6677" width="11" style="308" customWidth="1"/>
    <col min="6678" max="6678" width="9.140625" style="308" customWidth="1"/>
    <col min="6679" max="6679" width="9" style="308" customWidth="1"/>
    <col min="6680" max="6680" width="10.28515625" style="308" customWidth="1"/>
    <col min="6681" max="6921" width="9.140625" style="308"/>
    <col min="6922" max="6922" width="9.42578125" style="308" customWidth="1"/>
    <col min="6923" max="6923" width="16" style="308" customWidth="1"/>
    <col min="6924" max="6924" width="23.42578125" style="308" customWidth="1"/>
    <col min="6925" max="6925" width="10.42578125" style="308" customWidth="1"/>
    <col min="6926" max="6926" width="17.85546875" style="308" customWidth="1"/>
    <col min="6927" max="6927" width="10.140625" style="308" customWidth="1"/>
    <col min="6928" max="6928" width="11.7109375" style="308" customWidth="1"/>
    <col min="6929" max="6929" width="10.42578125" style="308" customWidth="1"/>
    <col min="6930" max="6930" width="10" style="308" customWidth="1"/>
    <col min="6931" max="6931" width="12" style="308" customWidth="1"/>
    <col min="6932" max="6932" width="9.140625" style="308"/>
    <col min="6933" max="6933" width="11" style="308" customWidth="1"/>
    <col min="6934" max="6934" width="9.140625" style="308" customWidth="1"/>
    <col min="6935" max="6935" width="9" style="308" customWidth="1"/>
    <col min="6936" max="6936" width="10.28515625" style="308" customWidth="1"/>
    <col min="6937" max="7177" width="9.140625" style="308"/>
    <col min="7178" max="7178" width="9.42578125" style="308" customWidth="1"/>
    <col min="7179" max="7179" width="16" style="308" customWidth="1"/>
    <col min="7180" max="7180" width="23.42578125" style="308" customWidth="1"/>
    <col min="7181" max="7181" width="10.42578125" style="308" customWidth="1"/>
    <col min="7182" max="7182" width="17.85546875" style="308" customWidth="1"/>
    <col min="7183" max="7183" width="10.140625" style="308" customWidth="1"/>
    <col min="7184" max="7184" width="11.7109375" style="308" customWidth="1"/>
    <col min="7185" max="7185" width="10.42578125" style="308" customWidth="1"/>
    <col min="7186" max="7186" width="10" style="308" customWidth="1"/>
    <col min="7187" max="7187" width="12" style="308" customWidth="1"/>
    <col min="7188" max="7188" width="9.140625" style="308"/>
    <col min="7189" max="7189" width="11" style="308" customWidth="1"/>
    <col min="7190" max="7190" width="9.140625" style="308" customWidth="1"/>
    <col min="7191" max="7191" width="9" style="308" customWidth="1"/>
    <col min="7192" max="7192" width="10.28515625" style="308" customWidth="1"/>
    <col min="7193" max="7433" width="9.140625" style="308"/>
    <col min="7434" max="7434" width="9.42578125" style="308" customWidth="1"/>
    <col min="7435" max="7435" width="16" style="308" customWidth="1"/>
    <col min="7436" max="7436" width="23.42578125" style="308" customWidth="1"/>
    <col min="7437" max="7437" width="10.42578125" style="308" customWidth="1"/>
    <col min="7438" max="7438" width="17.85546875" style="308" customWidth="1"/>
    <col min="7439" max="7439" width="10.140625" style="308" customWidth="1"/>
    <col min="7440" max="7440" width="11.7109375" style="308" customWidth="1"/>
    <col min="7441" max="7441" width="10.42578125" style="308" customWidth="1"/>
    <col min="7442" max="7442" width="10" style="308" customWidth="1"/>
    <col min="7443" max="7443" width="12" style="308" customWidth="1"/>
    <col min="7444" max="7444" width="9.140625" style="308"/>
    <col min="7445" max="7445" width="11" style="308" customWidth="1"/>
    <col min="7446" max="7446" width="9.140625" style="308" customWidth="1"/>
    <col min="7447" max="7447" width="9" style="308" customWidth="1"/>
    <col min="7448" max="7448" width="10.28515625" style="308" customWidth="1"/>
    <col min="7449" max="7689" width="9.140625" style="308"/>
    <col min="7690" max="7690" width="9.42578125" style="308" customWidth="1"/>
    <col min="7691" max="7691" width="16" style="308" customWidth="1"/>
    <col min="7692" max="7692" width="23.42578125" style="308" customWidth="1"/>
    <col min="7693" max="7693" width="10.42578125" style="308" customWidth="1"/>
    <col min="7694" max="7694" width="17.85546875" style="308" customWidth="1"/>
    <col min="7695" max="7695" width="10.140625" style="308" customWidth="1"/>
    <col min="7696" max="7696" width="11.7109375" style="308" customWidth="1"/>
    <col min="7697" max="7697" width="10.42578125" style="308" customWidth="1"/>
    <col min="7698" max="7698" width="10" style="308" customWidth="1"/>
    <col min="7699" max="7699" width="12" style="308" customWidth="1"/>
    <col min="7700" max="7700" width="9.140625" style="308"/>
    <col min="7701" max="7701" width="11" style="308" customWidth="1"/>
    <col min="7702" max="7702" width="9.140625" style="308" customWidth="1"/>
    <col min="7703" max="7703" width="9" style="308" customWidth="1"/>
    <col min="7704" max="7704" width="10.28515625" style="308" customWidth="1"/>
    <col min="7705" max="7945" width="9.140625" style="308"/>
    <col min="7946" max="7946" width="9.42578125" style="308" customWidth="1"/>
    <col min="7947" max="7947" width="16" style="308" customWidth="1"/>
    <col min="7948" max="7948" width="23.42578125" style="308" customWidth="1"/>
    <col min="7949" max="7949" width="10.42578125" style="308" customWidth="1"/>
    <col min="7950" max="7950" width="17.85546875" style="308" customWidth="1"/>
    <col min="7951" max="7951" width="10.140625" style="308" customWidth="1"/>
    <col min="7952" max="7952" width="11.7109375" style="308" customWidth="1"/>
    <col min="7953" max="7953" width="10.42578125" style="308" customWidth="1"/>
    <col min="7954" max="7954" width="10" style="308" customWidth="1"/>
    <col min="7955" max="7955" width="12" style="308" customWidth="1"/>
    <col min="7956" max="7956" width="9.140625" style="308"/>
    <col min="7957" max="7957" width="11" style="308" customWidth="1"/>
    <col min="7958" max="7958" width="9.140625" style="308" customWidth="1"/>
    <col min="7959" max="7959" width="9" style="308" customWidth="1"/>
    <col min="7960" max="7960" width="10.28515625" style="308" customWidth="1"/>
    <col min="7961" max="8201" width="9.140625" style="308"/>
    <col min="8202" max="8202" width="9.42578125" style="308" customWidth="1"/>
    <col min="8203" max="8203" width="16" style="308" customWidth="1"/>
    <col min="8204" max="8204" width="23.42578125" style="308" customWidth="1"/>
    <col min="8205" max="8205" width="10.42578125" style="308" customWidth="1"/>
    <col min="8206" max="8206" width="17.85546875" style="308" customWidth="1"/>
    <col min="8207" max="8207" width="10.140625" style="308" customWidth="1"/>
    <col min="8208" max="8208" width="11.7109375" style="308" customWidth="1"/>
    <col min="8209" max="8209" width="10.42578125" style="308" customWidth="1"/>
    <col min="8210" max="8210" width="10" style="308" customWidth="1"/>
    <col min="8211" max="8211" width="12" style="308" customWidth="1"/>
    <col min="8212" max="8212" width="9.140625" style="308"/>
    <col min="8213" max="8213" width="11" style="308" customWidth="1"/>
    <col min="8214" max="8214" width="9.140625" style="308" customWidth="1"/>
    <col min="8215" max="8215" width="9" style="308" customWidth="1"/>
    <col min="8216" max="8216" width="10.28515625" style="308" customWidth="1"/>
    <col min="8217" max="8457" width="9.140625" style="308"/>
    <col min="8458" max="8458" width="9.42578125" style="308" customWidth="1"/>
    <col min="8459" max="8459" width="16" style="308" customWidth="1"/>
    <col min="8460" max="8460" width="23.42578125" style="308" customWidth="1"/>
    <col min="8461" max="8461" width="10.42578125" style="308" customWidth="1"/>
    <col min="8462" max="8462" width="17.85546875" style="308" customWidth="1"/>
    <col min="8463" max="8463" width="10.140625" style="308" customWidth="1"/>
    <col min="8464" max="8464" width="11.7109375" style="308" customWidth="1"/>
    <col min="8465" max="8465" width="10.42578125" style="308" customWidth="1"/>
    <col min="8466" max="8466" width="10" style="308" customWidth="1"/>
    <col min="8467" max="8467" width="12" style="308" customWidth="1"/>
    <col min="8468" max="8468" width="9.140625" style="308"/>
    <col min="8469" max="8469" width="11" style="308" customWidth="1"/>
    <col min="8470" max="8470" width="9.140625" style="308" customWidth="1"/>
    <col min="8471" max="8471" width="9" style="308" customWidth="1"/>
    <col min="8472" max="8472" width="10.28515625" style="308" customWidth="1"/>
    <col min="8473" max="8713" width="9.140625" style="308"/>
    <col min="8714" max="8714" width="9.42578125" style="308" customWidth="1"/>
    <col min="8715" max="8715" width="16" style="308" customWidth="1"/>
    <col min="8716" max="8716" width="23.42578125" style="308" customWidth="1"/>
    <col min="8717" max="8717" width="10.42578125" style="308" customWidth="1"/>
    <col min="8718" max="8718" width="17.85546875" style="308" customWidth="1"/>
    <col min="8719" max="8719" width="10.140625" style="308" customWidth="1"/>
    <col min="8720" max="8720" width="11.7109375" style="308" customWidth="1"/>
    <col min="8721" max="8721" width="10.42578125" style="308" customWidth="1"/>
    <col min="8722" max="8722" width="10" style="308" customWidth="1"/>
    <col min="8723" max="8723" width="12" style="308" customWidth="1"/>
    <col min="8724" max="8724" width="9.140625" style="308"/>
    <col min="8725" max="8725" width="11" style="308" customWidth="1"/>
    <col min="8726" max="8726" width="9.140625" style="308" customWidth="1"/>
    <col min="8727" max="8727" width="9" style="308" customWidth="1"/>
    <col min="8728" max="8728" width="10.28515625" style="308" customWidth="1"/>
    <col min="8729" max="8969" width="9.140625" style="308"/>
    <col min="8970" max="8970" width="9.42578125" style="308" customWidth="1"/>
    <col min="8971" max="8971" width="16" style="308" customWidth="1"/>
    <col min="8972" max="8972" width="23.42578125" style="308" customWidth="1"/>
    <col min="8973" max="8973" width="10.42578125" style="308" customWidth="1"/>
    <col min="8974" max="8974" width="17.85546875" style="308" customWidth="1"/>
    <col min="8975" max="8975" width="10.140625" style="308" customWidth="1"/>
    <col min="8976" max="8976" width="11.7109375" style="308" customWidth="1"/>
    <col min="8977" max="8977" width="10.42578125" style="308" customWidth="1"/>
    <col min="8978" max="8978" width="10" style="308" customWidth="1"/>
    <col min="8979" max="8979" width="12" style="308" customWidth="1"/>
    <col min="8980" max="8980" width="9.140625" style="308"/>
    <col min="8981" max="8981" width="11" style="308" customWidth="1"/>
    <col min="8982" max="8982" width="9.140625" style="308" customWidth="1"/>
    <col min="8983" max="8983" width="9" style="308" customWidth="1"/>
    <col min="8984" max="8984" width="10.28515625" style="308" customWidth="1"/>
    <col min="8985" max="9225" width="9.140625" style="308"/>
    <col min="9226" max="9226" width="9.42578125" style="308" customWidth="1"/>
    <col min="9227" max="9227" width="16" style="308" customWidth="1"/>
    <col min="9228" max="9228" width="23.42578125" style="308" customWidth="1"/>
    <col min="9229" max="9229" width="10.42578125" style="308" customWidth="1"/>
    <col min="9230" max="9230" width="17.85546875" style="308" customWidth="1"/>
    <col min="9231" max="9231" width="10.140625" style="308" customWidth="1"/>
    <col min="9232" max="9232" width="11.7109375" style="308" customWidth="1"/>
    <col min="9233" max="9233" width="10.42578125" style="308" customWidth="1"/>
    <col min="9234" max="9234" width="10" style="308" customWidth="1"/>
    <col min="9235" max="9235" width="12" style="308" customWidth="1"/>
    <col min="9236" max="9236" width="9.140625" style="308"/>
    <col min="9237" max="9237" width="11" style="308" customWidth="1"/>
    <col min="9238" max="9238" width="9.140625" style="308" customWidth="1"/>
    <col min="9239" max="9239" width="9" style="308" customWidth="1"/>
    <col min="9240" max="9240" width="10.28515625" style="308" customWidth="1"/>
    <col min="9241" max="9481" width="9.140625" style="308"/>
    <col min="9482" max="9482" width="9.42578125" style="308" customWidth="1"/>
    <col min="9483" max="9483" width="16" style="308" customWidth="1"/>
    <col min="9484" max="9484" width="23.42578125" style="308" customWidth="1"/>
    <col min="9485" max="9485" width="10.42578125" style="308" customWidth="1"/>
    <col min="9486" max="9486" width="17.85546875" style="308" customWidth="1"/>
    <col min="9487" max="9487" width="10.140625" style="308" customWidth="1"/>
    <col min="9488" max="9488" width="11.7109375" style="308" customWidth="1"/>
    <col min="9489" max="9489" width="10.42578125" style="308" customWidth="1"/>
    <col min="9490" max="9490" width="10" style="308" customWidth="1"/>
    <col min="9491" max="9491" width="12" style="308" customWidth="1"/>
    <col min="9492" max="9492" width="9.140625" style="308"/>
    <col min="9493" max="9493" width="11" style="308" customWidth="1"/>
    <col min="9494" max="9494" width="9.140625" style="308" customWidth="1"/>
    <col min="9495" max="9495" width="9" style="308" customWidth="1"/>
    <col min="9496" max="9496" width="10.28515625" style="308" customWidth="1"/>
    <col min="9497" max="9737" width="9.140625" style="308"/>
    <col min="9738" max="9738" width="9.42578125" style="308" customWidth="1"/>
    <col min="9739" max="9739" width="16" style="308" customWidth="1"/>
    <col min="9740" max="9740" width="23.42578125" style="308" customWidth="1"/>
    <col min="9741" max="9741" width="10.42578125" style="308" customWidth="1"/>
    <col min="9742" max="9742" width="17.85546875" style="308" customWidth="1"/>
    <col min="9743" max="9743" width="10.140625" style="308" customWidth="1"/>
    <col min="9744" max="9744" width="11.7109375" style="308" customWidth="1"/>
    <col min="9745" max="9745" width="10.42578125" style="308" customWidth="1"/>
    <col min="9746" max="9746" width="10" style="308" customWidth="1"/>
    <col min="9747" max="9747" width="12" style="308" customWidth="1"/>
    <col min="9748" max="9748" width="9.140625" style="308"/>
    <col min="9749" max="9749" width="11" style="308" customWidth="1"/>
    <col min="9750" max="9750" width="9.140625" style="308" customWidth="1"/>
    <col min="9751" max="9751" width="9" style="308" customWidth="1"/>
    <col min="9752" max="9752" width="10.28515625" style="308" customWidth="1"/>
    <col min="9753" max="9993" width="9.140625" style="308"/>
    <col min="9994" max="9994" width="9.42578125" style="308" customWidth="1"/>
    <col min="9995" max="9995" width="16" style="308" customWidth="1"/>
    <col min="9996" max="9996" width="23.42578125" style="308" customWidth="1"/>
    <col min="9997" max="9997" width="10.42578125" style="308" customWidth="1"/>
    <col min="9998" max="9998" width="17.85546875" style="308" customWidth="1"/>
    <col min="9999" max="9999" width="10.140625" style="308" customWidth="1"/>
    <col min="10000" max="10000" width="11.7109375" style="308" customWidth="1"/>
    <col min="10001" max="10001" width="10.42578125" style="308" customWidth="1"/>
    <col min="10002" max="10002" width="10" style="308" customWidth="1"/>
    <col min="10003" max="10003" width="12" style="308" customWidth="1"/>
    <col min="10004" max="10004" width="9.140625" style="308"/>
    <col min="10005" max="10005" width="11" style="308" customWidth="1"/>
    <col min="10006" max="10006" width="9.140625" style="308" customWidth="1"/>
    <col min="10007" max="10007" width="9" style="308" customWidth="1"/>
    <col min="10008" max="10008" width="10.28515625" style="308" customWidth="1"/>
    <col min="10009" max="10249" width="9.140625" style="308"/>
    <col min="10250" max="10250" width="9.42578125" style="308" customWidth="1"/>
    <col min="10251" max="10251" width="16" style="308" customWidth="1"/>
    <col min="10252" max="10252" width="23.42578125" style="308" customWidth="1"/>
    <col min="10253" max="10253" width="10.42578125" style="308" customWidth="1"/>
    <col min="10254" max="10254" width="17.85546875" style="308" customWidth="1"/>
    <col min="10255" max="10255" width="10.140625" style="308" customWidth="1"/>
    <col min="10256" max="10256" width="11.7109375" style="308" customWidth="1"/>
    <col min="10257" max="10257" width="10.42578125" style="308" customWidth="1"/>
    <col min="10258" max="10258" width="10" style="308" customWidth="1"/>
    <col min="10259" max="10259" width="12" style="308" customWidth="1"/>
    <col min="10260" max="10260" width="9.140625" style="308"/>
    <col min="10261" max="10261" width="11" style="308" customWidth="1"/>
    <col min="10262" max="10262" width="9.140625" style="308" customWidth="1"/>
    <col min="10263" max="10263" width="9" style="308" customWidth="1"/>
    <col min="10264" max="10264" width="10.28515625" style="308" customWidth="1"/>
    <col min="10265" max="10505" width="9.140625" style="308"/>
    <col min="10506" max="10506" width="9.42578125" style="308" customWidth="1"/>
    <col min="10507" max="10507" width="16" style="308" customWidth="1"/>
    <col min="10508" max="10508" width="23.42578125" style="308" customWidth="1"/>
    <col min="10509" max="10509" width="10.42578125" style="308" customWidth="1"/>
    <col min="10510" max="10510" width="17.85546875" style="308" customWidth="1"/>
    <col min="10511" max="10511" width="10.140625" style="308" customWidth="1"/>
    <col min="10512" max="10512" width="11.7109375" style="308" customWidth="1"/>
    <col min="10513" max="10513" width="10.42578125" style="308" customWidth="1"/>
    <col min="10514" max="10514" width="10" style="308" customWidth="1"/>
    <col min="10515" max="10515" width="12" style="308" customWidth="1"/>
    <col min="10516" max="10516" width="9.140625" style="308"/>
    <col min="10517" max="10517" width="11" style="308" customWidth="1"/>
    <col min="10518" max="10518" width="9.140625" style="308" customWidth="1"/>
    <col min="10519" max="10519" width="9" style="308" customWidth="1"/>
    <col min="10520" max="10520" width="10.28515625" style="308" customWidth="1"/>
    <col min="10521" max="10761" width="9.140625" style="308"/>
    <col min="10762" max="10762" width="9.42578125" style="308" customWidth="1"/>
    <col min="10763" max="10763" width="16" style="308" customWidth="1"/>
    <col min="10764" max="10764" width="23.42578125" style="308" customWidth="1"/>
    <col min="10765" max="10765" width="10.42578125" style="308" customWidth="1"/>
    <col min="10766" max="10766" width="17.85546875" style="308" customWidth="1"/>
    <col min="10767" max="10767" width="10.140625" style="308" customWidth="1"/>
    <col min="10768" max="10768" width="11.7109375" style="308" customWidth="1"/>
    <col min="10769" max="10769" width="10.42578125" style="308" customWidth="1"/>
    <col min="10770" max="10770" width="10" style="308" customWidth="1"/>
    <col min="10771" max="10771" width="12" style="308" customWidth="1"/>
    <col min="10772" max="10772" width="9.140625" style="308"/>
    <col min="10773" max="10773" width="11" style="308" customWidth="1"/>
    <col min="10774" max="10774" width="9.140625" style="308" customWidth="1"/>
    <col min="10775" max="10775" width="9" style="308" customWidth="1"/>
    <col min="10776" max="10776" width="10.28515625" style="308" customWidth="1"/>
    <col min="10777" max="11017" width="9.140625" style="308"/>
    <col min="11018" max="11018" width="9.42578125" style="308" customWidth="1"/>
    <col min="11019" max="11019" width="16" style="308" customWidth="1"/>
    <col min="11020" max="11020" width="23.42578125" style="308" customWidth="1"/>
    <col min="11021" max="11021" width="10.42578125" style="308" customWidth="1"/>
    <col min="11022" max="11022" width="17.85546875" style="308" customWidth="1"/>
    <col min="11023" max="11023" width="10.140625" style="308" customWidth="1"/>
    <col min="11024" max="11024" width="11.7109375" style="308" customWidth="1"/>
    <col min="11025" max="11025" width="10.42578125" style="308" customWidth="1"/>
    <col min="11026" max="11026" width="10" style="308" customWidth="1"/>
    <col min="11027" max="11027" width="12" style="308" customWidth="1"/>
    <col min="11028" max="11028" width="9.140625" style="308"/>
    <col min="11029" max="11029" width="11" style="308" customWidth="1"/>
    <col min="11030" max="11030" width="9.140625" style="308" customWidth="1"/>
    <col min="11031" max="11031" width="9" style="308" customWidth="1"/>
    <col min="11032" max="11032" width="10.28515625" style="308" customWidth="1"/>
    <col min="11033" max="11273" width="9.140625" style="308"/>
    <col min="11274" max="11274" width="9.42578125" style="308" customWidth="1"/>
    <col min="11275" max="11275" width="16" style="308" customWidth="1"/>
    <col min="11276" max="11276" width="23.42578125" style="308" customWidth="1"/>
    <col min="11277" max="11277" width="10.42578125" style="308" customWidth="1"/>
    <col min="11278" max="11278" width="17.85546875" style="308" customWidth="1"/>
    <col min="11279" max="11279" width="10.140625" style="308" customWidth="1"/>
    <col min="11280" max="11280" width="11.7109375" style="308" customWidth="1"/>
    <col min="11281" max="11281" width="10.42578125" style="308" customWidth="1"/>
    <col min="11282" max="11282" width="10" style="308" customWidth="1"/>
    <col min="11283" max="11283" width="12" style="308" customWidth="1"/>
    <col min="11284" max="11284" width="9.140625" style="308"/>
    <col min="11285" max="11285" width="11" style="308" customWidth="1"/>
    <col min="11286" max="11286" width="9.140625" style="308" customWidth="1"/>
    <col min="11287" max="11287" width="9" style="308" customWidth="1"/>
    <col min="11288" max="11288" width="10.28515625" style="308" customWidth="1"/>
    <col min="11289" max="11529" width="9.140625" style="308"/>
    <col min="11530" max="11530" width="9.42578125" style="308" customWidth="1"/>
    <col min="11531" max="11531" width="16" style="308" customWidth="1"/>
    <col min="11532" max="11532" width="23.42578125" style="308" customWidth="1"/>
    <col min="11533" max="11533" width="10.42578125" style="308" customWidth="1"/>
    <col min="11534" max="11534" width="17.85546875" style="308" customWidth="1"/>
    <col min="11535" max="11535" width="10.140625" style="308" customWidth="1"/>
    <col min="11536" max="11536" width="11.7109375" style="308" customWidth="1"/>
    <col min="11537" max="11537" width="10.42578125" style="308" customWidth="1"/>
    <col min="11538" max="11538" width="10" style="308" customWidth="1"/>
    <col min="11539" max="11539" width="12" style="308" customWidth="1"/>
    <col min="11540" max="11540" width="9.140625" style="308"/>
    <col min="11541" max="11541" width="11" style="308" customWidth="1"/>
    <col min="11542" max="11542" width="9.140625" style="308" customWidth="1"/>
    <col min="11543" max="11543" width="9" style="308" customWidth="1"/>
    <col min="11544" max="11544" width="10.28515625" style="308" customWidth="1"/>
    <col min="11545" max="11785" width="9.140625" style="308"/>
    <col min="11786" max="11786" width="9.42578125" style="308" customWidth="1"/>
    <col min="11787" max="11787" width="16" style="308" customWidth="1"/>
    <col min="11788" max="11788" width="23.42578125" style="308" customWidth="1"/>
    <col min="11789" max="11789" width="10.42578125" style="308" customWidth="1"/>
    <col min="11790" max="11790" width="17.85546875" style="308" customWidth="1"/>
    <col min="11791" max="11791" width="10.140625" style="308" customWidth="1"/>
    <col min="11792" max="11792" width="11.7109375" style="308" customWidth="1"/>
    <col min="11793" max="11793" width="10.42578125" style="308" customWidth="1"/>
    <col min="11794" max="11794" width="10" style="308" customWidth="1"/>
    <col min="11795" max="11795" width="12" style="308" customWidth="1"/>
    <col min="11796" max="11796" width="9.140625" style="308"/>
    <col min="11797" max="11797" width="11" style="308" customWidth="1"/>
    <col min="11798" max="11798" width="9.140625" style="308" customWidth="1"/>
    <col min="11799" max="11799" width="9" style="308" customWidth="1"/>
    <col min="11800" max="11800" width="10.28515625" style="308" customWidth="1"/>
    <col min="11801" max="12041" width="9.140625" style="308"/>
    <col min="12042" max="12042" width="9.42578125" style="308" customWidth="1"/>
    <col min="12043" max="12043" width="16" style="308" customWidth="1"/>
    <col min="12044" max="12044" width="23.42578125" style="308" customWidth="1"/>
    <col min="12045" max="12045" width="10.42578125" style="308" customWidth="1"/>
    <col min="12046" max="12046" width="17.85546875" style="308" customWidth="1"/>
    <col min="12047" max="12047" width="10.140625" style="308" customWidth="1"/>
    <col min="12048" max="12048" width="11.7109375" style="308" customWidth="1"/>
    <col min="12049" max="12049" width="10.42578125" style="308" customWidth="1"/>
    <col min="12050" max="12050" width="10" style="308" customWidth="1"/>
    <col min="12051" max="12051" width="12" style="308" customWidth="1"/>
    <col min="12052" max="12052" width="9.140625" style="308"/>
    <col min="12053" max="12053" width="11" style="308" customWidth="1"/>
    <col min="12054" max="12054" width="9.140625" style="308" customWidth="1"/>
    <col min="12055" max="12055" width="9" style="308" customWidth="1"/>
    <col min="12056" max="12056" width="10.28515625" style="308" customWidth="1"/>
    <col min="12057" max="12297" width="9.140625" style="308"/>
    <col min="12298" max="12298" width="9.42578125" style="308" customWidth="1"/>
    <col min="12299" max="12299" width="16" style="308" customWidth="1"/>
    <col min="12300" max="12300" width="23.42578125" style="308" customWidth="1"/>
    <col min="12301" max="12301" width="10.42578125" style="308" customWidth="1"/>
    <col min="12302" max="12302" width="17.85546875" style="308" customWidth="1"/>
    <col min="12303" max="12303" width="10.140625" style="308" customWidth="1"/>
    <col min="12304" max="12304" width="11.7109375" style="308" customWidth="1"/>
    <col min="12305" max="12305" width="10.42578125" style="308" customWidth="1"/>
    <col min="12306" max="12306" width="10" style="308" customWidth="1"/>
    <col min="12307" max="12307" width="12" style="308" customWidth="1"/>
    <col min="12308" max="12308" width="9.140625" style="308"/>
    <col min="12309" max="12309" width="11" style="308" customWidth="1"/>
    <col min="12310" max="12310" width="9.140625" style="308" customWidth="1"/>
    <col min="12311" max="12311" width="9" style="308" customWidth="1"/>
    <col min="12312" max="12312" width="10.28515625" style="308" customWidth="1"/>
    <col min="12313" max="12553" width="9.140625" style="308"/>
    <col min="12554" max="12554" width="9.42578125" style="308" customWidth="1"/>
    <col min="12555" max="12555" width="16" style="308" customWidth="1"/>
    <col min="12556" max="12556" width="23.42578125" style="308" customWidth="1"/>
    <col min="12557" max="12557" width="10.42578125" style="308" customWidth="1"/>
    <col min="12558" max="12558" width="17.85546875" style="308" customWidth="1"/>
    <col min="12559" max="12559" width="10.140625" style="308" customWidth="1"/>
    <col min="12560" max="12560" width="11.7109375" style="308" customWidth="1"/>
    <col min="12561" max="12561" width="10.42578125" style="308" customWidth="1"/>
    <col min="12562" max="12562" width="10" style="308" customWidth="1"/>
    <col min="12563" max="12563" width="12" style="308" customWidth="1"/>
    <col min="12564" max="12564" width="9.140625" style="308"/>
    <col min="12565" max="12565" width="11" style="308" customWidth="1"/>
    <col min="12566" max="12566" width="9.140625" style="308" customWidth="1"/>
    <col min="12567" max="12567" width="9" style="308" customWidth="1"/>
    <col min="12568" max="12568" width="10.28515625" style="308" customWidth="1"/>
    <col min="12569" max="12809" width="9.140625" style="308"/>
    <col min="12810" max="12810" width="9.42578125" style="308" customWidth="1"/>
    <col min="12811" max="12811" width="16" style="308" customWidth="1"/>
    <col min="12812" max="12812" width="23.42578125" style="308" customWidth="1"/>
    <col min="12813" max="12813" width="10.42578125" style="308" customWidth="1"/>
    <col min="12814" max="12814" width="17.85546875" style="308" customWidth="1"/>
    <col min="12815" max="12815" width="10.140625" style="308" customWidth="1"/>
    <col min="12816" max="12816" width="11.7109375" style="308" customWidth="1"/>
    <col min="12817" max="12817" width="10.42578125" style="308" customWidth="1"/>
    <col min="12818" max="12818" width="10" style="308" customWidth="1"/>
    <col min="12819" max="12819" width="12" style="308" customWidth="1"/>
    <col min="12820" max="12820" width="9.140625" style="308"/>
    <col min="12821" max="12821" width="11" style="308" customWidth="1"/>
    <col min="12822" max="12822" width="9.140625" style="308" customWidth="1"/>
    <col min="12823" max="12823" width="9" style="308" customWidth="1"/>
    <col min="12824" max="12824" width="10.28515625" style="308" customWidth="1"/>
    <col min="12825" max="13065" width="9.140625" style="308"/>
    <col min="13066" max="13066" width="9.42578125" style="308" customWidth="1"/>
    <col min="13067" max="13067" width="16" style="308" customWidth="1"/>
    <col min="13068" max="13068" width="23.42578125" style="308" customWidth="1"/>
    <col min="13069" max="13069" width="10.42578125" style="308" customWidth="1"/>
    <col min="13070" max="13070" width="17.85546875" style="308" customWidth="1"/>
    <col min="13071" max="13071" width="10.140625" style="308" customWidth="1"/>
    <col min="13072" max="13072" width="11.7109375" style="308" customWidth="1"/>
    <col min="13073" max="13073" width="10.42578125" style="308" customWidth="1"/>
    <col min="13074" max="13074" width="10" style="308" customWidth="1"/>
    <col min="13075" max="13075" width="12" style="308" customWidth="1"/>
    <col min="13076" max="13076" width="9.140625" style="308"/>
    <col min="13077" max="13077" width="11" style="308" customWidth="1"/>
    <col min="13078" max="13078" width="9.140625" style="308" customWidth="1"/>
    <col min="13079" max="13079" width="9" style="308" customWidth="1"/>
    <col min="13080" max="13080" width="10.28515625" style="308" customWidth="1"/>
    <col min="13081" max="13321" width="9.140625" style="308"/>
    <col min="13322" max="13322" width="9.42578125" style="308" customWidth="1"/>
    <col min="13323" max="13323" width="16" style="308" customWidth="1"/>
    <col min="13324" max="13324" width="23.42578125" style="308" customWidth="1"/>
    <col min="13325" max="13325" width="10.42578125" style="308" customWidth="1"/>
    <col min="13326" max="13326" width="17.85546875" style="308" customWidth="1"/>
    <col min="13327" max="13327" width="10.140625" style="308" customWidth="1"/>
    <col min="13328" max="13328" width="11.7109375" style="308" customWidth="1"/>
    <col min="13329" max="13329" width="10.42578125" style="308" customWidth="1"/>
    <col min="13330" max="13330" width="10" style="308" customWidth="1"/>
    <col min="13331" max="13331" width="12" style="308" customWidth="1"/>
    <col min="13332" max="13332" width="9.140625" style="308"/>
    <col min="13333" max="13333" width="11" style="308" customWidth="1"/>
    <col min="13334" max="13334" width="9.140625" style="308" customWidth="1"/>
    <col min="13335" max="13335" width="9" style="308" customWidth="1"/>
    <col min="13336" max="13336" width="10.28515625" style="308" customWidth="1"/>
    <col min="13337" max="13577" width="9.140625" style="308"/>
    <col min="13578" max="13578" width="9.42578125" style="308" customWidth="1"/>
    <col min="13579" max="13579" width="16" style="308" customWidth="1"/>
    <col min="13580" max="13580" width="23.42578125" style="308" customWidth="1"/>
    <col min="13581" max="13581" width="10.42578125" style="308" customWidth="1"/>
    <col min="13582" max="13582" width="17.85546875" style="308" customWidth="1"/>
    <col min="13583" max="13583" width="10.140625" style="308" customWidth="1"/>
    <col min="13584" max="13584" width="11.7109375" style="308" customWidth="1"/>
    <col min="13585" max="13585" width="10.42578125" style="308" customWidth="1"/>
    <col min="13586" max="13586" width="10" style="308" customWidth="1"/>
    <col min="13587" max="13587" width="12" style="308" customWidth="1"/>
    <col min="13588" max="13588" width="9.140625" style="308"/>
    <col min="13589" max="13589" width="11" style="308" customWidth="1"/>
    <col min="13590" max="13590" width="9.140625" style="308" customWidth="1"/>
    <col min="13591" max="13591" width="9" style="308" customWidth="1"/>
    <col min="13592" max="13592" width="10.28515625" style="308" customWidth="1"/>
    <col min="13593" max="13833" width="9.140625" style="308"/>
    <col min="13834" max="13834" width="9.42578125" style="308" customWidth="1"/>
    <col min="13835" max="13835" width="16" style="308" customWidth="1"/>
    <col min="13836" max="13836" width="23.42578125" style="308" customWidth="1"/>
    <col min="13837" max="13837" width="10.42578125" style="308" customWidth="1"/>
    <col min="13838" max="13838" width="17.85546875" style="308" customWidth="1"/>
    <col min="13839" max="13839" width="10.140625" style="308" customWidth="1"/>
    <col min="13840" max="13840" width="11.7109375" style="308" customWidth="1"/>
    <col min="13841" max="13841" width="10.42578125" style="308" customWidth="1"/>
    <col min="13842" max="13842" width="10" style="308" customWidth="1"/>
    <col min="13843" max="13843" width="12" style="308" customWidth="1"/>
    <col min="13844" max="13844" width="9.140625" style="308"/>
    <col min="13845" max="13845" width="11" style="308" customWidth="1"/>
    <col min="13846" max="13846" width="9.140625" style="308" customWidth="1"/>
    <col min="13847" max="13847" width="9" style="308" customWidth="1"/>
    <col min="13848" max="13848" width="10.28515625" style="308" customWidth="1"/>
    <col min="13849" max="14089" width="9.140625" style="308"/>
    <col min="14090" max="14090" width="9.42578125" style="308" customWidth="1"/>
    <col min="14091" max="14091" width="16" style="308" customWidth="1"/>
    <col min="14092" max="14092" width="23.42578125" style="308" customWidth="1"/>
    <col min="14093" max="14093" width="10.42578125" style="308" customWidth="1"/>
    <col min="14094" max="14094" width="17.85546875" style="308" customWidth="1"/>
    <col min="14095" max="14095" width="10.140625" style="308" customWidth="1"/>
    <col min="14096" max="14096" width="11.7109375" style="308" customWidth="1"/>
    <col min="14097" max="14097" width="10.42578125" style="308" customWidth="1"/>
    <col min="14098" max="14098" width="10" style="308" customWidth="1"/>
    <col min="14099" max="14099" width="12" style="308" customWidth="1"/>
    <col min="14100" max="14100" width="9.140625" style="308"/>
    <col min="14101" max="14101" width="11" style="308" customWidth="1"/>
    <col min="14102" max="14102" width="9.140625" style="308" customWidth="1"/>
    <col min="14103" max="14103" width="9" style="308" customWidth="1"/>
    <col min="14104" max="14104" width="10.28515625" style="308" customWidth="1"/>
    <col min="14105" max="14345" width="9.140625" style="308"/>
    <col min="14346" max="14346" width="9.42578125" style="308" customWidth="1"/>
    <col min="14347" max="14347" width="16" style="308" customWidth="1"/>
    <col min="14348" max="14348" width="23.42578125" style="308" customWidth="1"/>
    <col min="14349" max="14349" width="10.42578125" style="308" customWidth="1"/>
    <col min="14350" max="14350" width="17.85546875" style="308" customWidth="1"/>
    <col min="14351" max="14351" width="10.140625" style="308" customWidth="1"/>
    <col min="14352" max="14352" width="11.7109375" style="308" customWidth="1"/>
    <col min="14353" max="14353" width="10.42578125" style="308" customWidth="1"/>
    <col min="14354" max="14354" width="10" style="308" customWidth="1"/>
    <col min="14355" max="14355" width="12" style="308" customWidth="1"/>
    <col min="14356" max="14356" width="9.140625" style="308"/>
    <col min="14357" max="14357" width="11" style="308" customWidth="1"/>
    <col min="14358" max="14358" width="9.140625" style="308" customWidth="1"/>
    <col min="14359" max="14359" width="9" style="308" customWidth="1"/>
    <col min="14360" max="14360" width="10.28515625" style="308" customWidth="1"/>
    <col min="14361" max="14601" width="9.140625" style="308"/>
    <col min="14602" max="14602" width="9.42578125" style="308" customWidth="1"/>
    <col min="14603" max="14603" width="16" style="308" customWidth="1"/>
    <col min="14604" max="14604" width="23.42578125" style="308" customWidth="1"/>
    <col min="14605" max="14605" width="10.42578125" style="308" customWidth="1"/>
    <col min="14606" max="14606" width="17.85546875" style="308" customWidth="1"/>
    <col min="14607" max="14607" width="10.140625" style="308" customWidth="1"/>
    <col min="14608" max="14608" width="11.7109375" style="308" customWidth="1"/>
    <col min="14609" max="14609" width="10.42578125" style="308" customWidth="1"/>
    <col min="14610" max="14610" width="10" style="308" customWidth="1"/>
    <col min="14611" max="14611" width="12" style="308" customWidth="1"/>
    <col min="14612" max="14612" width="9.140625" style="308"/>
    <col min="14613" max="14613" width="11" style="308" customWidth="1"/>
    <col min="14614" max="14614" width="9.140625" style="308" customWidth="1"/>
    <col min="14615" max="14615" width="9" style="308" customWidth="1"/>
    <col min="14616" max="14616" width="10.28515625" style="308" customWidth="1"/>
    <col min="14617" max="14857" width="9.140625" style="308"/>
    <col min="14858" max="14858" width="9.42578125" style="308" customWidth="1"/>
    <col min="14859" max="14859" width="16" style="308" customWidth="1"/>
    <col min="14860" max="14860" width="23.42578125" style="308" customWidth="1"/>
    <col min="14861" max="14861" width="10.42578125" style="308" customWidth="1"/>
    <col min="14862" max="14862" width="17.85546875" style="308" customWidth="1"/>
    <col min="14863" max="14863" width="10.140625" style="308" customWidth="1"/>
    <col min="14864" max="14864" width="11.7109375" style="308" customWidth="1"/>
    <col min="14865" max="14865" width="10.42578125" style="308" customWidth="1"/>
    <col min="14866" max="14866" width="10" style="308" customWidth="1"/>
    <col min="14867" max="14867" width="12" style="308" customWidth="1"/>
    <col min="14868" max="14868" width="9.140625" style="308"/>
    <col min="14869" max="14869" width="11" style="308" customWidth="1"/>
    <col min="14870" max="14870" width="9.140625" style="308" customWidth="1"/>
    <col min="14871" max="14871" width="9" style="308" customWidth="1"/>
    <col min="14872" max="14872" width="10.28515625" style="308" customWidth="1"/>
    <col min="14873" max="15113" width="9.140625" style="308"/>
    <col min="15114" max="15114" width="9.42578125" style="308" customWidth="1"/>
    <col min="15115" max="15115" width="16" style="308" customWidth="1"/>
    <col min="15116" max="15116" width="23.42578125" style="308" customWidth="1"/>
    <col min="15117" max="15117" width="10.42578125" style="308" customWidth="1"/>
    <col min="15118" max="15118" width="17.85546875" style="308" customWidth="1"/>
    <col min="15119" max="15119" width="10.140625" style="308" customWidth="1"/>
    <col min="15120" max="15120" width="11.7109375" style="308" customWidth="1"/>
    <col min="15121" max="15121" width="10.42578125" style="308" customWidth="1"/>
    <col min="15122" max="15122" width="10" style="308" customWidth="1"/>
    <col min="15123" max="15123" width="12" style="308" customWidth="1"/>
    <col min="15124" max="15124" width="9.140625" style="308"/>
    <col min="15125" max="15125" width="11" style="308" customWidth="1"/>
    <col min="15126" max="15126" width="9.140625" style="308" customWidth="1"/>
    <col min="15127" max="15127" width="9" style="308" customWidth="1"/>
    <col min="15128" max="15128" width="10.28515625" style="308" customWidth="1"/>
    <col min="15129" max="15369" width="9.140625" style="308"/>
    <col min="15370" max="15370" width="9.42578125" style="308" customWidth="1"/>
    <col min="15371" max="15371" width="16" style="308" customWidth="1"/>
    <col min="15372" max="15372" width="23.42578125" style="308" customWidth="1"/>
    <col min="15373" max="15373" width="10.42578125" style="308" customWidth="1"/>
    <col min="15374" max="15374" width="17.85546875" style="308" customWidth="1"/>
    <col min="15375" max="15375" width="10.140625" style="308" customWidth="1"/>
    <col min="15376" max="15376" width="11.7109375" style="308" customWidth="1"/>
    <col min="15377" max="15377" width="10.42578125" style="308" customWidth="1"/>
    <col min="15378" max="15378" width="10" style="308" customWidth="1"/>
    <col min="15379" max="15379" width="12" style="308" customWidth="1"/>
    <col min="15380" max="15380" width="9.140625" style="308"/>
    <col min="15381" max="15381" width="11" style="308" customWidth="1"/>
    <col min="15382" max="15382" width="9.140625" style="308" customWidth="1"/>
    <col min="15383" max="15383" width="9" style="308" customWidth="1"/>
    <col min="15384" max="15384" width="10.28515625" style="308" customWidth="1"/>
    <col min="15385" max="15625" width="9.140625" style="308"/>
    <col min="15626" max="15626" width="9.42578125" style="308" customWidth="1"/>
    <col min="15627" max="15627" width="16" style="308" customWidth="1"/>
    <col min="15628" max="15628" width="23.42578125" style="308" customWidth="1"/>
    <col min="15629" max="15629" width="10.42578125" style="308" customWidth="1"/>
    <col min="15630" max="15630" width="17.85546875" style="308" customWidth="1"/>
    <col min="15631" max="15631" width="10.140625" style="308" customWidth="1"/>
    <col min="15632" max="15632" width="11.7109375" style="308" customWidth="1"/>
    <col min="15633" max="15633" width="10.42578125" style="308" customWidth="1"/>
    <col min="15634" max="15634" width="10" style="308" customWidth="1"/>
    <col min="15635" max="15635" width="12" style="308" customWidth="1"/>
    <col min="15636" max="15636" width="9.140625" style="308"/>
    <col min="15637" max="15637" width="11" style="308" customWidth="1"/>
    <col min="15638" max="15638" width="9.140625" style="308" customWidth="1"/>
    <col min="15639" max="15639" width="9" style="308" customWidth="1"/>
    <col min="15640" max="15640" width="10.28515625" style="308" customWidth="1"/>
    <col min="15641" max="15881" width="9.140625" style="308"/>
    <col min="15882" max="15882" width="9.42578125" style="308" customWidth="1"/>
    <col min="15883" max="15883" width="16" style="308" customWidth="1"/>
    <col min="15884" max="15884" width="23.42578125" style="308" customWidth="1"/>
    <col min="15885" max="15885" width="10.42578125" style="308" customWidth="1"/>
    <col min="15886" max="15886" width="17.85546875" style="308" customWidth="1"/>
    <col min="15887" max="15887" width="10.140625" style="308" customWidth="1"/>
    <col min="15888" max="15888" width="11.7109375" style="308" customWidth="1"/>
    <col min="15889" max="15889" width="10.42578125" style="308" customWidth="1"/>
    <col min="15890" max="15890" width="10" style="308" customWidth="1"/>
    <col min="15891" max="15891" width="12" style="308" customWidth="1"/>
    <col min="15892" max="15892" width="9.140625" style="308"/>
    <col min="15893" max="15893" width="11" style="308" customWidth="1"/>
    <col min="15894" max="15894" width="9.140625" style="308" customWidth="1"/>
    <col min="15895" max="15895" width="9" style="308" customWidth="1"/>
    <col min="15896" max="15896" width="10.28515625" style="308" customWidth="1"/>
    <col min="15897" max="16137" width="9.140625" style="308"/>
    <col min="16138" max="16138" width="9.42578125" style="308" customWidth="1"/>
    <col min="16139" max="16139" width="16" style="308" customWidth="1"/>
    <col min="16140" max="16140" width="23.42578125" style="308" customWidth="1"/>
    <col min="16141" max="16141" width="10.42578125" style="308" customWidth="1"/>
    <col min="16142" max="16142" width="17.85546875" style="308" customWidth="1"/>
    <col min="16143" max="16143" width="10.140625" style="308" customWidth="1"/>
    <col min="16144" max="16144" width="11.7109375" style="308" customWidth="1"/>
    <col min="16145" max="16145" width="10.42578125" style="308" customWidth="1"/>
    <col min="16146" max="16146" width="10" style="308" customWidth="1"/>
    <col min="16147" max="16147" width="12" style="308" customWidth="1"/>
    <col min="16148" max="16148" width="9.140625" style="308"/>
    <col min="16149" max="16149" width="11" style="308" customWidth="1"/>
    <col min="16150" max="16150" width="9.140625" style="308" customWidth="1"/>
    <col min="16151" max="16151" width="9" style="308" customWidth="1"/>
    <col min="16152" max="16152" width="10.28515625" style="308" customWidth="1"/>
    <col min="16153" max="16384" width="9.140625" style="308"/>
  </cols>
  <sheetData>
    <row r="1" spans="1:24" ht="18" customHeight="1">
      <c r="B1" s="264" t="s">
        <v>128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</row>
    <row r="2" spans="1:24" ht="18.75" customHeight="1">
      <c r="B2" s="264" t="s">
        <v>218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</row>
    <row r="3" spans="1:24" ht="18.75" customHeight="1">
      <c r="B3" s="265" t="s">
        <v>219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</row>
    <row r="4" spans="1:24" ht="18.75" customHeight="1">
      <c r="B4" s="264" t="s">
        <v>220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</row>
    <row r="5" spans="1:24" ht="15" customHeight="1">
      <c r="A5" s="406" t="s">
        <v>221</v>
      </c>
      <c r="B5" s="406"/>
      <c r="C5" s="406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268" t="s">
        <v>133</v>
      </c>
      <c r="X5" s="268"/>
    </row>
    <row r="6" spans="1:24" s="309" customFormat="1" ht="93.6" customHeight="1">
      <c r="A6" s="273" t="s">
        <v>134</v>
      </c>
      <c r="B6" s="273" t="s">
        <v>222</v>
      </c>
      <c r="C6" s="273" t="s">
        <v>223</v>
      </c>
      <c r="D6" s="273" t="s">
        <v>224</v>
      </c>
      <c r="E6" s="275" t="s">
        <v>225</v>
      </c>
      <c r="F6" s="273" t="s">
        <v>226</v>
      </c>
      <c r="G6" s="273" t="s">
        <v>227</v>
      </c>
      <c r="H6" s="273" t="s">
        <v>228</v>
      </c>
      <c r="I6" s="273" t="s">
        <v>229</v>
      </c>
      <c r="J6" s="273" t="s">
        <v>230</v>
      </c>
      <c r="K6" s="273" t="s">
        <v>231</v>
      </c>
      <c r="L6" s="275" t="s">
        <v>232</v>
      </c>
      <c r="M6" s="276" t="s">
        <v>233</v>
      </c>
      <c r="N6" s="273" t="s">
        <v>234</v>
      </c>
      <c r="O6" s="274" t="s">
        <v>152</v>
      </c>
      <c r="P6" s="273" t="s">
        <v>153</v>
      </c>
      <c r="Q6" s="274" t="s">
        <v>154</v>
      </c>
      <c r="R6" s="274" t="s">
        <v>155</v>
      </c>
      <c r="S6" s="274" t="s">
        <v>156</v>
      </c>
      <c r="T6" s="277" t="s">
        <v>157</v>
      </c>
      <c r="U6" s="277" t="s">
        <v>158</v>
      </c>
      <c r="V6" s="274" t="s">
        <v>159</v>
      </c>
      <c r="W6" s="381" t="s">
        <v>160</v>
      </c>
      <c r="X6" s="273" t="s">
        <v>235</v>
      </c>
    </row>
    <row r="7" spans="1:24" ht="21" customHeight="1">
      <c r="A7" s="280"/>
      <c r="B7" s="286"/>
      <c r="C7" s="286"/>
      <c r="D7" s="286"/>
      <c r="E7" s="408"/>
      <c r="F7" s="285"/>
      <c r="G7" s="409"/>
      <c r="H7" s="409"/>
      <c r="I7" s="410"/>
      <c r="J7" s="278"/>
      <c r="K7" s="278"/>
      <c r="L7" s="411"/>
      <c r="M7" s="340"/>
      <c r="N7" s="286"/>
      <c r="O7" s="286"/>
      <c r="P7" s="278"/>
      <c r="Q7" s="278"/>
      <c r="R7" s="286"/>
      <c r="S7" s="294"/>
      <c r="T7" s="412"/>
      <c r="U7" s="412"/>
      <c r="V7" s="394"/>
      <c r="W7" s="347"/>
      <c r="X7" s="348"/>
    </row>
    <row r="8" spans="1:24" ht="21" customHeight="1">
      <c r="A8" s="280">
        <v>45383</v>
      </c>
      <c r="B8" s="286" t="s">
        <v>236</v>
      </c>
      <c r="C8" s="348">
        <v>20240217007</v>
      </c>
      <c r="D8" s="286" t="s">
        <v>169</v>
      </c>
      <c r="E8" s="408">
        <f t="shared" ref="E8:E16" si="0">IFERROR(IF(S8&lt;&gt;"",W8*S8,""),"input error")</f>
        <v>70255.102040816317</v>
      </c>
      <c r="F8" s="303" t="s">
        <v>53</v>
      </c>
      <c r="G8" s="409">
        <f t="shared" ref="G8:G13" si="1">H8</f>
        <v>25093</v>
      </c>
      <c r="H8" s="409">
        <f>10800+2768+11525</f>
        <v>25093</v>
      </c>
      <c r="I8" s="410"/>
      <c r="J8" s="278">
        <f>0.9+0.1+0.6</f>
        <v>1.6</v>
      </c>
      <c r="K8" s="278">
        <f>0.3+0.2+0.475</f>
        <v>0.97499999999999998</v>
      </c>
      <c r="L8" s="411" t="str">
        <f t="shared" ref="L8:L16" si="2">IFERROR(IF(I8&lt;&gt;"",(J8+K8)/(I8+J8+K8),""),"input error")</f>
        <v/>
      </c>
      <c r="M8" s="340">
        <f t="shared" ref="M8:M16" si="3">IFERROR(IF(G8&lt;&gt;"",G8/E8,""),"input error")</f>
        <v>0.35716978939724042</v>
      </c>
      <c r="N8" s="286" t="s">
        <v>237</v>
      </c>
      <c r="O8" s="286">
        <v>3</v>
      </c>
      <c r="P8" s="278">
        <v>3</v>
      </c>
      <c r="Q8" s="278">
        <v>0</v>
      </c>
      <c r="R8" s="286">
        <f t="shared" ref="R8:R26" si="4">O8*P8-Q8</f>
        <v>9</v>
      </c>
      <c r="S8" s="294">
        <f>[1]押出工时ekstrusi!I8</f>
        <v>7806.1224489795904</v>
      </c>
      <c r="T8" s="412">
        <f>IFERROR(IF(S8&lt;&gt;"",1/S8,""),"input error")</f>
        <v>1.2810457516339871E-4</v>
      </c>
      <c r="U8" s="412">
        <f t="shared" ref="U8:U16" si="5">IFERROR(IF(T8&lt;&gt;"",T8*G8,""),"input error")</f>
        <v>3.2145281045751637</v>
      </c>
      <c r="V8" s="394">
        <f t="shared" ref="V8:V16" si="6">IFERROR(IF(U8&lt;&gt;"",SUM(U8),""),"input error")</f>
        <v>3.2145281045751637</v>
      </c>
      <c r="W8" s="347">
        <f t="shared" ref="W8:W16" si="7">IFERROR(IF(R8&lt;&gt;"",R8*U8/V8,""),"input error")</f>
        <v>9</v>
      </c>
      <c r="X8" s="348" t="s">
        <v>238</v>
      </c>
    </row>
    <row r="9" spans="1:24" ht="21" customHeight="1">
      <c r="A9" s="280">
        <v>45383</v>
      </c>
      <c r="B9" s="286" t="s">
        <v>236</v>
      </c>
      <c r="C9" s="348">
        <v>20240217007</v>
      </c>
      <c r="D9" s="286" t="s">
        <v>169</v>
      </c>
      <c r="E9" s="408">
        <f t="shared" si="0"/>
        <v>12993.6305732484</v>
      </c>
      <c r="F9" s="303" t="s">
        <v>53</v>
      </c>
      <c r="G9" s="409">
        <f t="shared" si="1"/>
        <v>9309</v>
      </c>
      <c r="H9" s="409">
        <f>9309</f>
        <v>9309</v>
      </c>
      <c r="I9" s="410"/>
      <c r="J9" s="278">
        <f>0.8</f>
        <v>0.8</v>
      </c>
      <c r="K9" s="278">
        <f>0.4</f>
        <v>0.4</v>
      </c>
      <c r="L9" s="411" t="str">
        <f t="shared" si="2"/>
        <v/>
      </c>
      <c r="M9" s="340">
        <f t="shared" si="3"/>
        <v>0.71642794117647102</v>
      </c>
      <c r="N9" s="286" t="s">
        <v>239</v>
      </c>
      <c r="O9" s="286">
        <v>1</v>
      </c>
      <c r="P9" s="278">
        <v>2</v>
      </c>
      <c r="Q9" s="278">
        <v>0</v>
      </c>
      <c r="R9" s="286">
        <f t="shared" si="4"/>
        <v>2</v>
      </c>
      <c r="S9" s="294">
        <f>[1]押出工时ekstrusi!I9</f>
        <v>6496.8152866241999</v>
      </c>
      <c r="T9" s="412">
        <f>IFERROR(IF(S9&lt;&gt;"",1/S9,""),"input error")</f>
        <v>1.5392156862745107E-4</v>
      </c>
      <c r="U9" s="412">
        <f t="shared" si="5"/>
        <v>1.432855882352942</v>
      </c>
      <c r="V9" s="394">
        <f t="shared" si="6"/>
        <v>1.432855882352942</v>
      </c>
      <c r="W9" s="347">
        <f t="shared" si="7"/>
        <v>2</v>
      </c>
      <c r="X9" s="348" t="s">
        <v>240</v>
      </c>
    </row>
    <row r="10" spans="1:24" ht="21" customHeight="1">
      <c r="A10" s="280">
        <v>45383</v>
      </c>
      <c r="B10" s="286" t="s">
        <v>241</v>
      </c>
      <c r="C10" s="413">
        <v>20240318001</v>
      </c>
      <c r="D10" s="286" t="s">
        <v>115</v>
      </c>
      <c r="E10" s="408">
        <f t="shared" si="0"/>
        <v>130028.32861189799</v>
      </c>
      <c r="F10" s="285" t="s">
        <v>118</v>
      </c>
      <c r="G10" s="409">
        <f t="shared" si="1"/>
        <v>76542</v>
      </c>
      <c r="H10" s="409">
        <f>23027+43127+10388</f>
        <v>76542</v>
      </c>
      <c r="I10" s="410">
        <f>1.9381*G10/1000</f>
        <v>148.34605020000001</v>
      </c>
      <c r="J10" s="414">
        <f>2+1.1764+0.6</f>
        <v>3.7764000000000002</v>
      </c>
      <c r="K10" s="278">
        <f>0.4+0.3954+0.4</f>
        <v>1.1954</v>
      </c>
      <c r="L10" s="411">
        <f t="shared" si="2"/>
        <v>3.242805709520704E-2</v>
      </c>
      <c r="M10" s="340">
        <f t="shared" si="3"/>
        <v>0.58865633986928112</v>
      </c>
      <c r="N10" s="286" t="s">
        <v>242</v>
      </c>
      <c r="O10" s="286">
        <v>3</v>
      </c>
      <c r="P10" s="278">
        <v>5</v>
      </c>
      <c r="Q10" s="278">
        <v>0</v>
      </c>
      <c r="R10" s="286">
        <f t="shared" si="4"/>
        <v>15</v>
      </c>
      <c r="S10" s="294">
        <f>[1]押出工时ekstrusi!I7</f>
        <v>8668.5552407931991</v>
      </c>
      <c r="T10" s="412">
        <f t="shared" ref="T10:T16" si="8">IFERROR(IF(S10&lt;&gt;"",1/S10,""),"input error")</f>
        <v>1.1535947712418304E-4</v>
      </c>
      <c r="U10" s="412">
        <f t="shared" si="5"/>
        <v>8.8298450980392182</v>
      </c>
      <c r="V10" s="394">
        <f t="shared" si="6"/>
        <v>8.8298450980392182</v>
      </c>
      <c r="W10" s="347">
        <f t="shared" si="7"/>
        <v>15</v>
      </c>
      <c r="X10" s="348" t="s">
        <v>240</v>
      </c>
    </row>
    <row r="11" spans="1:24" ht="21" customHeight="1">
      <c r="A11" s="280">
        <v>45383</v>
      </c>
      <c r="B11" s="286" t="s">
        <v>241</v>
      </c>
      <c r="C11" s="413">
        <v>20240318001</v>
      </c>
      <c r="D11" s="286" t="s">
        <v>115</v>
      </c>
      <c r="E11" s="408">
        <f t="shared" si="0"/>
        <v>9967.4267100977195</v>
      </c>
      <c r="F11" s="285" t="s">
        <v>118</v>
      </c>
      <c r="G11" s="409">
        <f t="shared" si="1"/>
        <v>6136</v>
      </c>
      <c r="H11" s="409">
        <f>6136</f>
        <v>6136</v>
      </c>
      <c r="I11" s="410">
        <f>1.9509*G11/1000</f>
        <v>11.970722400000001</v>
      </c>
      <c r="J11" s="278">
        <f>0.8</f>
        <v>0.8</v>
      </c>
      <c r="K11" s="278">
        <f>0.6</f>
        <v>0.6</v>
      </c>
      <c r="L11" s="411">
        <f t="shared" si="2"/>
        <v>0.10470638445085059</v>
      </c>
      <c r="M11" s="340">
        <f t="shared" si="3"/>
        <v>0.61560522875816992</v>
      </c>
      <c r="N11" s="286" t="s">
        <v>243</v>
      </c>
      <c r="O11" s="286">
        <v>1</v>
      </c>
      <c r="P11" s="278">
        <v>1</v>
      </c>
      <c r="Q11" s="278">
        <v>0</v>
      </c>
      <c r="R11" s="286">
        <f t="shared" si="4"/>
        <v>1</v>
      </c>
      <c r="S11" s="294">
        <f>[1]押出工时ekstrusi!I6</f>
        <v>9967.4267100977195</v>
      </c>
      <c r="T11" s="412">
        <f t="shared" si="8"/>
        <v>1.0032679738562091E-4</v>
      </c>
      <c r="U11" s="412">
        <f t="shared" si="5"/>
        <v>0.61560522875816992</v>
      </c>
      <c r="V11" s="394">
        <f t="shared" si="6"/>
        <v>0.61560522875816992</v>
      </c>
      <c r="W11" s="347">
        <f t="shared" si="7"/>
        <v>1</v>
      </c>
      <c r="X11" s="348" t="s">
        <v>244</v>
      </c>
    </row>
    <row r="12" spans="1:24" ht="21" customHeight="1">
      <c r="A12" s="280">
        <v>45383</v>
      </c>
      <c r="B12" s="286" t="s">
        <v>241</v>
      </c>
      <c r="C12" s="348">
        <v>20240313003</v>
      </c>
      <c r="D12" s="286" t="s">
        <v>86</v>
      </c>
      <c r="E12" s="408">
        <f t="shared" si="0"/>
        <v>14951.140065146579</v>
      </c>
      <c r="F12" s="303" t="s">
        <v>85</v>
      </c>
      <c r="G12" s="409">
        <f t="shared" si="1"/>
        <v>17450</v>
      </c>
      <c r="H12" s="409">
        <f>17450</f>
        <v>17450</v>
      </c>
      <c r="I12" s="410">
        <f>2.8565*G12/1000</f>
        <v>49.845925000000001</v>
      </c>
      <c r="J12" s="278">
        <f>0.7</f>
        <v>0.7</v>
      </c>
      <c r="K12" s="278">
        <f>0.5</f>
        <v>0.5</v>
      </c>
      <c r="L12" s="411">
        <f t="shared" si="2"/>
        <v>2.3508242822517171E-2</v>
      </c>
      <c r="M12" s="340">
        <f t="shared" si="3"/>
        <v>1.1671350762527233</v>
      </c>
      <c r="N12" s="286" t="s">
        <v>245</v>
      </c>
      <c r="O12" s="286">
        <v>1</v>
      </c>
      <c r="P12" s="278">
        <v>1.5</v>
      </c>
      <c r="Q12" s="278">
        <v>0</v>
      </c>
      <c r="R12" s="286">
        <f t="shared" si="4"/>
        <v>1.5</v>
      </c>
      <c r="S12" s="294">
        <f>[1]押出工时ekstrusi!I6</f>
        <v>9967.4267100977195</v>
      </c>
      <c r="T12" s="412">
        <f t="shared" si="8"/>
        <v>1.0032679738562091E-4</v>
      </c>
      <c r="U12" s="412">
        <f t="shared" si="5"/>
        <v>1.7507026143790849</v>
      </c>
      <c r="V12" s="394">
        <f t="shared" si="6"/>
        <v>1.7507026143790849</v>
      </c>
      <c r="W12" s="347">
        <f t="shared" si="7"/>
        <v>1.5</v>
      </c>
      <c r="X12" s="348" t="s">
        <v>246</v>
      </c>
    </row>
    <row r="13" spans="1:24" ht="21" customHeight="1">
      <c r="A13" s="280">
        <v>45383</v>
      </c>
      <c r="B13" s="286" t="s">
        <v>247</v>
      </c>
      <c r="C13" s="413">
        <v>20240318001</v>
      </c>
      <c r="D13" s="286" t="s">
        <v>115</v>
      </c>
      <c r="E13" s="408">
        <f t="shared" si="0"/>
        <v>35127.551020408158</v>
      </c>
      <c r="F13" s="285" t="s">
        <v>118</v>
      </c>
      <c r="G13" s="409">
        <f t="shared" si="1"/>
        <v>20964</v>
      </c>
      <c r="H13" s="409">
        <f>20964</f>
        <v>20964</v>
      </c>
      <c r="I13" s="410">
        <f>0.7332*G13/1000</f>
        <v>15.3708048</v>
      </c>
      <c r="J13" s="278">
        <f>1.5</f>
        <v>1.5</v>
      </c>
      <c r="K13" s="278">
        <f>0.75</f>
        <v>0.75</v>
      </c>
      <c r="L13" s="411">
        <f t="shared" si="2"/>
        <v>0.12768996794062434</v>
      </c>
      <c r="M13" s="340">
        <f t="shared" si="3"/>
        <v>0.59679651416122015</v>
      </c>
      <c r="N13" s="286" t="s">
        <v>248</v>
      </c>
      <c r="O13" s="286">
        <v>1</v>
      </c>
      <c r="P13" s="278">
        <v>4.5</v>
      </c>
      <c r="Q13" s="278">
        <v>0</v>
      </c>
      <c r="R13" s="286">
        <f t="shared" si="4"/>
        <v>4.5</v>
      </c>
      <c r="S13" s="294">
        <f>[1]押出工时ekstrusi!I8</f>
        <v>7806.1224489795904</v>
      </c>
      <c r="T13" s="412">
        <f t="shared" si="8"/>
        <v>1.2810457516339871E-4</v>
      </c>
      <c r="U13" s="412">
        <f t="shared" si="5"/>
        <v>2.6855843137254904</v>
      </c>
      <c r="V13" s="394">
        <f t="shared" si="6"/>
        <v>2.6855843137254904</v>
      </c>
      <c r="W13" s="347">
        <f t="shared" si="7"/>
        <v>4.5</v>
      </c>
      <c r="X13" s="348" t="s">
        <v>246</v>
      </c>
    </row>
    <row r="14" spans="1:24" ht="21" customHeight="1">
      <c r="A14" s="280">
        <v>45383</v>
      </c>
      <c r="B14" s="286" t="s">
        <v>249</v>
      </c>
      <c r="C14" s="286">
        <v>20240301003</v>
      </c>
      <c r="D14" s="286" t="s">
        <v>112</v>
      </c>
      <c r="E14" s="408">
        <f t="shared" si="0"/>
        <v>43342.776203965994</v>
      </c>
      <c r="F14" s="285" t="s">
        <v>114</v>
      </c>
      <c r="G14" s="415">
        <f>1.275*H14</f>
        <v>22205.399999999998</v>
      </c>
      <c r="H14" s="416">
        <f>13800+3616</f>
        <v>17416</v>
      </c>
      <c r="I14" s="410">
        <f>18.008*G14/1000</f>
        <v>399.87484319999993</v>
      </c>
      <c r="J14" s="278">
        <f>2.2+0.4</f>
        <v>2.6</v>
      </c>
      <c r="K14" s="278">
        <f>1.6+3.5</f>
        <v>5.0999999999999996</v>
      </c>
      <c r="L14" s="411">
        <f t="shared" si="2"/>
        <v>1.8892235692332837E-2</v>
      </c>
      <c r="M14" s="340">
        <f t="shared" si="3"/>
        <v>0.51232066666666676</v>
      </c>
      <c r="N14" s="286" t="s">
        <v>250</v>
      </c>
      <c r="O14" s="286">
        <v>4</v>
      </c>
      <c r="P14" s="278">
        <v>5</v>
      </c>
      <c r="Q14" s="278">
        <v>0</v>
      </c>
      <c r="R14" s="286">
        <f t="shared" si="4"/>
        <v>20</v>
      </c>
      <c r="S14" s="294">
        <f>[1]押出工时ekstrusi!I28</f>
        <v>2167.1388101982998</v>
      </c>
      <c r="T14" s="412">
        <f t="shared" si="8"/>
        <v>4.6143790849673214E-4</v>
      </c>
      <c r="U14" s="412">
        <f t="shared" si="5"/>
        <v>10.246413333333335</v>
      </c>
      <c r="V14" s="394">
        <f t="shared" si="6"/>
        <v>10.246413333333335</v>
      </c>
      <c r="W14" s="347">
        <f t="shared" si="7"/>
        <v>20</v>
      </c>
      <c r="X14" s="348"/>
    </row>
    <row r="15" spans="1:24" ht="21" customHeight="1">
      <c r="A15" s="280">
        <v>45383</v>
      </c>
      <c r="B15" s="286" t="s">
        <v>249</v>
      </c>
      <c r="C15" s="286">
        <v>20240301004</v>
      </c>
      <c r="D15" s="286" t="s">
        <v>115</v>
      </c>
      <c r="E15" s="408">
        <f t="shared" si="0"/>
        <v>10835.694050991498</v>
      </c>
      <c r="F15" s="285" t="s">
        <v>118</v>
      </c>
      <c r="G15" s="415">
        <f>1.59*H15</f>
        <v>6507.87</v>
      </c>
      <c r="H15" s="416">
        <f>4093</f>
        <v>4093</v>
      </c>
      <c r="I15" s="410">
        <f>20.1406*G15/1000</f>
        <v>131.07240652199999</v>
      </c>
      <c r="J15" s="278">
        <f>2.3</f>
        <v>2.2999999999999998</v>
      </c>
      <c r="K15" s="278">
        <f>1.2</f>
        <v>1.2</v>
      </c>
      <c r="L15" s="411">
        <f t="shared" si="2"/>
        <v>2.600830356279478E-2</v>
      </c>
      <c r="M15" s="340">
        <f t="shared" si="3"/>
        <v>0.60059558431372562</v>
      </c>
      <c r="N15" s="286" t="s">
        <v>251</v>
      </c>
      <c r="O15" s="286">
        <v>2</v>
      </c>
      <c r="P15" s="278">
        <v>2.5</v>
      </c>
      <c r="Q15" s="278">
        <v>0</v>
      </c>
      <c r="R15" s="286">
        <f t="shared" si="4"/>
        <v>5</v>
      </c>
      <c r="S15" s="294">
        <f>[1]押出工时ekstrusi!I28</f>
        <v>2167.1388101982998</v>
      </c>
      <c r="T15" s="412">
        <f t="shared" si="8"/>
        <v>4.6143790849673214E-4</v>
      </c>
      <c r="U15" s="412">
        <f t="shared" si="5"/>
        <v>3.0029779215686281</v>
      </c>
      <c r="V15" s="394">
        <f t="shared" si="6"/>
        <v>3.0029779215686281</v>
      </c>
      <c r="W15" s="347">
        <f t="shared" si="7"/>
        <v>5</v>
      </c>
      <c r="X15" s="348"/>
    </row>
    <row r="16" spans="1:24" ht="21" customHeight="1">
      <c r="A16" s="280">
        <v>45383</v>
      </c>
      <c r="B16" s="286" t="s">
        <v>252</v>
      </c>
      <c r="C16" s="286">
        <v>20240301004</v>
      </c>
      <c r="D16" s="286" t="s">
        <v>115</v>
      </c>
      <c r="E16" s="408">
        <f t="shared" si="0"/>
        <v>20816.326530612241</v>
      </c>
      <c r="F16" s="285" t="s">
        <v>118</v>
      </c>
      <c r="G16" s="415">
        <f>1.59*H16</f>
        <v>11587.92</v>
      </c>
      <c r="H16" s="416">
        <f>5000+2288</f>
        <v>7288</v>
      </c>
      <c r="I16" s="410">
        <f>20.1406*G16/1000</f>
        <v>233.387661552</v>
      </c>
      <c r="J16" s="278">
        <f>4.55+6.35</f>
        <v>10.899999999999999</v>
      </c>
      <c r="K16" s="278">
        <f>1.95+4.5</f>
        <v>6.45</v>
      </c>
      <c r="L16" s="411">
        <f t="shared" si="2"/>
        <v>6.9195827593701215E-2</v>
      </c>
      <c r="M16" s="340">
        <f t="shared" si="3"/>
        <v>0.55667458823529425</v>
      </c>
      <c r="N16" s="286" t="s">
        <v>253</v>
      </c>
      <c r="O16" s="286">
        <v>4</v>
      </c>
      <c r="P16" s="278">
        <v>2</v>
      </c>
      <c r="Q16" s="278">
        <v>0</v>
      </c>
      <c r="R16" s="286">
        <f t="shared" si="4"/>
        <v>8</v>
      </c>
      <c r="S16" s="294">
        <f>[1]押出工时ekstrusi!I27</f>
        <v>2602.0408163265301</v>
      </c>
      <c r="T16" s="412">
        <f t="shared" si="8"/>
        <v>3.8431372549019614E-4</v>
      </c>
      <c r="U16" s="412">
        <f t="shared" si="5"/>
        <v>4.453396705882354</v>
      </c>
      <c r="V16" s="394">
        <f t="shared" si="6"/>
        <v>4.453396705882354</v>
      </c>
      <c r="W16" s="347">
        <f t="shared" si="7"/>
        <v>8</v>
      </c>
      <c r="X16" s="348"/>
    </row>
    <row r="17" spans="1:24" ht="21" customHeight="1">
      <c r="A17" s="280"/>
      <c r="B17" s="286"/>
      <c r="C17" s="286"/>
      <c r="D17" s="286"/>
      <c r="E17" s="408"/>
      <c r="F17" s="285"/>
      <c r="G17" s="409"/>
      <c r="H17" s="409"/>
      <c r="I17" s="410"/>
      <c r="J17" s="278"/>
      <c r="K17" s="278"/>
      <c r="L17" s="411"/>
      <c r="M17" s="340"/>
      <c r="N17" s="286"/>
      <c r="O17" s="286"/>
      <c r="P17" s="278"/>
      <c r="Q17" s="278"/>
      <c r="R17" s="286"/>
      <c r="S17" s="294"/>
      <c r="T17" s="412"/>
      <c r="U17" s="412"/>
      <c r="V17" s="394"/>
      <c r="W17" s="347"/>
      <c r="X17" s="348"/>
    </row>
    <row r="18" spans="1:24" ht="21" customHeight="1">
      <c r="A18" s="280">
        <v>45384</v>
      </c>
      <c r="B18" s="286" t="s">
        <v>236</v>
      </c>
      <c r="C18" s="348"/>
      <c r="D18" s="286" t="s">
        <v>169</v>
      </c>
      <c r="E18" s="408">
        <f t="shared" ref="E18:E21" si="9">IFERROR(IF(S18&lt;&gt;"",W18*S18,""),"input error")</f>
        <v>19490.445859872598</v>
      </c>
      <c r="F18" s="303" t="s">
        <v>53</v>
      </c>
      <c r="G18" s="409">
        <f>H18</f>
        <v>7466</v>
      </c>
      <c r="H18" s="409">
        <f>7466</f>
        <v>7466</v>
      </c>
      <c r="I18" s="410"/>
      <c r="J18" s="278">
        <f>0.8</f>
        <v>0.8</v>
      </c>
      <c r="K18" s="278">
        <f>0.6</f>
        <v>0.6</v>
      </c>
      <c r="L18" s="411" t="str">
        <f t="shared" ref="L18:L21" si="10">IFERROR(IF(I18&lt;&gt;"",(J18+K18)/(I18+J18+K18),""),"input error")</f>
        <v/>
      </c>
      <c r="M18" s="340">
        <f t="shared" ref="M18:M21" si="11">IFERROR(IF(G18&lt;&gt;"",G18/E18,""),"input error")</f>
        <v>0.38305947712418326</v>
      </c>
      <c r="N18" s="286" t="s">
        <v>239</v>
      </c>
      <c r="O18" s="286">
        <v>1</v>
      </c>
      <c r="P18" s="278">
        <v>3</v>
      </c>
      <c r="Q18" s="278">
        <v>0</v>
      </c>
      <c r="R18" s="286">
        <f t="shared" si="4"/>
        <v>3</v>
      </c>
      <c r="S18" s="294">
        <f>[1]押出工时ekstrusi!I9</f>
        <v>6496.8152866241999</v>
      </c>
      <c r="T18" s="412">
        <f t="shared" ref="T18:T26" si="12">IFERROR(IF(S18&lt;&gt;"",1/S18,""),"input error")</f>
        <v>1.5392156862745107E-4</v>
      </c>
      <c r="U18" s="412">
        <f t="shared" ref="U18:U26" si="13">IFERROR(IF(T18&lt;&gt;"",T18*G18,""),"input error")</f>
        <v>1.1491784313725497</v>
      </c>
      <c r="V18" s="394">
        <f t="shared" ref="V18:V26" si="14">IFERROR(IF(U18&lt;&gt;"",SUM(U18),""),"input error")</f>
        <v>1.1491784313725497</v>
      </c>
      <c r="W18" s="347">
        <f t="shared" ref="W18:W26" si="15">IFERROR(IF(R18&lt;&gt;"",R18*U18/V18,""),"input error")</f>
        <v>3</v>
      </c>
      <c r="X18" s="348" t="s">
        <v>254</v>
      </c>
    </row>
    <row r="19" spans="1:24" ht="21" customHeight="1">
      <c r="A19" s="280">
        <v>45384</v>
      </c>
      <c r="B19" s="286" t="s">
        <v>236</v>
      </c>
      <c r="C19" s="348"/>
      <c r="D19" s="286" t="s">
        <v>169</v>
      </c>
      <c r="E19" s="408">
        <f t="shared" si="9"/>
        <v>25987.261146496799</v>
      </c>
      <c r="F19" s="303" t="s">
        <v>53</v>
      </c>
      <c r="G19" s="409">
        <f>H19</f>
        <v>21862</v>
      </c>
      <c r="H19" s="409">
        <f>21862</f>
        <v>21862</v>
      </c>
      <c r="I19" s="410"/>
      <c r="J19" s="278">
        <f>0.94</f>
        <v>0.94</v>
      </c>
      <c r="K19" s="278">
        <f>0.66</f>
        <v>0.66</v>
      </c>
      <c r="L19" s="411" t="str">
        <f t="shared" si="10"/>
        <v/>
      </c>
      <c r="M19" s="340">
        <f t="shared" si="11"/>
        <v>0.84125833333333389</v>
      </c>
      <c r="N19" s="286" t="s">
        <v>255</v>
      </c>
      <c r="O19" s="286">
        <v>1</v>
      </c>
      <c r="P19" s="278">
        <v>4</v>
      </c>
      <c r="Q19" s="278">
        <v>0</v>
      </c>
      <c r="R19" s="286">
        <f t="shared" si="4"/>
        <v>4</v>
      </c>
      <c r="S19" s="294">
        <f>[1]押出工时ekstrusi!I9</f>
        <v>6496.8152866241999</v>
      </c>
      <c r="T19" s="412">
        <f t="shared" si="12"/>
        <v>1.5392156862745107E-4</v>
      </c>
      <c r="U19" s="412">
        <f t="shared" si="13"/>
        <v>3.3650333333333351</v>
      </c>
      <c r="V19" s="394">
        <f t="shared" si="14"/>
        <v>3.3650333333333351</v>
      </c>
      <c r="W19" s="347">
        <f t="shared" si="15"/>
        <v>4</v>
      </c>
      <c r="X19" s="348" t="s">
        <v>240</v>
      </c>
    </row>
    <row r="20" spans="1:24" ht="21" customHeight="1">
      <c r="A20" s="280">
        <v>45384</v>
      </c>
      <c r="B20" s="286" t="s">
        <v>236</v>
      </c>
      <c r="C20" s="389"/>
      <c r="D20" s="286" t="s">
        <v>115</v>
      </c>
      <c r="E20" s="408">
        <f t="shared" si="9"/>
        <v>48829.787234042393</v>
      </c>
      <c r="F20" s="285" t="s">
        <v>118</v>
      </c>
      <c r="G20" s="409">
        <f>H20</f>
        <v>39260</v>
      </c>
      <c r="H20" s="409">
        <f>39260</f>
        <v>39260</v>
      </c>
      <c r="I20" s="410">
        <f>1.9509*G20/1000</f>
        <v>76.592334000000008</v>
      </c>
      <c r="J20" s="278">
        <f>0.9</f>
        <v>0.9</v>
      </c>
      <c r="K20" s="278">
        <f>0.6</f>
        <v>0.6</v>
      </c>
      <c r="L20" s="411">
        <f t="shared" si="10"/>
        <v>1.9208031354268396E-2</v>
      </c>
      <c r="M20" s="340">
        <f t="shared" si="11"/>
        <v>0.8040174291939024</v>
      </c>
      <c r="N20" s="286" t="s">
        <v>245</v>
      </c>
      <c r="O20" s="286">
        <v>1</v>
      </c>
      <c r="P20" s="278">
        <v>4.5</v>
      </c>
      <c r="Q20" s="278">
        <v>0</v>
      </c>
      <c r="R20" s="286">
        <f t="shared" si="4"/>
        <v>4.5</v>
      </c>
      <c r="S20" s="294">
        <f>[1]押出工时ekstrusi!I5</f>
        <v>10851.063829787199</v>
      </c>
      <c r="T20" s="412">
        <f t="shared" si="12"/>
        <v>9.2156862745098334E-5</v>
      </c>
      <c r="U20" s="412">
        <f t="shared" si="13"/>
        <v>3.6180784313725605</v>
      </c>
      <c r="V20" s="394">
        <f t="shared" si="14"/>
        <v>3.6180784313725605</v>
      </c>
      <c r="W20" s="347">
        <f t="shared" si="15"/>
        <v>4.5</v>
      </c>
      <c r="X20" s="348" t="s">
        <v>244</v>
      </c>
    </row>
    <row r="21" spans="1:24" ht="21" customHeight="1">
      <c r="A21" s="280">
        <v>45384</v>
      </c>
      <c r="B21" s="286" t="s">
        <v>236</v>
      </c>
      <c r="C21" s="389"/>
      <c r="D21" s="286" t="s">
        <v>112</v>
      </c>
      <c r="E21" s="408">
        <f t="shared" si="9"/>
        <v>13002.8328611898</v>
      </c>
      <c r="F21" s="417" t="s">
        <v>114</v>
      </c>
      <c r="G21" s="409">
        <f t="shared" ref="G21" si="16">H21</f>
        <v>14542</v>
      </c>
      <c r="H21" s="409">
        <f>14542</f>
        <v>14542</v>
      </c>
      <c r="I21" s="410">
        <f>3.6328*G21/1000</f>
        <v>52.828177600000004</v>
      </c>
      <c r="J21" s="278">
        <f>0.5</f>
        <v>0.5</v>
      </c>
      <c r="K21" s="278">
        <v>0.8</v>
      </c>
      <c r="L21" s="411">
        <f t="shared" si="10"/>
        <v>2.401706574359156E-2</v>
      </c>
      <c r="M21" s="340">
        <f t="shared" si="11"/>
        <v>1.1183716775599131</v>
      </c>
      <c r="N21" s="286" t="s">
        <v>256</v>
      </c>
      <c r="O21" s="286">
        <v>1</v>
      </c>
      <c r="P21" s="278">
        <v>1.5</v>
      </c>
      <c r="Q21" s="278">
        <v>0</v>
      </c>
      <c r="R21" s="286">
        <f t="shared" si="4"/>
        <v>1.5</v>
      </c>
      <c r="S21" s="294">
        <f>[1]押出工时ekstrusi!I7</f>
        <v>8668.5552407931991</v>
      </c>
      <c r="T21" s="412">
        <f t="shared" si="12"/>
        <v>1.1535947712418304E-4</v>
      </c>
      <c r="U21" s="412">
        <f t="shared" si="13"/>
        <v>1.6775575163398697</v>
      </c>
      <c r="V21" s="394">
        <f t="shared" si="14"/>
        <v>1.6775575163398697</v>
      </c>
      <c r="W21" s="347">
        <f t="shared" si="15"/>
        <v>1.5</v>
      </c>
      <c r="X21" s="348" t="s">
        <v>240</v>
      </c>
    </row>
    <row r="22" spans="1:24" ht="21" customHeight="1">
      <c r="A22" s="280">
        <v>45384</v>
      </c>
      <c r="B22" s="286" t="s">
        <v>241</v>
      </c>
      <c r="C22" s="286"/>
      <c r="D22" s="281" t="s">
        <v>80</v>
      </c>
      <c r="E22" s="408">
        <v>31224.489795918402</v>
      </c>
      <c r="F22" s="418" t="s">
        <v>79</v>
      </c>
      <c r="G22" s="409">
        <f>H22</f>
        <v>33994</v>
      </c>
      <c r="H22" s="409">
        <f>25712+8282</f>
        <v>33994</v>
      </c>
      <c r="I22" s="410">
        <f>13.9069*G22/1000</f>
        <v>472.7511586</v>
      </c>
      <c r="J22" s="278">
        <f>3.2+2</f>
        <v>5.2</v>
      </c>
      <c r="K22" s="278">
        <f>0.3+0.7</f>
        <v>1</v>
      </c>
      <c r="L22" s="411">
        <v>3.9222218045193401E-3</v>
      </c>
      <c r="M22" s="419">
        <v>1.03867189542484</v>
      </c>
      <c r="N22" s="286" t="s">
        <v>257</v>
      </c>
      <c r="O22" s="286">
        <v>2</v>
      </c>
      <c r="P22" s="278">
        <v>5</v>
      </c>
      <c r="Q22" s="278">
        <v>0</v>
      </c>
      <c r="R22" s="286">
        <f t="shared" si="4"/>
        <v>10</v>
      </c>
      <c r="S22" s="294">
        <f>[1]押出工时ekstrusi!I11</f>
        <v>4334.2776203965996</v>
      </c>
      <c r="T22" s="412">
        <f t="shared" si="12"/>
        <v>2.3071895424836607E-4</v>
      </c>
      <c r="U22" s="412">
        <f t="shared" si="13"/>
        <v>7.843060130718956</v>
      </c>
      <c r="V22" s="394">
        <f t="shared" si="14"/>
        <v>7.843060130718956</v>
      </c>
      <c r="W22" s="347">
        <f t="shared" si="15"/>
        <v>10</v>
      </c>
      <c r="X22" s="348" t="s">
        <v>246</v>
      </c>
    </row>
    <row r="23" spans="1:24" ht="21" customHeight="1">
      <c r="A23" s="280">
        <v>45384</v>
      </c>
      <c r="B23" s="286" t="s">
        <v>258</v>
      </c>
      <c r="C23" s="286">
        <v>20240122001</v>
      </c>
      <c r="D23" s="286" t="s">
        <v>107</v>
      </c>
      <c r="E23" s="408">
        <v>8668.5552407931991</v>
      </c>
      <c r="F23" s="417" t="s">
        <v>106</v>
      </c>
      <c r="G23" s="409">
        <f>1.59*H23</f>
        <v>16695</v>
      </c>
      <c r="H23" s="416">
        <f>10500</f>
        <v>10500</v>
      </c>
      <c r="I23" s="410">
        <f>21.9*G23/1000</f>
        <v>365.62049999999999</v>
      </c>
      <c r="J23" s="278">
        <f>1.95</f>
        <v>1.95</v>
      </c>
      <c r="K23" s="278">
        <v>0</v>
      </c>
      <c r="L23" s="411">
        <v>1.8362912709696099E-2</v>
      </c>
      <c r="M23" s="419">
        <v>0.99964754901960795</v>
      </c>
      <c r="N23" s="286" t="s">
        <v>259</v>
      </c>
      <c r="O23" s="286">
        <v>2</v>
      </c>
      <c r="P23" s="278">
        <v>5.5</v>
      </c>
      <c r="Q23" s="278">
        <v>0</v>
      </c>
      <c r="R23" s="286">
        <f t="shared" si="4"/>
        <v>11</v>
      </c>
      <c r="S23" s="294">
        <f>[1]押出工时ekstrusi!I20</f>
        <v>2167.1388101982998</v>
      </c>
      <c r="T23" s="412">
        <f t="shared" si="12"/>
        <v>4.6143790849673214E-4</v>
      </c>
      <c r="U23" s="412">
        <f t="shared" si="13"/>
        <v>7.703705882352943</v>
      </c>
      <c r="V23" s="394">
        <f t="shared" si="14"/>
        <v>7.703705882352943</v>
      </c>
      <c r="W23" s="347">
        <f t="shared" si="15"/>
        <v>11</v>
      </c>
      <c r="X23" s="348"/>
    </row>
    <row r="24" spans="1:24" ht="21" customHeight="1">
      <c r="A24" s="280">
        <v>45384</v>
      </c>
      <c r="B24" s="286" t="s">
        <v>258</v>
      </c>
      <c r="C24" s="286">
        <v>20240206022</v>
      </c>
      <c r="D24" s="286" t="s">
        <v>107</v>
      </c>
      <c r="E24" s="408">
        <v>8668.5552407931991</v>
      </c>
      <c r="F24" s="417" t="s">
        <v>106</v>
      </c>
      <c r="G24" s="409">
        <f>1.59*H24</f>
        <v>6360</v>
      </c>
      <c r="H24" s="416">
        <f>4000</f>
        <v>4000</v>
      </c>
      <c r="I24" s="410">
        <f t="shared" ref="I24:I25" si="17">21.9*G24/1000</f>
        <v>139.28399999999999</v>
      </c>
      <c r="J24" s="278">
        <f>2</f>
        <v>2</v>
      </c>
      <c r="K24" s="278">
        <f>0.3</f>
        <v>0.3</v>
      </c>
      <c r="L24" s="411">
        <v>1.8362912709696099E-2</v>
      </c>
      <c r="M24" s="419">
        <v>0.99964754901960795</v>
      </c>
      <c r="N24" s="286" t="s">
        <v>260</v>
      </c>
      <c r="O24" s="286">
        <v>2</v>
      </c>
      <c r="P24" s="278">
        <v>2.5</v>
      </c>
      <c r="Q24" s="278">
        <v>0</v>
      </c>
      <c r="R24" s="286">
        <f t="shared" si="4"/>
        <v>5</v>
      </c>
      <c r="S24" s="294">
        <f>[1]押出工时ekstrusi!I20</f>
        <v>2167.1388101982998</v>
      </c>
      <c r="T24" s="412">
        <f t="shared" si="12"/>
        <v>4.6143790849673214E-4</v>
      </c>
      <c r="U24" s="412">
        <f t="shared" si="13"/>
        <v>2.9347450980392162</v>
      </c>
      <c r="V24" s="394">
        <f t="shared" si="14"/>
        <v>2.9347450980392162</v>
      </c>
      <c r="W24" s="347">
        <f t="shared" si="15"/>
        <v>5</v>
      </c>
      <c r="X24" s="348"/>
    </row>
    <row r="25" spans="1:24" ht="21" customHeight="1">
      <c r="A25" s="280">
        <v>45384</v>
      </c>
      <c r="B25" s="286" t="s">
        <v>258</v>
      </c>
      <c r="C25" s="286"/>
      <c r="D25" s="286" t="s">
        <v>107</v>
      </c>
      <c r="E25" s="408">
        <v>8668.5552407931991</v>
      </c>
      <c r="F25" s="417" t="s">
        <v>106</v>
      </c>
      <c r="G25" s="409">
        <f>1.59*H25</f>
        <v>18509.190000000002</v>
      </c>
      <c r="H25" s="416">
        <f>11641</f>
        <v>11641</v>
      </c>
      <c r="I25" s="410">
        <f t="shared" si="17"/>
        <v>405.35126100000002</v>
      </c>
      <c r="J25" s="278">
        <v>1.85</v>
      </c>
      <c r="K25" s="278">
        <f>1.35</f>
        <v>1.35</v>
      </c>
      <c r="L25" s="411">
        <v>1.8362912709696099E-2</v>
      </c>
      <c r="M25" s="419">
        <v>0.99964754901960795</v>
      </c>
      <c r="N25" s="286" t="s">
        <v>261</v>
      </c>
      <c r="O25" s="286">
        <v>2</v>
      </c>
      <c r="P25" s="278">
        <v>7</v>
      </c>
      <c r="Q25" s="278">
        <v>0</v>
      </c>
      <c r="R25" s="286">
        <f t="shared" si="4"/>
        <v>14</v>
      </c>
      <c r="S25" s="294">
        <f>[1]押出工时ekstrusi!I28</f>
        <v>2167.1388101982998</v>
      </c>
      <c r="T25" s="412">
        <f t="shared" si="12"/>
        <v>4.6143790849673214E-4</v>
      </c>
      <c r="U25" s="412">
        <f t="shared" si="13"/>
        <v>8.5408419215686315</v>
      </c>
      <c r="V25" s="394">
        <f t="shared" si="14"/>
        <v>8.5408419215686315</v>
      </c>
      <c r="W25" s="347">
        <f t="shared" si="15"/>
        <v>14</v>
      </c>
      <c r="X25" s="348"/>
    </row>
    <row r="26" spans="1:24" ht="21" customHeight="1">
      <c r="A26" s="280">
        <v>45384</v>
      </c>
      <c r="B26" s="286" t="s">
        <v>249</v>
      </c>
      <c r="C26" s="286">
        <v>20240318001</v>
      </c>
      <c r="D26" s="286" t="s">
        <v>115</v>
      </c>
      <c r="E26" s="408">
        <f t="shared" ref="E26" si="18">IFERROR(IF(S26&lt;&gt;"",W26*S26,""),"input error")</f>
        <v>97576.530612244882</v>
      </c>
      <c r="F26" s="285" t="s">
        <v>118</v>
      </c>
      <c r="G26" s="415">
        <f>1.59*H26</f>
        <v>71559.540000000008</v>
      </c>
      <c r="H26" s="416">
        <f>13500+15156+16350</f>
        <v>45006</v>
      </c>
      <c r="I26" s="410">
        <f>20.1406*G26/1000</f>
        <v>1441.2520713240001</v>
      </c>
      <c r="J26" s="278">
        <f>3.1+2+2.05</f>
        <v>7.1499999999999995</v>
      </c>
      <c r="K26" s="278">
        <f>0.7+0.1</f>
        <v>0.79999999999999993</v>
      </c>
      <c r="L26" s="411">
        <f t="shared" ref="L26" si="19">IFERROR(IF(I26&lt;&gt;"",(J26+K26)/(I26+J26+K26),""),"input error")</f>
        <v>5.4857774200783669E-3</v>
      </c>
      <c r="M26" s="340">
        <f t="shared" ref="M26" si="20">IFERROR(IF(G26&lt;&gt;"",G26/E26,""),"input error")</f>
        <v>0.73336835764705899</v>
      </c>
      <c r="N26" s="286" t="s">
        <v>262</v>
      </c>
      <c r="O26" s="286">
        <v>5</v>
      </c>
      <c r="P26" s="278">
        <v>7.5</v>
      </c>
      <c r="Q26" s="278">
        <v>0</v>
      </c>
      <c r="R26" s="286">
        <f t="shared" si="4"/>
        <v>37.5</v>
      </c>
      <c r="S26" s="294">
        <f>[1]押出工时ekstrusi!I27</f>
        <v>2602.0408163265301</v>
      </c>
      <c r="T26" s="412">
        <f t="shared" si="12"/>
        <v>3.8431372549019614E-4</v>
      </c>
      <c r="U26" s="412">
        <f t="shared" si="13"/>
        <v>27.501313411764713</v>
      </c>
      <c r="V26" s="394">
        <f t="shared" si="14"/>
        <v>27.501313411764713</v>
      </c>
      <c r="W26" s="347">
        <f t="shared" si="15"/>
        <v>37.5</v>
      </c>
      <c r="X26" s="348"/>
    </row>
    <row r="27" spans="1:24" ht="21" customHeight="1">
      <c r="A27" s="280"/>
      <c r="B27" s="286"/>
      <c r="C27" s="286"/>
      <c r="D27" s="286"/>
      <c r="E27" s="408"/>
      <c r="F27" s="285"/>
      <c r="G27" s="409"/>
      <c r="H27" s="409"/>
      <c r="I27" s="410"/>
      <c r="J27" s="278"/>
      <c r="K27" s="278"/>
      <c r="L27" s="411"/>
      <c r="M27" s="340"/>
      <c r="N27" s="286"/>
      <c r="O27" s="286"/>
      <c r="P27" s="278"/>
      <c r="Q27" s="278"/>
      <c r="R27" s="286"/>
      <c r="S27" s="294"/>
      <c r="T27" s="412"/>
      <c r="U27" s="412"/>
      <c r="V27" s="394"/>
      <c r="W27" s="347"/>
      <c r="X27" s="348"/>
    </row>
    <row r="28" spans="1:24" ht="21" customHeight="1">
      <c r="A28" s="280"/>
      <c r="B28" s="286"/>
      <c r="C28" s="286"/>
      <c r="D28" s="286"/>
      <c r="E28" s="408"/>
      <c r="F28" s="285"/>
      <c r="G28" s="409"/>
      <c r="H28" s="409"/>
      <c r="I28" s="410"/>
      <c r="J28" s="278"/>
      <c r="K28" s="278"/>
      <c r="L28" s="411"/>
      <c r="M28" s="340"/>
      <c r="N28" s="286"/>
      <c r="O28" s="286"/>
      <c r="P28" s="278"/>
      <c r="Q28" s="278"/>
      <c r="R28" s="286"/>
      <c r="S28" s="294"/>
      <c r="T28" s="412"/>
      <c r="U28" s="412"/>
      <c r="V28" s="394"/>
      <c r="W28" s="347"/>
      <c r="X28" s="348"/>
    </row>
    <row r="29" spans="1:24" ht="21" customHeight="1">
      <c r="A29" s="306"/>
      <c r="B29" s="286"/>
      <c r="C29" s="286"/>
      <c r="D29" s="286"/>
      <c r="E29" s="408"/>
      <c r="F29" s="303"/>
      <c r="G29" s="409"/>
      <c r="H29" s="409"/>
      <c r="I29" s="410"/>
      <c r="J29" s="278"/>
      <c r="K29" s="278"/>
      <c r="L29" s="411"/>
      <c r="M29" s="340"/>
      <c r="N29" s="286"/>
      <c r="O29" s="286"/>
      <c r="P29" s="278"/>
      <c r="Q29" s="278"/>
      <c r="R29" s="286"/>
      <c r="S29" s="294"/>
      <c r="T29" s="412"/>
      <c r="U29" s="412"/>
      <c r="V29" s="394"/>
      <c r="W29" s="347"/>
      <c r="X29" s="348"/>
    </row>
    <row r="30" spans="1:24" ht="40.5" customHeight="1">
      <c r="F30" s="420"/>
      <c r="K30" s="405"/>
      <c r="L30" s="405"/>
      <c r="M30" s="272"/>
      <c r="N30" s="272"/>
      <c r="O30" s="272"/>
      <c r="P30" s="272"/>
      <c r="Q30" s="272"/>
      <c r="R30" s="311"/>
      <c r="S30" s="311"/>
      <c r="T30" s="372" t="s">
        <v>181</v>
      </c>
      <c r="U30" s="372"/>
      <c r="V30" s="372" t="s">
        <v>182</v>
      </c>
      <c r="W30" s="372"/>
      <c r="X30" s="273" t="s">
        <v>183</v>
      </c>
    </row>
    <row r="31" spans="1:24" ht="28.5" customHeight="1">
      <c r="D31" s="310"/>
      <c r="I31" s="421"/>
      <c r="J31" s="421"/>
      <c r="K31" s="405"/>
      <c r="L31" s="405"/>
      <c r="M31" s="272"/>
      <c r="N31" s="272"/>
      <c r="O31" s="272"/>
      <c r="P31" s="272"/>
      <c r="Q31" s="272"/>
      <c r="R31" s="272"/>
      <c r="S31" s="272"/>
      <c r="T31" s="374" t="s">
        <v>184</v>
      </c>
      <c r="U31" s="374"/>
      <c r="V31" s="375" t="s">
        <v>185</v>
      </c>
      <c r="W31" s="375"/>
      <c r="X31" s="273" t="s">
        <v>186</v>
      </c>
    </row>
    <row r="32" spans="1:24" s="422" customFormat="1" ht="15" customHeight="1">
      <c r="B32" s="423"/>
      <c r="C32" s="423"/>
      <c r="D32" s="424"/>
      <c r="E32" s="272"/>
      <c r="F32" s="310"/>
      <c r="G32" s="405"/>
      <c r="H32" s="405"/>
      <c r="I32" s="405"/>
      <c r="J32" s="425"/>
      <c r="K32" s="425"/>
      <c r="L32" s="425"/>
      <c r="M32" s="325"/>
      <c r="N32" s="325"/>
      <c r="O32" s="325"/>
      <c r="P32" s="325"/>
      <c r="Q32" s="325"/>
      <c r="R32" s="325"/>
      <c r="S32" s="325"/>
      <c r="T32" s="376" t="s">
        <v>263</v>
      </c>
      <c r="U32" s="376"/>
      <c r="V32" s="376"/>
      <c r="W32" s="376"/>
      <c r="X32" s="376"/>
    </row>
    <row r="33" spans="2:17" s="422" customFormat="1">
      <c r="B33" s="426"/>
      <c r="C33" s="426"/>
      <c r="D33" s="424"/>
      <c r="E33" s="425"/>
      <c r="F33" s="310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</row>
    <row r="34" spans="2:17">
      <c r="F34" s="272"/>
    </row>
    <row r="35" spans="2:17">
      <c r="D35" s="308"/>
      <c r="E35" s="308"/>
      <c r="F35" s="425"/>
      <c r="G35" s="308"/>
      <c r="H35" s="308"/>
      <c r="I35" s="308"/>
      <c r="J35" s="308"/>
      <c r="K35" s="308"/>
      <c r="L35" s="308"/>
      <c r="M35" s="308"/>
      <c r="N35" s="308"/>
      <c r="O35" s="308"/>
      <c r="P35" s="308"/>
      <c r="Q35" s="308"/>
    </row>
  </sheetData>
  <autoFilter ref="A6:X32"/>
  <mergeCells count="16">
    <mergeCell ref="B32:C32"/>
    <mergeCell ref="G32:I32"/>
    <mergeCell ref="T32:X32"/>
    <mergeCell ref="K30:L30"/>
    <mergeCell ref="T30:U30"/>
    <mergeCell ref="V30:W30"/>
    <mergeCell ref="I31:J31"/>
    <mergeCell ref="K31:L31"/>
    <mergeCell ref="T31:U31"/>
    <mergeCell ref="V31:W31"/>
    <mergeCell ref="B1:X1"/>
    <mergeCell ref="B2:X2"/>
    <mergeCell ref="B3:X3"/>
    <mergeCell ref="B4:X4"/>
    <mergeCell ref="A5:C5"/>
    <mergeCell ref="W5:X5"/>
  </mergeCells>
  <conditionalFormatting sqref="M29">
    <cfRule type="cellIs" dxfId="11" priority="9" operator="lessThan">
      <formula>0.4759</formula>
    </cfRule>
    <cfRule type="cellIs" dxfId="10" priority="10" operator="lessThan">
      <formula>0.3</formula>
    </cfRule>
  </conditionalFormatting>
  <conditionalFormatting sqref="M7:M17 M22:M24 M27:M28">
    <cfRule type="cellIs" dxfId="9" priority="11" operator="lessThan">
      <formula>0.4759</formula>
    </cfRule>
    <cfRule type="cellIs" dxfId="8" priority="12" operator="lessThan">
      <formula>0.3</formula>
    </cfRule>
  </conditionalFormatting>
  <conditionalFormatting sqref="M18:M19">
    <cfRule type="cellIs" dxfId="7" priority="7" operator="lessThan">
      <formula>0.4759</formula>
    </cfRule>
    <cfRule type="cellIs" dxfId="6" priority="8" operator="lessThan">
      <formula>0.3</formula>
    </cfRule>
  </conditionalFormatting>
  <conditionalFormatting sqref="M20:M21">
    <cfRule type="cellIs" dxfId="5" priority="5" operator="lessThan">
      <formula>0.4759</formula>
    </cfRule>
    <cfRule type="cellIs" dxfId="4" priority="6" operator="lessThan">
      <formula>0.3</formula>
    </cfRule>
  </conditionalFormatting>
  <conditionalFormatting sqref="M25">
    <cfRule type="cellIs" dxfId="3" priority="3" operator="lessThan">
      <formula>0.4759</formula>
    </cfRule>
    <cfRule type="cellIs" dxfId="2" priority="4" operator="lessThan">
      <formula>0.3</formula>
    </cfRule>
  </conditionalFormatting>
  <conditionalFormatting sqref="M26">
    <cfRule type="cellIs" dxfId="1" priority="1" operator="lessThan">
      <formula>0.4759</formula>
    </cfRule>
    <cfRule type="cellIs" dxfId="0" priority="2" operator="lessThan">
      <formula>0.3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</vt:lpstr>
      <vt:lpstr>絞線Twisting wire</vt:lpstr>
      <vt:lpstr>编织 缠绕 Winding, Braiding,</vt:lpstr>
      <vt:lpstr>總絞Twisting core</vt:lpstr>
      <vt:lpstr> 押出ekstrusi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2024-03-26T06:55:26Z</dcterms:created>
  <dcterms:modified xsi:type="dcterms:W3CDTF">2024-04-03T08:43:59Z</dcterms:modified>
</cp:coreProperties>
</file>