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347" activeTab="1"/>
  </bookViews>
  <sheets>
    <sheet name="02" sheetId="4" r:id="rId1"/>
    <sheet name="03" sheetId="6" r:id="rId2"/>
    <sheet name="04" sheetId="9" r:id="rId3"/>
    <sheet name="Sheet1" sheetId="1" r:id="rId4"/>
    <sheet name="伸线wire drawing" sheetId="7" r:id="rId5"/>
    <sheet name="退火anil " sheetId="8" r:id="rId6"/>
  </sheets>
  <externalReferences>
    <externalReference r:id="rId7"/>
  </externalReferences>
  <definedNames>
    <definedName name="_xlnm._FilterDatabase" localSheetId="0" hidden="1">'02'!$A$2:$AV$235</definedName>
    <definedName name="_xlnm._FilterDatabase" localSheetId="1" hidden="1">'03'!#REF!</definedName>
    <definedName name="_xlnm._FilterDatabase" localSheetId="2" hidden="1">'04'!#REF!</definedName>
    <definedName name="_xlnm._FilterDatabase" localSheetId="3" hidden="1">Sheet1!$A$1:$P$52</definedName>
    <definedName name="_xlnm._FilterDatabase" localSheetId="4" hidden="1">'伸线wire drawing'!$A$6:$Z$118</definedName>
    <definedName name="_xlnm._FilterDatabase" localSheetId="5" hidden="1">'退火anil '!$A$6:$W$54</definedName>
    <definedName name="_xlnm.Print_Area" localSheetId="0">'02'!$A$1:$AF$235</definedName>
    <definedName name="_xlnm.Print_Area" localSheetId="1">'03'!$A$1:$Z$1</definedName>
    <definedName name="_xlnm.Print_Area" localSheetId="2">'04'!$A$1:$Z$1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7" i="8" l="1"/>
  <c r="Q87" i="8"/>
  <c r="L87" i="8"/>
  <c r="K87" i="8"/>
  <c r="R84" i="8"/>
  <c r="S84" i="8" s="1"/>
  <c r="T84" i="8" s="1"/>
  <c r="Q84" i="8"/>
  <c r="S83" i="8"/>
  <c r="T83" i="8" s="1"/>
  <c r="R83" i="8"/>
  <c r="S82" i="8"/>
  <c r="T82" i="8" s="1"/>
  <c r="R82" i="8"/>
  <c r="R81" i="8"/>
  <c r="S81" i="8" s="1"/>
  <c r="T81" i="8" s="1"/>
  <c r="Q81" i="8"/>
  <c r="S79" i="8"/>
  <c r="T79" i="8" s="1"/>
  <c r="R79" i="8"/>
  <c r="S78" i="8"/>
  <c r="T78" i="8" s="1"/>
  <c r="R78" i="8"/>
  <c r="R77" i="8"/>
  <c r="S77" i="8" s="1"/>
  <c r="T77" i="8" s="1"/>
  <c r="Q77" i="8"/>
  <c r="R75" i="8"/>
  <c r="S75" i="8" s="1"/>
  <c r="T75" i="8" s="1"/>
  <c r="Q75" i="8"/>
  <c r="S74" i="8"/>
  <c r="T74" i="8" s="1"/>
  <c r="R74" i="8"/>
  <c r="S73" i="8"/>
  <c r="T73" i="8" s="1"/>
  <c r="R73" i="8"/>
  <c r="S72" i="8"/>
  <c r="T72" i="8" s="1"/>
  <c r="R72" i="8"/>
  <c r="R71" i="8"/>
  <c r="S71" i="8" s="1"/>
  <c r="T71" i="8" s="1"/>
  <c r="Q71" i="8"/>
  <c r="R69" i="8"/>
  <c r="S69" i="8" s="1"/>
  <c r="T69" i="8" s="1"/>
  <c r="Q69" i="8"/>
  <c r="S68" i="8"/>
  <c r="T68" i="8" s="1"/>
  <c r="R68" i="8"/>
  <c r="S67" i="8"/>
  <c r="T67" i="8" s="1"/>
  <c r="R67" i="8"/>
  <c r="S66" i="8"/>
  <c r="T66" i="8" s="1"/>
  <c r="R66" i="8"/>
  <c r="S65" i="8"/>
  <c r="T65" i="8" s="1"/>
  <c r="R65" i="8"/>
  <c r="R64" i="8"/>
  <c r="S64" i="8" s="1"/>
  <c r="T64" i="8" s="1"/>
  <c r="Q64" i="8"/>
  <c r="R61" i="8"/>
  <c r="S61" i="8" s="1"/>
  <c r="T61" i="8" s="1"/>
  <c r="Q61" i="8"/>
  <c r="S60" i="8"/>
  <c r="T60" i="8" s="1"/>
  <c r="R60" i="8"/>
  <c r="R59" i="8"/>
  <c r="S59" i="8" s="1"/>
  <c r="T59" i="8" s="1"/>
  <c r="Q59" i="8"/>
  <c r="R56" i="8"/>
  <c r="S56" i="8" s="1"/>
  <c r="T56" i="8" s="1"/>
  <c r="Q56" i="8"/>
  <c r="R53" i="8"/>
  <c r="S53" i="8" s="1"/>
  <c r="T53" i="8" s="1"/>
  <c r="Q53" i="8"/>
  <c r="R50" i="8"/>
  <c r="S50" i="8" s="1"/>
  <c r="T50" i="8" s="1"/>
  <c r="Q50" i="8"/>
  <c r="K49" i="8"/>
  <c r="S47" i="8"/>
  <c r="T47" i="8" s="1"/>
  <c r="R47" i="8"/>
  <c r="Q47" i="8"/>
  <c r="S46" i="8"/>
  <c r="T46" i="8" s="1"/>
  <c r="R46" i="8"/>
  <c r="Q46" i="8"/>
  <c r="K45" i="8"/>
  <c r="S44" i="8"/>
  <c r="T44" i="8" s="1"/>
  <c r="R44" i="8"/>
  <c r="S43" i="8"/>
  <c r="T43" i="8" s="1"/>
  <c r="R43" i="8"/>
  <c r="S42" i="8"/>
  <c r="T42" i="8" s="1"/>
  <c r="R42" i="8"/>
  <c r="R41" i="8"/>
  <c r="S41" i="8" s="1"/>
  <c r="T41" i="8" s="1"/>
  <c r="Q41" i="8"/>
  <c r="K40" i="8"/>
  <c r="S39" i="8"/>
  <c r="T39" i="8" s="1"/>
  <c r="R39" i="8"/>
  <c r="Q39" i="8"/>
  <c r="R38" i="8"/>
  <c r="S38" i="8" s="1"/>
  <c r="T38" i="8" s="1"/>
  <c r="R37" i="8"/>
  <c r="R36" i="8"/>
  <c r="S36" i="8" s="1"/>
  <c r="T36" i="8" s="1"/>
  <c r="S35" i="8"/>
  <c r="T35" i="8" s="1"/>
  <c r="R35" i="8"/>
  <c r="Q35" i="8"/>
  <c r="K34" i="8"/>
  <c r="R33" i="8"/>
  <c r="S33" i="8" s="1"/>
  <c r="T33" i="8" s="1"/>
  <c r="Q33" i="8"/>
  <c r="S32" i="8"/>
  <c r="T32" i="8" s="1"/>
  <c r="R32" i="8"/>
  <c r="R31" i="8"/>
  <c r="S31" i="8" s="1"/>
  <c r="T31" i="8" s="1"/>
  <c r="Q31" i="8"/>
  <c r="K30" i="8"/>
  <c r="S29" i="8"/>
  <c r="T29" i="8" s="1"/>
  <c r="R29" i="8"/>
  <c r="Q29" i="8"/>
  <c r="K28" i="8"/>
  <c r="R27" i="8"/>
  <c r="S27" i="8" s="1"/>
  <c r="T27" i="8" s="1"/>
  <c r="Q27" i="8"/>
  <c r="R26" i="8"/>
  <c r="S26" i="8" s="1"/>
  <c r="T26" i="8" s="1"/>
  <c r="Q26" i="8"/>
  <c r="K25" i="8"/>
  <c r="S24" i="8"/>
  <c r="T24" i="8" s="1"/>
  <c r="R24" i="8"/>
  <c r="Q24" i="8"/>
  <c r="K23" i="8"/>
  <c r="S22" i="8"/>
  <c r="T22" i="8" s="1"/>
  <c r="R22" i="8"/>
  <c r="S21" i="8"/>
  <c r="T21" i="8" s="1"/>
  <c r="R21" i="8"/>
  <c r="R20" i="8"/>
  <c r="S20" i="8" s="1"/>
  <c r="T20" i="8" s="1"/>
  <c r="Q20" i="8"/>
  <c r="R19" i="8"/>
  <c r="S19" i="8" s="1"/>
  <c r="T19" i="8" s="1"/>
  <c r="Q19" i="8"/>
  <c r="K18" i="8"/>
  <c r="R17" i="8"/>
  <c r="S16" i="8"/>
  <c r="T16" i="8" s="1"/>
  <c r="R16" i="8"/>
  <c r="Q16" i="8"/>
  <c r="S15" i="8"/>
  <c r="T15" i="8" s="1"/>
  <c r="R15" i="8"/>
  <c r="Q15" i="8"/>
  <c r="S14" i="8"/>
  <c r="T14" i="8" s="1"/>
  <c r="R14" i="8"/>
  <c r="Q14" i="8"/>
  <c r="K13" i="8"/>
  <c r="R12" i="8"/>
  <c r="S12" i="8" s="1"/>
  <c r="T12" i="8" s="1"/>
  <c r="Q12" i="8"/>
  <c r="R11" i="8"/>
  <c r="S11" i="8" s="1"/>
  <c r="T11" i="8" s="1"/>
  <c r="Q11" i="8"/>
  <c r="K10" i="8"/>
  <c r="S9" i="8"/>
  <c r="T9" i="8" s="1"/>
  <c r="R9" i="8"/>
  <c r="Q9" i="8"/>
  <c r="L9" i="8"/>
  <c r="S8" i="8"/>
  <c r="Q8" i="8"/>
  <c r="L8" i="8"/>
  <c r="K8" i="8"/>
  <c r="R7" i="8"/>
  <c r="S7" i="8" s="1"/>
  <c r="T7" i="8" s="1"/>
  <c r="Q7" i="8"/>
  <c r="L7" i="8"/>
  <c r="Q198" i="7"/>
  <c r="Q197" i="7"/>
  <c r="R196" i="7"/>
  <c r="Q196" i="7"/>
  <c r="P196" i="7"/>
  <c r="V192" i="7"/>
  <c r="K192" i="7"/>
  <c r="J192" i="7" s="1"/>
  <c r="V191" i="7"/>
  <c r="W191" i="7" s="1"/>
  <c r="K191" i="7"/>
  <c r="J191" i="7" s="1"/>
  <c r="V190" i="7"/>
  <c r="K190" i="7"/>
  <c r="J190" i="7" s="1"/>
  <c r="V189" i="7"/>
  <c r="K189" i="7"/>
  <c r="J189" i="7"/>
  <c r="V188" i="7"/>
  <c r="K188" i="7"/>
  <c r="J188" i="7" s="1"/>
  <c r="U187" i="7"/>
  <c r="V187" i="7" s="1"/>
  <c r="K187" i="7"/>
  <c r="J187" i="7" s="1"/>
  <c r="U186" i="7"/>
  <c r="T186" i="7"/>
  <c r="J186" i="7"/>
  <c r="V184" i="7"/>
  <c r="U184" i="7"/>
  <c r="K184" i="7"/>
  <c r="J184" i="7" s="1"/>
  <c r="U183" i="7"/>
  <c r="K183" i="7"/>
  <c r="J183" i="7"/>
  <c r="O183" i="7" s="1"/>
  <c r="V182" i="7"/>
  <c r="U182" i="7"/>
  <c r="K182" i="7"/>
  <c r="J182" i="7" s="1"/>
  <c r="U181" i="7"/>
  <c r="K181" i="7"/>
  <c r="J181" i="7"/>
  <c r="O181" i="7" s="1"/>
  <c r="V180" i="7"/>
  <c r="U180" i="7"/>
  <c r="K180" i="7"/>
  <c r="J180" i="7" s="1"/>
  <c r="U179" i="7"/>
  <c r="V179" i="7" s="1"/>
  <c r="T179" i="7"/>
  <c r="K179" i="7"/>
  <c r="J179" i="7" s="1"/>
  <c r="M178" i="7"/>
  <c r="U177" i="7"/>
  <c r="V177" i="7" s="1"/>
  <c r="K177" i="7"/>
  <c r="J177" i="7" s="1"/>
  <c r="W176" i="7"/>
  <c r="V176" i="7"/>
  <c r="U176" i="7"/>
  <c r="K176" i="7"/>
  <c r="J176" i="7"/>
  <c r="O176" i="7" s="1"/>
  <c r="U175" i="7"/>
  <c r="V175" i="7" s="1"/>
  <c r="W175" i="7" s="1"/>
  <c r="K175" i="7"/>
  <c r="J175" i="7" s="1"/>
  <c r="W174" i="7"/>
  <c r="V174" i="7"/>
  <c r="U174" i="7"/>
  <c r="K174" i="7"/>
  <c r="J174" i="7"/>
  <c r="O174" i="7" s="1"/>
  <c r="U173" i="7"/>
  <c r="V173" i="7" s="1"/>
  <c r="K173" i="7"/>
  <c r="J173" i="7" s="1"/>
  <c r="W172" i="7"/>
  <c r="V172" i="7"/>
  <c r="U172" i="7"/>
  <c r="K172" i="7"/>
  <c r="J172" i="7"/>
  <c r="O172" i="7" s="1"/>
  <c r="U171" i="7"/>
  <c r="V171" i="7" s="1"/>
  <c r="W171" i="7" s="1"/>
  <c r="K171" i="7"/>
  <c r="J171" i="7" s="1"/>
  <c r="U170" i="7"/>
  <c r="V170" i="7" s="1"/>
  <c r="T170" i="7"/>
  <c r="K170" i="7"/>
  <c r="J170" i="7" s="1"/>
  <c r="M169" i="7"/>
  <c r="V168" i="7"/>
  <c r="K168" i="7"/>
  <c r="J168" i="7"/>
  <c r="O168" i="7" s="1"/>
  <c r="V167" i="7"/>
  <c r="W167" i="7" s="1"/>
  <c r="K167" i="7"/>
  <c r="J167" i="7"/>
  <c r="O167" i="7" s="1"/>
  <c r="V166" i="7"/>
  <c r="W166" i="7" s="1"/>
  <c r="K166" i="7"/>
  <c r="J166" i="7" s="1"/>
  <c r="V165" i="7"/>
  <c r="K165" i="7"/>
  <c r="J165" i="7" s="1"/>
  <c r="V164" i="7"/>
  <c r="K164" i="7"/>
  <c r="J164" i="7"/>
  <c r="O164" i="7" s="1"/>
  <c r="V163" i="7"/>
  <c r="W163" i="7" s="1"/>
  <c r="K163" i="7"/>
  <c r="J163" i="7"/>
  <c r="O163" i="7" s="1"/>
  <c r="V162" i="7"/>
  <c r="K162" i="7"/>
  <c r="J162" i="7" s="1"/>
  <c r="V161" i="7"/>
  <c r="W161" i="7" s="1"/>
  <c r="T161" i="7"/>
  <c r="K161" i="7"/>
  <c r="J161" i="7"/>
  <c r="O161" i="7" s="1"/>
  <c r="U160" i="7"/>
  <c r="V160" i="7" s="1"/>
  <c r="W160" i="7" s="1"/>
  <c r="T160" i="7"/>
  <c r="O160" i="7"/>
  <c r="J160" i="7"/>
  <c r="M159" i="7"/>
  <c r="V158" i="7"/>
  <c r="K158" i="7"/>
  <c r="J158" i="7" s="1"/>
  <c r="W157" i="7"/>
  <c r="V157" i="7"/>
  <c r="K157" i="7"/>
  <c r="J157" i="7" s="1"/>
  <c r="V156" i="7"/>
  <c r="K156" i="7"/>
  <c r="J156" i="7"/>
  <c r="O156" i="7" s="1"/>
  <c r="V155" i="7"/>
  <c r="K155" i="7"/>
  <c r="J155" i="7"/>
  <c r="O155" i="7" s="1"/>
  <c r="V154" i="7"/>
  <c r="W154" i="7" s="1"/>
  <c r="K154" i="7"/>
  <c r="J154" i="7" s="1"/>
  <c r="W153" i="7"/>
  <c r="V153" i="7"/>
  <c r="J153" i="7"/>
  <c r="O153" i="7" s="1"/>
  <c r="W152" i="7"/>
  <c r="V152" i="7"/>
  <c r="K152" i="7"/>
  <c r="J152" i="7" s="1"/>
  <c r="V151" i="7"/>
  <c r="K151" i="7"/>
  <c r="J151" i="7"/>
  <c r="O151" i="7" s="1"/>
  <c r="W150" i="7"/>
  <c r="V150" i="7"/>
  <c r="T150" i="7"/>
  <c r="J150" i="7"/>
  <c r="O150" i="7" s="1"/>
  <c r="V149" i="7"/>
  <c r="T149" i="7"/>
  <c r="N149" i="7"/>
  <c r="K149" i="7"/>
  <c r="J149" i="7" s="1"/>
  <c r="V147" i="7"/>
  <c r="W147" i="7" s="1"/>
  <c r="U147" i="7"/>
  <c r="K147" i="7"/>
  <c r="J147" i="7" s="1"/>
  <c r="O147" i="7" s="1"/>
  <c r="U146" i="7"/>
  <c r="K146" i="7"/>
  <c r="J146" i="7" s="1"/>
  <c r="V145" i="7"/>
  <c r="W145" i="7" s="1"/>
  <c r="U145" i="7"/>
  <c r="K145" i="7"/>
  <c r="J145" i="7" s="1"/>
  <c r="O145" i="7" s="1"/>
  <c r="U144" i="7"/>
  <c r="V144" i="7" s="1"/>
  <c r="W144" i="7" s="1"/>
  <c r="K144" i="7"/>
  <c r="J144" i="7"/>
  <c r="V143" i="7"/>
  <c r="U143" i="7"/>
  <c r="K143" i="7"/>
  <c r="J143" i="7" s="1"/>
  <c r="U142" i="7"/>
  <c r="V142" i="7" s="1"/>
  <c r="W142" i="7" s="1"/>
  <c r="K142" i="7"/>
  <c r="J142" i="7"/>
  <c r="V141" i="7"/>
  <c r="U141" i="7"/>
  <c r="T141" i="7"/>
  <c r="K141" i="7"/>
  <c r="J141" i="7"/>
  <c r="V140" i="7"/>
  <c r="U140" i="7"/>
  <c r="T140" i="7"/>
  <c r="N140" i="7"/>
  <c r="K140" i="7"/>
  <c r="J140" i="7"/>
  <c r="M139" i="7"/>
  <c r="W138" i="7"/>
  <c r="V138" i="7"/>
  <c r="U138" i="7"/>
  <c r="K138" i="7"/>
  <c r="J138" i="7"/>
  <c r="O138" i="7" s="1"/>
  <c r="U137" i="7"/>
  <c r="K137" i="7"/>
  <c r="J137" i="7" s="1"/>
  <c r="W136" i="7"/>
  <c r="V136" i="7"/>
  <c r="U136" i="7"/>
  <c r="K136" i="7"/>
  <c r="J136" i="7"/>
  <c r="O136" i="7" s="1"/>
  <c r="U135" i="7"/>
  <c r="K135" i="7"/>
  <c r="J135" i="7" s="1"/>
  <c r="V134" i="7"/>
  <c r="U134" i="7"/>
  <c r="K134" i="7"/>
  <c r="J134" i="7" s="1"/>
  <c r="U133" i="7"/>
  <c r="K133" i="7"/>
  <c r="J133" i="7" s="1"/>
  <c r="V132" i="7"/>
  <c r="U132" i="7"/>
  <c r="K132" i="7"/>
  <c r="J132" i="7" s="1"/>
  <c r="V131" i="7"/>
  <c r="U131" i="7"/>
  <c r="T131" i="7"/>
  <c r="K131" i="7"/>
  <c r="J131" i="7" s="1"/>
  <c r="V130" i="7"/>
  <c r="W130" i="7" s="1"/>
  <c r="U130" i="7"/>
  <c r="T130" i="7"/>
  <c r="N130" i="7"/>
  <c r="J130" i="7"/>
  <c r="M129" i="7"/>
  <c r="U128" i="7"/>
  <c r="K128" i="7"/>
  <c r="J128" i="7" s="1"/>
  <c r="U127" i="7"/>
  <c r="V127" i="7" s="1"/>
  <c r="K127" i="7"/>
  <c r="J127" i="7" s="1"/>
  <c r="U126" i="7"/>
  <c r="K126" i="7"/>
  <c r="J126" i="7" s="1"/>
  <c r="U125" i="7"/>
  <c r="V125" i="7" s="1"/>
  <c r="K125" i="7"/>
  <c r="J125" i="7" s="1"/>
  <c r="U124" i="7"/>
  <c r="K124" i="7"/>
  <c r="J124" i="7" s="1"/>
  <c r="U123" i="7"/>
  <c r="V123" i="7" s="1"/>
  <c r="K123" i="7"/>
  <c r="J123" i="7" s="1"/>
  <c r="U122" i="7"/>
  <c r="K122" i="7"/>
  <c r="J122" i="7" s="1"/>
  <c r="V121" i="7"/>
  <c r="U121" i="7"/>
  <c r="T121" i="7"/>
  <c r="K121" i="7"/>
  <c r="J121" i="7" s="1"/>
  <c r="V120" i="7"/>
  <c r="U120" i="7"/>
  <c r="T120" i="7"/>
  <c r="N120" i="7"/>
  <c r="K120" i="7"/>
  <c r="J120" i="7" s="1"/>
  <c r="U118" i="7"/>
  <c r="V118" i="7" s="1"/>
  <c r="W118" i="7" s="1"/>
  <c r="K118" i="7"/>
  <c r="J118" i="7" s="1"/>
  <c r="W117" i="7"/>
  <c r="U117" i="7"/>
  <c r="V117" i="7" s="1"/>
  <c r="K117" i="7"/>
  <c r="J117" i="7" s="1"/>
  <c r="U116" i="7"/>
  <c r="V116" i="7" s="1"/>
  <c r="W116" i="7" s="1"/>
  <c r="K116" i="7"/>
  <c r="J116" i="7" s="1"/>
  <c r="W115" i="7"/>
  <c r="U115" i="7"/>
  <c r="V115" i="7" s="1"/>
  <c r="K115" i="7"/>
  <c r="J115" i="7" s="1"/>
  <c r="U114" i="7"/>
  <c r="V114" i="7" s="1"/>
  <c r="W114" i="7" s="1"/>
  <c r="K114" i="7"/>
  <c r="J114" i="7" s="1"/>
  <c r="U113" i="7"/>
  <c r="V113" i="7" s="1"/>
  <c r="K113" i="7"/>
  <c r="J113" i="7"/>
  <c r="V112" i="7"/>
  <c r="U112" i="7"/>
  <c r="K112" i="7"/>
  <c r="J112" i="7"/>
  <c r="U111" i="7"/>
  <c r="T111" i="7"/>
  <c r="O111" i="7"/>
  <c r="K111" i="7"/>
  <c r="J111" i="7"/>
  <c r="U110" i="7"/>
  <c r="T110" i="7"/>
  <c r="N110" i="7"/>
  <c r="K110" i="7"/>
  <c r="J110" i="7"/>
  <c r="O110" i="7" s="1"/>
  <c r="M109" i="7"/>
  <c r="W108" i="7"/>
  <c r="U108" i="7"/>
  <c r="V108" i="7" s="1"/>
  <c r="K108" i="7"/>
  <c r="J108" i="7" s="1"/>
  <c r="U107" i="7"/>
  <c r="V107" i="7" s="1"/>
  <c r="W107" i="7" s="1"/>
  <c r="K107" i="7"/>
  <c r="J107" i="7" s="1"/>
  <c r="W106" i="7"/>
  <c r="U106" i="7"/>
  <c r="V106" i="7" s="1"/>
  <c r="K106" i="7"/>
  <c r="J106" i="7" s="1"/>
  <c r="U105" i="7"/>
  <c r="V105" i="7" s="1"/>
  <c r="W105" i="7" s="1"/>
  <c r="K105" i="7"/>
  <c r="J105" i="7" s="1"/>
  <c r="W104" i="7"/>
  <c r="U104" i="7"/>
  <c r="V104" i="7" s="1"/>
  <c r="K104" i="7"/>
  <c r="J104" i="7" s="1"/>
  <c r="U103" i="7"/>
  <c r="V103" i="7" s="1"/>
  <c r="W103" i="7" s="1"/>
  <c r="K103" i="7"/>
  <c r="J103" i="7" s="1"/>
  <c r="W102" i="7"/>
  <c r="U102" i="7"/>
  <c r="V102" i="7" s="1"/>
  <c r="K102" i="7"/>
  <c r="J102" i="7" s="1"/>
  <c r="V101" i="7"/>
  <c r="U101" i="7"/>
  <c r="T101" i="7"/>
  <c r="K101" i="7"/>
  <c r="J101" i="7" s="1"/>
  <c r="V100" i="7"/>
  <c r="U100" i="7"/>
  <c r="T100" i="7"/>
  <c r="N100" i="7"/>
  <c r="K100" i="7"/>
  <c r="J100" i="7" s="1"/>
  <c r="M99" i="7"/>
  <c r="V98" i="7"/>
  <c r="U98" i="7"/>
  <c r="K98" i="7"/>
  <c r="J98" i="7"/>
  <c r="O98" i="7" s="1"/>
  <c r="V97" i="7"/>
  <c r="W97" i="7" s="1"/>
  <c r="U97" i="7"/>
  <c r="O97" i="7"/>
  <c r="K97" i="7"/>
  <c r="J97" i="7"/>
  <c r="V96" i="7"/>
  <c r="U96" i="7"/>
  <c r="K96" i="7"/>
  <c r="J96" i="7"/>
  <c r="O96" i="7" s="1"/>
  <c r="V95" i="7"/>
  <c r="W95" i="7" s="1"/>
  <c r="U95" i="7"/>
  <c r="O95" i="7"/>
  <c r="K95" i="7"/>
  <c r="J95" i="7"/>
  <c r="V94" i="7"/>
  <c r="U94" i="7"/>
  <c r="K94" i="7"/>
  <c r="J94" i="7"/>
  <c r="O94" i="7" s="1"/>
  <c r="V93" i="7"/>
  <c r="W93" i="7" s="1"/>
  <c r="U93" i="7"/>
  <c r="O93" i="7"/>
  <c r="K93" i="7"/>
  <c r="J93" i="7"/>
  <c r="V92" i="7"/>
  <c r="U92" i="7"/>
  <c r="K92" i="7"/>
  <c r="J92" i="7"/>
  <c r="O92" i="7" s="1"/>
  <c r="U91" i="7"/>
  <c r="T91" i="7"/>
  <c r="K91" i="7"/>
  <c r="J91" i="7"/>
  <c r="O91" i="7" s="1"/>
  <c r="U90" i="7"/>
  <c r="T90" i="7"/>
  <c r="N90" i="7"/>
  <c r="K90" i="7"/>
  <c r="J90" i="7"/>
  <c r="O90" i="7" s="1"/>
  <c r="M89" i="7"/>
  <c r="U88" i="7"/>
  <c r="V88" i="7" s="1"/>
  <c r="W88" i="7" s="1"/>
  <c r="K88" i="7"/>
  <c r="J88" i="7" s="1"/>
  <c r="W87" i="7"/>
  <c r="U87" i="7"/>
  <c r="V87" i="7" s="1"/>
  <c r="K87" i="7"/>
  <c r="J87" i="7" s="1"/>
  <c r="U86" i="7"/>
  <c r="V86" i="7" s="1"/>
  <c r="W86" i="7" s="1"/>
  <c r="K86" i="7"/>
  <c r="J86" i="7" s="1"/>
  <c r="W85" i="7"/>
  <c r="U85" i="7"/>
  <c r="V85" i="7" s="1"/>
  <c r="K85" i="7"/>
  <c r="J85" i="7" s="1"/>
  <c r="U84" i="7"/>
  <c r="V84" i="7" s="1"/>
  <c r="W84" i="7" s="1"/>
  <c r="K84" i="7"/>
  <c r="J84" i="7" s="1"/>
  <c r="W83" i="7"/>
  <c r="U83" i="7"/>
  <c r="V83" i="7" s="1"/>
  <c r="K83" i="7"/>
  <c r="J83" i="7" s="1"/>
  <c r="V82" i="7"/>
  <c r="U82" i="7"/>
  <c r="T82" i="7"/>
  <c r="K82" i="7"/>
  <c r="J82" i="7" s="1"/>
  <c r="W81" i="7"/>
  <c r="U81" i="7"/>
  <c r="V81" i="7" s="1"/>
  <c r="K81" i="7"/>
  <c r="J81" i="7" s="1"/>
  <c r="V80" i="7"/>
  <c r="U80" i="7"/>
  <c r="T80" i="7"/>
  <c r="K80" i="7"/>
  <c r="J80" i="7" s="1"/>
  <c r="V79" i="7"/>
  <c r="U79" i="7"/>
  <c r="T79" i="7"/>
  <c r="N79" i="7"/>
  <c r="K79" i="7"/>
  <c r="J79" i="7" s="1"/>
  <c r="M78" i="7"/>
  <c r="V77" i="7"/>
  <c r="U77" i="7"/>
  <c r="K77" i="7"/>
  <c r="J77" i="7"/>
  <c r="O77" i="7" s="1"/>
  <c r="V76" i="7"/>
  <c r="W76" i="7" s="1"/>
  <c r="U76" i="7"/>
  <c r="O76" i="7"/>
  <c r="K76" i="7"/>
  <c r="J76" i="7"/>
  <c r="V75" i="7"/>
  <c r="U75" i="7"/>
  <c r="K75" i="7"/>
  <c r="J75" i="7"/>
  <c r="O75" i="7" s="1"/>
  <c r="U74" i="7"/>
  <c r="K74" i="7"/>
  <c r="J74" i="7"/>
  <c r="O74" i="7" s="1"/>
  <c r="V73" i="7"/>
  <c r="W73" i="7" s="1"/>
  <c r="U73" i="7"/>
  <c r="K73" i="7"/>
  <c r="J73" i="7"/>
  <c r="O73" i="7" s="1"/>
  <c r="U72" i="7"/>
  <c r="V72" i="7" s="1"/>
  <c r="W72" i="7" s="1"/>
  <c r="T72" i="7"/>
  <c r="K72" i="7"/>
  <c r="J72" i="7"/>
  <c r="O72" i="7" s="1"/>
  <c r="U71" i="7"/>
  <c r="V71" i="7" s="1"/>
  <c r="W71" i="7" s="1"/>
  <c r="T71" i="7"/>
  <c r="N71" i="7"/>
  <c r="K71" i="7"/>
  <c r="J71" i="7"/>
  <c r="O71" i="7" s="1"/>
  <c r="M70" i="7"/>
  <c r="U69" i="7"/>
  <c r="K69" i="7"/>
  <c r="J69" i="7" s="1"/>
  <c r="U68" i="7"/>
  <c r="V68" i="7" s="1"/>
  <c r="K68" i="7"/>
  <c r="J68" i="7" s="1"/>
  <c r="U67" i="7"/>
  <c r="K67" i="7"/>
  <c r="J67" i="7" s="1"/>
  <c r="U66" i="7"/>
  <c r="V66" i="7" s="1"/>
  <c r="K66" i="7"/>
  <c r="J66" i="7" s="1"/>
  <c r="U65" i="7"/>
  <c r="K65" i="7"/>
  <c r="J65" i="7" s="1"/>
  <c r="U64" i="7"/>
  <c r="V64" i="7" s="1"/>
  <c r="K64" i="7"/>
  <c r="J64" i="7" s="1"/>
  <c r="U63" i="7"/>
  <c r="K63" i="7"/>
  <c r="J63" i="7" s="1"/>
  <c r="V62" i="7"/>
  <c r="U62" i="7"/>
  <c r="T62" i="7"/>
  <c r="K62" i="7"/>
  <c r="J62" i="7" s="1"/>
  <c r="V61" i="7"/>
  <c r="U61" i="7"/>
  <c r="T61" i="7"/>
  <c r="N61" i="7"/>
  <c r="K61" i="7"/>
  <c r="J61" i="7" s="1"/>
  <c r="M60" i="7"/>
  <c r="V59" i="7"/>
  <c r="W59" i="7" s="1"/>
  <c r="U59" i="7"/>
  <c r="K59" i="7"/>
  <c r="J59" i="7"/>
  <c r="O59" i="7" s="1"/>
  <c r="V58" i="7"/>
  <c r="W58" i="7" s="1"/>
  <c r="U58" i="7"/>
  <c r="K58" i="7"/>
  <c r="J58" i="7"/>
  <c r="O58" i="7" s="1"/>
  <c r="V57" i="7"/>
  <c r="W57" i="7" s="1"/>
  <c r="U57" i="7"/>
  <c r="K57" i="7"/>
  <c r="J57" i="7"/>
  <c r="V56" i="7"/>
  <c r="W56" i="7" s="1"/>
  <c r="U56" i="7"/>
  <c r="K56" i="7"/>
  <c r="J56" i="7"/>
  <c r="O56" i="7" s="1"/>
  <c r="V55" i="7"/>
  <c r="W55" i="7" s="1"/>
  <c r="U55" i="7"/>
  <c r="K55" i="7"/>
  <c r="J55" i="7"/>
  <c r="V54" i="7"/>
  <c r="W54" i="7" s="1"/>
  <c r="U54" i="7"/>
  <c r="K54" i="7"/>
  <c r="J54" i="7"/>
  <c r="O54" i="7" s="1"/>
  <c r="V53" i="7"/>
  <c r="W53" i="7" s="1"/>
  <c r="U53" i="7"/>
  <c r="K53" i="7"/>
  <c r="J53" i="7"/>
  <c r="U52" i="7"/>
  <c r="V52" i="7" s="1"/>
  <c r="W52" i="7" s="1"/>
  <c r="T52" i="7"/>
  <c r="K52" i="7"/>
  <c r="J52" i="7"/>
  <c r="U51" i="7"/>
  <c r="V51" i="7" s="1"/>
  <c r="W51" i="7" s="1"/>
  <c r="T51" i="7"/>
  <c r="N51" i="7"/>
  <c r="K51" i="7"/>
  <c r="J51" i="7"/>
  <c r="M50" i="7"/>
  <c r="U49" i="7"/>
  <c r="V49" i="7" s="1"/>
  <c r="K49" i="7"/>
  <c r="J49" i="7" s="1"/>
  <c r="U48" i="7"/>
  <c r="K48" i="7"/>
  <c r="J48" i="7" s="1"/>
  <c r="U47" i="7"/>
  <c r="V47" i="7" s="1"/>
  <c r="K47" i="7"/>
  <c r="J47" i="7" s="1"/>
  <c r="U46" i="7"/>
  <c r="K46" i="7"/>
  <c r="J46" i="7" s="1"/>
  <c r="U45" i="7"/>
  <c r="V45" i="7" s="1"/>
  <c r="W45" i="7" s="1"/>
  <c r="K45" i="7"/>
  <c r="J45" i="7" s="1"/>
  <c r="U44" i="7"/>
  <c r="V44" i="7" s="1"/>
  <c r="W44" i="7" s="1"/>
  <c r="K44" i="7"/>
  <c r="J44" i="7" s="1"/>
  <c r="U43" i="7"/>
  <c r="V43" i="7" s="1"/>
  <c r="W43" i="7" s="1"/>
  <c r="K43" i="7"/>
  <c r="J43" i="7" s="1"/>
  <c r="V42" i="7"/>
  <c r="U42" i="7"/>
  <c r="T42" i="7"/>
  <c r="K42" i="7"/>
  <c r="J42" i="7" s="1"/>
  <c r="V41" i="7"/>
  <c r="U41" i="7"/>
  <c r="T41" i="7"/>
  <c r="N41" i="7"/>
  <c r="K41" i="7"/>
  <c r="J41" i="7" s="1"/>
  <c r="M40" i="7"/>
  <c r="V39" i="7"/>
  <c r="W39" i="7" s="1"/>
  <c r="U39" i="7"/>
  <c r="O39" i="7"/>
  <c r="K39" i="7"/>
  <c r="J39" i="7"/>
  <c r="V38" i="7"/>
  <c r="U38" i="7"/>
  <c r="K38" i="7"/>
  <c r="J38" i="7"/>
  <c r="O38" i="7" s="1"/>
  <c r="V37" i="7"/>
  <c r="W37" i="7" s="1"/>
  <c r="U37" i="7"/>
  <c r="O37" i="7"/>
  <c r="K37" i="7"/>
  <c r="J37" i="7"/>
  <c r="V36" i="7"/>
  <c r="U36" i="7"/>
  <c r="K36" i="7"/>
  <c r="J36" i="7"/>
  <c r="O36" i="7" s="1"/>
  <c r="V35" i="7"/>
  <c r="W35" i="7" s="1"/>
  <c r="U35" i="7"/>
  <c r="O35" i="7"/>
  <c r="K35" i="7"/>
  <c r="J35" i="7"/>
  <c r="V34" i="7"/>
  <c r="U34" i="7"/>
  <c r="K34" i="7"/>
  <c r="J34" i="7"/>
  <c r="U33" i="7"/>
  <c r="T33" i="7"/>
  <c r="K33" i="7"/>
  <c r="J33" i="7"/>
  <c r="O33" i="7" s="1"/>
  <c r="U32" i="7"/>
  <c r="T32" i="7"/>
  <c r="N32" i="7"/>
  <c r="K32" i="7"/>
  <c r="J32" i="7"/>
  <c r="O32" i="7" s="1"/>
  <c r="M31" i="7"/>
  <c r="U30" i="7"/>
  <c r="V30" i="7" s="1"/>
  <c r="W30" i="7" s="1"/>
  <c r="K30" i="7"/>
  <c r="J30" i="7" s="1"/>
  <c r="W29" i="7"/>
  <c r="U29" i="7"/>
  <c r="V29" i="7" s="1"/>
  <c r="K29" i="7"/>
  <c r="J29" i="7" s="1"/>
  <c r="U28" i="7"/>
  <c r="V28" i="7" s="1"/>
  <c r="W28" i="7" s="1"/>
  <c r="K28" i="7"/>
  <c r="J28" i="7" s="1"/>
  <c r="W27" i="7"/>
  <c r="U27" i="7"/>
  <c r="V27" i="7" s="1"/>
  <c r="K27" i="7"/>
  <c r="J27" i="7" s="1"/>
  <c r="U26" i="7"/>
  <c r="V26" i="7" s="1"/>
  <c r="W26" i="7" s="1"/>
  <c r="K26" i="7"/>
  <c r="J26" i="7" s="1"/>
  <c r="V25" i="7"/>
  <c r="U25" i="7"/>
  <c r="T25" i="7"/>
  <c r="K25" i="7"/>
  <c r="J25" i="7" s="1"/>
  <c r="V24" i="7"/>
  <c r="U24" i="7"/>
  <c r="T24" i="7"/>
  <c r="N24" i="7"/>
  <c r="K24" i="7"/>
  <c r="J24" i="7" s="1"/>
  <c r="M23" i="7"/>
  <c r="V22" i="7"/>
  <c r="W22" i="7" s="1"/>
  <c r="U22" i="7"/>
  <c r="O22" i="7"/>
  <c r="K22" i="7"/>
  <c r="J22" i="7"/>
  <c r="V21" i="7"/>
  <c r="U21" i="7"/>
  <c r="K21" i="7"/>
  <c r="J21" i="7"/>
  <c r="V20" i="7"/>
  <c r="W20" i="7" s="1"/>
  <c r="U20" i="7"/>
  <c r="O20" i="7"/>
  <c r="K20" i="7"/>
  <c r="J20" i="7"/>
  <c r="V19" i="7"/>
  <c r="U19" i="7"/>
  <c r="K19" i="7"/>
  <c r="J19" i="7"/>
  <c r="O19" i="7" s="1"/>
  <c r="V18" i="7"/>
  <c r="W18" i="7" s="1"/>
  <c r="U18" i="7"/>
  <c r="O18" i="7"/>
  <c r="K18" i="7"/>
  <c r="J18" i="7"/>
  <c r="U17" i="7"/>
  <c r="T17" i="7"/>
  <c r="O17" i="7"/>
  <c r="K17" i="7"/>
  <c r="J17" i="7"/>
  <c r="U16" i="7"/>
  <c r="T16" i="7"/>
  <c r="N16" i="7"/>
  <c r="K16" i="7"/>
  <c r="J16" i="7"/>
  <c r="O16" i="7" s="1"/>
  <c r="M15" i="7"/>
  <c r="W14" i="7"/>
  <c r="U14" i="7"/>
  <c r="V14" i="7" s="1"/>
  <c r="K14" i="7"/>
  <c r="J14" i="7" s="1"/>
  <c r="U13" i="7"/>
  <c r="V13" i="7" s="1"/>
  <c r="W13" i="7" s="1"/>
  <c r="K13" i="7"/>
  <c r="J13" i="7" s="1"/>
  <c r="W12" i="7"/>
  <c r="U12" i="7"/>
  <c r="V12" i="7" s="1"/>
  <c r="K12" i="7"/>
  <c r="J12" i="7" s="1"/>
  <c r="AA11" i="7"/>
  <c r="V11" i="7"/>
  <c r="U11" i="7"/>
  <c r="K11" i="7"/>
  <c r="J11" i="7"/>
  <c r="O11" i="7" s="1"/>
  <c r="V10" i="7"/>
  <c r="W10" i="7" s="1"/>
  <c r="U10" i="7"/>
  <c r="O10" i="7"/>
  <c r="K10" i="7"/>
  <c r="J10" i="7"/>
  <c r="U9" i="7"/>
  <c r="T9" i="7"/>
  <c r="O9" i="7"/>
  <c r="K9" i="7"/>
  <c r="J9" i="7"/>
  <c r="U8" i="7"/>
  <c r="T8" i="7"/>
  <c r="N8" i="7"/>
  <c r="K8" i="7"/>
  <c r="J8" i="7"/>
  <c r="O8" i="7" s="1"/>
  <c r="M7" i="7"/>
  <c r="U9" i="8" l="1"/>
  <c r="V9" i="8" s="1"/>
  <c r="G9" i="8" s="1"/>
  <c r="K9" i="8" s="1"/>
  <c r="U15" i="8"/>
  <c r="V15" i="8" s="1"/>
  <c r="G15" i="8" s="1"/>
  <c r="K15" i="8" s="1"/>
  <c r="V53" i="8"/>
  <c r="U53" i="8"/>
  <c r="U61" i="8"/>
  <c r="V61" i="8" s="1"/>
  <c r="G61" i="8" s="1"/>
  <c r="K61" i="8" s="1"/>
  <c r="V67" i="8"/>
  <c r="G67" i="8" s="1"/>
  <c r="K67" i="8" s="1"/>
  <c r="U69" i="8"/>
  <c r="V69" i="8" s="1"/>
  <c r="G69" i="8" s="1"/>
  <c r="K69" i="8" s="1"/>
  <c r="V82" i="8"/>
  <c r="G82" i="8" s="1"/>
  <c r="K82" i="8" s="1"/>
  <c r="U12" i="8"/>
  <c r="V12" i="8" s="1"/>
  <c r="G12" i="8" s="1"/>
  <c r="K12" i="8" s="1"/>
  <c r="U14" i="8"/>
  <c r="V14" i="8" s="1"/>
  <c r="G14" i="8" s="1"/>
  <c r="K14" i="8" s="1"/>
  <c r="U20" i="8"/>
  <c r="V20" i="8" s="1"/>
  <c r="G20" i="8" s="1"/>
  <c r="K20" i="8" s="1"/>
  <c r="V22" i="8"/>
  <c r="G22" i="8" s="1"/>
  <c r="K22" i="8" s="1"/>
  <c r="V24" i="8"/>
  <c r="G24" i="8" s="1"/>
  <c r="K24" i="8" s="1"/>
  <c r="U24" i="8"/>
  <c r="U31" i="8"/>
  <c r="V31" i="8" s="1"/>
  <c r="G31" i="8" s="1"/>
  <c r="K31" i="8" s="1"/>
  <c r="V33" i="8"/>
  <c r="G33" i="8" s="1"/>
  <c r="K33" i="8" s="1"/>
  <c r="U33" i="8"/>
  <c r="G83" i="8"/>
  <c r="K83" i="8" s="1"/>
  <c r="U29" i="8"/>
  <c r="V29" i="8"/>
  <c r="G29" i="8" s="1"/>
  <c r="K29" i="8" s="1"/>
  <c r="U41" i="8"/>
  <c r="V44" i="8" s="1"/>
  <c r="G44" i="8" s="1"/>
  <c r="K44" i="8" s="1"/>
  <c r="U50" i="8"/>
  <c r="V50" i="8" s="1"/>
  <c r="G50" i="8" s="1"/>
  <c r="K50" i="8" s="1"/>
  <c r="U56" i="8"/>
  <c r="V56" i="8" s="1"/>
  <c r="G56" i="8" s="1"/>
  <c r="K56" i="8" s="1"/>
  <c r="U71" i="8"/>
  <c r="V72" i="8" s="1"/>
  <c r="G72" i="8" s="1"/>
  <c r="K72" i="8" s="1"/>
  <c r="V75" i="8"/>
  <c r="G75" i="8" s="1"/>
  <c r="K75" i="8" s="1"/>
  <c r="U75" i="8"/>
  <c r="V83" i="8"/>
  <c r="V27" i="8"/>
  <c r="U27" i="8"/>
  <c r="V60" i="8"/>
  <c r="G60" i="8" s="1"/>
  <c r="K60" i="8" s="1"/>
  <c r="U64" i="8"/>
  <c r="V66" i="8" s="1"/>
  <c r="G66" i="8" s="1"/>
  <c r="K66" i="8" s="1"/>
  <c r="V68" i="8"/>
  <c r="G68" i="8" s="1"/>
  <c r="K68" i="8" s="1"/>
  <c r="V73" i="8"/>
  <c r="G73" i="8" s="1"/>
  <c r="K73" i="8" s="1"/>
  <c r="U81" i="8"/>
  <c r="V81" i="8" s="1"/>
  <c r="G81" i="8" s="1"/>
  <c r="K81" i="8" s="1"/>
  <c r="U11" i="8"/>
  <c r="V11" i="8" s="1"/>
  <c r="G11" i="8" s="1"/>
  <c r="K11" i="8" s="1"/>
  <c r="U19" i="8"/>
  <c r="V19" i="8" s="1"/>
  <c r="G19" i="8" s="1"/>
  <c r="K19" i="8" s="1"/>
  <c r="V21" i="8"/>
  <c r="G21" i="8" s="1"/>
  <c r="K21" i="8" s="1"/>
  <c r="V39" i="8"/>
  <c r="G39" i="8" s="1"/>
  <c r="K39" i="8" s="1"/>
  <c r="U39" i="8"/>
  <c r="V47" i="8"/>
  <c r="G47" i="8" s="1"/>
  <c r="K47" i="8" s="1"/>
  <c r="U47" i="8"/>
  <c r="U7" i="8"/>
  <c r="V7" i="8"/>
  <c r="G7" i="8" s="1"/>
  <c r="K7" i="8" s="1"/>
  <c r="U26" i="8"/>
  <c r="V26" i="8" s="1"/>
  <c r="G26" i="8" s="1"/>
  <c r="K26" i="8" s="1"/>
  <c r="V46" i="8"/>
  <c r="G46" i="8" s="1"/>
  <c r="K46" i="8" s="1"/>
  <c r="U46" i="8"/>
  <c r="U59" i="8"/>
  <c r="V59" i="8" s="1"/>
  <c r="G59" i="8" s="1"/>
  <c r="K59" i="8" s="1"/>
  <c r="V65" i="8"/>
  <c r="G65" i="8" s="1"/>
  <c r="K65" i="8" s="1"/>
  <c r="U77" i="8"/>
  <c r="V78" i="8" s="1"/>
  <c r="G78" i="8" s="1"/>
  <c r="K78" i="8" s="1"/>
  <c r="V79" i="8"/>
  <c r="G79" i="8" s="1"/>
  <c r="K79" i="8" s="1"/>
  <c r="U84" i="8"/>
  <c r="V84" i="8" s="1"/>
  <c r="G84" i="8" s="1"/>
  <c r="K84" i="8" s="1"/>
  <c r="G27" i="8"/>
  <c r="K27" i="8" s="1"/>
  <c r="G53" i="8"/>
  <c r="K53" i="8" s="1"/>
  <c r="S17" i="8"/>
  <c r="T17" i="8" s="1"/>
  <c r="U16" i="8" s="1"/>
  <c r="S37" i="8"/>
  <c r="T37" i="8" s="1"/>
  <c r="U35" i="8" s="1"/>
  <c r="O13" i="7"/>
  <c r="V16" i="7"/>
  <c r="W16" i="7" s="1"/>
  <c r="V17" i="7"/>
  <c r="W17" i="7" s="1"/>
  <c r="O24" i="7"/>
  <c r="W41" i="7"/>
  <c r="O49" i="7"/>
  <c r="O64" i="7"/>
  <c r="O14" i="7"/>
  <c r="W21" i="7"/>
  <c r="O29" i="7"/>
  <c r="V32" i="7"/>
  <c r="W32" i="7" s="1"/>
  <c r="V33" i="7"/>
  <c r="W33" i="7" s="1"/>
  <c r="W34" i="7"/>
  <c r="W38" i="7"/>
  <c r="W47" i="7"/>
  <c r="W49" i="7"/>
  <c r="O61" i="7"/>
  <c r="W61" i="7"/>
  <c r="W62" i="7"/>
  <c r="W64" i="7"/>
  <c r="W66" i="7"/>
  <c r="W68" i="7"/>
  <c r="X71" i="7"/>
  <c r="Y71" i="7" s="1"/>
  <c r="H71" i="7" s="1"/>
  <c r="M71" i="7" s="1"/>
  <c r="V9" i="7"/>
  <c r="W9" i="7" s="1"/>
  <c r="O30" i="7"/>
  <c r="O46" i="7"/>
  <c r="O63" i="7"/>
  <c r="O65" i="7"/>
  <c r="O67" i="7"/>
  <c r="O69" i="7"/>
  <c r="V8" i="7"/>
  <c r="W8" i="7" s="1"/>
  <c r="O26" i="7"/>
  <c r="O43" i="7"/>
  <c r="O45" i="7"/>
  <c r="O48" i="7"/>
  <c r="O62" i="7"/>
  <c r="W11" i="7"/>
  <c r="O12" i="7"/>
  <c r="W19" i="7"/>
  <c r="O21" i="7"/>
  <c r="O25" i="7"/>
  <c r="W25" i="7"/>
  <c r="O27" i="7"/>
  <c r="O34" i="7"/>
  <c r="W36" i="7"/>
  <c r="O42" i="7"/>
  <c r="W42" i="7"/>
  <c r="O44" i="7"/>
  <c r="X51" i="7"/>
  <c r="Y51" i="7" s="1"/>
  <c r="H51" i="7" s="1"/>
  <c r="M51" i="7" s="1"/>
  <c r="X52" i="7"/>
  <c r="Y53" i="7" s="1"/>
  <c r="Y56" i="7"/>
  <c r="H56" i="7" s="1"/>
  <c r="M56" i="7" s="1"/>
  <c r="Y58" i="7"/>
  <c r="H58" i="7" s="1"/>
  <c r="M58" i="7" s="1"/>
  <c r="W24" i="7"/>
  <c r="O28" i="7"/>
  <c r="O41" i="7"/>
  <c r="O47" i="7"/>
  <c r="O66" i="7"/>
  <c r="O68" i="7"/>
  <c r="O51" i="7"/>
  <c r="O52" i="7"/>
  <c r="O53" i="7"/>
  <c r="O55" i="7"/>
  <c r="O57" i="7"/>
  <c r="V46" i="7"/>
  <c r="W46" i="7" s="1"/>
  <c r="V48" i="7"/>
  <c r="W48" i="7" s="1"/>
  <c r="N58" i="7"/>
  <c r="V63" i="7"/>
  <c r="W63" i="7" s="1"/>
  <c r="V65" i="7"/>
  <c r="W65" i="7" s="1"/>
  <c r="V67" i="7"/>
  <c r="W67" i="7" s="1"/>
  <c r="V69" i="7"/>
  <c r="W69" i="7" s="1"/>
  <c r="V74" i="7"/>
  <c r="W74" i="7" s="1"/>
  <c r="W75" i="7"/>
  <c r="O81" i="7"/>
  <c r="O83" i="7"/>
  <c r="O87" i="7"/>
  <c r="V90" i="7"/>
  <c r="W90" i="7" s="1"/>
  <c r="V91" i="7"/>
  <c r="W91" i="7" s="1"/>
  <c r="W92" i="7"/>
  <c r="W96" i="7"/>
  <c r="O102" i="7"/>
  <c r="O106" i="7"/>
  <c r="O112" i="7"/>
  <c r="W112" i="7"/>
  <c r="O80" i="7"/>
  <c r="W80" i="7"/>
  <c r="O82" i="7"/>
  <c r="W82" i="7"/>
  <c r="O84" i="7"/>
  <c r="O88" i="7"/>
  <c r="O101" i="7"/>
  <c r="W101" i="7"/>
  <c r="O103" i="7"/>
  <c r="O107" i="7"/>
  <c r="V110" i="7"/>
  <c r="W110" i="7" s="1"/>
  <c r="V111" i="7"/>
  <c r="W111" i="7" s="1"/>
  <c r="O113" i="7"/>
  <c r="W113" i="7"/>
  <c r="W77" i="7"/>
  <c r="O79" i="7"/>
  <c r="W79" i="7"/>
  <c r="O85" i="7"/>
  <c r="W94" i="7"/>
  <c r="W98" i="7"/>
  <c r="O100" i="7"/>
  <c r="W100" i="7"/>
  <c r="O104" i="7"/>
  <c r="O108" i="7"/>
  <c r="O86" i="7"/>
  <c r="O105" i="7"/>
  <c r="O115" i="7"/>
  <c r="W121" i="7"/>
  <c r="W123" i="7"/>
  <c r="W125" i="7"/>
  <c r="W127" i="7"/>
  <c r="X130" i="7"/>
  <c r="Y130" i="7" s="1"/>
  <c r="H130" i="7" s="1"/>
  <c r="M130" i="7" s="1"/>
  <c r="W131" i="7"/>
  <c r="O133" i="7"/>
  <c r="O137" i="7"/>
  <c r="W143" i="7"/>
  <c r="O149" i="7"/>
  <c r="O116" i="7"/>
  <c r="O121" i="7"/>
  <c r="O122" i="7"/>
  <c r="O124" i="7"/>
  <c r="O126" i="7"/>
  <c r="O128" i="7"/>
  <c r="O131" i="7"/>
  <c r="O132" i="7"/>
  <c r="W132" i="7"/>
  <c r="O135" i="7"/>
  <c r="O117" i="7"/>
  <c r="O134" i="7"/>
  <c r="W134" i="7"/>
  <c r="O143" i="7"/>
  <c r="O114" i="7"/>
  <c r="O118" i="7"/>
  <c r="O120" i="7"/>
  <c r="W120" i="7"/>
  <c r="O123" i="7"/>
  <c r="O125" i="7"/>
  <c r="O127" i="7"/>
  <c r="O146" i="7"/>
  <c r="O140" i="7"/>
  <c r="W140" i="7"/>
  <c r="O141" i="7"/>
  <c r="W141" i="7"/>
  <c r="O142" i="7"/>
  <c r="O152" i="7"/>
  <c r="O154" i="7"/>
  <c r="O157" i="7"/>
  <c r="O158" i="7"/>
  <c r="W162" i="7"/>
  <c r="W170" i="7"/>
  <c r="O173" i="7"/>
  <c r="O180" i="7"/>
  <c r="W182" i="7"/>
  <c r="O184" i="7"/>
  <c r="O188" i="7"/>
  <c r="V122" i="7"/>
  <c r="W122" i="7" s="1"/>
  <c r="V124" i="7"/>
  <c r="W124" i="7" s="1"/>
  <c r="V126" i="7"/>
  <c r="W126" i="7" s="1"/>
  <c r="V128" i="7"/>
  <c r="W128" i="7" s="1"/>
  <c r="O130" i="7"/>
  <c r="V133" i="7"/>
  <c r="W133" i="7" s="1"/>
  <c r="V135" i="7"/>
  <c r="W135" i="7" s="1"/>
  <c r="V137" i="7"/>
  <c r="W137" i="7" s="1"/>
  <c r="V146" i="7"/>
  <c r="W146" i="7" s="1"/>
  <c r="W151" i="7"/>
  <c r="W155" i="7"/>
  <c r="W158" i="7"/>
  <c r="O166" i="7"/>
  <c r="O171" i="7"/>
  <c r="W173" i="7"/>
  <c r="O179" i="7"/>
  <c r="W188" i="7"/>
  <c r="O190" i="7"/>
  <c r="O192" i="7"/>
  <c r="X160" i="7"/>
  <c r="Y160" i="7" s="1"/>
  <c r="O170" i="7"/>
  <c r="O177" i="7"/>
  <c r="W180" i="7"/>
  <c r="O182" i="7"/>
  <c r="W184" i="7"/>
  <c r="O187" i="7"/>
  <c r="W190" i="7"/>
  <c r="W192" i="7"/>
  <c r="O144" i="7"/>
  <c r="W149" i="7"/>
  <c r="X150" i="7"/>
  <c r="Y152" i="7" s="1"/>
  <c r="Y153" i="7"/>
  <c r="O162" i="7"/>
  <c r="W165" i="7"/>
  <c r="O165" i="7"/>
  <c r="O175" i="7"/>
  <c r="W177" i="7"/>
  <c r="W179" i="7"/>
  <c r="W187" i="7"/>
  <c r="O191" i="7"/>
  <c r="V181" i="7"/>
  <c r="W181" i="7" s="1"/>
  <c r="V183" i="7"/>
  <c r="W183" i="7" s="1"/>
  <c r="V186" i="7"/>
  <c r="W186" i="7" s="1"/>
  <c r="O189" i="7"/>
  <c r="W156" i="7"/>
  <c r="W164" i="7"/>
  <c r="W168" i="7"/>
  <c r="O186" i="7"/>
  <c r="W189" i="7"/>
  <c r="V35" i="8" l="1"/>
  <c r="G35" i="8" s="1"/>
  <c r="K35" i="8" s="1"/>
  <c r="V38" i="8"/>
  <c r="G38" i="8" s="1"/>
  <c r="K38" i="8" s="1"/>
  <c r="V36" i="8"/>
  <c r="G36" i="8" s="1"/>
  <c r="K36" i="8" s="1"/>
  <c r="V16" i="8"/>
  <c r="G16" i="8" s="1"/>
  <c r="K16" i="8" s="1"/>
  <c r="V32" i="8"/>
  <c r="G32" i="8" s="1"/>
  <c r="K32" i="8" s="1"/>
  <c r="V42" i="8"/>
  <c r="G42" i="8" s="1"/>
  <c r="K42" i="8" s="1"/>
  <c r="V74" i="8"/>
  <c r="G74" i="8" s="1"/>
  <c r="K74" i="8" s="1"/>
  <c r="V77" i="8"/>
  <c r="G77" i="8" s="1"/>
  <c r="K77" i="8" s="1"/>
  <c r="V71" i="8"/>
  <c r="G71" i="8" s="1"/>
  <c r="K71" i="8" s="1"/>
  <c r="V43" i="8"/>
  <c r="G43" i="8" s="1"/>
  <c r="K43" i="8" s="1"/>
  <c r="V41" i="8"/>
  <c r="G41" i="8" s="1"/>
  <c r="K41" i="8" s="1"/>
  <c r="V37" i="8"/>
  <c r="G37" i="8" s="1"/>
  <c r="K37" i="8" s="1"/>
  <c r="V17" i="8"/>
  <c r="G17" i="8" s="1"/>
  <c r="K17" i="8" s="1"/>
  <c r="V64" i="8"/>
  <c r="G64" i="8" s="1"/>
  <c r="K64" i="8" s="1"/>
  <c r="H152" i="7"/>
  <c r="M152" i="7" s="1"/>
  <c r="N152" i="7"/>
  <c r="H160" i="7"/>
  <c r="M160" i="7" s="1"/>
  <c r="N160" i="7"/>
  <c r="H53" i="7"/>
  <c r="M53" i="7" s="1"/>
  <c r="N53" i="7"/>
  <c r="Y154" i="7"/>
  <c r="Y141" i="7"/>
  <c r="X141" i="7"/>
  <c r="Y156" i="7"/>
  <c r="Y186" i="7"/>
  <c r="X186" i="7"/>
  <c r="Y191" i="7" s="1"/>
  <c r="Y157" i="7"/>
  <c r="Y150" i="7"/>
  <c r="Y192" i="7"/>
  <c r="X161" i="7"/>
  <c r="Y168" i="7" s="1"/>
  <c r="Y158" i="7"/>
  <c r="Y79" i="7"/>
  <c r="H79" i="7" s="1"/>
  <c r="M79" i="7" s="1"/>
  <c r="X79" i="7"/>
  <c r="X110" i="7"/>
  <c r="Y110" i="7" s="1"/>
  <c r="H110" i="7" s="1"/>
  <c r="M110" i="7" s="1"/>
  <c r="Y101" i="7"/>
  <c r="X101" i="7"/>
  <c r="Y80" i="7"/>
  <c r="X80" i="7"/>
  <c r="Y81" i="7" s="1"/>
  <c r="Y59" i="7"/>
  <c r="Y55" i="7"/>
  <c r="Y52" i="7"/>
  <c r="X16" i="7"/>
  <c r="Y16" i="7" s="1"/>
  <c r="H16" i="7" s="1"/>
  <c r="M16" i="7" s="1"/>
  <c r="Y165" i="7"/>
  <c r="N153" i="7"/>
  <c r="H153" i="7"/>
  <c r="M153" i="7" s="1"/>
  <c r="X149" i="7"/>
  <c r="Y149" i="7" s="1"/>
  <c r="H149" i="7" s="1"/>
  <c r="M149" i="7" s="1"/>
  <c r="Y188" i="7"/>
  <c r="Y151" i="7"/>
  <c r="X140" i="7"/>
  <c r="Y140" i="7" s="1"/>
  <c r="H140" i="7" s="1"/>
  <c r="M140" i="7" s="1"/>
  <c r="Y100" i="7"/>
  <c r="H100" i="7" s="1"/>
  <c r="M100" i="7" s="1"/>
  <c r="X100" i="7"/>
  <c r="X82" i="7"/>
  <c r="Y82" i="7" s="1"/>
  <c r="X90" i="7"/>
  <c r="Y90" i="7"/>
  <c r="H90" i="7" s="1"/>
  <c r="M90" i="7" s="1"/>
  <c r="Y54" i="7"/>
  <c r="X33" i="7"/>
  <c r="Y33" i="7" s="1"/>
  <c r="Y21" i="7"/>
  <c r="X179" i="7"/>
  <c r="Y181" i="7" s="1"/>
  <c r="Y190" i="7"/>
  <c r="Y122" i="7"/>
  <c r="Y170" i="7"/>
  <c r="X170" i="7"/>
  <c r="Y120" i="7"/>
  <c r="H120" i="7" s="1"/>
  <c r="M120" i="7" s="1"/>
  <c r="X120" i="7"/>
  <c r="Y121" i="7"/>
  <c r="X121" i="7"/>
  <c r="Y124" i="7" s="1"/>
  <c r="Y183" i="7"/>
  <c r="Y187" i="7"/>
  <c r="Y177" i="7"/>
  <c r="Y180" i="7"/>
  <c r="Y155" i="7"/>
  <c r="Y137" i="7"/>
  <c r="Y128" i="7"/>
  <c r="Y162" i="7"/>
  <c r="Y143" i="7"/>
  <c r="Y131" i="7"/>
  <c r="X131" i="7"/>
  <c r="Y127" i="7"/>
  <c r="X111" i="7"/>
  <c r="Y113" i="7" s="1"/>
  <c r="Y67" i="7"/>
  <c r="N56" i="7"/>
  <c r="Y57" i="7"/>
  <c r="X8" i="7"/>
  <c r="Y8" i="7" s="1"/>
  <c r="H8" i="7" s="1"/>
  <c r="M8" i="7" s="1"/>
  <c r="X62" i="7"/>
  <c r="Y64" i="7" s="1"/>
  <c r="Y49" i="7"/>
  <c r="X17" i="7"/>
  <c r="Y19" i="7" s="1"/>
  <c r="Y17" i="7"/>
  <c r="Y146" i="7"/>
  <c r="Y126" i="7"/>
  <c r="Y125" i="7"/>
  <c r="Y77" i="7"/>
  <c r="X91" i="7"/>
  <c r="Y75" i="7"/>
  <c r="Y24" i="7"/>
  <c r="H24" i="7" s="1"/>
  <c r="M24" i="7" s="1"/>
  <c r="X24" i="7"/>
  <c r="Y42" i="7"/>
  <c r="X42" i="7"/>
  <c r="Y36" i="7"/>
  <c r="X25" i="7"/>
  <c r="X9" i="7"/>
  <c r="Y9" i="7"/>
  <c r="X72" i="7"/>
  <c r="Y68" i="7"/>
  <c r="X61" i="7"/>
  <c r="Y61" i="7"/>
  <c r="H61" i="7" s="1"/>
  <c r="M61" i="7" s="1"/>
  <c r="Y34" i="7"/>
  <c r="X32" i="7"/>
  <c r="Y32" i="7"/>
  <c r="H32" i="7" s="1"/>
  <c r="M32" i="7" s="1"/>
  <c r="X41" i="7"/>
  <c r="Y41" i="7" s="1"/>
  <c r="H41" i="7" s="1"/>
  <c r="M41" i="7" s="1"/>
  <c r="H113" i="7" l="1"/>
  <c r="M113" i="7" s="1"/>
  <c r="N113" i="7"/>
  <c r="H19" i="7"/>
  <c r="M19" i="7" s="1"/>
  <c r="N19" i="7"/>
  <c r="H124" i="7"/>
  <c r="M124" i="7" s="1"/>
  <c r="N124" i="7"/>
  <c r="H181" i="7"/>
  <c r="M181" i="7" s="1"/>
  <c r="N181" i="7"/>
  <c r="N168" i="7"/>
  <c r="H168" i="7"/>
  <c r="M168" i="7" s="1"/>
  <c r="H64" i="7"/>
  <c r="M64" i="7" s="1"/>
  <c r="N64" i="7"/>
  <c r="N33" i="7"/>
  <c r="H33" i="7"/>
  <c r="M33" i="7" s="1"/>
  <c r="H82" i="7"/>
  <c r="M82" i="7" s="1"/>
  <c r="N82" i="7"/>
  <c r="N36" i="7"/>
  <c r="H36" i="7"/>
  <c r="M36" i="7" s="1"/>
  <c r="Y93" i="7"/>
  <c r="Y95" i="7"/>
  <c r="Y97" i="7"/>
  <c r="H49" i="7"/>
  <c r="M49" i="7" s="1"/>
  <c r="N49" i="7"/>
  <c r="H127" i="7"/>
  <c r="M127" i="7" s="1"/>
  <c r="N127" i="7"/>
  <c r="H21" i="7"/>
  <c r="M21" i="7" s="1"/>
  <c r="N21" i="7"/>
  <c r="Y13" i="7"/>
  <c r="Y10" i="7"/>
  <c r="Y12" i="7"/>
  <c r="Y14" i="7"/>
  <c r="Y43" i="7"/>
  <c r="Y45" i="7"/>
  <c r="Y44" i="7"/>
  <c r="Y65" i="7"/>
  <c r="Y96" i="7"/>
  <c r="N146" i="7"/>
  <c r="H146" i="7"/>
  <c r="M146" i="7" s="1"/>
  <c r="Y62" i="7"/>
  <c r="Y11" i="7"/>
  <c r="Y111" i="7"/>
  <c r="Y138" i="7"/>
  <c r="Y136" i="7"/>
  <c r="H128" i="7"/>
  <c r="M128" i="7" s="1"/>
  <c r="N128" i="7"/>
  <c r="Y184" i="7"/>
  <c r="Y174" i="7"/>
  <c r="Y172" i="7"/>
  <c r="Y175" i="7"/>
  <c r="Y176" i="7"/>
  <c r="Y171" i="7"/>
  <c r="H190" i="7"/>
  <c r="M190" i="7" s="1"/>
  <c r="N190" i="7"/>
  <c r="N54" i="7"/>
  <c r="H54" i="7"/>
  <c r="M54" i="7" s="1"/>
  <c r="Y134" i="7"/>
  <c r="H188" i="7"/>
  <c r="M188" i="7" s="1"/>
  <c r="N188" i="7"/>
  <c r="Y66" i="7"/>
  <c r="H59" i="7"/>
  <c r="M59" i="7" s="1"/>
  <c r="N59" i="7"/>
  <c r="H81" i="7"/>
  <c r="M81" i="7" s="1"/>
  <c r="N81" i="7"/>
  <c r="Y98" i="7"/>
  <c r="Y133" i="7"/>
  <c r="H192" i="7"/>
  <c r="M192" i="7" s="1"/>
  <c r="N192" i="7"/>
  <c r="H191" i="7"/>
  <c r="M191" i="7" s="1"/>
  <c r="N191" i="7"/>
  <c r="Y147" i="7"/>
  <c r="Y145" i="7"/>
  <c r="Y142" i="7"/>
  <c r="Y144" i="7"/>
  <c r="H34" i="7"/>
  <c r="M34" i="7" s="1"/>
  <c r="N34" i="7"/>
  <c r="Y26" i="7"/>
  <c r="Y27" i="7"/>
  <c r="Y30" i="7"/>
  <c r="Y28" i="7"/>
  <c r="Y29" i="7"/>
  <c r="H77" i="7"/>
  <c r="M77" i="7" s="1"/>
  <c r="N77" i="7"/>
  <c r="H131" i="7"/>
  <c r="M131" i="7" s="1"/>
  <c r="N131" i="7"/>
  <c r="H177" i="7"/>
  <c r="M177" i="7" s="1"/>
  <c r="N177" i="7"/>
  <c r="H121" i="7"/>
  <c r="M121" i="7" s="1"/>
  <c r="N121" i="7"/>
  <c r="H170" i="7"/>
  <c r="M170" i="7" s="1"/>
  <c r="N170" i="7"/>
  <c r="Y35" i="7"/>
  <c r="Y37" i="7"/>
  <c r="Y39" i="7"/>
  <c r="Y46" i="7"/>
  <c r="Y92" i="7"/>
  <c r="H165" i="7"/>
  <c r="M165" i="7" s="1"/>
  <c r="N165" i="7"/>
  <c r="Y48" i="7"/>
  <c r="H80" i="7"/>
  <c r="M80" i="7" s="1"/>
  <c r="N80" i="7"/>
  <c r="Y123" i="7"/>
  <c r="H158" i="7"/>
  <c r="M158" i="7" s="1"/>
  <c r="N158" i="7"/>
  <c r="H150" i="7"/>
  <c r="M150" i="7" s="1"/>
  <c r="N150" i="7"/>
  <c r="H186" i="7"/>
  <c r="M186" i="7" s="1"/>
  <c r="N186" i="7"/>
  <c r="H141" i="7"/>
  <c r="M141" i="7" s="1"/>
  <c r="N141" i="7"/>
  <c r="H9" i="7"/>
  <c r="M9" i="7" s="1"/>
  <c r="N9" i="7"/>
  <c r="H68" i="7"/>
  <c r="M68" i="7" s="1"/>
  <c r="N68" i="7"/>
  <c r="H42" i="7"/>
  <c r="M42" i="7" s="1"/>
  <c r="N42" i="7"/>
  <c r="H75" i="7"/>
  <c r="M75" i="7" s="1"/>
  <c r="N75" i="7"/>
  <c r="N17" i="7"/>
  <c r="H17" i="7"/>
  <c r="M17" i="7" s="1"/>
  <c r="H57" i="7"/>
  <c r="M57" i="7" s="1"/>
  <c r="N57" i="7"/>
  <c r="Y116" i="7"/>
  <c r="Y115" i="7"/>
  <c r="Y117" i="7"/>
  <c r="Y118" i="7"/>
  <c r="Y114" i="7"/>
  <c r="H137" i="7"/>
  <c r="M137" i="7" s="1"/>
  <c r="N137" i="7"/>
  <c r="Y47" i="7"/>
  <c r="Y73" i="7"/>
  <c r="Y72" i="7"/>
  <c r="Y76" i="7"/>
  <c r="Y25" i="7"/>
  <c r="Y91" i="7"/>
  <c r="H125" i="7"/>
  <c r="M125" i="7" s="1"/>
  <c r="N125" i="7"/>
  <c r="Y22" i="7"/>
  <c r="Y18" i="7"/>
  <c r="Y20" i="7"/>
  <c r="Y94" i="7"/>
  <c r="N143" i="7"/>
  <c r="H143" i="7"/>
  <c r="M143" i="7" s="1"/>
  <c r="H155" i="7"/>
  <c r="M155" i="7" s="1"/>
  <c r="N155" i="7"/>
  <c r="N187" i="7"/>
  <c r="H187" i="7"/>
  <c r="M187" i="7" s="1"/>
  <c r="Y182" i="7"/>
  <c r="Y179" i="7"/>
  <c r="Y38" i="7"/>
  <c r="Y69" i="7"/>
  <c r="Y112" i="7"/>
  <c r="H52" i="7"/>
  <c r="M52" i="7" s="1"/>
  <c r="N52" i="7"/>
  <c r="Y63" i="7"/>
  <c r="Y105" i="7"/>
  <c r="Y106" i="7"/>
  <c r="Y108" i="7"/>
  <c r="Y102" i="7"/>
  <c r="Y103" i="7"/>
  <c r="Y107" i="7"/>
  <c r="Y104" i="7"/>
  <c r="Y132" i="7"/>
  <c r="Y173" i="7"/>
  <c r="H157" i="7"/>
  <c r="M157" i="7" s="1"/>
  <c r="N157" i="7"/>
  <c r="H156" i="7"/>
  <c r="M156" i="7" s="1"/>
  <c r="N156" i="7"/>
  <c r="Y135" i="7"/>
  <c r="N126" i="7"/>
  <c r="H126" i="7"/>
  <c r="M126" i="7" s="1"/>
  <c r="N67" i="7"/>
  <c r="H67" i="7"/>
  <c r="M67" i="7" s="1"/>
  <c r="H162" i="7"/>
  <c r="M162" i="7" s="1"/>
  <c r="N162" i="7"/>
  <c r="H180" i="7"/>
  <c r="M180" i="7" s="1"/>
  <c r="N180" i="7"/>
  <c r="H183" i="7"/>
  <c r="M183" i="7" s="1"/>
  <c r="N183" i="7"/>
  <c r="N122" i="7"/>
  <c r="H122" i="7"/>
  <c r="M122" i="7" s="1"/>
  <c r="Y88" i="7"/>
  <c r="Y84" i="7"/>
  <c r="Y85" i="7"/>
  <c r="Y87" i="7"/>
  <c r="Y86" i="7"/>
  <c r="Y83" i="7"/>
  <c r="N151" i="7"/>
  <c r="H151" i="7"/>
  <c r="M151" i="7" s="1"/>
  <c r="H55" i="7"/>
  <c r="M55" i="7" s="1"/>
  <c r="N55" i="7"/>
  <c r="Y74" i="7"/>
  <c r="H101" i="7"/>
  <c r="M101" i="7" s="1"/>
  <c r="N101" i="7"/>
  <c r="Y166" i="7"/>
  <c r="Y161" i="7"/>
  <c r="Y167" i="7"/>
  <c r="Y163" i="7"/>
  <c r="Y164" i="7"/>
  <c r="H154" i="7"/>
  <c r="M154" i="7" s="1"/>
  <c r="N154" i="7"/>
  <c r="Y189" i="7"/>
  <c r="H189" i="7" l="1"/>
  <c r="M189" i="7" s="1"/>
  <c r="N189" i="7"/>
  <c r="H163" i="7"/>
  <c r="M163" i="7" s="1"/>
  <c r="N163" i="7"/>
  <c r="H88" i="7"/>
  <c r="M88" i="7" s="1"/>
  <c r="N88" i="7"/>
  <c r="N104" i="7"/>
  <c r="H104" i="7"/>
  <c r="M104" i="7" s="1"/>
  <c r="H25" i="7"/>
  <c r="M25" i="7" s="1"/>
  <c r="N25" i="7"/>
  <c r="H47" i="7"/>
  <c r="M47" i="7" s="1"/>
  <c r="N47" i="7"/>
  <c r="H123" i="7"/>
  <c r="M123" i="7" s="1"/>
  <c r="N123" i="7"/>
  <c r="H39" i="7"/>
  <c r="M39" i="7" s="1"/>
  <c r="N39" i="7"/>
  <c r="H27" i="7"/>
  <c r="M27" i="7" s="1"/>
  <c r="N27" i="7"/>
  <c r="H133" i="7"/>
  <c r="M133" i="7" s="1"/>
  <c r="N133" i="7"/>
  <c r="N175" i="7"/>
  <c r="H175" i="7"/>
  <c r="M175" i="7" s="1"/>
  <c r="H111" i="7"/>
  <c r="M111" i="7" s="1"/>
  <c r="N111" i="7"/>
  <c r="H45" i="7"/>
  <c r="M45" i="7" s="1"/>
  <c r="N45" i="7"/>
  <c r="H10" i="7"/>
  <c r="M10" i="7" s="1"/>
  <c r="N10" i="7"/>
  <c r="H97" i="7"/>
  <c r="M97" i="7" s="1"/>
  <c r="N97" i="7"/>
  <c r="H167" i="7"/>
  <c r="M167" i="7" s="1"/>
  <c r="N167" i="7"/>
  <c r="H87" i="7"/>
  <c r="M87" i="7" s="1"/>
  <c r="N87" i="7"/>
  <c r="N135" i="7"/>
  <c r="H135" i="7"/>
  <c r="M135" i="7" s="1"/>
  <c r="N107" i="7"/>
  <c r="H107" i="7"/>
  <c r="M107" i="7" s="1"/>
  <c r="H106" i="7"/>
  <c r="M106" i="7" s="1"/>
  <c r="N106" i="7"/>
  <c r="N179" i="7"/>
  <c r="H179" i="7"/>
  <c r="M179" i="7" s="1"/>
  <c r="H94" i="7"/>
  <c r="M94" i="7" s="1"/>
  <c r="N94" i="7"/>
  <c r="N76" i="7"/>
  <c r="H76" i="7"/>
  <c r="M76" i="7" s="1"/>
  <c r="N117" i="7"/>
  <c r="H117" i="7"/>
  <c r="M117" i="7" s="1"/>
  <c r="H37" i="7"/>
  <c r="M37" i="7" s="1"/>
  <c r="N37" i="7"/>
  <c r="N29" i="7"/>
  <c r="H29" i="7"/>
  <c r="M29" i="7" s="1"/>
  <c r="N26" i="7"/>
  <c r="H26" i="7"/>
  <c r="M26" i="7" s="1"/>
  <c r="H142" i="7"/>
  <c r="M142" i="7" s="1"/>
  <c r="N142" i="7"/>
  <c r="H98" i="7"/>
  <c r="M98" i="7" s="1"/>
  <c r="N98" i="7"/>
  <c r="H134" i="7"/>
  <c r="M134" i="7" s="1"/>
  <c r="N134" i="7"/>
  <c r="N172" i="7"/>
  <c r="H172" i="7"/>
  <c r="M172" i="7" s="1"/>
  <c r="H11" i="7"/>
  <c r="M11" i="7" s="1"/>
  <c r="N11" i="7"/>
  <c r="H96" i="7"/>
  <c r="M96" i="7" s="1"/>
  <c r="N96" i="7"/>
  <c r="N43" i="7"/>
  <c r="H43" i="7"/>
  <c r="M43" i="7" s="1"/>
  <c r="H13" i="7"/>
  <c r="M13" i="7" s="1"/>
  <c r="N13" i="7"/>
  <c r="H95" i="7"/>
  <c r="M95" i="7" s="1"/>
  <c r="N95" i="7"/>
  <c r="H74" i="7"/>
  <c r="M74" i="7" s="1"/>
  <c r="N74" i="7"/>
  <c r="N85" i="7"/>
  <c r="H85" i="7"/>
  <c r="M85" i="7" s="1"/>
  <c r="N173" i="7"/>
  <c r="H173" i="7"/>
  <c r="M173" i="7" s="1"/>
  <c r="N105" i="7"/>
  <c r="H105" i="7"/>
  <c r="M105" i="7" s="1"/>
  <c r="H20" i="7"/>
  <c r="M20" i="7" s="1"/>
  <c r="N20" i="7"/>
  <c r="H72" i="7"/>
  <c r="M72" i="7" s="1"/>
  <c r="N72" i="7"/>
  <c r="H115" i="7"/>
  <c r="M115" i="7" s="1"/>
  <c r="N115" i="7"/>
  <c r="H65" i="7"/>
  <c r="M65" i="7" s="1"/>
  <c r="N65" i="7"/>
  <c r="H161" i="7"/>
  <c r="M161" i="7" s="1"/>
  <c r="N161" i="7"/>
  <c r="N103" i="7"/>
  <c r="H103" i="7"/>
  <c r="M103" i="7" s="1"/>
  <c r="N112" i="7"/>
  <c r="H112" i="7"/>
  <c r="M112" i="7" s="1"/>
  <c r="H182" i="7"/>
  <c r="M182" i="7" s="1"/>
  <c r="N182" i="7"/>
  <c r="H92" i="7"/>
  <c r="M92" i="7" s="1"/>
  <c r="N92" i="7"/>
  <c r="H35" i="7"/>
  <c r="M35" i="7" s="1"/>
  <c r="N35" i="7"/>
  <c r="H28" i="7"/>
  <c r="M28" i="7" s="1"/>
  <c r="N28" i="7"/>
  <c r="H145" i="7"/>
  <c r="M145" i="7" s="1"/>
  <c r="N145" i="7"/>
  <c r="H66" i="7"/>
  <c r="M66" i="7" s="1"/>
  <c r="N66" i="7"/>
  <c r="N171" i="7"/>
  <c r="H171" i="7"/>
  <c r="M171" i="7" s="1"/>
  <c r="N174" i="7"/>
  <c r="H174" i="7"/>
  <c r="M174" i="7" s="1"/>
  <c r="N136" i="7"/>
  <c r="H136" i="7"/>
  <c r="M136" i="7" s="1"/>
  <c r="H62" i="7"/>
  <c r="M62" i="7" s="1"/>
  <c r="N62" i="7"/>
  <c r="N14" i="7"/>
  <c r="H14" i="7"/>
  <c r="M14" i="7" s="1"/>
  <c r="H93" i="7"/>
  <c r="M93" i="7" s="1"/>
  <c r="N93" i="7"/>
  <c r="N164" i="7"/>
  <c r="H164" i="7"/>
  <c r="M164" i="7" s="1"/>
  <c r="H166" i="7"/>
  <c r="M166" i="7" s="1"/>
  <c r="N166" i="7"/>
  <c r="H83" i="7"/>
  <c r="M83" i="7" s="1"/>
  <c r="N83" i="7"/>
  <c r="H84" i="7"/>
  <c r="M84" i="7" s="1"/>
  <c r="N84" i="7"/>
  <c r="H132" i="7"/>
  <c r="M132" i="7" s="1"/>
  <c r="N132" i="7"/>
  <c r="H102" i="7"/>
  <c r="M102" i="7" s="1"/>
  <c r="N102" i="7"/>
  <c r="H63" i="7"/>
  <c r="M63" i="7" s="1"/>
  <c r="N63" i="7"/>
  <c r="N69" i="7"/>
  <c r="H69" i="7"/>
  <c r="M69" i="7" s="1"/>
  <c r="H18" i="7"/>
  <c r="M18" i="7" s="1"/>
  <c r="N18" i="7"/>
  <c r="H91" i="7"/>
  <c r="M91" i="7" s="1"/>
  <c r="N91" i="7"/>
  <c r="H73" i="7"/>
  <c r="M73" i="7" s="1"/>
  <c r="N73" i="7"/>
  <c r="N114" i="7"/>
  <c r="H114" i="7"/>
  <c r="M114" i="7" s="1"/>
  <c r="N116" i="7"/>
  <c r="H116" i="7"/>
  <c r="M116" i="7" s="1"/>
  <c r="N48" i="7"/>
  <c r="H48" i="7"/>
  <c r="M48" i="7" s="1"/>
  <c r="N46" i="7"/>
  <c r="H46" i="7"/>
  <c r="M46" i="7" s="1"/>
  <c r="N30" i="7"/>
  <c r="H30" i="7"/>
  <c r="M30" i="7" s="1"/>
  <c r="H147" i="7"/>
  <c r="M147" i="7" s="1"/>
  <c r="N147" i="7"/>
  <c r="N176" i="7"/>
  <c r="H176" i="7"/>
  <c r="M176" i="7" s="1"/>
  <c r="H184" i="7"/>
  <c r="M184" i="7" s="1"/>
  <c r="N184" i="7"/>
  <c r="N138" i="7"/>
  <c r="H138" i="7"/>
  <c r="M138" i="7" s="1"/>
  <c r="H44" i="7"/>
  <c r="M44" i="7" s="1"/>
  <c r="N44" i="7"/>
  <c r="N12" i="7"/>
  <c r="H12" i="7"/>
  <c r="M12" i="7" s="1"/>
  <c r="N86" i="7"/>
  <c r="H86" i="7"/>
  <c r="M86" i="7" s="1"/>
  <c r="N108" i="7"/>
  <c r="H108" i="7"/>
  <c r="M108" i="7" s="1"/>
  <c r="N38" i="7"/>
  <c r="H38" i="7"/>
  <c r="M38" i="7" s="1"/>
  <c r="H22" i="7"/>
  <c r="M22" i="7" s="1"/>
  <c r="N22" i="7"/>
  <c r="N118" i="7"/>
  <c r="H118" i="7"/>
  <c r="M118" i="7" s="1"/>
  <c r="H144" i="7"/>
  <c r="M144" i="7" s="1"/>
  <c r="N144" i="7"/>
  <c r="E77" i="1" l="1"/>
  <c r="C77" i="1"/>
  <c r="C76" i="1"/>
  <c r="C75" i="1"/>
  <c r="C74" i="1"/>
  <c r="C73" i="1"/>
  <c r="C72" i="1"/>
  <c r="C71" i="1"/>
  <c r="C70" i="1"/>
  <c r="C69" i="1"/>
  <c r="C68" i="1"/>
  <c r="C67" i="1"/>
  <c r="C66" i="1"/>
  <c r="I63" i="1"/>
  <c r="E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H52" i="1"/>
  <c r="G52" i="1"/>
  <c r="F50" i="1"/>
  <c r="F49" i="1"/>
  <c r="F48" i="1"/>
  <c r="F47" i="1"/>
  <c r="F46" i="1"/>
  <c r="F45" i="1"/>
  <c r="H44" i="1"/>
  <c r="F44" i="1"/>
  <c r="I43" i="1"/>
  <c r="H43" i="1"/>
  <c r="F43" i="1"/>
  <c r="I38" i="1"/>
  <c r="H38" i="1"/>
  <c r="I37" i="1"/>
  <c r="H37" i="1"/>
  <c r="F37" i="1"/>
  <c r="I32" i="1"/>
  <c r="H32" i="1"/>
  <c r="F32" i="1"/>
  <c r="I31" i="1"/>
  <c r="H31" i="1"/>
  <c r="I30" i="1"/>
  <c r="H30" i="1"/>
  <c r="F30" i="1"/>
  <c r="F29" i="1"/>
  <c r="F28" i="1"/>
  <c r="I27" i="1"/>
  <c r="H27" i="1"/>
  <c r="F27" i="1"/>
  <c r="C27" i="1"/>
  <c r="F26" i="1"/>
  <c r="F25" i="1"/>
  <c r="I24" i="1"/>
  <c r="H24" i="1"/>
  <c r="F24" i="1"/>
  <c r="H23" i="1"/>
  <c r="F23" i="1"/>
  <c r="F22" i="1"/>
  <c r="I21" i="1"/>
  <c r="H21" i="1"/>
  <c r="F21" i="1"/>
  <c r="C21" i="1"/>
  <c r="H20" i="1"/>
  <c r="F20" i="1"/>
  <c r="F19" i="1"/>
  <c r="I18" i="1"/>
  <c r="H18" i="1"/>
  <c r="F18" i="1"/>
  <c r="C18" i="1"/>
  <c r="F17" i="1"/>
  <c r="F16" i="1"/>
  <c r="F15" i="1"/>
  <c r="I14" i="1"/>
  <c r="F14" i="1"/>
  <c r="I13" i="1"/>
  <c r="H13" i="1"/>
  <c r="F13" i="1"/>
  <c r="C13" i="1"/>
  <c r="F12" i="1"/>
  <c r="F11" i="1"/>
  <c r="F10" i="1"/>
  <c r="F9" i="1"/>
  <c r="I8" i="1"/>
  <c r="F8" i="1"/>
  <c r="I7" i="1"/>
  <c r="H7" i="1"/>
  <c r="F7" i="1"/>
  <c r="F6" i="1"/>
  <c r="F5" i="1"/>
  <c r="F4" i="1"/>
  <c r="I3" i="1"/>
  <c r="F3" i="1"/>
  <c r="I2" i="1"/>
  <c r="H2" i="1"/>
  <c r="G2" i="1"/>
  <c r="F2" i="1"/>
  <c r="AF62" i="9"/>
  <c r="AH61" i="9"/>
  <c r="AF61" i="9"/>
  <c r="AD61" i="9"/>
  <c r="AC61" i="9"/>
  <c r="AB61" i="9"/>
  <c r="AA61" i="9"/>
  <c r="Y61" i="9"/>
  <c r="X61" i="9"/>
  <c r="W61" i="9"/>
  <c r="V61" i="9"/>
  <c r="U61" i="9"/>
  <c r="T61" i="9"/>
  <c r="R61" i="9"/>
  <c r="Q61" i="9"/>
  <c r="P61" i="9"/>
  <c r="O61" i="9"/>
  <c r="N61" i="9"/>
  <c r="K61" i="9"/>
  <c r="J61" i="9"/>
  <c r="I61" i="9"/>
  <c r="H61" i="9"/>
  <c r="G61" i="9"/>
  <c r="F61" i="9"/>
  <c r="D61" i="9"/>
  <c r="C61" i="9"/>
  <c r="AF60" i="9"/>
  <c r="AD59" i="9"/>
  <c r="AC59" i="9"/>
  <c r="AB59" i="9"/>
  <c r="AA59" i="9"/>
  <c r="Y59" i="9"/>
  <c r="X59" i="9"/>
  <c r="W59" i="9"/>
  <c r="V59" i="9"/>
  <c r="U59" i="9"/>
  <c r="T59" i="9"/>
  <c r="R59" i="9"/>
  <c r="Q59" i="9"/>
  <c r="P59" i="9"/>
  <c r="O59" i="9"/>
  <c r="N59" i="9"/>
  <c r="K59" i="9"/>
  <c r="J59" i="9"/>
  <c r="I59" i="9"/>
  <c r="H59" i="9"/>
  <c r="G59" i="9"/>
  <c r="F59" i="9"/>
  <c r="D59" i="9"/>
  <c r="C59" i="9"/>
  <c r="C60" i="9" s="1"/>
  <c r="D60" i="9" s="1"/>
  <c r="F60" i="9" s="1"/>
  <c r="G60" i="9" s="1"/>
  <c r="H60" i="9" s="1"/>
  <c r="I60" i="9" s="1"/>
  <c r="J60" i="9" s="1"/>
  <c r="K60" i="9" s="1"/>
  <c r="N60" i="9" s="1"/>
  <c r="O60" i="9" s="1"/>
  <c r="P60" i="9" s="1"/>
  <c r="Q60" i="9" s="1"/>
  <c r="R60" i="9" s="1"/>
  <c r="T60" i="9" s="1"/>
  <c r="U60" i="9" s="1"/>
  <c r="V60" i="9" s="1"/>
  <c r="W60" i="9" s="1"/>
  <c r="X60" i="9" s="1"/>
  <c r="Y60" i="9" s="1"/>
  <c r="AA60" i="9" s="1"/>
  <c r="AB60" i="9" s="1"/>
  <c r="AC60" i="9" s="1"/>
  <c r="AD60" i="9" s="1"/>
  <c r="AH58" i="9"/>
  <c r="AF57" i="9"/>
  <c r="AD56" i="9"/>
  <c r="AC56" i="9"/>
  <c r="AB56" i="9"/>
  <c r="AA56" i="9"/>
  <c r="Y56" i="9"/>
  <c r="X56" i="9"/>
  <c r="W56" i="9"/>
  <c r="V56" i="9"/>
  <c r="U56" i="9"/>
  <c r="T56" i="9"/>
  <c r="R56" i="9"/>
  <c r="Q56" i="9"/>
  <c r="P56" i="9"/>
  <c r="O56" i="9"/>
  <c r="N56" i="9"/>
  <c r="K56" i="9"/>
  <c r="J56" i="9"/>
  <c r="I56" i="9"/>
  <c r="H56" i="9"/>
  <c r="G56" i="9"/>
  <c r="F56" i="9"/>
  <c r="D56" i="9"/>
  <c r="C56" i="9"/>
  <c r="C57" i="9" s="1"/>
  <c r="D57" i="9" s="1"/>
  <c r="F57" i="9" s="1"/>
  <c r="G57" i="9" s="1"/>
  <c r="H57" i="9" s="1"/>
  <c r="I57" i="9" s="1"/>
  <c r="J57" i="9" s="1"/>
  <c r="K57" i="9" s="1"/>
  <c r="N57" i="9" s="1"/>
  <c r="O57" i="9" s="1"/>
  <c r="P57" i="9" s="1"/>
  <c r="Q57" i="9" s="1"/>
  <c r="R57" i="9" s="1"/>
  <c r="T57" i="9" s="1"/>
  <c r="U57" i="9" s="1"/>
  <c r="V57" i="9" s="1"/>
  <c r="W57" i="9" s="1"/>
  <c r="X57" i="9" s="1"/>
  <c r="Y57" i="9" s="1"/>
  <c r="AA57" i="9" s="1"/>
  <c r="AB57" i="9" s="1"/>
  <c r="AC57" i="9" s="1"/>
  <c r="AD57" i="9" s="1"/>
  <c r="AF55" i="9"/>
  <c r="AF54" i="9"/>
  <c r="AD53" i="9"/>
  <c r="AC53" i="9"/>
  <c r="AB53" i="9"/>
  <c r="AA53" i="9"/>
  <c r="Y53" i="9"/>
  <c r="X53" i="9"/>
  <c r="W53" i="9"/>
  <c r="V53" i="9"/>
  <c r="U53" i="9"/>
  <c r="T53" i="9"/>
  <c r="R53" i="9"/>
  <c r="Q53" i="9"/>
  <c r="P53" i="9"/>
  <c r="O53" i="9"/>
  <c r="N53" i="9"/>
  <c r="K53" i="9"/>
  <c r="J53" i="9"/>
  <c r="I53" i="9"/>
  <c r="H53" i="9"/>
  <c r="G53" i="9"/>
  <c r="F53" i="9"/>
  <c r="D53" i="9"/>
  <c r="C53" i="9"/>
  <c r="C54" i="9" s="1"/>
  <c r="D54" i="9" s="1"/>
  <c r="F54" i="9" s="1"/>
  <c r="G54" i="9" s="1"/>
  <c r="H54" i="9" s="1"/>
  <c r="I54" i="9" s="1"/>
  <c r="J54" i="9" s="1"/>
  <c r="K54" i="9" s="1"/>
  <c r="N54" i="9" s="1"/>
  <c r="O54" i="9" s="1"/>
  <c r="P54" i="9" s="1"/>
  <c r="Q54" i="9" s="1"/>
  <c r="R54" i="9" s="1"/>
  <c r="T54" i="9" s="1"/>
  <c r="U54" i="9" s="1"/>
  <c r="V54" i="9" s="1"/>
  <c r="W54" i="9" s="1"/>
  <c r="X54" i="9" s="1"/>
  <c r="Y54" i="9" s="1"/>
  <c r="AA54" i="9" s="1"/>
  <c r="AB54" i="9" s="1"/>
  <c r="AC54" i="9" s="1"/>
  <c r="AD54" i="9" s="1"/>
  <c r="AF51" i="9"/>
  <c r="AD50" i="9"/>
  <c r="AC50" i="9"/>
  <c r="AB50" i="9"/>
  <c r="AA50" i="9"/>
  <c r="Y50" i="9"/>
  <c r="X50" i="9"/>
  <c r="W50" i="9"/>
  <c r="V50" i="9"/>
  <c r="U50" i="9"/>
  <c r="T50" i="9"/>
  <c r="R50" i="9"/>
  <c r="Q50" i="9"/>
  <c r="P50" i="9"/>
  <c r="O50" i="9"/>
  <c r="N50" i="9"/>
  <c r="K50" i="9"/>
  <c r="J50" i="9"/>
  <c r="I50" i="9"/>
  <c r="H50" i="9"/>
  <c r="G50" i="9"/>
  <c r="F50" i="9"/>
  <c r="D50" i="9"/>
  <c r="C50" i="9"/>
  <c r="C51" i="9" s="1"/>
  <c r="D51" i="9" s="1"/>
  <c r="F51" i="9" s="1"/>
  <c r="G51" i="9" s="1"/>
  <c r="H51" i="9" s="1"/>
  <c r="I51" i="9" s="1"/>
  <c r="J51" i="9" s="1"/>
  <c r="K51" i="9" s="1"/>
  <c r="N51" i="9" s="1"/>
  <c r="O51" i="9" s="1"/>
  <c r="P51" i="9" s="1"/>
  <c r="Q51" i="9" s="1"/>
  <c r="R51" i="9" s="1"/>
  <c r="T51" i="9" s="1"/>
  <c r="U51" i="9" s="1"/>
  <c r="V51" i="9" s="1"/>
  <c r="W51" i="9" s="1"/>
  <c r="X51" i="9" s="1"/>
  <c r="Y51" i="9" s="1"/>
  <c r="AA51" i="9" s="1"/>
  <c r="AB51" i="9" s="1"/>
  <c r="AC51" i="9" s="1"/>
  <c r="AD51" i="9" s="1"/>
  <c r="AH49" i="9"/>
  <c r="AF48" i="9"/>
  <c r="AD47" i="9"/>
  <c r="AC47" i="9"/>
  <c r="AB47" i="9"/>
  <c r="AA47" i="9"/>
  <c r="Y47" i="9"/>
  <c r="X47" i="9"/>
  <c r="W47" i="9"/>
  <c r="V47" i="9"/>
  <c r="U47" i="9"/>
  <c r="T47" i="9"/>
  <c r="R47" i="9"/>
  <c r="Q47" i="9"/>
  <c r="P47" i="9"/>
  <c r="O47" i="9"/>
  <c r="N47" i="9"/>
  <c r="K47" i="9"/>
  <c r="J47" i="9"/>
  <c r="I47" i="9"/>
  <c r="H47" i="9"/>
  <c r="G47" i="9"/>
  <c r="F47" i="9"/>
  <c r="D47" i="9"/>
  <c r="C47" i="9"/>
  <c r="C48" i="9" s="1"/>
  <c r="D48" i="9" s="1"/>
  <c r="F48" i="9" s="1"/>
  <c r="G48" i="9" s="1"/>
  <c r="H48" i="9" s="1"/>
  <c r="I48" i="9" s="1"/>
  <c r="J48" i="9" s="1"/>
  <c r="K48" i="9" s="1"/>
  <c r="N48" i="9" s="1"/>
  <c r="O48" i="9" s="1"/>
  <c r="P48" i="9" s="1"/>
  <c r="Q48" i="9" s="1"/>
  <c r="R48" i="9" s="1"/>
  <c r="T48" i="9" s="1"/>
  <c r="U48" i="9" s="1"/>
  <c r="V48" i="9" s="1"/>
  <c r="W48" i="9" s="1"/>
  <c r="X48" i="9" s="1"/>
  <c r="Y48" i="9" s="1"/>
  <c r="AA48" i="9" s="1"/>
  <c r="AB48" i="9" s="1"/>
  <c r="AC48" i="9" s="1"/>
  <c r="AD48" i="9" s="1"/>
  <c r="AH46" i="9"/>
  <c r="AF45" i="9"/>
  <c r="AD44" i="9"/>
  <c r="AC44" i="9"/>
  <c r="AB44" i="9"/>
  <c r="AA44" i="9"/>
  <c r="Y44" i="9"/>
  <c r="X44" i="9"/>
  <c r="W44" i="9"/>
  <c r="V44" i="9"/>
  <c r="U44" i="9"/>
  <c r="T44" i="9"/>
  <c r="R44" i="9"/>
  <c r="Q44" i="9"/>
  <c r="P44" i="9"/>
  <c r="O44" i="9"/>
  <c r="N44" i="9"/>
  <c r="K44" i="9"/>
  <c r="J44" i="9"/>
  <c r="I44" i="9"/>
  <c r="H44" i="9"/>
  <c r="G44" i="9"/>
  <c r="F44" i="9"/>
  <c r="D44" i="9"/>
  <c r="C44" i="9"/>
  <c r="AH44" i="9" s="1"/>
  <c r="AH43" i="9"/>
  <c r="AF42" i="9"/>
  <c r="AD41" i="9"/>
  <c r="AC41" i="9"/>
  <c r="AB41" i="9"/>
  <c r="AA41" i="9"/>
  <c r="Y41" i="9"/>
  <c r="X41" i="9"/>
  <c r="W41" i="9"/>
  <c r="V41" i="9"/>
  <c r="U41" i="9"/>
  <c r="T41" i="9"/>
  <c r="R41" i="9"/>
  <c r="Q41" i="9"/>
  <c r="P41" i="9"/>
  <c r="O41" i="9"/>
  <c r="N41" i="9"/>
  <c r="K41" i="9"/>
  <c r="J41" i="9"/>
  <c r="I41" i="9"/>
  <c r="H41" i="9"/>
  <c r="G41" i="9"/>
  <c r="F41" i="9"/>
  <c r="D41" i="9"/>
  <c r="C41" i="9"/>
  <c r="C42" i="9" s="1"/>
  <c r="D42" i="9" s="1"/>
  <c r="F42" i="9" s="1"/>
  <c r="G42" i="9" s="1"/>
  <c r="H42" i="9" s="1"/>
  <c r="I42" i="9" s="1"/>
  <c r="J42" i="9" s="1"/>
  <c r="K42" i="9" s="1"/>
  <c r="N42" i="9" s="1"/>
  <c r="O42" i="9" s="1"/>
  <c r="P42" i="9" s="1"/>
  <c r="Q42" i="9" s="1"/>
  <c r="R42" i="9" s="1"/>
  <c r="T42" i="9" s="1"/>
  <c r="U42" i="9" s="1"/>
  <c r="V42" i="9" s="1"/>
  <c r="W42" i="9" s="1"/>
  <c r="X42" i="9" s="1"/>
  <c r="Y42" i="9" s="1"/>
  <c r="AA42" i="9" s="1"/>
  <c r="AB42" i="9" s="1"/>
  <c r="AC42" i="9" s="1"/>
  <c r="AD42" i="9" s="1"/>
  <c r="AH40" i="9"/>
  <c r="AF40" i="9"/>
  <c r="AD40" i="9"/>
  <c r="AC40" i="9"/>
  <c r="AB40" i="9"/>
  <c r="AA40" i="9"/>
  <c r="Y40" i="9"/>
  <c r="X40" i="9"/>
  <c r="W40" i="9"/>
  <c r="V40" i="9"/>
  <c r="U40" i="9"/>
  <c r="T40" i="9"/>
  <c r="R40" i="9"/>
  <c r="Q40" i="9"/>
  <c r="P40" i="9"/>
  <c r="O40" i="9"/>
  <c r="N40" i="9"/>
  <c r="K40" i="9"/>
  <c r="J40" i="9"/>
  <c r="I40" i="9"/>
  <c r="H40" i="9"/>
  <c r="G40" i="9"/>
  <c r="F40" i="9"/>
  <c r="D40" i="9"/>
  <c r="C40" i="9"/>
  <c r="AF39" i="9"/>
  <c r="AD38" i="9"/>
  <c r="AC38" i="9"/>
  <c r="AB38" i="9"/>
  <c r="AA38" i="9"/>
  <c r="Y38" i="9"/>
  <c r="X38" i="9"/>
  <c r="W38" i="9"/>
  <c r="V38" i="9"/>
  <c r="U38" i="9"/>
  <c r="T38" i="9"/>
  <c r="R38" i="9"/>
  <c r="Q38" i="9"/>
  <c r="P38" i="9"/>
  <c r="O38" i="9"/>
  <c r="N38" i="9"/>
  <c r="K38" i="9"/>
  <c r="J38" i="9"/>
  <c r="I38" i="9"/>
  <c r="H38" i="9"/>
  <c r="G38" i="9"/>
  <c r="F38" i="9"/>
  <c r="D38" i="9"/>
  <c r="C38" i="9"/>
  <c r="C39" i="9" s="1"/>
  <c r="D39" i="9" s="1"/>
  <c r="F39" i="9" s="1"/>
  <c r="G39" i="9" s="1"/>
  <c r="H39" i="9" s="1"/>
  <c r="I39" i="9" s="1"/>
  <c r="J39" i="9" s="1"/>
  <c r="K39" i="9" s="1"/>
  <c r="N39" i="9" s="1"/>
  <c r="O39" i="9" s="1"/>
  <c r="P39" i="9" s="1"/>
  <c r="Q39" i="9" s="1"/>
  <c r="R39" i="9" s="1"/>
  <c r="T39" i="9" s="1"/>
  <c r="U39" i="9" s="1"/>
  <c r="V39" i="9" s="1"/>
  <c r="W39" i="9" s="1"/>
  <c r="X39" i="9" s="1"/>
  <c r="Y39" i="9" s="1"/>
  <c r="AA39" i="9" s="1"/>
  <c r="AB39" i="9" s="1"/>
  <c r="AC39" i="9" s="1"/>
  <c r="AD39" i="9" s="1"/>
  <c r="AH37" i="9"/>
  <c r="AF37" i="9"/>
  <c r="AD37" i="9"/>
  <c r="AC37" i="9"/>
  <c r="AB37" i="9"/>
  <c r="AA37" i="9"/>
  <c r="Y37" i="9"/>
  <c r="X37" i="9"/>
  <c r="W37" i="9"/>
  <c r="V37" i="9"/>
  <c r="U37" i="9"/>
  <c r="T37" i="9"/>
  <c r="R37" i="9"/>
  <c r="Q37" i="9"/>
  <c r="P37" i="9"/>
  <c r="O37" i="9"/>
  <c r="N37" i="9"/>
  <c r="K37" i="9"/>
  <c r="J37" i="9"/>
  <c r="I37" i="9"/>
  <c r="D37" i="9"/>
  <c r="C37" i="9"/>
  <c r="AF36" i="9"/>
  <c r="AD35" i="9"/>
  <c r="AC35" i="9"/>
  <c r="AB35" i="9"/>
  <c r="AA35" i="9"/>
  <c r="Y35" i="9"/>
  <c r="X35" i="9"/>
  <c r="W35" i="9"/>
  <c r="V35" i="9"/>
  <c r="U35" i="9"/>
  <c r="T35" i="9"/>
  <c r="R35" i="9"/>
  <c r="Q35" i="9"/>
  <c r="P35" i="9"/>
  <c r="O35" i="9"/>
  <c r="N35" i="9"/>
  <c r="N62" i="9" s="1"/>
  <c r="K35" i="9"/>
  <c r="J35" i="9"/>
  <c r="I35" i="9"/>
  <c r="H35" i="9"/>
  <c r="G35" i="9"/>
  <c r="F35" i="9"/>
  <c r="D35" i="9"/>
  <c r="C35" i="9"/>
  <c r="AH35" i="9" s="1"/>
  <c r="AH34" i="9"/>
  <c r="AF34" i="9"/>
  <c r="AA34" i="9"/>
  <c r="F34" i="9"/>
  <c r="D34" i="9"/>
  <c r="C34" i="9"/>
  <c r="AF33" i="9"/>
  <c r="AD32" i="9"/>
  <c r="AD62" i="9" s="1"/>
  <c r="AC32" i="9"/>
  <c r="AC62" i="9" s="1"/>
  <c r="AB32" i="9"/>
  <c r="AB62" i="9" s="1"/>
  <c r="AA32" i="9"/>
  <c r="AA62" i="9" s="1"/>
  <c r="Y32" i="9"/>
  <c r="Y62" i="9" s="1"/>
  <c r="X32" i="9"/>
  <c r="X62" i="9" s="1"/>
  <c r="W32" i="9"/>
  <c r="W62" i="9" s="1"/>
  <c r="V32" i="9"/>
  <c r="V62" i="9" s="1"/>
  <c r="U32" i="9"/>
  <c r="U62" i="9" s="1"/>
  <c r="T32" i="9"/>
  <c r="T62" i="9" s="1"/>
  <c r="R32" i="9"/>
  <c r="R62" i="9" s="1"/>
  <c r="Q32" i="9"/>
  <c r="Q62" i="9" s="1"/>
  <c r="P32" i="9"/>
  <c r="P62" i="9" s="1"/>
  <c r="O32" i="9"/>
  <c r="O62" i="9" s="1"/>
  <c r="K32" i="9"/>
  <c r="K62" i="9" s="1"/>
  <c r="J32" i="9"/>
  <c r="J62" i="9" s="1"/>
  <c r="I32" i="9"/>
  <c r="I62" i="9" s="1"/>
  <c r="H32" i="9"/>
  <c r="H62" i="9" s="1"/>
  <c r="G32" i="9"/>
  <c r="G62" i="9" s="1"/>
  <c r="F32" i="9"/>
  <c r="F62" i="9" s="1"/>
  <c r="D32" i="9"/>
  <c r="D62" i="9" s="1"/>
  <c r="C32" i="9"/>
  <c r="C62" i="9" s="1"/>
  <c r="AH31" i="9"/>
  <c r="AG25" i="9"/>
  <c r="AF25" i="9"/>
  <c r="Z25" i="9"/>
  <c r="S25" i="9"/>
  <c r="M25" i="9"/>
  <c r="L25" i="9"/>
  <c r="E25" i="9"/>
  <c r="AH24" i="9"/>
  <c r="AG24" i="9"/>
  <c r="AF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G23" i="9"/>
  <c r="AF23" i="9"/>
  <c r="AD22" i="9"/>
  <c r="AC22" i="9"/>
  <c r="AB22" i="9"/>
  <c r="AA22" i="9"/>
  <c r="Y22" i="9"/>
  <c r="X22" i="9"/>
  <c r="W22" i="9"/>
  <c r="V22" i="9"/>
  <c r="U22" i="9"/>
  <c r="T22" i="9"/>
  <c r="R22" i="9"/>
  <c r="Q22" i="9"/>
  <c r="P22" i="9"/>
  <c r="O22" i="9"/>
  <c r="N22" i="9"/>
  <c r="K22" i="9"/>
  <c r="J22" i="9"/>
  <c r="I22" i="9"/>
  <c r="H22" i="9"/>
  <c r="G22" i="9"/>
  <c r="F22" i="9"/>
  <c r="D22" i="9"/>
  <c r="C22" i="9"/>
  <c r="C23" i="9" s="1"/>
  <c r="D23" i="9" s="1"/>
  <c r="F23" i="9" s="1"/>
  <c r="G23" i="9" s="1"/>
  <c r="H23" i="9" s="1"/>
  <c r="I23" i="9" s="1"/>
  <c r="J23" i="9" s="1"/>
  <c r="K23" i="9" s="1"/>
  <c r="N23" i="9" s="1"/>
  <c r="O23" i="9" s="1"/>
  <c r="P23" i="9" s="1"/>
  <c r="Q23" i="9" s="1"/>
  <c r="R23" i="9" s="1"/>
  <c r="T23" i="9" s="1"/>
  <c r="U23" i="9" s="1"/>
  <c r="V23" i="9" s="1"/>
  <c r="W23" i="9" s="1"/>
  <c r="X23" i="9" s="1"/>
  <c r="Y23" i="9" s="1"/>
  <c r="AA23" i="9" s="1"/>
  <c r="AB23" i="9" s="1"/>
  <c r="AC23" i="9" s="1"/>
  <c r="AD23" i="9" s="1"/>
  <c r="AH21" i="9"/>
  <c r="AG20" i="9"/>
  <c r="AF20" i="9"/>
  <c r="AD19" i="9"/>
  <c r="AC19" i="9"/>
  <c r="AB19" i="9"/>
  <c r="AA19" i="9"/>
  <c r="Y19" i="9"/>
  <c r="X19" i="9"/>
  <c r="W19" i="9"/>
  <c r="V19" i="9"/>
  <c r="U19" i="9"/>
  <c r="T19" i="9"/>
  <c r="R19" i="9"/>
  <c r="Q19" i="9"/>
  <c r="P19" i="9"/>
  <c r="O19" i="9"/>
  <c r="N19" i="9"/>
  <c r="K19" i="9"/>
  <c r="J19" i="9"/>
  <c r="I19" i="9"/>
  <c r="H19" i="9"/>
  <c r="G19" i="9"/>
  <c r="F19" i="9"/>
  <c r="D19" i="9"/>
  <c r="C19" i="9"/>
  <c r="C20" i="9" s="1"/>
  <c r="D20" i="9" s="1"/>
  <c r="F20" i="9" s="1"/>
  <c r="G20" i="9" s="1"/>
  <c r="H20" i="9" s="1"/>
  <c r="I20" i="9" s="1"/>
  <c r="J20" i="9" s="1"/>
  <c r="K20" i="9" s="1"/>
  <c r="N20" i="9" s="1"/>
  <c r="O20" i="9" s="1"/>
  <c r="P20" i="9" s="1"/>
  <c r="Q20" i="9" s="1"/>
  <c r="R20" i="9" s="1"/>
  <c r="T20" i="9" s="1"/>
  <c r="U20" i="9" s="1"/>
  <c r="V20" i="9" s="1"/>
  <c r="W20" i="9" s="1"/>
  <c r="X20" i="9" s="1"/>
  <c r="Y20" i="9" s="1"/>
  <c r="AA20" i="9" s="1"/>
  <c r="AB20" i="9" s="1"/>
  <c r="AC20" i="9" s="1"/>
  <c r="AD20" i="9" s="1"/>
  <c r="AH18" i="9"/>
  <c r="AG17" i="9"/>
  <c r="AF17" i="9"/>
  <c r="AD16" i="9"/>
  <c r="AC16" i="9"/>
  <c r="AB16" i="9"/>
  <c r="AA16" i="9"/>
  <c r="Y16" i="9"/>
  <c r="X16" i="9"/>
  <c r="W16" i="9"/>
  <c r="V16" i="9"/>
  <c r="U16" i="9"/>
  <c r="T16" i="9"/>
  <c r="R16" i="9"/>
  <c r="Q16" i="9"/>
  <c r="P16" i="9"/>
  <c r="O16" i="9"/>
  <c r="N16" i="9"/>
  <c r="K16" i="9"/>
  <c r="J16" i="9"/>
  <c r="I16" i="9"/>
  <c r="H16" i="9"/>
  <c r="G16" i="9"/>
  <c r="F16" i="9"/>
  <c r="D16" i="9"/>
  <c r="C16" i="9"/>
  <c r="C17" i="9" s="1"/>
  <c r="D17" i="9" s="1"/>
  <c r="F17" i="9" s="1"/>
  <c r="G17" i="9" s="1"/>
  <c r="H17" i="9" s="1"/>
  <c r="I17" i="9" s="1"/>
  <c r="J17" i="9" s="1"/>
  <c r="K17" i="9" s="1"/>
  <c r="N17" i="9" s="1"/>
  <c r="O17" i="9" s="1"/>
  <c r="P17" i="9" s="1"/>
  <c r="Q17" i="9" s="1"/>
  <c r="R17" i="9" s="1"/>
  <c r="T17" i="9" s="1"/>
  <c r="U17" i="9" s="1"/>
  <c r="V17" i="9" s="1"/>
  <c r="W17" i="9" s="1"/>
  <c r="X17" i="9" s="1"/>
  <c r="Y17" i="9" s="1"/>
  <c r="AA17" i="9" s="1"/>
  <c r="AB17" i="9" s="1"/>
  <c r="AC17" i="9" s="1"/>
  <c r="AD17" i="9" s="1"/>
  <c r="AH15" i="9"/>
  <c r="AG14" i="9"/>
  <c r="AF14" i="9"/>
  <c r="AD13" i="9"/>
  <c r="AC13" i="9"/>
  <c r="AB13" i="9"/>
  <c r="AA13" i="9"/>
  <c r="Y13" i="9"/>
  <c r="X13" i="9"/>
  <c r="W13" i="9"/>
  <c r="V13" i="9"/>
  <c r="U13" i="9"/>
  <c r="T13" i="9"/>
  <c r="R13" i="9"/>
  <c r="Q13" i="9"/>
  <c r="P13" i="9"/>
  <c r="O13" i="9"/>
  <c r="N13" i="9"/>
  <c r="K13" i="9"/>
  <c r="J13" i="9"/>
  <c r="I13" i="9"/>
  <c r="H13" i="9"/>
  <c r="G13" i="9"/>
  <c r="F13" i="9"/>
  <c r="D13" i="9"/>
  <c r="C13" i="9"/>
  <c r="C14" i="9" s="1"/>
  <c r="D14" i="9" s="1"/>
  <c r="F14" i="9" s="1"/>
  <c r="G14" i="9" s="1"/>
  <c r="H14" i="9" s="1"/>
  <c r="I14" i="9" s="1"/>
  <c r="J14" i="9" s="1"/>
  <c r="K14" i="9" s="1"/>
  <c r="N14" i="9" s="1"/>
  <c r="O14" i="9" s="1"/>
  <c r="P14" i="9" s="1"/>
  <c r="Q14" i="9" s="1"/>
  <c r="R14" i="9" s="1"/>
  <c r="T14" i="9" s="1"/>
  <c r="U14" i="9" s="1"/>
  <c r="V14" i="9" s="1"/>
  <c r="W14" i="9" s="1"/>
  <c r="X14" i="9" s="1"/>
  <c r="Y14" i="9" s="1"/>
  <c r="AA14" i="9" s="1"/>
  <c r="AB14" i="9" s="1"/>
  <c r="AC14" i="9" s="1"/>
  <c r="AD14" i="9" s="1"/>
  <c r="AH12" i="9"/>
  <c r="AG11" i="9"/>
  <c r="AF11" i="9"/>
  <c r="AD10" i="9"/>
  <c r="AC10" i="9"/>
  <c r="AB10" i="9"/>
  <c r="AA10" i="9"/>
  <c r="Y10" i="9"/>
  <c r="X10" i="9"/>
  <c r="W10" i="9"/>
  <c r="V10" i="9"/>
  <c r="U10" i="9"/>
  <c r="T10" i="9"/>
  <c r="R10" i="9"/>
  <c r="Q10" i="9"/>
  <c r="P10" i="9"/>
  <c r="O10" i="9"/>
  <c r="N10" i="9"/>
  <c r="K10" i="9"/>
  <c r="J10" i="9"/>
  <c r="I10" i="9"/>
  <c r="H10" i="9"/>
  <c r="G10" i="9"/>
  <c r="F10" i="9"/>
  <c r="D10" i="9"/>
  <c r="C10" i="9"/>
  <c r="C11" i="9" s="1"/>
  <c r="D11" i="9" s="1"/>
  <c r="F11" i="9" s="1"/>
  <c r="G11" i="9" s="1"/>
  <c r="H11" i="9" s="1"/>
  <c r="I11" i="9" s="1"/>
  <c r="J11" i="9" s="1"/>
  <c r="K11" i="9" s="1"/>
  <c r="N11" i="9" s="1"/>
  <c r="O11" i="9" s="1"/>
  <c r="P11" i="9" s="1"/>
  <c r="Q11" i="9" s="1"/>
  <c r="R11" i="9" s="1"/>
  <c r="T11" i="9" s="1"/>
  <c r="U11" i="9" s="1"/>
  <c r="V11" i="9" s="1"/>
  <c r="W11" i="9" s="1"/>
  <c r="X11" i="9" s="1"/>
  <c r="Y11" i="9" s="1"/>
  <c r="AA11" i="9" s="1"/>
  <c r="AB11" i="9" s="1"/>
  <c r="AC11" i="9" s="1"/>
  <c r="AD11" i="9" s="1"/>
  <c r="AH9" i="9"/>
  <c r="AG8" i="9"/>
  <c r="AF8" i="9"/>
  <c r="AD7" i="9"/>
  <c r="AC7" i="9"/>
  <c r="AB7" i="9"/>
  <c r="AA7" i="9"/>
  <c r="Y7" i="9"/>
  <c r="X7" i="9"/>
  <c r="W7" i="9"/>
  <c r="V7" i="9"/>
  <c r="U7" i="9"/>
  <c r="T7" i="9"/>
  <c r="R7" i="9"/>
  <c r="Q7" i="9"/>
  <c r="P7" i="9"/>
  <c r="O7" i="9"/>
  <c r="N7" i="9"/>
  <c r="K7" i="9"/>
  <c r="J7" i="9"/>
  <c r="I7" i="9"/>
  <c r="H7" i="9"/>
  <c r="G7" i="9"/>
  <c r="F7" i="9"/>
  <c r="D7" i="9"/>
  <c r="C7" i="9"/>
  <c r="C8" i="9" s="1"/>
  <c r="D8" i="9" s="1"/>
  <c r="F8" i="9" s="1"/>
  <c r="G8" i="9" s="1"/>
  <c r="H8" i="9" s="1"/>
  <c r="I8" i="9" s="1"/>
  <c r="J8" i="9" s="1"/>
  <c r="K8" i="9" s="1"/>
  <c r="N8" i="9" s="1"/>
  <c r="O8" i="9" s="1"/>
  <c r="P8" i="9" s="1"/>
  <c r="Q8" i="9" s="1"/>
  <c r="R8" i="9" s="1"/>
  <c r="T8" i="9" s="1"/>
  <c r="U8" i="9" s="1"/>
  <c r="V8" i="9" s="1"/>
  <c r="W8" i="9" s="1"/>
  <c r="X8" i="9" s="1"/>
  <c r="Y8" i="9" s="1"/>
  <c r="AA8" i="9" s="1"/>
  <c r="AB8" i="9" s="1"/>
  <c r="AC8" i="9" s="1"/>
  <c r="AD8" i="9" s="1"/>
  <c r="AH6" i="9"/>
  <c r="AF5" i="9"/>
  <c r="AD4" i="9"/>
  <c r="AD25" i="9" s="1"/>
  <c r="AC4" i="9"/>
  <c r="AC25" i="9" s="1"/>
  <c r="AB4" i="9"/>
  <c r="AB25" i="9" s="1"/>
  <c r="AA4" i="9"/>
  <c r="AA25" i="9" s="1"/>
  <c r="Y4" i="9"/>
  <c r="Y25" i="9" s="1"/>
  <c r="X4" i="9"/>
  <c r="X25" i="9" s="1"/>
  <c r="W4" i="9"/>
  <c r="W25" i="9" s="1"/>
  <c r="V4" i="9"/>
  <c r="V25" i="9" s="1"/>
  <c r="U4" i="9"/>
  <c r="U25" i="9" s="1"/>
  <c r="T4" i="9"/>
  <c r="T25" i="9" s="1"/>
  <c r="R4" i="9"/>
  <c r="R25" i="9" s="1"/>
  <c r="Q4" i="9"/>
  <c r="Q25" i="9" s="1"/>
  <c r="P4" i="9"/>
  <c r="P25" i="9" s="1"/>
  <c r="O4" i="9"/>
  <c r="O25" i="9" s="1"/>
  <c r="N4" i="9"/>
  <c r="N25" i="9" s="1"/>
  <c r="K4" i="9"/>
  <c r="K25" i="9" s="1"/>
  <c r="J4" i="9"/>
  <c r="J25" i="9" s="1"/>
  <c r="I4" i="9"/>
  <c r="I25" i="9" s="1"/>
  <c r="H4" i="9"/>
  <c r="H25" i="9" s="1"/>
  <c r="G4" i="9"/>
  <c r="G25" i="9" s="1"/>
  <c r="F4" i="9"/>
  <c r="F25" i="9" s="1"/>
  <c r="D4" i="9"/>
  <c r="D25" i="9" s="1"/>
  <c r="C4" i="9"/>
  <c r="C5" i="9" s="1"/>
  <c r="D5" i="9" s="1"/>
  <c r="F5" i="9" s="1"/>
  <c r="G5" i="9" s="1"/>
  <c r="H5" i="9" s="1"/>
  <c r="I5" i="9" s="1"/>
  <c r="J5" i="9" s="1"/>
  <c r="K5" i="9" s="1"/>
  <c r="N5" i="9" s="1"/>
  <c r="O5" i="9" s="1"/>
  <c r="P5" i="9" s="1"/>
  <c r="Q5" i="9" s="1"/>
  <c r="R5" i="9" s="1"/>
  <c r="T5" i="9" s="1"/>
  <c r="U5" i="9" s="1"/>
  <c r="V5" i="9" s="1"/>
  <c r="W5" i="9" s="1"/>
  <c r="X5" i="9" s="1"/>
  <c r="Y5" i="9" s="1"/>
  <c r="AA5" i="9" s="1"/>
  <c r="AB5" i="9" s="1"/>
  <c r="AC5" i="9" s="1"/>
  <c r="AD5" i="9" s="1"/>
  <c r="AH3" i="9"/>
  <c r="AF62" i="6"/>
  <c r="AH61" i="6"/>
  <c r="AF61" i="6"/>
  <c r="AD61" i="6"/>
  <c r="AC61" i="6"/>
  <c r="AB61" i="6"/>
  <c r="AA61" i="6"/>
  <c r="Y61" i="6"/>
  <c r="X61" i="6"/>
  <c r="W61" i="6"/>
  <c r="V61" i="6"/>
  <c r="U61" i="6"/>
  <c r="T61" i="6"/>
  <c r="R61" i="6"/>
  <c r="Q61" i="6"/>
  <c r="P61" i="6"/>
  <c r="O61" i="6"/>
  <c r="N61" i="6"/>
  <c r="K61" i="6"/>
  <c r="J61" i="6"/>
  <c r="I61" i="6"/>
  <c r="H61" i="6"/>
  <c r="G61" i="6"/>
  <c r="F61" i="6"/>
  <c r="D61" i="6"/>
  <c r="C61" i="6"/>
  <c r="AF60" i="6"/>
  <c r="AD59" i="6"/>
  <c r="AC59" i="6"/>
  <c r="AB59" i="6"/>
  <c r="AA59" i="6"/>
  <c r="Y59" i="6"/>
  <c r="X59" i="6"/>
  <c r="W59" i="6"/>
  <c r="V59" i="6"/>
  <c r="U59" i="6"/>
  <c r="T59" i="6"/>
  <c r="R59" i="6"/>
  <c r="Q59" i="6"/>
  <c r="P59" i="6"/>
  <c r="O59" i="6"/>
  <c r="N59" i="6"/>
  <c r="K59" i="6"/>
  <c r="J59" i="6"/>
  <c r="I59" i="6"/>
  <c r="H59" i="6"/>
  <c r="G59" i="6"/>
  <c r="F59" i="6"/>
  <c r="D59" i="6"/>
  <c r="C59" i="6"/>
  <c r="AH59" i="6" s="1"/>
  <c r="AH58" i="6"/>
  <c r="AF57" i="6"/>
  <c r="D57" i="6"/>
  <c r="F57" i="6" s="1"/>
  <c r="G57" i="6" s="1"/>
  <c r="H57" i="6" s="1"/>
  <c r="I57" i="6" s="1"/>
  <c r="J57" i="6" s="1"/>
  <c r="K57" i="6" s="1"/>
  <c r="N57" i="6" s="1"/>
  <c r="O57" i="6" s="1"/>
  <c r="P57" i="6" s="1"/>
  <c r="Q57" i="6" s="1"/>
  <c r="R57" i="6" s="1"/>
  <c r="T57" i="6" s="1"/>
  <c r="U57" i="6" s="1"/>
  <c r="V57" i="6" s="1"/>
  <c r="W57" i="6" s="1"/>
  <c r="X57" i="6" s="1"/>
  <c r="Y57" i="6" s="1"/>
  <c r="AA57" i="6" s="1"/>
  <c r="AB57" i="6" s="1"/>
  <c r="AC57" i="6" s="1"/>
  <c r="AD57" i="6" s="1"/>
  <c r="AD56" i="6"/>
  <c r="AC56" i="6"/>
  <c r="AB56" i="6"/>
  <c r="AA56" i="6"/>
  <c r="Y56" i="6"/>
  <c r="X56" i="6"/>
  <c r="W56" i="6"/>
  <c r="V56" i="6"/>
  <c r="U56" i="6"/>
  <c r="T56" i="6"/>
  <c r="R56" i="6"/>
  <c r="Q56" i="6"/>
  <c r="P56" i="6"/>
  <c r="O56" i="6"/>
  <c r="N56" i="6"/>
  <c r="K56" i="6"/>
  <c r="J56" i="6"/>
  <c r="I56" i="6"/>
  <c r="H56" i="6"/>
  <c r="G56" i="6"/>
  <c r="F56" i="6"/>
  <c r="D56" i="6"/>
  <c r="C56" i="6"/>
  <c r="C57" i="6" s="1"/>
  <c r="AF55" i="6"/>
  <c r="AF54" i="6"/>
  <c r="AD53" i="6"/>
  <c r="AC53" i="6"/>
  <c r="AB53" i="6"/>
  <c r="AA53" i="6"/>
  <c r="Y53" i="6"/>
  <c r="X53" i="6"/>
  <c r="W53" i="6"/>
  <c r="V53" i="6"/>
  <c r="U53" i="6"/>
  <c r="T53" i="6"/>
  <c r="R53" i="6"/>
  <c r="Q53" i="6"/>
  <c r="P53" i="6"/>
  <c r="O53" i="6"/>
  <c r="N53" i="6"/>
  <c r="K53" i="6"/>
  <c r="J53" i="6"/>
  <c r="I53" i="6"/>
  <c r="H53" i="6"/>
  <c r="G53" i="6"/>
  <c r="F53" i="6"/>
  <c r="D53" i="6"/>
  <c r="C53" i="6"/>
  <c r="C54" i="6" s="1"/>
  <c r="D54" i="6" s="1"/>
  <c r="F54" i="6" s="1"/>
  <c r="G54" i="6" s="1"/>
  <c r="H54" i="6" s="1"/>
  <c r="I54" i="6" s="1"/>
  <c r="J54" i="6" s="1"/>
  <c r="K54" i="6" s="1"/>
  <c r="N54" i="6" s="1"/>
  <c r="O54" i="6" s="1"/>
  <c r="P54" i="6" s="1"/>
  <c r="Q54" i="6" s="1"/>
  <c r="R54" i="6" s="1"/>
  <c r="T54" i="6" s="1"/>
  <c r="U54" i="6" s="1"/>
  <c r="V54" i="6" s="1"/>
  <c r="W54" i="6" s="1"/>
  <c r="X54" i="6" s="1"/>
  <c r="Y54" i="6" s="1"/>
  <c r="AA54" i="6" s="1"/>
  <c r="AB54" i="6" s="1"/>
  <c r="AC54" i="6" s="1"/>
  <c r="AD54" i="6" s="1"/>
  <c r="AF51" i="6"/>
  <c r="AD50" i="6"/>
  <c r="AC50" i="6"/>
  <c r="AB50" i="6"/>
  <c r="AA50" i="6"/>
  <c r="Y50" i="6"/>
  <c r="X50" i="6"/>
  <c r="W50" i="6"/>
  <c r="V50" i="6"/>
  <c r="U50" i="6"/>
  <c r="T50" i="6"/>
  <c r="R50" i="6"/>
  <c r="Q50" i="6"/>
  <c r="P50" i="6"/>
  <c r="O50" i="6"/>
  <c r="N50" i="6"/>
  <c r="K50" i="6"/>
  <c r="J50" i="6"/>
  <c r="I50" i="6"/>
  <c r="H50" i="6"/>
  <c r="G50" i="6"/>
  <c r="F50" i="6"/>
  <c r="D50" i="6"/>
  <c r="C50" i="6"/>
  <c r="AH50" i="6" s="1"/>
  <c r="AH49" i="6"/>
  <c r="AF48" i="6"/>
  <c r="AD47" i="6"/>
  <c r="AC47" i="6"/>
  <c r="AB47" i="6"/>
  <c r="AA47" i="6"/>
  <c r="Y47" i="6"/>
  <c r="X47" i="6"/>
  <c r="W47" i="6"/>
  <c r="V47" i="6"/>
  <c r="U47" i="6"/>
  <c r="T47" i="6"/>
  <c r="R47" i="6"/>
  <c r="Q47" i="6"/>
  <c r="P47" i="6"/>
  <c r="O47" i="6"/>
  <c r="N47" i="6"/>
  <c r="K47" i="6"/>
  <c r="J47" i="6"/>
  <c r="I47" i="6"/>
  <c r="H47" i="6"/>
  <c r="G47" i="6"/>
  <c r="F47" i="6"/>
  <c r="D47" i="6"/>
  <c r="C47" i="6"/>
  <c r="C48" i="6" s="1"/>
  <c r="D48" i="6" s="1"/>
  <c r="F48" i="6" s="1"/>
  <c r="G48" i="6" s="1"/>
  <c r="H48" i="6" s="1"/>
  <c r="I48" i="6" s="1"/>
  <c r="J48" i="6" s="1"/>
  <c r="K48" i="6" s="1"/>
  <c r="N48" i="6" s="1"/>
  <c r="O48" i="6" s="1"/>
  <c r="P48" i="6" s="1"/>
  <c r="Q48" i="6" s="1"/>
  <c r="R48" i="6" s="1"/>
  <c r="T48" i="6" s="1"/>
  <c r="U48" i="6" s="1"/>
  <c r="V48" i="6" s="1"/>
  <c r="W48" i="6" s="1"/>
  <c r="X48" i="6" s="1"/>
  <c r="Y48" i="6" s="1"/>
  <c r="AA48" i="6" s="1"/>
  <c r="AB48" i="6" s="1"/>
  <c r="AC48" i="6" s="1"/>
  <c r="AD48" i="6" s="1"/>
  <c r="AH46" i="6"/>
  <c r="AF45" i="6"/>
  <c r="AD44" i="6"/>
  <c r="AC44" i="6"/>
  <c r="AB44" i="6"/>
  <c r="AA44" i="6"/>
  <c r="Y44" i="6"/>
  <c r="X44" i="6"/>
  <c r="W44" i="6"/>
  <c r="V44" i="6"/>
  <c r="U44" i="6"/>
  <c r="T44" i="6"/>
  <c r="R44" i="6"/>
  <c r="Q44" i="6"/>
  <c r="P44" i="6"/>
  <c r="O44" i="6"/>
  <c r="N44" i="6"/>
  <c r="K44" i="6"/>
  <c r="J44" i="6"/>
  <c r="I44" i="6"/>
  <c r="H44" i="6"/>
  <c r="G44" i="6"/>
  <c r="F44" i="6"/>
  <c r="AH44" i="6" s="1"/>
  <c r="D44" i="6"/>
  <c r="C44" i="6"/>
  <c r="C45" i="6" s="1"/>
  <c r="D45" i="6" s="1"/>
  <c r="F45" i="6" s="1"/>
  <c r="G45" i="6" s="1"/>
  <c r="H45" i="6" s="1"/>
  <c r="I45" i="6" s="1"/>
  <c r="J45" i="6" s="1"/>
  <c r="K45" i="6" s="1"/>
  <c r="N45" i="6" s="1"/>
  <c r="O45" i="6" s="1"/>
  <c r="P45" i="6" s="1"/>
  <c r="Q45" i="6" s="1"/>
  <c r="R45" i="6" s="1"/>
  <c r="T45" i="6" s="1"/>
  <c r="U45" i="6" s="1"/>
  <c r="V45" i="6" s="1"/>
  <c r="W45" i="6" s="1"/>
  <c r="X45" i="6" s="1"/>
  <c r="Y45" i="6" s="1"/>
  <c r="AA45" i="6" s="1"/>
  <c r="AB45" i="6" s="1"/>
  <c r="AC45" i="6" s="1"/>
  <c r="AD45" i="6" s="1"/>
  <c r="AH43" i="6"/>
  <c r="AF42" i="6"/>
  <c r="AD41" i="6"/>
  <c r="AC41" i="6"/>
  <c r="AB41" i="6"/>
  <c r="AA41" i="6"/>
  <c r="Y41" i="6"/>
  <c r="X41" i="6"/>
  <c r="W41" i="6"/>
  <c r="V41" i="6"/>
  <c r="U41" i="6"/>
  <c r="T41" i="6"/>
  <c r="R41" i="6"/>
  <c r="Q41" i="6"/>
  <c r="P41" i="6"/>
  <c r="O41" i="6"/>
  <c r="N41" i="6"/>
  <c r="K41" i="6"/>
  <c r="J41" i="6"/>
  <c r="I41" i="6"/>
  <c r="H41" i="6"/>
  <c r="G41" i="6"/>
  <c r="AH41" i="6" s="1"/>
  <c r="F41" i="6"/>
  <c r="D41" i="6"/>
  <c r="C41" i="6"/>
  <c r="C42" i="6" s="1"/>
  <c r="D42" i="6" s="1"/>
  <c r="F42" i="6" s="1"/>
  <c r="G42" i="6" s="1"/>
  <c r="H42" i="6" s="1"/>
  <c r="I42" i="6" s="1"/>
  <c r="J42" i="6" s="1"/>
  <c r="K42" i="6" s="1"/>
  <c r="N42" i="6" s="1"/>
  <c r="O42" i="6" s="1"/>
  <c r="P42" i="6" s="1"/>
  <c r="Q42" i="6" s="1"/>
  <c r="R42" i="6" s="1"/>
  <c r="T42" i="6" s="1"/>
  <c r="U42" i="6" s="1"/>
  <c r="V42" i="6" s="1"/>
  <c r="W42" i="6" s="1"/>
  <c r="X42" i="6" s="1"/>
  <c r="Y42" i="6" s="1"/>
  <c r="AA42" i="6" s="1"/>
  <c r="AB42" i="6" s="1"/>
  <c r="AC42" i="6" s="1"/>
  <c r="AD42" i="6" s="1"/>
  <c r="AH40" i="6"/>
  <c r="AF40" i="6"/>
  <c r="AD40" i="6"/>
  <c r="AC40" i="6"/>
  <c r="AB40" i="6"/>
  <c r="AA40" i="6"/>
  <c r="Y40" i="6"/>
  <c r="X40" i="6"/>
  <c r="W40" i="6"/>
  <c r="V40" i="6"/>
  <c r="U40" i="6"/>
  <c r="T40" i="6"/>
  <c r="R40" i="6"/>
  <c r="Q40" i="6"/>
  <c r="P40" i="6"/>
  <c r="O40" i="6"/>
  <c r="N40" i="6"/>
  <c r="K40" i="6"/>
  <c r="J40" i="6"/>
  <c r="I40" i="6"/>
  <c r="H40" i="6"/>
  <c r="G40" i="6"/>
  <c r="F40" i="6"/>
  <c r="D40" i="6"/>
  <c r="C40" i="6"/>
  <c r="AF39" i="6"/>
  <c r="AD38" i="6"/>
  <c r="AC38" i="6"/>
  <c r="AB38" i="6"/>
  <c r="AA38" i="6"/>
  <c r="Y38" i="6"/>
  <c r="X38" i="6"/>
  <c r="W38" i="6"/>
  <c r="V38" i="6"/>
  <c r="U38" i="6"/>
  <c r="T38" i="6"/>
  <c r="R38" i="6"/>
  <c r="Q38" i="6"/>
  <c r="P38" i="6"/>
  <c r="O38" i="6"/>
  <c r="N38" i="6"/>
  <c r="K38" i="6"/>
  <c r="J38" i="6"/>
  <c r="I38" i="6"/>
  <c r="H38" i="6"/>
  <c r="G38" i="6"/>
  <c r="F38" i="6"/>
  <c r="D38" i="6"/>
  <c r="C38" i="6"/>
  <c r="AH38" i="6" s="1"/>
  <c r="AH37" i="6"/>
  <c r="AF37" i="6"/>
  <c r="AD37" i="6"/>
  <c r="AC37" i="6"/>
  <c r="AB37" i="6"/>
  <c r="AA37" i="6"/>
  <c r="Y37" i="6"/>
  <c r="X37" i="6"/>
  <c r="W37" i="6"/>
  <c r="V37" i="6"/>
  <c r="U37" i="6"/>
  <c r="T37" i="6"/>
  <c r="R37" i="6"/>
  <c r="Q37" i="6"/>
  <c r="P37" i="6"/>
  <c r="O37" i="6"/>
  <c r="N37" i="6"/>
  <c r="K37" i="6"/>
  <c r="J37" i="6"/>
  <c r="I37" i="6"/>
  <c r="D37" i="6"/>
  <c r="C37" i="6"/>
  <c r="AF36" i="6"/>
  <c r="AD35" i="6"/>
  <c r="AC35" i="6"/>
  <c r="AB35" i="6"/>
  <c r="AA35" i="6"/>
  <c r="Y35" i="6"/>
  <c r="X35" i="6"/>
  <c r="W35" i="6"/>
  <c r="V35" i="6"/>
  <c r="U35" i="6"/>
  <c r="T35" i="6"/>
  <c r="R35" i="6"/>
  <c r="Q35" i="6"/>
  <c r="P35" i="6"/>
  <c r="O35" i="6"/>
  <c r="N35" i="6"/>
  <c r="K35" i="6"/>
  <c r="J35" i="6"/>
  <c r="I35" i="6"/>
  <c r="H35" i="6"/>
  <c r="G35" i="6"/>
  <c r="F35" i="6"/>
  <c r="AH35" i="6" s="1"/>
  <c r="D35" i="6"/>
  <c r="C35" i="6"/>
  <c r="C36" i="6" s="1"/>
  <c r="D36" i="6" s="1"/>
  <c r="F36" i="6" s="1"/>
  <c r="G36" i="6" s="1"/>
  <c r="H36" i="6" s="1"/>
  <c r="I36" i="6" s="1"/>
  <c r="J36" i="6" s="1"/>
  <c r="K36" i="6" s="1"/>
  <c r="N36" i="6" s="1"/>
  <c r="O36" i="6" s="1"/>
  <c r="P36" i="6" s="1"/>
  <c r="Q36" i="6" s="1"/>
  <c r="R36" i="6" s="1"/>
  <c r="T36" i="6" s="1"/>
  <c r="U36" i="6" s="1"/>
  <c r="V36" i="6" s="1"/>
  <c r="W36" i="6" s="1"/>
  <c r="X36" i="6" s="1"/>
  <c r="Y36" i="6" s="1"/>
  <c r="AA36" i="6" s="1"/>
  <c r="AB36" i="6" s="1"/>
  <c r="AC36" i="6" s="1"/>
  <c r="AD36" i="6" s="1"/>
  <c r="AH34" i="6"/>
  <c r="AF34" i="6"/>
  <c r="AA34" i="6"/>
  <c r="F34" i="6"/>
  <c r="D34" i="6"/>
  <c r="C34" i="6"/>
  <c r="AF33" i="6"/>
  <c r="C33" i="6"/>
  <c r="D33" i="6" s="1"/>
  <c r="F33" i="6" s="1"/>
  <c r="G33" i="6" s="1"/>
  <c r="H33" i="6" s="1"/>
  <c r="I33" i="6" s="1"/>
  <c r="J33" i="6" s="1"/>
  <c r="K33" i="6" s="1"/>
  <c r="N33" i="6" s="1"/>
  <c r="O33" i="6" s="1"/>
  <c r="P33" i="6" s="1"/>
  <c r="Q33" i="6" s="1"/>
  <c r="R33" i="6" s="1"/>
  <c r="T33" i="6" s="1"/>
  <c r="U33" i="6" s="1"/>
  <c r="V33" i="6" s="1"/>
  <c r="W33" i="6" s="1"/>
  <c r="X33" i="6" s="1"/>
  <c r="Y33" i="6" s="1"/>
  <c r="AA33" i="6" s="1"/>
  <c r="AB33" i="6" s="1"/>
  <c r="AC33" i="6" s="1"/>
  <c r="AD33" i="6" s="1"/>
  <c r="AD32" i="6"/>
  <c r="AC32" i="6"/>
  <c r="AC62" i="6" s="1"/>
  <c r="AB32" i="6"/>
  <c r="AB62" i="6" s="1"/>
  <c r="AA32" i="6"/>
  <c r="AA62" i="6" s="1"/>
  <c r="Y32" i="6"/>
  <c r="X32" i="6"/>
  <c r="X62" i="6" s="1"/>
  <c r="W32" i="6"/>
  <c r="W62" i="6" s="1"/>
  <c r="V32" i="6"/>
  <c r="V62" i="6" s="1"/>
  <c r="U32" i="6"/>
  <c r="T32" i="6"/>
  <c r="T62" i="6" s="1"/>
  <c r="R32" i="6"/>
  <c r="R62" i="6" s="1"/>
  <c r="Q32" i="6"/>
  <c r="Q62" i="6" s="1"/>
  <c r="P32" i="6"/>
  <c r="O32" i="6"/>
  <c r="O62" i="6" s="1"/>
  <c r="K32" i="6"/>
  <c r="K62" i="6" s="1"/>
  <c r="J32" i="6"/>
  <c r="I32" i="6"/>
  <c r="I62" i="6" s="1"/>
  <c r="H32" i="6"/>
  <c r="G32" i="6"/>
  <c r="G62" i="6" s="1"/>
  <c r="F32" i="6"/>
  <c r="D32" i="6"/>
  <c r="D62" i="6" s="1"/>
  <c r="C32" i="6"/>
  <c r="AH31" i="6"/>
  <c r="AG25" i="6"/>
  <c r="AF25" i="6"/>
  <c r="Z25" i="6"/>
  <c r="S25" i="6"/>
  <c r="M25" i="6"/>
  <c r="L25" i="6"/>
  <c r="E25" i="6"/>
  <c r="AH24" i="6"/>
  <c r="AG24" i="6"/>
  <c r="AF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G23" i="6"/>
  <c r="AF23" i="6"/>
  <c r="AD22" i="6"/>
  <c r="AC22" i="6"/>
  <c r="AB22" i="6"/>
  <c r="AA22" i="6"/>
  <c r="Y22" i="6"/>
  <c r="X22" i="6"/>
  <c r="W22" i="6"/>
  <c r="V22" i="6"/>
  <c r="U22" i="6"/>
  <c r="T22" i="6"/>
  <c r="R22" i="6"/>
  <c r="Q22" i="6"/>
  <c r="P22" i="6"/>
  <c r="O22" i="6"/>
  <c r="N22" i="6"/>
  <c r="K22" i="6"/>
  <c r="J22" i="6"/>
  <c r="I22" i="6"/>
  <c r="H22" i="6"/>
  <c r="G22" i="6"/>
  <c r="F22" i="6"/>
  <c r="D22" i="6"/>
  <c r="AH22" i="6" s="1"/>
  <c r="C22" i="6"/>
  <c r="C23" i="6" s="1"/>
  <c r="D23" i="6" s="1"/>
  <c r="F23" i="6" s="1"/>
  <c r="G23" i="6" s="1"/>
  <c r="H23" i="6" s="1"/>
  <c r="I23" i="6" s="1"/>
  <c r="J23" i="6" s="1"/>
  <c r="K23" i="6" s="1"/>
  <c r="N23" i="6" s="1"/>
  <c r="O23" i="6" s="1"/>
  <c r="P23" i="6" s="1"/>
  <c r="Q23" i="6" s="1"/>
  <c r="R23" i="6" s="1"/>
  <c r="T23" i="6" s="1"/>
  <c r="U23" i="6" s="1"/>
  <c r="V23" i="6" s="1"/>
  <c r="W23" i="6" s="1"/>
  <c r="X23" i="6" s="1"/>
  <c r="Y23" i="6" s="1"/>
  <c r="AA23" i="6" s="1"/>
  <c r="AB23" i="6" s="1"/>
  <c r="AC23" i="6" s="1"/>
  <c r="AD23" i="6" s="1"/>
  <c r="AH21" i="6"/>
  <c r="AG20" i="6"/>
  <c r="AF20" i="6"/>
  <c r="AD19" i="6"/>
  <c r="AC19" i="6"/>
  <c r="AB19" i="6"/>
  <c r="AA19" i="6"/>
  <c r="Y19" i="6"/>
  <c r="X19" i="6"/>
  <c r="W19" i="6"/>
  <c r="V19" i="6"/>
  <c r="U19" i="6"/>
  <c r="T19" i="6"/>
  <c r="R19" i="6"/>
  <c r="Q19" i="6"/>
  <c r="P19" i="6"/>
  <c r="O19" i="6"/>
  <c r="N19" i="6"/>
  <c r="K19" i="6"/>
  <c r="J19" i="6"/>
  <c r="I19" i="6"/>
  <c r="H19" i="6"/>
  <c r="G19" i="6"/>
  <c r="F19" i="6"/>
  <c r="D19" i="6"/>
  <c r="C19" i="6"/>
  <c r="C20" i="6" s="1"/>
  <c r="D20" i="6" s="1"/>
  <c r="F20" i="6" s="1"/>
  <c r="G20" i="6" s="1"/>
  <c r="H20" i="6" s="1"/>
  <c r="I20" i="6" s="1"/>
  <c r="J20" i="6" s="1"/>
  <c r="K20" i="6" s="1"/>
  <c r="N20" i="6" s="1"/>
  <c r="O20" i="6" s="1"/>
  <c r="P20" i="6" s="1"/>
  <c r="Q20" i="6" s="1"/>
  <c r="R20" i="6" s="1"/>
  <c r="T20" i="6" s="1"/>
  <c r="U20" i="6" s="1"/>
  <c r="V20" i="6" s="1"/>
  <c r="W20" i="6" s="1"/>
  <c r="X20" i="6" s="1"/>
  <c r="Y20" i="6" s="1"/>
  <c r="AA20" i="6" s="1"/>
  <c r="AB20" i="6" s="1"/>
  <c r="AC20" i="6" s="1"/>
  <c r="AD20" i="6" s="1"/>
  <c r="AH18" i="6"/>
  <c r="AG17" i="6"/>
  <c r="AF17" i="6"/>
  <c r="AD16" i="6"/>
  <c r="AC16" i="6"/>
  <c r="AB16" i="6"/>
  <c r="AA16" i="6"/>
  <c r="Y16" i="6"/>
  <c r="X16" i="6"/>
  <c r="W16" i="6"/>
  <c r="V16" i="6"/>
  <c r="U16" i="6"/>
  <c r="T16" i="6"/>
  <c r="R16" i="6"/>
  <c r="Q16" i="6"/>
  <c r="P16" i="6"/>
  <c r="O16" i="6"/>
  <c r="N16" i="6"/>
  <c r="K16" i="6"/>
  <c r="J16" i="6"/>
  <c r="I16" i="6"/>
  <c r="H16" i="6"/>
  <c r="G16" i="6"/>
  <c r="F16" i="6"/>
  <c r="D16" i="6"/>
  <c r="C16" i="6"/>
  <c r="AH16" i="6" s="1"/>
  <c r="AH15" i="6"/>
  <c r="AG14" i="6"/>
  <c r="AF14" i="6"/>
  <c r="AD13" i="6"/>
  <c r="AC13" i="6"/>
  <c r="AB13" i="6"/>
  <c r="AA13" i="6"/>
  <c r="Y13" i="6"/>
  <c r="X13" i="6"/>
  <c r="W13" i="6"/>
  <c r="V13" i="6"/>
  <c r="U13" i="6"/>
  <c r="T13" i="6"/>
  <c r="R13" i="6"/>
  <c r="Q13" i="6"/>
  <c r="P13" i="6"/>
  <c r="O13" i="6"/>
  <c r="N13" i="6"/>
  <c r="K13" i="6"/>
  <c r="J13" i="6"/>
  <c r="I13" i="6"/>
  <c r="H13" i="6"/>
  <c r="G13" i="6"/>
  <c r="F13" i="6"/>
  <c r="D13" i="6"/>
  <c r="C13" i="6"/>
  <c r="C14" i="6" s="1"/>
  <c r="D14" i="6" s="1"/>
  <c r="F14" i="6" s="1"/>
  <c r="G14" i="6" s="1"/>
  <c r="H14" i="6" s="1"/>
  <c r="I14" i="6" s="1"/>
  <c r="J14" i="6" s="1"/>
  <c r="K14" i="6" s="1"/>
  <c r="N14" i="6" s="1"/>
  <c r="O14" i="6" s="1"/>
  <c r="P14" i="6" s="1"/>
  <c r="Q14" i="6" s="1"/>
  <c r="R14" i="6" s="1"/>
  <c r="T14" i="6" s="1"/>
  <c r="U14" i="6" s="1"/>
  <c r="V14" i="6" s="1"/>
  <c r="W14" i="6" s="1"/>
  <c r="X14" i="6" s="1"/>
  <c r="Y14" i="6" s="1"/>
  <c r="AA14" i="6" s="1"/>
  <c r="AB14" i="6" s="1"/>
  <c r="AC14" i="6" s="1"/>
  <c r="AD14" i="6" s="1"/>
  <c r="AH12" i="6"/>
  <c r="AG11" i="6"/>
  <c r="AF11" i="6"/>
  <c r="AD10" i="6"/>
  <c r="AC10" i="6"/>
  <c r="AB10" i="6"/>
  <c r="AA10" i="6"/>
  <c r="Y10" i="6"/>
  <c r="X10" i="6"/>
  <c r="W10" i="6"/>
  <c r="V10" i="6"/>
  <c r="U10" i="6"/>
  <c r="T10" i="6"/>
  <c r="R10" i="6"/>
  <c r="Q10" i="6"/>
  <c r="P10" i="6"/>
  <c r="O10" i="6"/>
  <c r="N10" i="6"/>
  <c r="K10" i="6"/>
  <c r="J10" i="6"/>
  <c r="I10" i="6"/>
  <c r="H10" i="6"/>
  <c r="G10" i="6"/>
  <c r="F10" i="6"/>
  <c r="D10" i="6"/>
  <c r="C10" i="6"/>
  <c r="AH10" i="6" s="1"/>
  <c r="AH9" i="6"/>
  <c r="AG8" i="6"/>
  <c r="AF8" i="6"/>
  <c r="AD7" i="6"/>
  <c r="AC7" i="6"/>
  <c r="AB7" i="6"/>
  <c r="AA7" i="6"/>
  <c r="Y7" i="6"/>
  <c r="X7" i="6"/>
  <c r="W7" i="6"/>
  <c r="V7" i="6"/>
  <c r="U7" i="6"/>
  <c r="T7" i="6"/>
  <c r="R7" i="6"/>
  <c r="Q7" i="6"/>
  <c r="P7" i="6"/>
  <c r="O7" i="6"/>
  <c r="N7" i="6"/>
  <c r="K7" i="6"/>
  <c r="J7" i="6"/>
  <c r="I7" i="6"/>
  <c r="H7" i="6"/>
  <c r="G7" i="6"/>
  <c r="F7" i="6"/>
  <c r="D7" i="6"/>
  <c r="C7" i="6"/>
  <c r="C8" i="6" s="1"/>
  <c r="D8" i="6" s="1"/>
  <c r="F8" i="6" s="1"/>
  <c r="G8" i="6" s="1"/>
  <c r="H8" i="6" s="1"/>
  <c r="I8" i="6" s="1"/>
  <c r="J8" i="6" s="1"/>
  <c r="K8" i="6" s="1"/>
  <c r="N8" i="6" s="1"/>
  <c r="O8" i="6" s="1"/>
  <c r="P8" i="6" s="1"/>
  <c r="Q8" i="6" s="1"/>
  <c r="R8" i="6" s="1"/>
  <c r="T8" i="6" s="1"/>
  <c r="U8" i="6" s="1"/>
  <c r="V8" i="6" s="1"/>
  <c r="W8" i="6" s="1"/>
  <c r="X8" i="6" s="1"/>
  <c r="Y8" i="6" s="1"/>
  <c r="AA8" i="6" s="1"/>
  <c r="AB8" i="6" s="1"/>
  <c r="AC8" i="6" s="1"/>
  <c r="AD8" i="6" s="1"/>
  <c r="AH6" i="6"/>
  <c r="AF5" i="6"/>
  <c r="AD4" i="6"/>
  <c r="AD25" i="6" s="1"/>
  <c r="AC4" i="6"/>
  <c r="AC25" i="6" s="1"/>
  <c r="AB4" i="6"/>
  <c r="AB25" i="6" s="1"/>
  <c r="AA4" i="6"/>
  <c r="AA25" i="6" s="1"/>
  <c r="Y4" i="6"/>
  <c r="Y25" i="6" s="1"/>
  <c r="X4" i="6"/>
  <c r="X25" i="6" s="1"/>
  <c r="W4" i="6"/>
  <c r="W25" i="6" s="1"/>
  <c r="V4" i="6"/>
  <c r="V25" i="6" s="1"/>
  <c r="U4" i="6"/>
  <c r="U25" i="6" s="1"/>
  <c r="T4" i="6"/>
  <c r="T25" i="6" s="1"/>
  <c r="R4" i="6"/>
  <c r="R25" i="6" s="1"/>
  <c r="Q4" i="6"/>
  <c r="Q25" i="6" s="1"/>
  <c r="P4" i="6"/>
  <c r="P25" i="6" s="1"/>
  <c r="O4" i="6"/>
  <c r="O25" i="6" s="1"/>
  <c r="N4" i="6"/>
  <c r="N25" i="6" s="1"/>
  <c r="K4" i="6"/>
  <c r="K25" i="6" s="1"/>
  <c r="J4" i="6"/>
  <c r="J25" i="6" s="1"/>
  <c r="I4" i="6"/>
  <c r="I25" i="6" s="1"/>
  <c r="H4" i="6"/>
  <c r="H25" i="6" s="1"/>
  <c r="G4" i="6"/>
  <c r="G25" i="6" s="1"/>
  <c r="F4" i="6"/>
  <c r="F25" i="6" s="1"/>
  <c r="D4" i="6"/>
  <c r="D25" i="6" s="1"/>
  <c r="C4" i="6"/>
  <c r="C5" i="6" s="1"/>
  <c r="D5" i="6" s="1"/>
  <c r="F5" i="6" s="1"/>
  <c r="G5" i="6" s="1"/>
  <c r="H5" i="6" s="1"/>
  <c r="I5" i="6" s="1"/>
  <c r="J5" i="6" s="1"/>
  <c r="K5" i="6" s="1"/>
  <c r="N5" i="6" s="1"/>
  <c r="O5" i="6" s="1"/>
  <c r="P5" i="6" s="1"/>
  <c r="Q5" i="6" s="1"/>
  <c r="R5" i="6" s="1"/>
  <c r="T5" i="6" s="1"/>
  <c r="U5" i="6" s="1"/>
  <c r="V5" i="6" s="1"/>
  <c r="W5" i="6" s="1"/>
  <c r="X5" i="6" s="1"/>
  <c r="Y5" i="6" s="1"/>
  <c r="AA5" i="6" s="1"/>
  <c r="AB5" i="6" s="1"/>
  <c r="AC5" i="6" s="1"/>
  <c r="AD5" i="6" s="1"/>
  <c r="AH3" i="6"/>
  <c r="AL297" i="4"/>
  <c r="AK297" i="4"/>
  <c r="AJ297" i="4"/>
  <c r="AI297" i="4"/>
  <c r="AH297" i="4"/>
  <c r="AF297" i="4"/>
  <c r="AE297" i="4"/>
  <c r="AD297" i="4"/>
  <c r="AC297" i="4"/>
  <c r="AB297" i="4"/>
  <c r="AA297" i="4"/>
  <c r="Y297" i="4"/>
  <c r="X297" i="4"/>
  <c r="W297" i="4"/>
  <c r="U297" i="4"/>
  <c r="T297" i="4"/>
  <c r="O297" i="4"/>
  <c r="N297" i="4"/>
  <c r="M297" i="4"/>
  <c r="K297" i="4"/>
  <c r="J297" i="4"/>
  <c r="I297" i="4"/>
  <c r="AL296" i="4"/>
  <c r="AK296" i="4"/>
  <c r="AJ296" i="4"/>
  <c r="AI296" i="4"/>
  <c r="AH296" i="4"/>
  <c r="AF296" i="4"/>
  <c r="AE296" i="4"/>
  <c r="AD296" i="4"/>
  <c r="AC296" i="4"/>
  <c r="AB296" i="4"/>
  <c r="AA296" i="4"/>
  <c r="Y296" i="4"/>
  <c r="X296" i="4"/>
  <c r="W296" i="4"/>
  <c r="U296" i="4"/>
  <c r="T296" i="4"/>
  <c r="O296" i="4"/>
  <c r="N296" i="4"/>
  <c r="M296" i="4"/>
  <c r="K296" i="4"/>
  <c r="J296" i="4"/>
  <c r="I296" i="4"/>
  <c r="AK295" i="4"/>
  <c r="AJ295" i="4"/>
  <c r="AI295" i="4"/>
  <c r="AH295" i="4"/>
  <c r="AF295" i="4"/>
  <c r="AE295" i="4"/>
  <c r="AD295" i="4"/>
  <c r="AC295" i="4"/>
  <c r="AB295" i="4"/>
  <c r="AA295" i="4"/>
  <c r="Y295" i="4"/>
  <c r="X295" i="4"/>
  <c r="W295" i="4"/>
  <c r="U295" i="4"/>
  <c r="T295" i="4"/>
  <c r="O295" i="4"/>
  <c r="N295" i="4"/>
  <c r="M295" i="4"/>
  <c r="K295" i="4"/>
  <c r="J295" i="4"/>
  <c r="I295" i="4"/>
  <c r="AL294" i="4"/>
  <c r="AL293" i="4"/>
  <c r="O292" i="4"/>
  <c r="N292" i="4"/>
  <c r="M292" i="4"/>
  <c r="K292" i="4"/>
  <c r="J292" i="4"/>
  <c r="I292" i="4"/>
  <c r="O290" i="4"/>
  <c r="N290" i="4"/>
  <c r="M290" i="4"/>
  <c r="K290" i="4"/>
  <c r="J290" i="4"/>
  <c r="I290" i="4"/>
  <c r="AE289" i="4"/>
  <c r="AD289" i="4"/>
  <c r="AC289" i="4"/>
  <c r="AB289" i="4"/>
  <c r="AA289" i="4"/>
  <c r="Y289" i="4"/>
  <c r="X289" i="4"/>
  <c r="W289" i="4"/>
  <c r="U289" i="4"/>
  <c r="T289" i="4"/>
  <c r="O289" i="4"/>
  <c r="N289" i="4"/>
  <c r="M289" i="4"/>
  <c r="K289" i="4"/>
  <c r="J289" i="4"/>
  <c r="I289" i="4"/>
  <c r="AF286" i="4"/>
  <c r="AE286" i="4"/>
  <c r="AD286" i="4"/>
  <c r="AC286" i="4"/>
  <c r="AB286" i="4"/>
  <c r="AA286" i="4"/>
  <c r="Y286" i="4"/>
  <c r="X286" i="4"/>
  <c r="W286" i="4"/>
  <c r="U286" i="4"/>
  <c r="T286" i="4"/>
  <c r="O286" i="4"/>
  <c r="N286" i="4"/>
  <c r="M286" i="4"/>
  <c r="K286" i="4"/>
  <c r="J286" i="4"/>
  <c r="I286" i="4"/>
  <c r="AL285" i="4"/>
  <c r="AL284" i="4"/>
  <c r="AF284" i="4"/>
  <c r="AE284" i="4"/>
  <c r="AD284" i="4"/>
  <c r="AC284" i="4"/>
  <c r="AF283" i="4"/>
  <c r="AE283" i="4"/>
  <c r="AD283" i="4"/>
  <c r="AC283" i="4"/>
  <c r="AB283" i="4"/>
  <c r="AA283" i="4"/>
  <c r="Y283" i="4"/>
  <c r="X283" i="4"/>
  <c r="W283" i="4"/>
  <c r="U283" i="4"/>
  <c r="T283" i="4"/>
  <c r="O283" i="4"/>
  <c r="N283" i="4"/>
  <c r="M283" i="4"/>
  <c r="K283" i="4"/>
  <c r="J283" i="4"/>
  <c r="I283" i="4"/>
  <c r="AL282" i="4"/>
  <c r="AL281" i="4"/>
  <c r="AC280" i="4"/>
  <c r="AB280" i="4"/>
  <c r="AA280" i="4"/>
  <c r="Y280" i="4"/>
  <c r="X280" i="4"/>
  <c r="W280" i="4"/>
  <c r="U280" i="4"/>
  <c r="T280" i="4"/>
  <c r="O280" i="4"/>
  <c r="N280" i="4"/>
  <c r="M280" i="4"/>
  <c r="K280" i="4"/>
  <c r="J280" i="4"/>
  <c r="I280" i="4"/>
  <c r="AL279" i="4"/>
  <c r="AL278" i="4"/>
  <c r="Y278" i="4"/>
  <c r="AE277" i="4"/>
  <c r="AD277" i="4"/>
  <c r="AC277" i="4"/>
  <c r="AB277" i="4"/>
  <c r="AA277" i="4"/>
  <c r="Y277" i="4"/>
  <c r="X277" i="4"/>
  <c r="W277" i="4"/>
  <c r="U277" i="4"/>
  <c r="T277" i="4"/>
  <c r="O277" i="4"/>
  <c r="N277" i="4"/>
  <c r="M277" i="4"/>
  <c r="K277" i="4"/>
  <c r="J277" i="4"/>
  <c r="I277" i="4"/>
  <c r="AL276" i="4"/>
  <c r="AL275" i="4"/>
  <c r="AK275" i="4"/>
  <c r="AJ275" i="4"/>
  <c r="AI275" i="4"/>
  <c r="AH275" i="4"/>
  <c r="AF275" i="4"/>
  <c r="AE275" i="4"/>
  <c r="AD275" i="4"/>
  <c r="AC275" i="4"/>
  <c r="AB275" i="4"/>
  <c r="AA275" i="4"/>
  <c r="Y275" i="4"/>
  <c r="X275" i="4"/>
  <c r="W275" i="4"/>
  <c r="U275" i="4"/>
  <c r="T275" i="4"/>
  <c r="O275" i="4"/>
  <c r="N275" i="4"/>
  <c r="M275" i="4"/>
  <c r="K275" i="4"/>
  <c r="J275" i="4"/>
  <c r="I275" i="4"/>
  <c r="O274" i="4"/>
  <c r="N274" i="4"/>
  <c r="M274" i="4"/>
  <c r="K274" i="4"/>
  <c r="J274" i="4"/>
  <c r="I274" i="4"/>
  <c r="AL273" i="4"/>
  <c r="AL272" i="4"/>
  <c r="AK272" i="4"/>
  <c r="AJ272" i="4"/>
  <c r="AI272" i="4"/>
  <c r="AH272" i="4"/>
  <c r="AF272" i="4"/>
  <c r="AE272" i="4"/>
  <c r="AD272" i="4"/>
  <c r="AC272" i="4"/>
  <c r="AB272" i="4"/>
  <c r="AA272" i="4"/>
  <c r="Y272" i="4"/>
  <c r="X272" i="4"/>
  <c r="W272" i="4"/>
  <c r="U272" i="4"/>
  <c r="T272" i="4"/>
  <c r="O272" i="4"/>
  <c r="K272" i="4"/>
  <c r="J272" i="4"/>
  <c r="I272" i="4"/>
  <c r="AK271" i="4"/>
  <c r="AJ271" i="4"/>
  <c r="AI271" i="4"/>
  <c r="AH271" i="4"/>
  <c r="AF271" i="4"/>
  <c r="AE271" i="4"/>
  <c r="AD271" i="4"/>
  <c r="AC271" i="4"/>
  <c r="AB271" i="4"/>
  <c r="AA271" i="4"/>
  <c r="Y271" i="4"/>
  <c r="X271" i="4"/>
  <c r="W271" i="4"/>
  <c r="U271" i="4"/>
  <c r="T271" i="4"/>
  <c r="O271" i="4"/>
  <c r="N271" i="4"/>
  <c r="M271" i="4"/>
  <c r="K271" i="4"/>
  <c r="J271" i="4"/>
  <c r="I271" i="4"/>
  <c r="AL270" i="4"/>
  <c r="AL269" i="4"/>
  <c r="AH269" i="4"/>
  <c r="AE269" i="4"/>
  <c r="AD269" i="4"/>
  <c r="AC269" i="4"/>
  <c r="AB269" i="4"/>
  <c r="AA269" i="4"/>
  <c r="Y269" i="4"/>
  <c r="X269" i="4"/>
  <c r="W269" i="4"/>
  <c r="U269" i="4"/>
  <c r="T269" i="4"/>
  <c r="O269" i="4"/>
  <c r="N269" i="4"/>
  <c r="M269" i="4"/>
  <c r="K269" i="4"/>
  <c r="J269" i="4"/>
  <c r="I269" i="4"/>
  <c r="AH268" i="4"/>
  <c r="AF268" i="4"/>
  <c r="AE268" i="4"/>
  <c r="AD268" i="4"/>
  <c r="AC268" i="4"/>
  <c r="AB268" i="4"/>
  <c r="AA268" i="4"/>
  <c r="Y268" i="4"/>
  <c r="X268" i="4"/>
  <c r="W268" i="4"/>
  <c r="U268" i="4"/>
  <c r="T268" i="4"/>
  <c r="O268" i="4"/>
  <c r="N268" i="4"/>
  <c r="M268" i="4"/>
  <c r="K268" i="4"/>
  <c r="J268" i="4"/>
  <c r="I268" i="4"/>
  <c r="AL267" i="4"/>
  <c r="AL266" i="4"/>
  <c r="AE266" i="4"/>
  <c r="AD266" i="4"/>
  <c r="AC266" i="4"/>
  <c r="AB266" i="4"/>
  <c r="AA266" i="4"/>
  <c r="Y266" i="4"/>
  <c r="X266" i="4"/>
  <c r="W266" i="4"/>
  <c r="U266" i="4"/>
  <c r="T266" i="4"/>
  <c r="O266" i="4"/>
  <c r="N266" i="4"/>
  <c r="AL260" i="4"/>
  <c r="AK260" i="4"/>
  <c r="AJ260" i="4"/>
  <c r="AI260" i="4"/>
  <c r="AH260" i="4"/>
  <c r="AF260" i="4"/>
  <c r="AE260" i="4"/>
  <c r="AD260" i="4"/>
  <c r="AC260" i="4"/>
  <c r="AB260" i="4"/>
  <c r="AA260" i="4"/>
  <c r="Y260" i="4"/>
  <c r="X260" i="4"/>
  <c r="W260" i="4"/>
  <c r="U260" i="4"/>
  <c r="T260" i="4"/>
  <c r="O260" i="4"/>
  <c r="N260" i="4"/>
  <c r="M260" i="4"/>
  <c r="K260" i="4"/>
  <c r="J260" i="4"/>
  <c r="I260" i="4"/>
  <c r="AL259" i="4"/>
  <c r="AK259" i="4"/>
  <c r="AJ259" i="4"/>
  <c r="AI259" i="4"/>
  <c r="AH259" i="4"/>
  <c r="AF259" i="4"/>
  <c r="AE259" i="4"/>
  <c r="AD259" i="4"/>
  <c r="AC259" i="4"/>
  <c r="AB259" i="4"/>
  <c r="AA259" i="4"/>
  <c r="Y259" i="4"/>
  <c r="X259" i="4"/>
  <c r="W259" i="4"/>
  <c r="U259" i="4"/>
  <c r="T259" i="4"/>
  <c r="O259" i="4"/>
  <c r="N259" i="4"/>
  <c r="M259" i="4"/>
  <c r="K259" i="4"/>
  <c r="J259" i="4"/>
  <c r="I259" i="4"/>
  <c r="AD258" i="4"/>
  <c r="AC258" i="4"/>
  <c r="AB258" i="4"/>
  <c r="AA258" i="4"/>
  <c r="Y258" i="4"/>
  <c r="X258" i="4"/>
  <c r="W258" i="4"/>
  <c r="U258" i="4"/>
  <c r="T258" i="4"/>
  <c r="O258" i="4"/>
  <c r="N258" i="4"/>
  <c r="M258" i="4"/>
  <c r="K258" i="4"/>
  <c r="J258" i="4"/>
  <c r="I258" i="4"/>
  <c r="AL257" i="4"/>
  <c r="AL256" i="4"/>
  <c r="W255" i="4"/>
  <c r="U255" i="4"/>
  <c r="T255" i="4"/>
  <c r="O255" i="4"/>
  <c r="N255" i="4"/>
  <c r="M255" i="4"/>
  <c r="K255" i="4"/>
  <c r="J255" i="4"/>
  <c r="I255" i="4"/>
  <c r="AL254" i="4"/>
  <c r="AL253" i="4"/>
  <c r="U253" i="4"/>
  <c r="T253" i="4"/>
  <c r="O253" i="4"/>
  <c r="N253" i="4"/>
  <c r="AE252" i="4"/>
  <c r="AD252" i="4"/>
  <c r="AC252" i="4"/>
  <c r="AB252" i="4"/>
  <c r="AA252" i="4"/>
  <c r="Y252" i="4"/>
  <c r="X252" i="4"/>
  <c r="W252" i="4"/>
  <c r="U252" i="4"/>
  <c r="T252" i="4"/>
  <c r="O252" i="4"/>
  <c r="N252" i="4"/>
  <c r="M252" i="4"/>
  <c r="K252" i="4"/>
  <c r="J252" i="4"/>
  <c r="I252" i="4"/>
  <c r="AL251" i="4"/>
  <c r="AL250" i="4"/>
  <c r="AD250" i="4"/>
  <c r="AC250" i="4"/>
  <c r="AD249" i="4"/>
  <c r="AC249" i="4"/>
  <c r="AB249" i="4"/>
  <c r="AA249" i="4"/>
  <c r="Y249" i="4"/>
  <c r="X249" i="4"/>
  <c r="W249" i="4"/>
  <c r="U249" i="4"/>
  <c r="T249" i="4"/>
  <c r="O249" i="4"/>
  <c r="N249" i="4"/>
  <c r="M249" i="4"/>
  <c r="K249" i="4"/>
  <c r="J249" i="4"/>
  <c r="I249" i="4"/>
  <c r="AL248" i="4"/>
  <c r="AL247" i="4"/>
  <c r="AH246" i="4"/>
  <c r="AF246" i="4"/>
  <c r="AE246" i="4"/>
  <c r="AD246" i="4"/>
  <c r="AC246" i="4"/>
  <c r="AB246" i="4"/>
  <c r="AA246" i="4"/>
  <c r="Y246" i="4"/>
  <c r="X246" i="4"/>
  <c r="W246" i="4"/>
  <c r="U246" i="4"/>
  <c r="T246" i="4"/>
  <c r="O246" i="4"/>
  <c r="N246" i="4"/>
  <c r="M246" i="4"/>
  <c r="K246" i="4"/>
  <c r="J246" i="4"/>
  <c r="I246" i="4"/>
  <c r="AL245" i="4"/>
  <c r="AL244" i="4"/>
  <c r="AE244" i="4"/>
  <c r="AK243" i="4"/>
  <c r="AJ243" i="4"/>
  <c r="AI243" i="4"/>
  <c r="AH243" i="4"/>
  <c r="AF243" i="4"/>
  <c r="AE243" i="4"/>
  <c r="AD243" i="4"/>
  <c r="AC243" i="4"/>
  <c r="AB243" i="4"/>
  <c r="AA243" i="4"/>
  <c r="Y243" i="4"/>
  <c r="X243" i="4"/>
  <c r="W243" i="4"/>
  <c r="U243" i="4"/>
  <c r="T243" i="4"/>
  <c r="O243" i="4"/>
  <c r="N243" i="4"/>
  <c r="M243" i="4"/>
  <c r="K243" i="4"/>
  <c r="J243" i="4"/>
  <c r="I243" i="4"/>
  <c r="AL242" i="4"/>
  <c r="AL241" i="4"/>
  <c r="AH241" i="4"/>
  <c r="AF241" i="4"/>
  <c r="AE241" i="4"/>
  <c r="AK240" i="4"/>
  <c r="AJ240" i="4"/>
  <c r="AI240" i="4"/>
  <c r="AH240" i="4"/>
  <c r="AF240" i="4"/>
  <c r="AE240" i="4"/>
  <c r="AD240" i="4"/>
  <c r="AC240" i="4"/>
  <c r="AB240" i="4"/>
  <c r="AA240" i="4"/>
  <c r="Y240" i="4"/>
  <c r="X240" i="4"/>
  <c r="W240" i="4"/>
  <c r="U240" i="4"/>
  <c r="T240" i="4"/>
  <c r="O240" i="4"/>
  <c r="N240" i="4"/>
  <c r="M240" i="4"/>
  <c r="K240" i="4"/>
  <c r="J240" i="4"/>
  <c r="I240" i="4"/>
  <c r="AL239" i="4"/>
  <c r="AL238" i="4"/>
  <c r="AH238" i="4"/>
  <c r="AE238" i="4"/>
  <c r="AD238" i="4"/>
  <c r="AC238" i="4"/>
  <c r="AA238" i="4"/>
  <c r="Y238" i="4"/>
  <c r="X238" i="4"/>
  <c r="W238" i="4"/>
  <c r="U238" i="4"/>
  <c r="T238" i="4"/>
  <c r="O238" i="4"/>
  <c r="N238" i="4"/>
  <c r="M238" i="4"/>
  <c r="AL235" i="4"/>
  <c r="AL233" i="4"/>
  <c r="AK233" i="4"/>
  <c r="AL232" i="4"/>
  <c r="AL230" i="4"/>
  <c r="AK230" i="4"/>
  <c r="AJ230" i="4"/>
  <c r="AI230" i="4"/>
  <c r="AH230" i="4"/>
  <c r="AF230" i="4"/>
  <c r="AE230" i="4"/>
  <c r="AD230" i="4"/>
  <c r="AC230" i="4"/>
  <c r="AL229" i="4"/>
  <c r="AL227" i="4"/>
  <c r="AK227" i="4"/>
  <c r="AJ227" i="4"/>
  <c r="AI227" i="4"/>
  <c r="AH227" i="4"/>
  <c r="AF227" i="4"/>
  <c r="AE227" i="4"/>
  <c r="AD227" i="4"/>
  <c r="AC227" i="4"/>
  <c r="AL226" i="4"/>
  <c r="AL224" i="4"/>
  <c r="AK224" i="4"/>
  <c r="AJ224" i="4"/>
  <c r="AI224" i="4"/>
  <c r="AH224" i="4"/>
  <c r="AF224" i="4"/>
  <c r="AE224" i="4"/>
  <c r="AD224" i="4"/>
  <c r="AC224" i="4"/>
  <c r="AL223" i="4"/>
  <c r="AL221" i="4"/>
  <c r="AK221" i="4"/>
  <c r="AJ221" i="4"/>
  <c r="AI221" i="4"/>
  <c r="AH221" i="4"/>
  <c r="AF221" i="4"/>
  <c r="AE221" i="4"/>
  <c r="AD221" i="4"/>
  <c r="AC221" i="4"/>
  <c r="AL220" i="4"/>
  <c r="AL218" i="4"/>
  <c r="AK218" i="4"/>
  <c r="AJ218" i="4"/>
  <c r="AI218" i="4"/>
  <c r="AH218" i="4"/>
  <c r="AF218" i="4"/>
  <c r="AE218" i="4"/>
  <c r="AD218" i="4"/>
  <c r="AC218" i="4"/>
  <c r="AL217" i="4"/>
  <c r="AL216" i="4"/>
  <c r="AK216" i="4"/>
  <c r="AJ216" i="4"/>
  <c r="AI216" i="4"/>
  <c r="AH216" i="4"/>
  <c r="AF216" i="4"/>
  <c r="AE216" i="4"/>
  <c r="AD216" i="4"/>
  <c r="AC216" i="4"/>
  <c r="AL215" i="4"/>
  <c r="AL214" i="4"/>
  <c r="AK214" i="4"/>
  <c r="AJ214" i="4"/>
  <c r="AI214" i="4"/>
  <c r="AH214" i="4"/>
  <c r="AF214" i="4"/>
  <c r="AE214" i="4"/>
  <c r="AD214" i="4"/>
  <c r="AC214" i="4"/>
  <c r="AL213" i="4"/>
  <c r="AL212" i="4"/>
  <c r="AK212" i="4"/>
  <c r="AJ212" i="4"/>
  <c r="AI212" i="4"/>
  <c r="AH212" i="4"/>
  <c r="AF212" i="4"/>
  <c r="AE212" i="4"/>
  <c r="AD212" i="4"/>
  <c r="AC212" i="4"/>
  <c r="AL211" i="4"/>
  <c r="AL209" i="4"/>
  <c r="AK209" i="4"/>
  <c r="AJ209" i="4"/>
  <c r="AI209" i="4"/>
  <c r="AH209" i="4"/>
  <c r="AF209" i="4"/>
  <c r="AE209" i="4"/>
  <c r="AD209" i="4"/>
  <c r="AC209" i="4"/>
  <c r="AL208" i="4"/>
  <c r="AL207" i="4"/>
  <c r="AK207" i="4"/>
  <c r="AJ207" i="4"/>
  <c r="AI207" i="4"/>
  <c r="AH207" i="4"/>
  <c r="AF207" i="4"/>
  <c r="AE207" i="4"/>
  <c r="AD207" i="4"/>
  <c r="AC207" i="4"/>
  <c r="AL206" i="4"/>
  <c r="AL204" i="4"/>
  <c r="AK204" i="4"/>
  <c r="AJ204" i="4"/>
  <c r="AI204" i="4"/>
  <c r="AH204" i="4"/>
  <c r="AF204" i="4"/>
  <c r="AE204" i="4"/>
  <c r="AD204" i="4"/>
  <c r="AC204" i="4"/>
  <c r="AB204" i="4"/>
  <c r="AA204" i="4"/>
  <c r="Y204" i="4"/>
  <c r="X204" i="4"/>
  <c r="W204" i="4"/>
  <c r="U204" i="4"/>
  <c r="T204" i="4"/>
  <c r="AH192" i="4"/>
  <c r="AD192" i="4"/>
  <c r="AA192" i="4"/>
  <c r="W192" i="4"/>
  <c r="AL191" i="4"/>
  <c r="AL189" i="4"/>
  <c r="AK189" i="4"/>
  <c r="AF189" i="4"/>
  <c r="AB189" i="4"/>
  <c r="W189" i="4"/>
  <c r="N189" i="4"/>
  <c r="AL188" i="4"/>
  <c r="AL186" i="4"/>
  <c r="AK186" i="4"/>
  <c r="AF186" i="4"/>
  <c r="AB186" i="4"/>
  <c r="W186" i="4"/>
  <c r="N186" i="4"/>
  <c r="AL185" i="4"/>
  <c r="W185" i="4"/>
  <c r="AL183" i="4"/>
  <c r="AK183" i="4"/>
  <c r="AJ183" i="4"/>
  <c r="AI183" i="4"/>
  <c r="AH183" i="4"/>
  <c r="AF183" i="4"/>
  <c r="AE183" i="4"/>
  <c r="AD183" i="4"/>
  <c r="AC183" i="4"/>
  <c r="AB183" i="4"/>
  <c r="AA183" i="4"/>
  <c r="Y183" i="4"/>
  <c r="X183" i="4"/>
  <c r="W183" i="4"/>
  <c r="U183" i="4"/>
  <c r="T183" i="4"/>
  <c r="O183" i="4"/>
  <c r="N183" i="4"/>
  <c r="M183" i="4"/>
  <c r="K183" i="4"/>
  <c r="J183" i="4"/>
  <c r="I183" i="4"/>
  <c r="AL182" i="4"/>
  <c r="U182" i="4"/>
  <c r="T182" i="4"/>
  <c r="AL180" i="4"/>
  <c r="AK180" i="4"/>
  <c r="AJ180" i="4"/>
  <c r="AI180" i="4"/>
  <c r="AH180" i="4"/>
  <c r="AF180" i="4"/>
  <c r="AE180" i="4"/>
  <c r="AD180" i="4"/>
  <c r="AC180" i="4"/>
  <c r="AB180" i="4"/>
  <c r="AA180" i="4"/>
  <c r="Y180" i="4"/>
  <c r="X180" i="4"/>
  <c r="W180" i="4"/>
  <c r="U180" i="4"/>
  <c r="T180" i="4"/>
  <c r="O180" i="4"/>
  <c r="N180" i="4"/>
  <c r="M180" i="4"/>
  <c r="K180" i="4"/>
  <c r="J180" i="4"/>
  <c r="I180" i="4"/>
  <c r="AL179" i="4"/>
  <c r="O179" i="4"/>
  <c r="N179" i="4"/>
  <c r="M179" i="4"/>
  <c r="K179" i="4"/>
  <c r="J179" i="4"/>
  <c r="AL177" i="4"/>
  <c r="AI177" i="4"/>
  <c r="AH177" i="4"/>
  <c r="AD177" i="4"/>
  <c r="AC177" i="4"/>
  <c r="Y177" i="4"/>
  <c r="X177" i="4"/>
  <c r="T177" i="4"/>
  <c r="O177" i="4"/>
  <c r="K177" i="4"/>
  <c r="J177" i="4"/>
  <c r="AL176" i="4"/>
  <c r="O176" i="4"/>
  <c r="AL174" i="4"/>
  <c r="AI174" i="4"/>
  <c r="AF174" i="4"/>
  <c r="AD174" i="4"/>
  <c r="AC174" i="4"/>
  <c r="Y174" i="4"/>
  <c r="X174" i="4"/>
  <c r="T174" i="4"/>
  <c r="O174" i="4"/>
  <c r="K174" i="4"/>
  <c r="J174" i="4"/>
  <c r="AL173" i="4"/>
  <c r="O173" i="4"/>
  <c r="I173" i="4"/>
  <c r="AL171" i="4"/>
  <c r="AH171" i="4"/>
  <c r="AC171" i="4"/>
  <c r="X171" i="4"/>
  <c r="O171" i="4"/>
  <c r="J171" i="4"/>
  <c r="AL170" i="4"/>
  <c r="W170" i="4"/>
  <c r="I170" i="4"/>
  <c r="AL169" i="4"/>
  <c r="AH169" i="4"/>
  <c r="AC169" i="4"/>
  <c r="X169" i="4"/>
  <c r="O169" i="4"/>
  <c r="J169" i="4"/>
  <c r="AL168" i="4"/>
  <c r="O168" i="4"/>
  <c r="AL166" i="4"/>
  <c r="AH166" i="4"/>
  <c r="AC166" i="4"/>
  <c r="X166" i="4"/>
  <c r="O166" i="4"/>
  <c r="J166" i="4"/>
  <c r="T165" i="4"/>
  <c r="AL164" i="4"/>
  <c r="AH164" i="4"/>
  <c r="AC164" i="4"/>
  <c r="X164" i="4"/>
  <c r="O164" i="4"/>
  <c r="J164" i="4"/>
  <c r="AL163" i="4"/>
  <c r="O163" i="4"/>
  <c r="AL161" i="4"/>
  <c r="AH161" i="4"/>
  <c r="AC161" i="4"/>
  <c r="X161" i="4"/>
  <c r="O161" i="4"/>
  <c r="J161" i="4"/>
  <c r="T160" i="4"/>
  <c r="AL159" i="4"/>
  <c r="AH159" i="4"/>
  <c r="AC159" i="4"/>
  <c r="X159" i="4"/>
  <c r="O159" i="4"/>
  <c r="J159" i="4"/>
  <c r="AL158" i="4"/>
  <c r="W158" i="4"/>
  <c r="U158" i="4"/>
  <c r="K158" i="4"/>
  <c r="J158" i="4"/>
  <c r="I158" i="4"/>
  <c r="AL156" i="4"/>
  <c r="AK156" i="4"/>
  <c r="AJ156" i="4"/>
  <c r="AI156" i="4"/>
  <c r="AH156" i="4"/>
  <c r="AF156" i="4"/>
  <c r="AE156" i="4"/>
  <c r="AD156" i="4"/>
  <c r="AC156" i="4"/>
  <c r="AB156" i="4"/>
  <c r="AA156" i="4"/>
  <c r="Y156" i="4"/>
  <c r="X156" i="4"/>
  <c r="W156" i="4"/>
  <c r="U156" i="4"/>
  <c r="T156" i="4"/>
  <c r="O156" i="4"/>
  <c r="N156" i="4"/>
  <c r="M156" i="4"/>
  <c r="K156" i="4"/>
  <c r="J156" i="4"/>
  <c r="I156" i="4"/>
  <c r="AL155" i="4"/>
  <c r="X155" i="4"/>
  <c r="W155" i="4"/>
  <c r="U155" i="4"/>
  <c r="T155" i="4"/>
  <c r="O155" i="4"/>
  <c r="N155" i="4"/>
  <c r="M155" i="4"/>
  <c r="K155" i="4"/>
  <c r="J155" i="4"/>
  <c r="I155" i="4"/>
  <c r="AL153" i="4"/>
  <c r="AK153" i="4"/>
  <c r="AJ153" i="4"/>
  <c r="AI153" i="4"/>
  <c r="AH153" i="4"/>
  <c r="AF153" i="4"/>
  <c r="AE153" i="4"/>
  <c r="AD153" i="4"/>
  <c r="AC153" i="4"/>
  <c r="AB153" i="4"/>
  <c r="AA153" i="4"/>
  <c r="Y153" i="4"/>
  <c r="X153" i="4"/>
  <c r="W153" i="4"/>
  <c r="U153" i="4"/>
  <c r="T153" i="4"/>
  <c r="O153" i="4"/>
  <c r="N153" i="4"/>
  <c r="M153" i="4"/>
  <c r="K153" i="4"/>
  <c r="J153" i="4"/>
  <c r="I153" i="4"/>
  <c r="AL152" i="4"/>
  <c r="I152" i="4"/>
  <c r="AL150" i="4"/>
  <c r="AK150" i="4"/>
  <c r="AJ150" i="4"/>
  <c r="AI150" i="4"/>
  <c r="AH150" i="4"/>
  <c r="AF150" i="4"/>
  <c r="AE150" i="4"/>
  <c r="AD150" i="4"/>
  <c r="AC150" i="4"/>
  <c r="AB150" i="4"/>
  <c r="AA150" i="4"/>
  <c r="Y150" i="4"/>
  <c r="X150" i="4"/>
  <c r="W150" i="4"/>
  <c r="U150" i="4"/>
  <c r="T150" i="4"/>
  <c r="O150" i="4"/>
  <c r="N150" i="4"/>
  <c r="M150" i="4"/>
  <c r="K150" i="4"/>
  <c r="J150" i="4"/>
  <c r="I150" i="4"/>
  <c r="I147" i="4"/>
  <c r="I144" i="4"/>
  <c r="I141" i="4"/>
  <c r="AL140" i="4"/>
  <c r="AL138" i="4"/>
  <c r="AK138" i="4"/>
  <c r="AL137" i="4"/>
  <c r="X137" i="4"/>
  <c r="AL135" i="4"/>
  <c r="AK135" i="4"/>
  <c r="AJ135" i="4"/>
  <c r="AI135" i="4"/>
  <c r="AH135" i="4"/>
  <c r="AL134" i="4"/>
  <c r="AL132" i="4"/>
  <c r="AI132" i="4"/>
  <c r="AL131" i="4"/>
  <c r="AL129" i="4"/>
  <c r="AI129" i="4"/>
  <c r="AL125" i="4"/>
  <c r="AL123" i="4"/>
  <c r="AJ123" i="4"/>
  <c r="AE123" i="4"/>
  <c r="AA123" i="4"/>
  <c r="AL122" i="4"/>
  <c r="X122" i="4"/>
  <c r="W122" i="4"/>
  <c r="U122" i="4"/>
  <c r="T122" i="4"/>
  <c r="AL120" i="4"/>
  <c r="AK120" i="4"/>
  <c r="AJ120" i="4"/>
  <c r="AI120" i="4"/>
  <c r="AH120" i="4"/>
  <c r="AF120" i="4"/>
  <c r="AE120" i="4"/>
  <c r="AD120" i="4"/>
  <c r="AC120" i="4"/>
  <c r="AB120" i="4"/>
  <c r="AA120" i="4"/>
  <c r="Y120" i="4"/>
  <c r="X120" i="4"/>
  <c r="W120" i="4"/>
  <c r="U120" i="4"/>
  <c r="T120" i="4"/>
  <c r="AL119" i="4"/>
  <c r="T119" i="4"/>
  <c r="AL117" i="4"/>
  <c r="AK117" i="4"/>
  <c r="AJ117" i="4"/>
  <c r="AI117" i="4"/>
  <c r="AH117" i="4"/>
  <c r="AF117" i="4"/>
  <c r="AE117" i="4"/>
  <c r="AD117" i="4"/>
  <c r="AC117" i="4"/>
  <c r="AB117" i="4"/>
  <c r="AA117" i="4"/>
  <c r="Y117" i="4"/>
  <c r="X117" i="4"/>
  <c r="W117" i="4"/>
  <c r="U117" i="4"/>
  <c r="T117" i="4"/>
  <c r="AL116" i="4"/>
  <c r="X116" i="4"/>
  <c r="W116" i="4"/>
  <c r="U116" i="4"/>
  <c r="O116" i="4"/>
  <c r="N116" i="4"/>
  <c r="M116" i="4"/>
  <c r="K116" i="4"/>
  <c r="AL114" i="4"/>
  <c r="AK114" i="4"/>
  <c r="AJ114" i="4"/>
  <c r="AI114" i="4"/>
  <c r="AH114" i="4"/>
  <c r="AF114" i="4"/>
  <c r="AE114" i="4"/>
  <c r="AD114" i="4"/>
  <c r="AC114" i="4"/>
  <c r="AB114" i="4"/>
  <c r="AA114" i="4"/>
  <c r="Y114" i="4"/>
  <c r="X114" i="4"/>
  <c r="W114" i="4"/>
  <c r="U114" i="4"/>
  <c r="T114" i="4"/>
  <c r="O114" i="4"/>
  <c r="N114" i="4"/>
  <c r="AK111" i="4"/>
  <c r="AJ111" i="4"/>
  <c r="AI111" i="4"/>
  <c r="AH111" i="4"/>
  <c r="AL107" i="4"/>
  <c r="W107" i="4"/>
  <c r="AL105" i="4"/>
  <c r="AK105" i="4"/>
  <c r="AE105" i="4"/>
  <c r="Y105" i="4"/>
  <c r="O105" i="4"/>
  <c r="AL104" i="4"/>
  <c r="AL102" i="4"/>
  <c r="AK102" i="4"/>
  <c r="AE102" i="4"/>
  <c r="Y102" i="4"/>
  <c r="O102" i="4"/>
  <c r="AL101" i="4"/>
  <c r="X101" i="4"/>
  <c r="W101" i="4"/>
  <c r="U101" i="4"/>
  <c r="T101" i="4"/>
  <c r="O101" i="4"/>
  <c r="N101" i="4"/>
  <c r="M101" i="4"/>
  <c r="AL99" i="4"/>
  <c r="AJ99" i="4"/>
  <c r="AI99" i="4"/>
  <c r="AH99" i="4"/>
  <c r="AD99" i="4"/>
  <c r="AC99" i="4"/>
  <c r="AB99" i="4"/>
  <c r="X99" i="4"/>
  <c r="W99" i="4"/>
  <c r="U99" i="4"/>
  <c r="N99" i="4"/>
  <c r="M99" i="4"/>
  <c r="K99" i="4"/>
  <c r="AL98" i="4"/>
  <c r="U98" i="4"/>
  <c r="O98" i="4"/>
  <c r="M98" i="4"/>
  <c r="AL96" i="4"/>
  <c r="AF96" i="4"/>
  <c r="AA96" i="4"/>
  <c r="T96" i="4"/>
  <c r="J96" i="4"/>
  <c r="AL95" i="4"/>
  <c r="X95" i="4"/>
  <c r="W95" i="4"/>
  <c r="AL93" i="4"/>
  <c r="AK93" i="4"/>
  <c r="AE93" i="4"/>
  <c r="Y93" i="4"/>
  <c r="O93" i="4"/>
  <c r="I93" i="4"/>
  <c r="I90" i="4"/>
  <c r="I87" i="4"/>
  <c r="AL86" i="4"/>
  <c r="K86" i="4"/>
  <c r="AL84" i="4"/>
  <c r="AK84" i="4"/>
  <c r="AE84" i="4"/>
  <c r="Y84" i="4"/>
  <c r="O84" i="4"/>
  <c r="AL83" i="4"/>
  <c r="X83" i="4"/>
  <c r="AL81" i="4"/>
  <c r="AK81" i="4"/>
  <c r="AJ81" i="4"/>
  <c r="AI81" i="4"/>
  <c r="AH81" i="4"/>
  <c r="AF81" i="4"/>
  <c r="AE81" i="4"/>
  <c r="AD81" i="4"/>
  <c r="AC81" i="4"/>
  <c r="AB81" i="4"/>
  <c r="AA81" i="4"/>
  <c r="Y81" i="4"/>
  <c r="X81" i="4"/>
  <c r="W81" i="4"/>
  <c r="U81" i="4"/>
  <c r="T81" i="4"/>
  <c r="O81" i="4"/>
  <c r="N81" i="4"/>
  <c r="M81" i="4"/>
  <c r="K81" i="4"/>
  <c r="J81" i="4"/>
  <c r="I81" i="4"/>
  <c r="AL80" i="4"/>
  <c r="W80" i="4"/>
  <c r="U80" i="4"/>
  <c r="T80" i="4"/>
  <c r="I80" i="4"/>
  <c r="AL78" i="4"/>
  <c r="AK78" i="4"/>
  <c r="AJ78" i="4"/>
  <c r="AI78" i="4"/>
  <c r="AH78" i="4"/>
  <c r="AF78" i="4"/>
  <c r="AE78" i="4"/>
  <c r="AD78" i="4"/>
  <c r="AC78" i="4"/>
  <c r="AB78" i="4"/>
  <c r="AA78" i="4"/>
  <c r="Y78" i="4"/>
  <c r="X78" i="4"/>
  <c r="W78" i="4"/>
  <c r="U78" i="4"/>
  <c r="T78" i="4"/>
  <c r="O78" i="4"/>
  <c r="N78" i="4"/>
  <c r="M78" i="4"/>
  <c r="K78" i="4"/>
  <c r="J78" i="4"/>
  <c r="I78" i="4"/>
  <c r="AL77" i="4"/>
  <c r="M77" i="4"/>
  <c r="AL75" i="4"/>
  <c r="AK75" i="4"/>
  <c r="AJ75" i="4"/>
  <c r="AI75" i="4"/>
  <c r="AH75" i="4"/>
  <c r="AF75" i="4"/>
  <c r="AE75" i="4"/>
  <c r="AD75" i="4"/>
  <c r="AC75" i="4"/>
  <c r="AB75" i="4"/>
  <c r="AA75" i="4"/>
  <c r="Y75" i="4"/>
  <c r="X75" i="4"/>
  <c r="W75" i="4"/>
  <c r="U75" i="4"/>
  <c r="T75" i="4"/>
  <c r="O75" i="4"/>
  <c r="N75" i="4"/>
  <c r="M75" i="4"/>
  <c r="K75" i="4"/>
  <c r="J75" i="4"/>
  <c r="I75" i="4"/>
  <c r="AL74" i="4"/>
  <c r="M74" i="4"/>
  <c r="AL73" i="4"/>
  <c r="AK73" i="4"/>
  <c r="AJ73" i="4"/>
  <c r="AI73" i="4"/>
  <c r="AH73" i="4"/>
  <c r="AF73" i="4"/>
  <c r="AE73" i="4"/>
  <c r="AD73" i="4"/>
  <c r="AC73" i="4"/>
  <c r="AB73" i="4"/>
  <c r="AA73" i="4"/>
  <c r="Y73" i="4"/>
  <c r="X73" i="4"/>
  <c r="W73" i="4"/>
  <c r="U73" i="4"/>
  <c r="T73" i="4"/>
  <c r="O73" i="4"/>
  <c r="N73" i="4"/>
  <c r="M73" i="4"/>
  <c r="K73" i="4"/>
  <c r="J73" i="4"/>
  <c r="I73" i="4"/>
  <c r="AL72" i="4"/>
  <c r="M72" i="4"/>
  <c r="AL70" i="4"/>
  <c r="AK70" i="4"/>
  <c r="AJ70" i="4"/>
  <c r="AI70" i="4"/>
  <c r="AH70" i="4"/>
  <c r="AF70" i="4"/>
  <c r="AE70" i="4"/>
  <c r="AD70" i="4"/>
  <c r="AC70" i="4"/>
  <c r="AB70" i="4"/>
  <c r="AA70" i="4"/>
  <c r="Y70" i="4"/>
  <c r="X70" i="4"/>
  <c r="W70" i="4"/>
  <c r="U70" i="4"/>
  <c r="T70" i="4"/>
  <c r="O70" i="4"/>
  <c r="N70" i="4"/>
  <c r="M70" i="4"/>
  <c r="K70" i="4"/>
  <c r="J70" i="4"/>
  <c r="I70" i="4"/>
  <c r="AL69" i="4"/>
  <c r="W69" i="4"/>
  <c r="T69" i="4"/>
  <c r="O69" i="4"/>
  <c r="AL67" i="4"/>
  <c r="AK67" i="4"/>
  <c r="AJ67" i="4"/>
  <c r="AI67" i="4"/>
  <c r="AH67" i="4"/>
  <c r="AF67" i="4"/>
  <c r="AE67" i="4"/>
  <c r="AD67" i="4"/>
  <c r="AC67" i="4"/>
  <c r="AB67" i="4"/>
  <c r="AA67" i="4"/>
  <c r="Y67" i="4"/>
  <c r="X67" i="4"/>
  <c r="W67" i="4"/>
  <c r="U67" i="4"/>
  <c r="T67" i="4"/>
  <c r="O67" i="4"/>
  <c r="N67" i="4"/>
  <c r="M67" i="4"/>
  <c r="K67" i="4"/>
  <c r="J67" i="4"/>
  <c r="I67" i="4"/>
  <c r="AL66" i="4"/>
  <c r="X66" i="4"/>
  <c r="AL64" i="4"/>
  <c r="AK64" i="4"/>
  <c r="AJ64" i="4"/>
  <c r="AI64" i="4"/>
  <c r="AH64" i="4"/>
  <c r="AF64" i="4"/>
  <c r="AE64" i="4"/>
  <c r="AD64" i="4"/>
  <c r="AC64" i="4"/>
  <c r="AB64" i="4"/>
  <c r="AA64" i="4"/>
  <c r="Y64" i="4"/>
  <c r="X64" i="4"/>
  <c r="W64" i="4"/>
  <c r="U64" i="4"/>
  <c r="T64" i="4"/>
  <c r="O64" i="4"/>
  <c r="N64" i="4"/>
  <c r="M64" i="4"/>
  <c r="K64" i="4"/>
  <c r="J64" i="4"/>
  <c r="I64" i="4"/>
  <c r="AL57" i="4"/>
  <c r="T57" i="4"/>
  <c r="N57" i="4"/>
  <c r="J57" i="4"/>
  <c r="AL55" i="4"/>
  <c r="AK55" i="4"/>
  <c r="AI55" i="4"/>
  <c r="AF55" i="4"/>
  <c r="AD55" i="4"/>
  <c r="AB55" i="4"/>
  <c r="Y55" i="4"/>
  <c r="W55" i="4"/>
  <c r="T55" i="4"/>
  <c r="N55" i="4"/>
  <c r="K55" i="4"/>
  <c r="AL54" i="4"/>
  <c r="W54" i="4"/>
  <c r="U54" i="4"/>
  <c r="T54" i="4"/>
  <c r="O54" i="4"/>
  <c r="N54" i="4"/>
  <c r="M54" i="4"/>
  <c r="K54" i="4"/>
  <c r="J54" i="4"/>
  <c r="I54" i="4"/>
  <c r="AL52" i="4"/>
  <c r="AK52" i="4"/>
  <c r="AJ52" i="4"/>
  <c r="AI52" i="4"/>
  <c r="AH52" i="4"/>
  <c r="AF52" i="4"/>
  <c r="AE52" i="4"/>
  <c r="AD52" i="4"/>
  <c r="AC52" i="4"/>
  <c r="AB52" i="4"/>
  <c r="AA52" i="4"/>
  <c r="Y52" i="4"/>
  <c r="X52" i="4"/>
  <c r="W52" i="4"/>
  <c r="U52" i="4"/>
  <c r="T52" i="4"/>
  <c r="O52" i="4"/>
  <c r="N52" i="4"/>
  <c r="M52" i="4"/>
  <c r="K52" i="4"/>
  <c r="J52" i="4"/>
  <c r="I52" i="4"/>
  <c r="AL51" i="4"/>
  <c r="O51" i="4"/>
  <c r="N51" i="4"/>
  <c r="AL49" i="4"/>
  <c r="AK49" i="4"/>
  <c r="AJ49" i="4"/>
  <c r="AI49" i="4"/>
  <c r="AH49" i="4"/>
  <c r="AF49" i="4"/>
  <c r="AE49" i="4"/>
  <c r="AD49" i="4"/>
  <c r="AC49" i="4"/>
  <c r="AB49" i="4"/>
  <c r="AA49" i="4"/>
  <c r="Y49" i="4"/>
  <c r="X49" i="4"/>
  <c r="W49" i="4"/>
  <c r="U49" i="4"/>
  <c r="T49" i="4"/>
  <c r="O49" i="4"/>
  <c r="N49" i="4"/>
  <c r="M49" i="4"/>
  <c r="K49" i="4"/>
  <c r="J49" i="4"/>
  <c r="I49" i="4"/>
  <c r="AL48" i="4"/>
  <c r="J48" i="4"/>
  <c r="I48" i="4"/>
  <c r="AL47" i="4"/>
  <c r="AK47" i="4"/>
  <c r="AJ47" i="4"/>
  <c r="AI47" i="4"/>
  <c r="AH47" i="4"/>
  <c r="AF47" i="4"/>
  <c r="AE47" i="4"/>
  <c r="AD47" i="4"/>
  <c r="AC47" i="4"/>
  <c r="AB47" i="4"/>
  <c r="AA47" i="4"/>
  <c r="Y47" i="4"/>
  <c r="X47" i="4"/>
  <c r="W47" i="4"/>
  <c r="U47" i="4"/>
  <c r="T47" i="4"/>
  <c r="O47" i="4"/>
  <c r="N47" i="4"/>
  <c r="M47" i="4"/>
  <c r="K47" i="4"/>
  <c r="J47" i="4"/>
  <c r="I47" i="4"/>
  <c r="AL46" i="4"/>
  <c r="U46" i="4"/>
  <c r="O46" i="4"/>
  <c r="M46" i="4"/>
  <c r="K46" i="4"/>
  <c r="J46" i="4"/>
  <c r="I46" i="4"/>
  <c r="AL44" i="4"/>
  <c r="AK44" i="4"/>
  <c r="AJ44" i="4"/>
  <c r="AI44" i="4"/>
  <c r="AH44" i="4"/>
  <c r="AF44" i="4"/>
  <c r="AE44" i="4"/>
  <c r="AD44" i="4"/>
  <c r="AC44" i="4"/>
  <c r="AB44" i="4"/>
  <c r="AA44" i="4"/>
  <c r="Y44" i="4"/>
  <c r="X44" i="4"/>
  <c r="W44" i="4"/>
  <c r="U44" i="4"/>
  <c r="T44" i="4"/>
  <c r="O44" i="4"/>
  <c r="N44" i="4"/>
  <c r="M44" i="4"/>
  <c r="K44" i="4"/>
  <c r="J44" i="4"/>
  <c r="I44" i="4"/>
  <c r="AL43" i="4"/>
  <c r="U43" i="4"/>
  <c r="I43" i="4"/>
  <c r="AL42" i="4"/>
  <c r="AK42" i="4"/>
  <c r="AJ42" i="4"/>
  <c r="AI42" i="4"/>
  <c r="AH42" i="4"/>
  <c r="AF42" i="4"/>
  <c r="AE42" i="4"/>
  <c r="AD42" i="4"/>
  <c r="AC42" i="4"/>
  <c r="AB42" i="4"/>
  <c r="AA42" i="4"/>
  <c r="Y42" i="4"/>
  <c r="X42" i="4"/>
  <c r="W42" i="4"/>
  <c r="U42" i="4"/>
  <c r="T42" i="4"/>
  <c r="O42" i="4"/>
  <c r="N42" i="4"/>
  <c r="M42" i="4"/>
  <c r="K42" i="4"/>
  <c r="J42" i="4"/>
  <c r="I42" i="4"/>
  <c r="AL41" i="4"/>
  <c r="W41" i="4"/>
  <c r="N41" i="4"/>
  <c r="I41" i="4"/>
  <c r="AL39" i="4"/>
  <c r="AK39" i="4"/>
  <c r="AJ39" i="4"/>
  <c r="AI39" i="4"/>
  <c r="AH39" i="4"/>
  <c r="AF39" i="4"/>
  <c r="AE39" i="4"/>
  <c r="AD39" i="4"/>
  <c r="AC39" i="4"/>
  <c r="AB39" i="4"/>
  <c r="AA39" i="4"/>
  <c r="Y39" i="4"/>
  <c r="X39" i="4"/>
  <c r="W39" i="4"/>
  <c r="U39" i="4"/>
  <c r="T39" i="4"/>
  <c r="O39" i="4"/>
  <c r="N39" i="4"/>
  <c r="M39" i="4"/>
  <c r="K39" i="4"/>
  <c r="J39" i="4"/>
  <c r="I39" i="4"/>
  <c r="AL38" i="4"/>
  <c r="X38" i="4"/>
  <c r="W38" i="4"/>
  <c r="U38" i="4"/>
  <c r="T38" i="4"/>
  <c r="O38" i="4"/>
  <c r="N38" i="4"/>
  <c r="M38" i="4"/>
  <c r="K38" i="4"/>
  <c r="J38" i="4"/>
  <c r="I38" i="4"/>
  <c r="AL36" i="4"/>
  <c r="AK36" i="4"/>
  <c r="AJ36" i="4"/>
  <c r="AI36" i="4"/>
  <c r="AH36" i="4"/>
  <c r="AF36" i="4"/>
  <c r="AE36" i="4"/>
  <c r="AD36" i="4"/>
  <c r="AC36" i="4"/>
  <c r="AB36" i="4"/>
  <c r="AA36" i="4"/>
  <c r="Y36" i="4"/>
  <c r="X36" i="4"/>
  <c r="W36" i="4"/>
  <c r="U36" i="4"/>
  <c r="T36" i="4"/>
  <c r="O36" i="4"/>
  <c r="N36" i="4"/>
  <c r="M36" i="4"/>
  <c r="K36" i="4"/>
  <c r="J36" i="4"/>
  <c r="I36" i="4"/>
  <c r="AL29" i="4"/>
  <c r="O29" i="4"/>
  <c r="AL27" i="4"/>
  <c r="AI27" i="4"/>
  <c r="AE27" i="4"/>
  <c r="AB27" i="4"/>
  <c r="X27" i="4"/>
  <c r="T27" i="4"/>
  <c r="M27" i="4"/>
  <c r="W26" i="4"/>
  <c r="T26" i="4"/>
  <c r="O26" i="4"/>
  <c r="N26" i="4"/>
  <c r="M26" i="4"/>
  <c r="K26" i="4"/>
  <c r="J26" i="4"/>
  <c r="I26" i="4"/>
  <c r="AL24" i="4"/>
  <c r="AK24" i="4"/>
  <c r="AJ24" i="4"/>
  <c r="AI24" i="4"/>
  <c r="AH24" i="4"/>
  <c r="AF24" i="4"/>
  <c r="AE24" i="4"/>
  <c r="AD24" i="4"/>
  <c r="AC24" i="4"/>
  <c r="AB24" i="4"/>
  <c r="AA24" i="4"/>
  <c r="Y24" i="4"/>
  <c r="X24" i="4"/>
  <c r="W24" i="4"/>
  <c r="U24" i="4"/>
  <c r="T24" i="4"/>
  <c r="O24" i="4"/>
  <c r="N24" i="4"/>
  <c r="M24" i="4"/>
  <c r="K24" i="4"/>
  <c r="J24" i="4"/>
  <c r="I24" i="4"/>
  <c r="AL23" i="4"/>
  <c r="U23" i="4"/>
  <c r="M23" i="4"/>
  <c r="I23" i="4"/>
  <c r="AL21" i="4"/>
  <c r="AK21" i="4"/>
  <c r="AJ21" i="4"/>
  <c r="AI21" i="4"/>
  <c r="AH21" i="4"/>
  <c r="AF21" i="4"/>
  <c r="AE21" i="4"/>
  <c r="AD21" i="4"/>
  <c r="AC21" i="4"/>
  <c r="AB21" i="4"/>
  <c r="AA21" i="4"/>
  <c r="Y21" i="4"/>
  <c r="X21" i="4"/>
  <c r="W21" i="4"/>
  <c r="U21" i="4"/>
  <c r="T21" i="4"/>
  <c r="O21" i="4"/>
  <c r="N21" i="4"/>
  <c r="M21" i="4"/>
  <c r="K21" i="4"/>
  <c r="J21" i="4"/>
  <c r="I21" i="4"/>
  <c r="AL20" i="4"/>
  <c r="W20" i="4"/>
  <c r="M20" i="4"/>
  <c r="AL18" i="4"/>
  <c r="AK18" i="4"/>
  <c r="AJ18" i="4"/>
  <c r="AI18" i="4"/>
  <c r="AH18" i="4"/>
  <c r="AF18" i="4"/>
  <c r="AE18" i="4"/>
  <c r="AD18" i="4"/>
  <c r="AC18" i="4"/>
  <c r="AB18" i="4"/>
  <c r="AA18" i="4"/>
  <c r="Y18" i="4"/>
  <c r="X18" i="4"/>
  <c r="W18" i="4"/>
  <c r="U18" i="4"/>
  <c r="T18" i="4"/>
  <c r="O18" i="4"/>
  <c r="N18" i="4"/>
  <c r="M18" i="4"/>
  <c r="K18" i="4"/>
  <c r="J18" i="4"/>
  <c r="I18" i="4"/>
  <c r="AL17" i="4"/>
  <c r="T17" i="4"/>
  <c r="M17" i="4"/>
  <c r="AL16" i="4"/>
  <c r="AK16" i="4"/>
  <c r="AJ16" i="4"/>
  <c r="AI16" i="4"/>
  <c r="AH16" i="4"/>
  <c r="AF16" i="4"/>
  <c r="AE16" i="4"/>
  <c r="AD16" i="4"/>
  <c r="AC16" i="4"/>
  <c r="AB16" i="4"/>
  <c r="AA16" i="4"/>
  <c r="Y16" i="4"/>
  <c r="X16" i="4"/>
  <c r="W16" i="4"/>
  <c r="U16" i="4"/>
  <c r="T16" i="4"/>
  <c r="O16" i="4"/>
  <c r="N16" i="4"/>
  <c r="M16" i="4"/>
  <c r="K16" i="4"/>
  <c r="J16" i="4"/>
  <c r="I16" i="4"/>
  <c r="AL15" i="4"/>
  <c r="X15" i="4"/>
  <c r="W15" i="4"/>
  <c r="U15" i="4"/>
  <c r="T15" i="4"/>
  <c r="O15" i="4"/>
  <c r="N15" i="4"/>
  <c r="M15" i="4"/>
  <c r="K15" i="4"/>
  <c r="J15" i="4"/>
  <c r="I15" i="4"/>
  <c r="AL13" i="4"/>
  <c r="AK13" i="4"/>
  <c r="AJ13" i="4"/>
  <c r="AI13" i="4"/>
  <c r="AH13" i="4"/>
  <c r="AF13" i="4"/>
  <c r="AE13" i="4"/>
  <c r="AD13" i="4"/>
  <c r="AC13" i="4"/>
  <c r="AB13" i="4"/>
  <c r="AA13" i="4"/>
  <c r="Y13" i="4"/>
  <c r="X13" i="4"/>
  <c r="W13" i="4"/>
  <c r="U13" i="4"/>
  <c r="T13" i="4"/>
  <c r="O13" i="4"/>
  <c r="N13" i="4"/>
  <c r="M13" i="4"/>
  <c r="K13" i="4"/>
  <c r="J13" i="4"/>
  <c r="I13" i="4"/>
  <c r="AL12" i="4"/>
  <c r="W12" i="4"/>
  <c r="T12" i="4"/>
  <c r="O12" i="4"/>
  <c r="N12" i="4"/>
  <c r="M12" i="4"/>
  <c r="K12" i="4"/>
  <c r="J12" i="4"/>
  <c r="I12" i="4"/>
  <c r="O11" i="4"/>
  <c r="N11" i="4"/>
  <c r="M11" i="4"/>
  <c r="K11" i="4"/>
  <c r="J11" i="4"/>
  <c r="I11" i="4"/>
  <c r="AL9" i="4"/>
  <c r="AK9" i="4"/>
  <c r="AJ9" i="4"/>
  <c r="AI9" i="4"/>
  <c r="AH9" i="4"/>
  <c r="AF9" i="4"/>
  <c r="AE9" i="4"/>
  <c r="AD9" i="4"/>
  <c r="AC9" i="4"/>
  <c r="AB9" i="4"/>
  <c r="AA9" i="4"/>
  <c r="Y9" i="4"/>
  <c r="X9" i="4"/>
  <c r="W9" i="4"/>
  <c r="U9" i="4"/>
  <c r="T9" i="4"/>
  <c r="O9" i="4"/>
  <c r="N9" i="4"/>
  <c r="M9" i="4"/>
  <c r="K9" i="4"/>
  <c r="J9" i="4"/>
  <c r="I9" i="4"/>
  <c r="C39" i="6" l="1"/>
  <c r="D39" i="6" s="1"/>
  <c r="F39" i="6" s="1"/>
  <c r="G39" i="6" s="1"/>
  <c r="H39" i="6" s="1"/>
  <c r="I39" i="6" s="1"/>
  <c r="J39" i="6" s="1"/>
  <c r="K39" i="6" s="1"/>
  <c r="N39" i="6" s="1"/>
  <c r="O39" i="6" s="1"/>
  <c r="P39" i="6" s="1"/>
  <c r="Q39" i="6" s="1"/>
  <c r="R39" i="6" s="1"/>
  <c r="T39" i="6" s="1"/>
  <c r="U39" i="6" s="1"/>
  <c r="V39" i="6" s="1"/>
  <c r="W39" i="6" s="1"/>
  <c r="X39" i="6" s="1"/>
  <c r="Y39" i="6" s="1"/>
  <c r="AA39" i="6" s="1"/>
  <c r="AB39" i="6" s="1"/>
  <c r="AC39" i="6" s="1"/>
  <c r="AD39" i="6" s="1"/>
  <c r="C51" i="6"/>
  <c r="D51" i="6" s="1"/>
  <c r="F51" i="6" s="1"/>
  <c r="G51" i="6" s="1"/>
  <c r="H51" i="6" s="1"/>
  <c r="I51" i="6" s="1"/>
  <c r="J51" i="6" s="1"/>
  <c r="K51" i="6" s="1"/>
  <c r="N51" i="6" s="1"/>
  <c r="O51" i="6" s="1"/>
  <c r="P51" i="6" s="1"/>
  <c r="Q51" i="6" s="1"/>
  <c r="R51" i="6" s="1"/>
  <c r="T51" i="6" s="1"/>
  <c r="U51" i="6" s="1"/>
  <c r="V51" i="6" s="1"/>
  <c r="W51" i="6" s="1"/>
  <c r="X51" i="6" s="1"/>
  <c r="Y51" i="6" s="1"/>
  <c r="AA51" i="6" s="1"/>
  <c r="AB51" i="6" s="1"/>
  <c r="AC51" i="6" s="1"/>
  <c r="AD51" i="6" s="1"/>
  <c r="H62" i="6"/>
  <c r="P62" i="6"/>
  <c r="U62" i="6"/>
  <c r="Y62" i="6"/>
  <c r="AD62" i="6"/>
  <c r="N62" i="6"/>
  <c r="AH47" i="6"/>
  <c r="C62" i="6"/>
  <c r="F62" i="6"/>
  <c r="J62" i="6"/>
  <c r="AH32" i="6"/>
  <c r="AH62" i="6" s="1"/>
  <c r="C60" i="6"/>
  <c r="D60" i="6" s="1"/>
  <c r="F60" i="6" s="1"/>
  <c r="G60" i="6" s="1"/>
  <c r="H60" i="6" s="1"/>
  <c r="I60" i="6" s="1"/>
  <c r="J60" i="6" s="1"/>
  <c r="K60" i="6" s="1"/>
  <c r="N60" i="6" s="1"/>
  <c r="O60" i="6" s="1"/>
  <c r="P60" i="6" s="1"/>
  <c r="Q60" i="6" s="1"/>
  <c r="R60" i="6" s="1"/>
  <c r="T60" i="6" s="1"/>
  <c r="U60" i="6" s="1"/>
  <c r="V60" i="6" s="1"/>
  <c r="W60" i="6" s="1"/>
  <c r="X60" i="6" s="1"/>
  <c r="Y60" i="6" s="1"/>
  <c r="AA60" i="6" s="1"/>
  <c r="AB60" i="6" s="1"/>
  <c r="AC60" i="6" s="1"/>
  <c r="AD60" i="6" s="1"/>
  <c r="C36" i="9"/>
  <c r="D36" i="9" s="1"/>
  <c r="F36" i="9" s="1"/>
  <c r="G36" i="9" s="1"/>
  <c r="H36" i="9" s="1"/>
  <c r="I36" i="9" s="1"/>
  <c r="J36" i="9" s="1"/>
  <c r="K36" i="9" s="1"/>
  <c r="N36" i="9" s="1"/>
  <c r="O36" i="9" s="1"/>
  <c r="P36" i="9" s="1"/>
  <c r="Q36" i="9" s="1"/>
  <c r="R36" i="9" s="1"/>
  <c r="T36" i="9" s="1"/>
  <c r="U36" i="9" s="1"/>
  <c r="V36" i="9" s="1"/>
  <c r="W36" i="9" s="1"/>
  <c r="X36" i="9" s="1"/>
  <c r="Y36" i="9" s="1"/>
  <c r="AA36" i="9" s="1"/>
  <c r="AB36" i="9" s="1"/>
  <c r="AC36" i="9" s="1"/>
  <c r="AD36" i="9" s="1"/>
  <c r="C45" i="9"/>
  <c r="D45" i="9" s="1"/>
  <c r="F45" i="9" s="1"/>
  <c r="G45" i="9" s="1"/>
  <c r="H45" i="9" s="1"/>
  <c r="I45" i="9" s="1"/>
  <c r="J45" i="9" s="1"/>
  <c r="K45" i="9" s="1"/>
  <c r="N45" i="9" s="1"/>
  <c r="O45" i="9" s="1"/>
  <c r="P45" i="9" s="1"/>
  <c r="Q45" i="9" s="1"/>
  <c r="R45" i="9" s="1"/>
  <c r="T45" i="9" s="1"/>
  <c r="U45" i="9" s="1"/>
  <c r="V45" i="9" s="1"/>
  <c r="W45" i="9" s="1"/>
  <c r="X45" i="9" s="1"/>
  <c r="Y45" i="9" s="1"/>
  <c r="AA45" i="9" s="1"/>
  <c r="AB45" i="9" s="1"/>
  <c r="AC45" i="9" s="1"/>
  <c r="AD45" i="9" s="1"/>
  <c r="AH47" i="9"/>
  <c r="AH32" i="9"/>
  <c r="AH62" i="9" s="1"/>
  <c r="AH38" i="9"/>
  <c r="AH50" i="9"/>
  <c r="AH59" i="9"/>
  <c r="C33" i="9"/>
  <c r="D33" i="9" s="1"/>
  <c r="F33" i="9" s="1"/>
  <c r="G33" i="9" s="1"/>
  <c r="H33" i="9" s="1"/>
  <c r="I33" i="9" s="1"/>
  <c r="J33" i="9" s="1"/>
  <c r="K33" i="9" s="1"/>
  <c r="N33" i="9" s="1"/>
  <c r="O33" i="9" s="1"/>
  <c r="P33" i="9" s="1"/>
  <c r="Q33" i="9" s="1"/>
  <c r="R33" i="9" s="1"/>
  <c r="T33" i="9" s="1"/>
  <c r="U33" i="9" s="1"/>
  <c r="V33" i="9" s="1"/>
  <c r="W33" i="9" s="1"/>
  <c r="X33" i="9" s="1"/>
  <c r="Y33" i="9" s="1"/>
  <c r="AA33" i="9" s="1"/>
  <c r="AB33" i="9" s="1"/>
  <c r="AC33" i="9" s="1"/>
  <c r="AD33" i="9" s="1"/>
  <c r="AH41" i="9"/>
  <c r="AH4" i="6"/>
  <c r="C11" i="6"/>
  <c r="D11" i="6" s="1"/>
  <c r="F11" i="6" s="1"/>
  <c r="G11" i="6" s="1"/>
  <c r="H11" i="6" s="1"/>
  <c r="I11" i="6" s="1"/>
  <c r="J11" i="6" s="1"/>
  <c r="K11" i="6" s="1"/>
  <c r="N11" i="6" s="1"/>
  <c r="O11" i="6" s="1"/>
  <c r="P11" i="6" s="1"/>
  <c r="Q11" i="6" s="1"/>
  <c r="R11" i="6" s="1"/>
  <c r="T11" i="6" s="1"/>
  <c r="U11" i="6" s="1"/>
  <c r="V11" i="6" s="1"/>
  <c r="W11" i="6" s="1"/>
  <c r="X11" i="6" s="1"/>
  <c r="Y11" i="6" s="1"/>
  <c r="AA11" i="6" s="1"/>
  <c r="AB11" i="6" s="1"/>
  <c r="AC11" i="6" s="1"/>
  <c r="AD11" i="6" s="1"/>
  <c r="C17" i="6"/>
  <c r="D17" i="6" s="1"/>
  <c r="F17" i="6" s="1"/>
  <c r="G17" i="6" s="1"/>
  <c r="H17" i="6" s="1"/>
  <c r="I17" i="6" s="1"/>
  <c r="J17" i="6" s="1"/>
  <c r="K17" i="6" s="1"/>
  <c r="N17" i="6" s="1"/>
  <c r="O17" i="6" s="1"/>
  <c r="P17" i="6" s="1"/>
  <c r="Q17" i="6" s="1"/>
  <c r="R17" i="6" s="1"/>
  <c r="T17" i="6" s="1"/>
  <c r="U17" i="6" s="1"/>
  <c r="V17" i="6" s="1"/>
  <c r="W17" i="6" s="1"/>
  <c r="X17" i="6" s="1"/>
  <c r="Y17" i="6" s="1"/>
  <c r="AA17" i="6" s="1"/>
  <c r="AB17" i="6" s="1"/>
  <c r="AC17" i="6" s="1"/>
  <c r="AD17" i="6" s="1"/>
  <c r="C25" i="6"/>
  <c r="AH25" i="6" s="1"/>
  <c r="AH10" i="9"/>
  <c r="AH16" i="9"/>
  <c r="AH22" i="9"/>
  <c r="AH7" i="6"/>
  <c r="AH13" i="6"/>
  <c r="AH19" i="6"/>
  <c r="AH4" i="9"/>
  <c r="C25" i="9"/>
  <c r="AH25" i="9" s="1"/>
  <c r="AH7" i="9"/>
  <c r="AH13" i="9"/>
  <c r="AH19" i="9"/>
</calcChain>
</file>

<file path=xl/sharedStrings.xml><?xml version="1.0" encoding="utf-8"?>
<sst xmlns="http://schemas.openxmlformats.org/spreadsheetml/2006/main" count="1601" uniqueCount="264">
  <si>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</si>
  <si>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</si>
  <si>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</si>
  <si>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</si>
  <si>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</si>
  <si>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</si>
  <si>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</si>
  <si>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</si>
  <si>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</si>
  <si>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</si>
  <si>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</si>
  <si>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</si>
  <si>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伸线(KG)COPPER DRAWING</t>
  </si>
  <si>
    <t>MK83</t>
  </si>
  <si>
    <t>需求设备JML MESIN YANG DIPERLUKAN</t>
  </si>
  <si>
    <t>实际产能 HASIL AKTUAL</t>
  </si>
  <si>
    <t>0,080A</t>
  </si>
  <si>
    <t>退火 ANEALING</t>
  </si>
  <si>
    <t>35 / 0,080A</t>
  </si>
  <si>
    <t>绞铜红黑(米)STRANDING (MERAH HITAM)</t>
  </si>
  <si>
    <t>需求设备 JML MESIN YANG DIPERLUKAN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</si>
  <si>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</si>
  <si>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</si>
  <si>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</si>
  <si>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</si>
  <si>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</si>
  <si>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</si>
  <si>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</si>
  <si>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</si>
  <si>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</si>
  <si>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</si>
  <si>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</si>
  <si>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</si>
  <si>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</si>
  <si>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</si>
  <si>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</si>
  <si>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</si>
  <si>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</si>
  <si>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</si>
  <si>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</si>
  <si>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</si>
  <si>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</si>
  <si>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</si>
  <si>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</si>
  <si>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</si>
  <si>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</si>
  <si>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</si>
  <si>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</si>
  <si>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</si>
  <si>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</si>
  <si>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</si>
  <si>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</si>
  <si>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</si>
  <si>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</si>
  <si>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20000PCS</t>
    </r>
  </si>
  <si>
    <t>11 / 0,160A</t>
  </si>
  <si>
    <t>AY01</t>
  </si>
  <si>
    <t>W03-71010060-Y</t>
  </si>
  <si>
    <t>2月17：20000PCS</t>
  </si>
  <si>
    <t>MB50B</t>
  </si>
  <si>
    <t>W03-71010064-Y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</si>
  <si>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charset val="134"/>
      </rPr>
      <t>10000</t>
    </r>
  </si>
  <si>
    <t>0,080UEW</t>
  </si>
  <si>
    <t>漆包(KG)ENAMELING</t>
  </si>
  <si>
    <t>26 / 0,080UEW</t>
  </si>
  <si>
    <t>BL98B</t>
  </si>
  <si>
    <t>W03-71010075-Y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</si>
  <si>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</si>
  <si>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</si>
  <si>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</si>
  <si>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</si>
  <si>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</si>
  <si>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</si>
  <si>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</si>
  <si>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</si>
  <si>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</si>
  <si>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</si>
  <si>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</si>
  <si>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</si>
  <si>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</si>
  <si>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</si>
  <si>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</si>
  <si>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</si>
  <si>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</si>
  <si>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</si>
  <si>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</si>
  <si>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</si>
  <si>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</si>
  <si>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</si>
  <si>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</si>
  <si>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月20日发泡料到</t>
    </r>
  </si>
  <si>
    <t>0,080T</t>
  </si>
  <si>
    <t>镀锡 TINING</t>
  </si>
  <si>
    <t>0,254T</t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</si>
  <si>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</si>
  <si>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</si>
  <si>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</si>
  <si>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</si>
  <si>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</si>
  <si>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</si>
  <si>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</si>
  <si>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</si>
  <si>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</si>
  <si>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</si>
  <si>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</si>
  <si>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</si>
  <si>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</si>
  <si>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</si>
  <si>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</si>
  <si>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</si>
  <si>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纍計差異Selisih Produksi</t>
  </si>
  <si>
    <t>計劃合計</t>
  </si>
  <si>
    <t>實際合計</t>
  </si>
  <si>
    <t>0,080 A</t>
  </si>
  <si>
    <t>纍計Selisih Produksi</t>
  </si>
  <si>
    <t>0,160 A</t>
  </si>
  <si>
    <t>0,120 A</t>
  </si>
  <si>
    <t>0,127 A</t>
  </si>
  <si>
    <t>0,200 A</t>
  </si>
  <si>
    <t>0,080 T</t>
  </si>
  <si>
    <t>鍍錫 ANEALING</t>
  </si>
  <si>
    <t>0,100 T</t>
  </si>
  <si>
    <t>鍍錫計劃 ANEALING</t>
  </si>
  <si>
    <t>0,127 T</t>
  </si>
  <si>
    <t>0,254 T</t>
  </si>
  <si>
    <t>鍍錫計劃ANEALING</t>
  </si>
  <si>
    <t>0,080 UEW</t>
  </si>
  <si>
    <t>漆包計劃 ANEALING</t>
  </si>
  <si>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3</t>
    </r>
    <r>
      <rPr>
        <b/>
        <sz val="14"/>
        <color theme="1"/>
        <rFont val="宋体"/>
        <charset val="134"/>
      </rPr>
      <t>月份生产排程计划</t>
    </r>
  </si>
  <si>
    <t>伸线計劃(KG)COPPER DRAWING</t>
  </si>
  <si>
    <t>退火計劃 ANEALING</t>
  </si>
  <si>
    <t>0,16 A</t>
  </si>
  <si>
    <t>0,12 A</t>
  </si>
  <si>
    <t>0,20 A</t>
  </si>
  <si>
    <t>鍍錫計劃 TINING</t>
  </si>
  <si>
    <t>漆包計劃 ENAMELING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</si>
  <si>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</si>
  <si>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</si>
  <si>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</si>
  <si>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</si>
  <si>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</si>
  <si>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</si>
  <si>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</si>
  <si>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</si>
  <si>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</si>
  <si>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</si>
  <si>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</si>
  <si>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</si>
  <si>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</si>
  <si>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</si>
  <si>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</si>
  <si>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</si>
  <si>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</si>
  <si>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</si>
  <si>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細伸COPPER DRAWING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</si>
  <si>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</si>
  <si>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</si>
  <si>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</si>
  <si>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</si>
  <si>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</si>
  <si>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</si>
  <si>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</si>
  <si>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</si>
  <si>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</si>
  <si>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</si>
  <si>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</si>
  <si>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</si>
  <si>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</si>
  <si>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</si>
  <si>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</si>
  <si>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</si>
  <si>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wire drawing, anil dan cat</t>
  </si>
  <si>
    <t>Wire drawing, annealing, and paint production daily report</t>
  </si>
  <si>
    <t>伸線、退火、烤漆生產日報表</t>
  </si>
  <si>
    <t>Jumlah standar pada mesin标准开机台数</t>
  </si>
  <si>
    <t xml:space="preserve">Persentase target (%)    Target Precentage  实际達成率  </t>
  </si>
  <si>
    <t>Jumlah operator
人数</t>
  </si>
  <si>
    <t>Abnormal
Jam Kerja
异常工时</t>
  </si>
  <si>
    <t>Total Jam kerja
合计工时</t>
  </si>
  <si>
    <t>Jam kerja standar
标准工时
KG/H</t>
  </si>
  <si>
    <t>1KG/H</t>
  </si>
  <si>
    <t>标准套用工时</t>
  </si>
  <si>
    <t>Total Jam kerja standa
标准总工时</t>
  </si>
  <si>
    <t>实际工时
人/时</t>
  </si>
  <si>
    <t>ME-1701</t>
  </si>
  <si>
    <t>A</t>
  </si>
  <si>
    <t>Irvan, Muntadirin</t>
  </si>
  <si>
    <t>WD-2401</t>
  </si>
  <si>
    <t>Irvan, Muntadirin, Andre</t>
  </si>
  <si>
    <t>WD-2402</t>
  </si>
  <si>
    <t>WD-2403</t>
  </si>
  <si>
    <t>WD-2404</t>
  </si>
  <si>
    <t>WD-2405</t>
  </si>
  <si>
    <t>WD-2406</t>
  </si>
  <si>
    <t>Rifky</t>
  </si>
  <si>
    <t>Irvan, Rizki</t>
  </si>
  <si>
    <t>Rifky, Muntadirin, Andre</t>
  </si>
  <si>
    <t>WD-2408</t>
  </si>
  <si>
    <t>Irvan, Andre</t>
  </si>
  <si>
    <t>WD-2407</t>
  </si>
  <si>
    <t>Muntadirin, Andre</t>
  </si>
  <si>
    <t>Muntadirin, Andre, Rifky</t>
  </si>
  <si>
    <t>WD-2409</t>
  </si>
  <si>
    <t>Ricko, Andre</t>
  </si>
  <si>
    <t>Ricko, Andre, Rifky</t>
  </si>
  <si>
    <t>Andre, Rifky</t>
  </si>
  <si>
    <t>Andre, Muntadirin</t>
  </si>
  <si>
    <t>Rifky, Muntadirin</t>
  </si>
  <si>
    <t>WD-2410</t>
  </si>
  <si>
    <t>WD-2411</t>
  </si>
  <si>
    <t>21,36+27,74+27,96+28,18+25,81+14,36</t>
  </si>
  <si>
    <t>袁  博</t>
  </si>
  <si>
    <t>李天富</t>
  </si>
  <si>
    <t>Ricky</t>
  </si>
  <si>
    <t>No. Format: CP-QEM-003  Rev: A0</t>
  </si>
  <si>
    <t>1m/H</t>
  </si>
  <si>
    <t>标准总工时</t>
  </si>
  <si>
    <t>AM-2800-01</t>
  </si>
  <si>
    <t>退火32頭</t>
  </si>
  <si>
    <t>-</t>
  </si>
  <si>
    <t>Dita, Khoir, Lukman</t>
  </si>
  <si>
    <t>FA-3201</t>
  </si>
  <si>
    <t>Khoir</t>
  </si>
  <si>
    <t>退火8頭</t>
  </si>
  <si>
    <t>Khoir Lukman</t>
  </si>
  <si>
    <t>Lukman</t>
  </si>
  <si>
    <t>Dita</t>
  </si>
  <si>
    <t>退火16頭</t>
  </si>
  <si>
    <t>Lukman, Rizki</t>
  </si>
  <si>
    <t>Rizki</t>
  </si>
  <si>
    <t>Dita, Khoir</t>
  </si>
  <si>
    <t>Rifky, Ricko,Iqbal</t>
  </si>
  <si>
    <t>0,16 T</t>
  </si>
  <si>
    <t>Khoir, Lukman, Dita</t>
  </si>
  <si>
    <t>Khoir, Ricko, Lukman</t>
  </si>
  <si>
    <t>退火28頭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</si>
  <si>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班別：伸线班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</si>
  <si>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</si>
  <si>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</si>
  <si>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</si>
  <si>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</si>
  <si>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No JO                  </t>
    </r>
    <r>
      <rPr>
        <i/>
        <sz val="10"/>
        <color indexed="12"/>
        <rFont val="Times New Roman"/>
        <family val="1"/>
      </rPr>
      <t xml:space="preserve">JO Number </t>
    </r>
    <r>
      <rPr>
        <sz val="10"/>
        <rFont val="Times New Roman"/>
        <family val="1"/>
      </rPr>
      <t xml:space="preserve">   制令號             </t>
    </r>
  </si>
  <si>
    <r>
      <rPr>
        <sz val="10"/>
        <rFont val="Times New Roman"/>
        <family val="1"/>
      </rPr>
      <t xml:space="preserve">Spesifikasi (mm)    </t>
    </r>
    <r>
      <rPr>
        <i/>
        <sz val="10"/>
        <color indexed="12"/>
        <rFont val="Times New Roman"/>
        <family val="1"/>
      </rPr>
      <t xml:space="preserve">Specification </t>
    </r>
    <r>
      <rPr>
        <sz val="10"/>
        <rFont val="Times New Roman"/>
        <family val="1"/>
      </rPr>
      <t xml:space="preserve">        </t>
    </r>
    <r>
      <rPr>
        <sz val="10"/>
        <rFont val="宋体"/>
        <charset val="134"/>
      </rPr>
      <t>規格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</si>
  <si>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Standar target
(Kg)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</si>
  <si>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</si>
  <si>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aktual target
（Kg）  </t>
    </r>
    <r>
      <rPr>
        <i/>
        <sz val="10"/>
        <color indexed="12"/>
        <rFont val="Times New Roman"/>
        <family val="1"/>
      </rPr>
      <t xml:space="preserve">Actual target   </t>
    </r>
    <r>
      <rPr>
        <sz val="10"/>
        <rFont val="Times New Roman"/>
        <family val="1"/>
      </rPr>
      <t xml:space="preserve">  實際產量 </t>
    </r>
  </si>
  <si>
    <r>
      <rPr>
        <sz val="10"/>
        <rFont val="Times New Roman"/>
        <family val="1"/>
      </rPr>
      <t xml:space="preserve">Panjang (M)  </t>
    </r>
    <r>
      <rPr>
        <i/>
        <sz val="10"/>
        <color indexed="12"/>
        <rFont val="Times New Roman"/>
        <family val="1"/>
      </rPr>
      <t xml:space="preserve">Length     </t>
    </r>
    <r>
      <rPr>
        <sz val="10"/>
        <rFont val="Times New Roman"/>
        <family val="1"/>
      </rPr>
      <t xml:space="preserve">    長度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</si>
  <si>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</si>
  <si>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</si>
  <si>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</si>
  <si>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</si>
  <si>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</si>
  <si>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備注                    </t>
    </r>
  </si>
  <si>
    <r>
      <rPr>
        <sz val="11"/>
        <rFont val="Microsoft YaHei UI"/>
        <family val="2"/>
      </rPr>
      <t>伸線</t>
    </r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</si>
  <si>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</si>
  <si>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</si>
  <si>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</si>
  <si>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/班別：伸线班</t>
    </r>
  </si>
  <si>
    <r>
      <rPr>
        <sz val="10"/>
        <rFont val="Times New Roman"/>
        <family val="1"/>
      </rPr>
      <t xml:space="preserve">Standar target
(Kg/H)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Times New Roman"/>
        <family val="1"/>
      </rPr>
      <t xml:space="preserve">標準產量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</si>
  <si>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</si>
  <si>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</t>
    </r>
    <r>
      <rPr>
        <sz val="10"/>
        <rFont val="宋体"/>
        <charset val="134"/>
      </rPr>
      <t>備注</t>
    </r>
    <r>
      <rPr>
        <sz val="10"/>
        <rFont val="Times New Roman"/>
        <family val="1"/>
      </rPr>
      <t xml:space="preserve">                    </t>
    </r>
  </si>
  <si>
    <t>退火4頭</t>
  </si>
  <si>
    <t>0,10 T</t>
  </si>
  <si>
    <t>0,12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</si>
</sst>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 * #,##0.00_ ;_ * \-#,##0.00_ ;_ * &quot;-&quot;??_ ;_ @_ "/>
    <numFmt numFmtId="168" formatCode="_(* #,##0_);_(* \(#,##0\);_(* &quot;-&quot;_);_(@_)"/>
    <numFmt numFmtId="169" formatCode="_(* #,##0.00_);_(* \(#,##0.00\);_(* &quot;-&quot;??_);_(@_)"/>
    <numFmt numFmtId="170" formatCode="_-&quot;$&quot;* #,##0.00_-;\-&quot;$&quot;* #,##0.00_-;_-&quot;$&quot;* &quot;-&quot;??_-;_-@_-"/>
    <numFmt numFmtId="171" formatCode="_-&quot;$&quot;* #,##0_-;\-&quot;$&quot;* #,##0_-;_-&quot;$&quot;* &quot;-&quot;_-;_-@_-"/>
    <numFmt numFmtId="172" formatCode="[$-409]d\-mmm\-yy;@"/>
    <numFmt numFmtId="173" formatCode="[$-13809]dd/mm/yyyy;@"/>
    <numFmt numFmtId="174" formatCode="[$-421]dd\ mmmm\ yyyy;@"/>
    <numFmt numFmtId="175" formatCode="0.0000"/>
    <numFmt numFmtId="176" formatCode="&quot;$&quot;#,##0.00;[Red]\-&quot;$&quot;#,##0.00"/>
    <numFmt numFmtId="177" formatCode="m/d;@"/>
    <numFmt numFmtId="178" formatCode="0.00_ "/>
    <numFmt numFmtId="179" formatCode="0.0"/>
    <numFmt numFmtId="180" formatCode="#,##0\ &quot;PCS&quot;"/>
    <numFmt numFmtId="181" formatCode="0.000\ #&quot;M&quot;"/>
    <numFmt numFmtId="182" formatCode="0.00\ #&quot;M&quot;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新細明體"/>
      <charset val="134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8"/>
      <color theme="1"/>
      <name val="Times New Roman"/>
      <charset val="134"/>
    </font>
    <font>
      <b/>
      <sz val="8"/>
      <color theme="1"/>
      <name val="Times New Roman"/>
      <charset val="134"/>
    </font>
    <font>
      <b/>
      <sz val="14"/>
      <color theme="1"/>
      <name val="Times New Roman"/>
      <charset val="134"/>
    </font>
    <font>
      <sz val="8"/>
      <name val="Times New Roman"/>
      <charset val="134"/>
    </font>
    <font>
      <sz val="10"/>
      <color theme="1"/>
      <name val="Times New Roman"/>
      <charset val="134"/>
    </font>
    <font>
      <sz val="12"/>
      <name val="新細明體"/>
      <charset val="134"/>
    </font>
    <font>
      <sz val="11"/>
      <color indexed="8"/>
      <name val="Calibri"/>
      <charset val="134"/>
    </font>
    <font>
      <sz val="12"/>
      <name val="新細明體"/>
      <charset val="136"/>
    </font>
    <font>
      <sz val="11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2"/>
      <name val="宋体"/>
      <charset val="134"/>
    </font>
    <font>
      <sz val="11"/>
      <color theme="1"/>
      <name val="Calibri"/>
      <charset val="134"/>
    </font>
    <font>
      <sz val="10"/>
      <name val="Arial"/>
      <charset val="134"/>
    </font>
    <font>
      <sz val="12"/>
      <color indexed="8"/>
      <name val="Calibri"/>
      <charset val="134"/>
    </font>
    <font>
      <sz val="10"/>
      <color rgb="FF0000FF"/>
      <name val="新細明體"/>
      <charset val="136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0"/>
      <name val="Times New Roman"/>
      <family val="1"/>
    </font>
    <font>
      <i/>
      <sz val="10"/>
      <color indexed="12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Microsoft YaHei UI"/>
      <family val="2"/>
    </font>
    <font>
      <sz val="12"/>
      <color rgb="FF202124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96">
    <xf numFmtId="0" fontId="0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0" fillId="0" borderId="0" applyFont="0" applyFill="0" applyBorder="0" applyAlignment="0" applyProtection="0"/>
    <xf numFmtId="168" fontId="24" fillId="0" borderId="0" applyFont="0" applyFill="0" applyBorder="0" applyAlignment="0" applyProtection="0"/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166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8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8" fillId="0" borderId="0"/>
    <xf numFmtId="0" fontId="28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8" fillId="0" borderId="0"/>
    <xf numFmtId="0" fontId="28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3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2" fontId="24" fillId="0" borderId="0">
      <alignment vertical="center"/>
    </xf>
    <xf numFmtId="172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72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6" fillId="0" borderId="0"/>
    <xf numFmtId="174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5" fontId="20" fillId="0" borderId="0" applyFont="0" applyFill="0" applyBorder="0" applyAlignment="0" applyProtection="0">
      <alignment vertical="center"/>
    </xf>
    <xf numFmtId="175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  <xf numFmtId="171" fontId="24" fillId="0" borderId="0" applyFont="0" applyFill="0" applyBorder="0" applyAlignment="0" applyProtection="0">
      <alignment vertical="center"/>
    </xf>
  </cellStyleXfs>
  <cellXfs count="4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 vertical="center"/>
    </xf>
    <xf numFmtId="3" fontId="10" fillId="5" borderId="2" xfId="0" applyNumberFormat="1" applyFont="1" applyFill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vertical="center"/>
    </xf>
    <xf numFmtId="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4" fontId="12" fillId="0" borderId="2" xfId="0" applyNumberFormat="1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12" fillId="7" borderId="0" xfId="0" applyNumberFormat="1" applyFont="1" applyFill="1" applyAlignment="1">
      <alignment horizontal="center"/>
    </xf>
    <xf numFmtId="4" fontId="12" fillId="7" borderId="0" xfId="0" applyNumberFormat="1" applyFont="1" applyFill="1" applyAlignment="1">
      <alignment horizontal="center"/>
    </xf>
    <xf numFmtId="1" fontId="12" fillId="7" borderId="0" xfId="0" applyNumberFormat="1" applyFont="1" applyFill="1" applyAlignment="1">
      <alignment horizont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" fontId="12" fillId="11" borderId="5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177" fontId="12" fillId="11" borderId="5" xfId="0" applyNumberFormat="1" applyFont="1" applyFill="1" applyBorder="1" applyAlignment="1">
      <alignment horizontal="center" vertical="center"/>
    </xf>
    <xf numFmtId="177" fontId="12" fillId="12" borderId="5" xfId="0" applyNumberFormat="1" applyFont="1" applyFill="1" applyBorder="1" applyAlignment="1">
      <alignment horizontal="center" vertical="center"/>
    </xf>
    <xf numFmtId="177" fontId="12" fillId="13" borderId="5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178" fontId="15" fillId="2" borderId="15" xfId="0" applyNumberFormat="1" applyFont="1" applyFill="1" applyBorder="1" applyAlignment="1">
      <alignment horizontal="center" vertical="center"/>
    </xf>
    <xf numFmtId="178" fontId="15" fillId="12" borderId="15" xfId="0" applyNumberFormat="1" applyFont="1" applyFill="1" applyBorder="1" applyAlignment="1">
      <alignment horizontal="center" vertical="center"/>
    </xf>
    <xf numFmtId="178" fontId="15" fillId="13" borderId="15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178" fontId="15" fillId="12" borderId="2" xfId="0" applyNumberFormat="1" applyFont="1" applyFill="1" applyBorder="1" applyAlignment="1">
      <alignment horizontal="center" vertical="center"/>
    </xf>
    <xf numFmtId="178" fontId="15" fillId="13" borderId="2" xfId="0" applyNumberFormat="1" applyFont="1" applyFill="1" applyBorder="1" applyAlignment="1">
      <alignment horizontal="center" vertical="center"/>
    </xf>
    <xf numFmtId="178" fontId="15" fillId="9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8" fontId="15" fillId="2" borderId="2" xfId="0" applyNumberFormat="1" applyFont="1" applyFill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2" fontId="15" fillId="12" borderId="2" xfId="0" applyNumberFormat="1" applyFont="1" applyFill="1" applyBorder="1" applyAlignment="1">
      <alignment horizontal="center" vertical="center"/>
    </xf>
    <xf numFmtId="2" fontId="15" fillId="9" borderId="2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3" fontId="13" fillId="2" borderId="20" xfId="0" applyNumberFormat="1" applyFont="1" applyFill="1" applyBorder="1" applyAlignment="1">
      <alignment horizontal="center" vertical="center"/>
    </xf>
    <xf numFmtId="2" fontId="16" fillId="2" borderId="21" xfId="0" applyNumberFormat="1" applyFont="1" applyFill="1" applyBorder="1" applyAlignment="1">
      <alignment horizontal="center" vertical="center"/>
    </xf>
    <xf numFmtId="2" fontId="16" fillId="8" borderId="22" xfId="0" applyNumberFormat="1" applyFont="1" applyFill="1" applyBorder="1" applyAlignment="1">
      <alignment horizontal="center" vertical="center"/>
    </xf>
    <xf numFmtId="2" fontId="16" fillId="9" borderId="22" xfId="0" applyNumberFormat="1" applyFont="1" applyFill="1" applyBorder="1" applyAlignment="1">
      <alignment horizontal="center" vertical="center"/>
    </xf>
    <xf numFmtId="2" fontId="16" fillId="2" borderId="22" xfId="0" applyNumberFormat="1" applyFont="1" applyFill="1" applyBorder="1" applyAlignment="1">
      <alignment horizontal="center" vertical="center"/>
    </xf>
    <xf numFmtId="3" fontId="13" fillId="2" borderId="23" xfId="0" applyNumberFormat="1" applyFont="1" applyFill="1" applyBorder="1" applyAlignment="1">
      <alignment horizontal="center" vertical="center"/>
    </xf>
    <xf numFmtId="178" fontId="16" fillId="0" borderId="24" xfId="0" applyNumberFormat="1" applyFont="1" applyFill="1" applyBorder="1" applyAlignment="1">
      <alignment horizontal="center" vertical="center"/>
    </xf>
    <xf numFmtId="178" fontId="16" fillId="8" borderId="25" xfId="0" applyNumberFormat="1" applyFont="1" applyFill="1" applyBorder="1" applyAlignment="1">
      <alignment horizontal="center" vertical="center"/>
    </xf>
    <xf numFmtId="178" fontId="16" fillId="9" borderId="25" xfId="0" applyNumberFormat="1" applyFont="1" applyFill="1" applyBorder="1" applyAlignment="1">
      <alignment horizontal="center" vertical="center"/>
    </xf>
    <xf numFmtId="178" fontId="16" fillId="0" borderId="25" xfId="0" applyNumberFormat="1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5" fillId="9" borderId="5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5" fillId="12" borderId="26" xfId="0" applyNumberFormat="1" applyFont="1" applyFill="1" applyBorder="1" applyAlignment="1">
      <alignment horizontal="center" vertical="center"/>
    </xf>
    <xf numFmtId="178" fontId="15" fillId="9" borderId="26" xfId="0" applyNumberFormat="1" applyFont="1" applyFill="1" applyBorder="1" applyAlignment="1">
      <alignment horizontal="center" vertical="center"/>
    </xf>
    <xf numFmtId="178" fontId="16" fillId="2" borderId="21" xfId="0" applyNumberFormat="1" applyFont="1" applyFill="1" applyBorder="1" applyAlignment="1">
      <alignment horizontal="center" vertical="center"/>
    </xf>
    <xf numFmtId="178" fontId="16" fillId="8" borderId="22" xfId="0" applyNumberFormat="1" applyFont="1" applyFill="1" applyBorder="1" applyAlignment="1">
      <alignment horizontal="center" vertical="center"/>
    </xf>
    <xf numFmtId="178" fontId="16" fillId="9" borderId="22" xfId="0" applyNumberFormat="1" applyFont="1" applyFill="1" applyBorder="1" applyAlignment="1">
      <alignment horizontal="center" vertical="center"/>
    </xf>
    <xf numFmtId="178" fontId="16" fillId="2" borderId="22" xfId="0" applyNumberFormat="1" applyFont="1" applyFill="1" applyBorder="1" applyAlignment="1">
      <alignment horizontal="center" vertical="center"/>
    </xf>
    <xf numFmtId="4" fontId="16" fillId="0" borderId="24" xfId="0" applyNumberFormat="1" applyFont="1" applyFill="1" applyBorder="1" applyAlignment="1">
      <alignment horizontal="center" vertical="center"/>
    </xf>
    <xf numFmtId="4" fontId="16" fillId="8" borderId="25" xfId="0" applyNumberFormat="1" applyFont="1" applyFill="1" applyBorder="1" applyAlignment="1">
      <alignment horizontal="center" vertical="center"/>
    </xf>
    <xf numFmtId="4" fontId="16" fillId="9" borderId="25" xfId="0" applyNumberFormat="1" applyFont="1" applyFill="1" applyBorder="1" applyAlignment="1">
      <alignment horizontal="center" vertical="center"/>
    </xf>
    <xf numFmtId="4" fontId="16" fillId="0" borderId="25" xfId="0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12" fillId="8" borderId="0" xfId="0" applyNumberFormat="1" applyFont="1" applyFill="1" applyAlignment="1">
      <alignment horizontal="center" vertical="center"/>
    </xf>
    <xf numFmtId="4" fontId="12" fillId="9" borderId="0" xfId="0" applyNumberFormat="1" applyFont="1" applyFill="1" applyAlignment="1">
      <alignment horizontal="center" vertical="center"/>
    </xf>
    <xf numFmtId="177" fontId="12" fillId="14" borderId="5" xfId="0" applyNumberFormat="1" applyFont="1" applyFill="1" applyBorder="1" applyAlignment="1">
      <alignment horizontal="center" vertical="center"/>
    </xf>
    <xf numFmtId="178" fontId="15" fillId="14" borderId="15" xfId="0" applyNumberFormat="1" applyFont="1" applyFill="1" applyBorder="1" applyAlignment="1">
      <alignment horizontal="center" vertical="center"/>
    </xf>
    <xf numFmtId="178" fontId="15" fillId="14" borderId="2" xfId="0" applyNumberFormat="1" applyFont="1" applyFill="1" applyBorder="1" applyAlignment="1">
      <alignment horizontal="center" vertical="center"/>
    </xf>
    <xf numFmtId="178" fontId="15" fillId="10" borderId="2" xfId="0" applyNumberFormat="1" applyFont="1" applyFill="1" applyBorder="1" applyAlignment="1">
      <alignment horizontal="center" vertical="center"/>
    </xf>
    <xf numFmtId="2" fontId="15" fillId="10" borderId="2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2" fontId="16" fillId="10" borderId="22" xfId="0" applyNumberFormat="1" applyFont="1" applyFill="1" applyBorder="1" applyAlignment="1">
      <alignment horizontal="center" vertical="center"/>
    </xf>
    <xf numFmtId="178" fontId="16" fillId="10" borderId="25" xfId="0" applyNumberFormat="1" applyFont="1" applyFill="1" applyBorder="1" applyAlignment="1">
      <alignment horizontal="center" vertical="center"/>
    </xf>
    <xf numFmtId="178" fontId="15" fillId="10" borderId="5" xfId="0" applyNumberFormat="1" applyFont="1" applyFill="1" applyBorder="1" applyAlignment="1">
      <alignment horizontal="center" vertical="center"/>
    </xf>
    <xf numFmtId="178" fontId="15" fillId="10" borderId="26" xfId="0" applyNumberFormat="1" applyFont="1" applyFill="1" applyBorder="1" applyAlignment="1">
      <alignment horizontal="center" vertical="center"/>
    </xf>
    <xf numFmtId="178" fontId="16" fillId="10" borderId="22" xfId="0" applyNumberFormat="1" applyFont="1" applyFill="1" applyBorder="1" applyAlignment="1">
      <alignment horizontal="center" vertical="center"/>
    </xf>
    <xf numFmtId="4" fontId="16" fillId="10" borderId="25" xfId="0" applyNumberFormat="1" applyFont="1" applyFill="1" applyBorder="1" applyAlignment="1">
      <alignment horizontal="center" vertical="center"/>
    </xf>
    <xf numFmtId="4" fontId="12" fillId="10" borderId="0" xfId="0" applyNumberFormat="1" applyFont="1" applyFill="1" applyAlignment="1">
      <alignment horizontal="center" vertical="center"/>
    </xf>
    <xf numFmtId="178" fontId="15" fillId="14" borderId="3" xfId="0" applyNumberFormat="1" applyFont="1" applyFill="1" applyBorder="1" applyAlignment="1">
      <alignment horizontal="center" vertical="center"/>
    </xf>
    <xf numFmtId="178" fontId="15" fillId="10" borderId="3" xfId="0" applyNumberFormat="1" applyFont="1" applyFill="1" applyBorder="1" applyAlignment="1">
      <alignment horizontal="center" vertical="center"/>
    </xf>
    <xf numFmtId="178" fontId="15" fillId="8" borderId="2" xfId="0" applyNumberFormat="1" applyFont="1" applyFill="1" applyBorder="1" applyAlignment="1">
      <alignment horizontal="center" vertical="center"/>
    </xf>
    <xf numFmtId="2" fontId="15" fillId="10" borderId="3" xfId="0" applyNumberFormat="1" applyFont="1" applyFill="1" applyBorder="1" applyAlignment="1">
      <alignment horizontal="center" vertical="center"/>
    </xf>
    <xf numFmtId="2" fontId="15" fillId="8" borderId="2" xfId="0" applyNumberFormat="1" applyFont="1" applyFill="1" applyBorder="1" applyAlignment="1">
      <alignment horizontal="center" vertical="center"/>
    </xf>
    <xf numFmtId="178" fontId="15" fillId="10" borderId="27" xfId="0" applyNumberFormat="1" applyFont="1" applyFill="1" applyBorder="1" applyAlignment="1">
      <alignment horizontal="center" vertical="center"/>
    </xf>
    <xf numFmtId="178" fontId="15" fillId="8" borderId="5" xfId="0" applyNumberFormat="1" applyFont="1" applyFill="1" applyBorder="1" applyAlignment="1">
      <alignment horizontal="center" vertical="center"/>
    </xf>
    <xf numFmtId="2" fontId="16" fillId="10" borderId="28" xfId="0" applyNumberFormat="1" applyFont="1" applyFill="1" applyBorder="1" applyAlignment="1">
      <alignment horizontal="center" vertical="center"/>
    </xf>
    <xf numFmtId="178" fontId="16" fillId="10" borderId="29" xfId="0" applyNumberFormat="1" applyFont="1" applyFill="1" applyBorder="1" applyAlignment="1">
      <alignment horizontal="center" vertical="center"/>
    </xf>
    <xf numFmtId="178" fontId="15" fillId="10" borderId="8" xfId="0" applyNumberFormat="1" applyFont="1" applyFill="1" applyBorder="1" applyAlignment="1">
      <alignment horizontal="center" vertical="center"/>
    </xf>
    <xf numFmtId="178" fontId="16" fillId="12" borderId="22" xfId="0" applyNumberFormat="1" applyFont="1" applyFill="1" applyBorder="1" applyAlignment="1">
      <alignment horizontal="center" vertical="center"/>
    </xf>
    <xf numFmtId="178" fontId="16" fillId="10" borderId="28" xfId="0" applyNumberFormat="1" applyFont="1" applyFill="1" applyBorder="1" applyAlignment="1">
      <alignment horizontal="center" vertical="center"/>
    </xf>
    <xf numFmtId="4" fontId="16" fillId="12" borderId="25" xfId="0" applyNumberFormat="1" applyFont="1" applyFill="1" applyBorder="1" applyAlignment="1">
      <alignment horizontal="center" vertical="center"/>
    </xf>
    <xf numFmtId="4" fontId="16" fillId="10" borderId="29" xfId="0" applyNumberFormat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4" fontId="9" fillId="2" borderId="30" xfId="0" applyNumberFormat="1" applyFont="1" applyFill="1" applyBorder="1" applyAlignment="1">
      <alignment horizontal="center" vertical="center"/>
    </xf>
    <xf numFmtId="4" fontId="9" fillId="0" borderId="31" xfId="0" applyNumberFormat="1" applyFont="1" applyFill="1" applyBorder="1" applyAlignment="1">
      <alignment horizontal="center" vertical="center"/>
    </xf>
    <xf numFmtId="4" fontId="9" fillId="2" borderId="31" xfId="0" applyNumberFormat="1" applyFont="1" applyFill="1" applyBorder="1" applyAlignment="1">
      <alignment horizontal="center" vertical="center"/>
    </xf>
    <xf numFmtId="4" fontId="9" fillId="0" borderId="32" xfId="0" applyNumberFormat="1" applyFont="1" applyFill="1" applyBorder="1" applyAlignment="1">
      <alignment horizontal="center" vertical="center"/>
    </xf>
    <xf numFmtId="4" fontId="9" fillId="0" borderId="33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9" fillId="2" borderId="31" xfId="0" applyNumberFormat="1" applyFont="1" applyFill="1" applyBorder="1" applyAlignment="1">
      <alignment horizontal="center" vertical="center"/>
    </xf>
    <xf numFmtId="4" fontId="9" fillId="0" borderId="34" xfId="0" applyNumberFormat="1" applyFont="1" applyFill="1" applyBorder="1" applyAlignment="1">
      <alignment horizontal="center" vertical="center"/>
    </xf>
    <xf numFmtId="178" fontId="9" fillId="2" borderId="30" xfId="0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10" borderId="0" xfId="0" applyNumberFormat="1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9" fillId="11" borderId="26" xfId="0" applyNumberFormat="1" applyFont="1" applyFill="1" applyBorder="1" applyAlignment="1">
      <alignment horizontal="center" vertical="center"/>
    </xf>
    <xf numFmtId="3" fontId="9" fillId="11" borderId="5" xfId="0" applyNumberFormat="1" applyFont="1" applyFill="1" applyBorder="1" applyAlignment="1">
      <alignment horizontal="center" vertical="center" wrapText="1"/>
    </xf>
    <xf numFmtId="3" fontId="10" fillId="11" borderId="5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3" fontId="8" fillId="0" borderId="39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0" fontId="8" fillId="0" borderId="2" xfId="0" applyNumberFormat="1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8" fontId="15" fillId="13" borderId="7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5" fillId="13" borderId="2" xfId="0" applyNumberFormat="1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178" fontId="15" fillId="2" borderId="41" xfId="0" applyNumberFormat="1" applyFont="1" applyFill="1" applyBorder="1" applyAlignment="1">
      <alignment horizontal="center" vertical="center"/>
    </xf>
    <xf numFmtId="3" fontId="8" fillId="0" borderId="30" xfId="0" applyNumberFormat="1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/>
    </xf>
    <xf numFmtId="178" fontId="15" fillId="2" borderId="10" xfId="0" applyNumberFormat="1" applyFont="1" applyFill="1" applyBorder="1" applyAlignment="1">
      <alignment horizontal="center" vertical="center"/>
    </xf>
    <xf numFmtId="3" fontId="8" fillId="0" borderId="31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center"/>
    </xf>
    <xf numFmtId="178" fontId="15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3" fontId="8" fillId="2" borderId="31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4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2" fontId="15" fillId="2" borderId="41" xfId="0" applyNumberFormat="1" applyFont="1" applyFill="1" applyBorder="1" applyAlignment="1">
      <alignment horizontal="center" vertical="center"/>
    </xf>
    <xf numFmtId="2" fontId="15" fillId="2" borderId="3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3" fontId="8" fillId="0" borderId="34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80" fontId="8" fillId="0" borderId="36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80" fontId="8" fillId="0" borderId="6" xfId="0" applyNumberFormat="1" applyFont="1" applyFill="1" applyBorder="1" applyAlignment="1">
      <alignment horizontal="center" vertical="center"/>
    </xf>
    <xf numFmtId="180" fontId="8" fillId="0" borderId="37" xfId="0" applyNumberFormat="1" applyFont="1" applyFill="1" applyBorder="1" applyAlignment="1">
      <alignment horizontal="center" vertical="center"/>
    </xf>
    <xf numFmtId="1" fontId="15" fillId="0" borderId="2" xfId="0" applyNumberFormat="1" applyFont="1" applyFill="1" applyBorder="1" applyAlignment="1">
      <alignment horizontal="center" vertical="center"/>
    </xf>
    <xf numFmtId="0" fontId="15" fillId="13" borderId="26" xfId="0" applyFont="1" applyFill="1" applyBorder="1" applyAlignment="1">
      <alignment horizontal="center" vertical="center"/>
    </xf>
    <xf numFmtId="2" fontId="15" fillId="2" borderId="7" xfId="0" applyNumberFormat="1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3" fontId="8" fillId="0" borderId="26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38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1" fontId="15" fillId="2" borderId="5" xfId="0" applyNumberFormat="1" applyFont="1" applyFill="1" applyBorder="1" applyAlignment="1">
      <alignment horizontal="center" vertical="center"/>
    </xf>
    <xf numFmtId="2" fontId="15" fillId="13" borderId="2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/>
    </xf>
    <xf numFmtId="3" fontId="8" fillId="0" borderId="33" xfId="0" applyNumberFormat="1" applyFont="1" applyFill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12" fillId="7" borderId="0" xfId="0" applyNumberFormat="1" applyFont="1" applyFill="1" applyAlignment="1">
      <alignment horizontal="center" vertical="center"/>
    </xf>
    <xf numFmtId="4" fontId="12" fillId="7" borderId="0" xfId="0" applyNumberFormat="1" applyFont="1" applyFill="1" applyAlignment="1">
      <alignment horizontal="center" vertical="center"/>
    </xf>
    <xf numFmtId="0" fontId="16" fillId="13" borderId="1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4" fontId="12" fillId="13" borderId="0" xfId="0" applyNumberFormat="1" applyFont="1" applyFill="1" applyAlignment="1">
      <alignment horizontal="center" vertical="center"/>
    </xf>
    <xf numFmtId="1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178" fontId="15" fillId="0" borderId="6" xfId="0" applyNumberFormat="1" applyFont="1" applyFill="1" applyBorder="1" applyAlignment="1">
      <alignment horizontal="center" vertical="center"/>
    </xf>
    <xf numFmtId="178" fontId="15" fillId="0" borderId="27" xfId="0" applyNumberFormat="1" applyFont="1" applyFill="1" applyBorder="1" applyAlignment="1">
      <alignment horizontal="center" vertical="center"/>
    </xf>
    <xf numFmtId="2" fontId="16" fillId="2" borderId="43" xfId="0" applyNumberFormat="1" applyFont="1" applyFill="1" applyBorder="1" applyAlignment="1">
      <alignment horizontal="center" vertical="center"/>
    </xf>
    <xf numFmtId="178" fontId="16" fillId="0" borderId="44" xfId="0" applyNumberFormat="1" applyFont="1" applyFill="1" applyBorder="1" applyAlignment="1">
      <alignment horizontal="center" vertical="center"/>
    </xf>
    <xf numFmtId="178" fontId="15" fillId="0" borderId="8" xfId="0" applyNumberFormat="1" applyFont="1" applyFill="1" applyBorder="1" applyAlignment="1">
      <alignment horizontal="center" vertical="center"/>
    </xf>
    <xf numFmtId="178" fontId="16" fillId="2" borderId="43" xfId="0" applyNumberFormat="1" applyFont="1" applyFill="1" applyBorder="1" applyAlignment="1">
      <alignment horizontal="center" vertical="center"/>
    </xf>
    <xf numFmtId="4" fontId="16" fillId="0" borderId="44" xfId="0" applyNumberFormat="1" applyFont="1" applyFill="1" applyBorder="1" applyAlignment="1">
      <alignment horizontal="center" vertical="center"/>
    </xf>
    <xf numFmtId="4" fontId="8" fillId="13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180" fontId="8" fillId="2" borderId="15" xfId="0" applyNumberFormat="1" applyFont="1" applyFill="1" applyBorder="1" applyAlignment="1">
      <alignment horizontal="center" vertical="center" wrapText="1"/>
    </xf>
    <xf numFmtId="180" fontId="8" fillId="2" borderId="2" xfId="0" applyNumberFormat="1" applyFont="1" applyFill="1" applyBorder="1" applyAlignment="1">
      <alignment horizontal="center" vertical="center" wrapText="1"/>
    </xf>
    <xf numFmtId="180" fontId="8" fillId="2" borderId="26" xfId="0" applyNumberFormat="1" applyFont="1" applyFill="1" applyBorder="1" applyAlignment="1">
      <alignment horizontal="center" vertical="center" wrapText="1"/>
    </xf>
    <xf numFmtId="180" fontId="8" fillId="0" borderId="15" xfId="0" applyNumberFormat="1" applyFont="1" applyFill="1" applyBorder="1" applyAlignment="1">
      <alignment horizontal="center" vertical="center" wrapText="1"/>
    </xf>
    <xf numFmtId="180" fontId="8" fillId="0" borderId="2" xfId="0" applyNumberFormat="1" applyFont="1" applyFill="1" applyBorder="1" applyAlignment="1">
      <alignment horizontal="center" vertical="center" wrapText="1"/>
    </xf>
    <xf numFmtId="180" fontId="8" fillId="0" borderId="5" xfId="0" applyNumberFormat="1" applyFont="1" applyFill="1" applyBorder="1" applyAlignment="1">
      <alignment horizontal="center" vertical="center" wrapText="1"/>
    </xf>
    <xf numFmtId="180" fontId="8" fillId="0" borderId="26" xfId="0" applyNumberFormat="1" applyFont="1" applyFill="1" applyBorder="1" applyAlignment="1">
      <alignment horizontal="center" vertical="center" wrapText="1"/>
    </xf>
    <xf numFmtId="180" fontId="8" fillId="0" borderId="7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37" xfId="0" applyNumberFormat="1" applyFont="1" applyFill="1" applyBorder="1" applyAlignment="1">
      <alignment horizontal="center" vertical="center"/>
    </xf>
    <xf numFmtId="180" fontId="8" fillId="0" borderId="15" xfId="0" applyNumberFormat="1" applyFont="1" applyFill="1" applyBorder="1" applyAlignment="1">
      <alignment horizontal="center" vertical="center"/>
    </xf>
    <xf numFmtId="180" fontId="8" fillId="0" borderId="2" xfId="0" applyNumberFormat="1" applyFont="1" applyFill="1" applyBorder="1" applyAlignment="1">
      <alignment horizontal="center" vertical="center"/>
    </xf>
    <xf numFmtId="180" fontId="8" fillId="0" borderId="26" xfId="0" applyNumberFormat="1" applyFont="1" applyFill="1" applyBorder="1" applyAlignment="1">
      <alignment horizontal="center" vertical="center"/>
    </xf>
    <xf numFmtId="181" fontId="8" fillId="2" borderId="35" xfId="0" applyNumberFormat="1" applyFont="1" applyFill="1" applyBorder="1" applyAlignment="1">
      <alignment horizontal="center" vertical="center" wrapText="1"/>
    </xf>
    <xf numFmtId="181" fontId="8" fillId="2" borderId="13" xfId="0" applyNumberFormat="1" applyFont="1" applyFill="1" applyBorder="1" applyAlignment="1">
      <alignment horizontal="center" vertical="center" wrapText="1"/>
    </xf>
    <xf numFmtId="181" fontId="8" fillId="2" borderId="38" xfId="0" applyNumberFormat="1" applyFont="1" applyFill="1" applyBorder="1" applyAlignment="1">
      <alignment horizontal="center" vertical="center" wrapText="1"/>
    </xf>
    <xf numFmtId="181" fontId="8" fillId="0" borderId="35" xfId="0" applyNumberFormat="1" applyFont="1" applyFill="1" applyBorder="1" applyAlignment="1">
      <alignment horizontal="center" vertical="center"/>
    </xf>
    <xf numFmtId="181" fontId="8" fillId="0" borderId="13" xfId="0" applyNumberFormat="1" applyFont="1" applyFill="1" applyBorder="1" applyAlignment="1">
      <alignment horizontal="center" vertical="center"/>
    </xf>
    <xf numFmtId="181" fontId="8" fillId="0" borderId="2" xfId="0" applyNumberFormat="1" applyFont="1" applyFill="1" applyBorder="1" applyAlignment="1">
      <alignment horizontal="center" vertical="center" wrapText="1"/>
    </xf>
    <xf numFmtId="181" fontId="8" fillId="0" borderId="26" xfId="0" applyNumberFormat="1" applyFont="1" applyFill="1" applyBorder="1" applyAlignment="1">
      <alignment horizontal="center" vertical="center" wrapText="1"/>
    </xf>
    <xf numFmtId="182" fontId="8" fillId="0" borderId="7" xfId="0" applyNumberFormat="1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 wrapText="1"/>
    </xf>
    <xf numFmtId="182" fontId="8" fillId="0" borderId="5" xfId="0" applyNumberFormat="1" applyFont="1" applyFill="1" applyBorder="1" applyAlignment="1">
      <alignment horizontal="center" vertical="center" wrapText="1"/>
    </xf>
    <xf numFmtId="182" fontId="8" fillId="0" borderId="6" xfId="0" applyNumberFormat="1" applyFont="1" applyFill="1" applyBorder="1" applyAlignment="1">
      <alignment horizontal="center" vertical="center" wrapText="1"/>
    </xf>
    <xf numFmtId="182" fontId="8" fillId="0" borderId="35" xfId="0" applyNumberFormat="1" applyFont="1" applyFill="1" applyBorder="1" applyAlignment="1">
      <alignment horizontal="center" vertical="center" wrapText="1"/>
    </xf>
    <xf numFmtId="182" fontId="8" fillId="0" borderId="13" xfId="0" applyNumberFormat="1" applyFont="1" applyFill="1" applyBorder="1" applyAlignment="1">
      <alignment horizontal="center" vertical="center" wrapText="1"/>
    </xf>
    <xf numFmtId="182" fontId="8" fillId="0" borderId="38" xfId="0" applyNumberFormat="1" applyFont="1" applyFill="1" applyBorder="1" applyAlignment="1">
      <alignment horizontal="center" vertical="center" wrapText="1"/>
    </xf>
    <xf numFmtId="181" fontId="8" fillId="0" borderId="35" xfId="0" applyNumberFormat="1" applyFont="1" applyFill="1" applyBorder="1" applyAlignment="1">
      <alignment horizontal="center" vertical="center" wrapText="1"/>
    </xf>
    <xf numFmtId="181" fontId="8" fillId="0" borderId="13" xfId="0" applyNumberFormat="1" applyFont="1" applyFill="1" applyBorder="1" applyAlignment="1">
      <alignment horizontal="center" vertical="center" wrapText="1"/>
    </xf>
    <xf numFmtId="181" fontId="8" fillId="0" borderId="38" xfId="0" applyNumberFormat="1" applyFont="1" applyFill="1" applyBorder="1" applyAlignment="1">
      <alignment horizontal="center" vertical="center"/>
    </xf>
    <xf numFmtId="180" fontId="8" fillId="2" borderId="36" xfId="0" applyNumberFormat="1" applyFont="1" applyFill="1" applyBorder="1" applyAlignment="1">
      <alignment horizontal="center" vertical="center"/>
    </xf>
    <xf numFmtId="180" fontId="8" fillId="2" borderId="6" xfId="0" applyNumberFormat="1" applyFont="1" applyFill="1" applyBorder="1" applyAlignment="1">
      <alignment horizontal="center" vertical="center"/>
    </xf>
    <xf numFmtId="180" fontId="8" fillId="2" borderId="37" xfId="0" applyNumberFormat="1" applyFont="1" applyFill="1" applyBorder="1" applyAlignment="1">
      <alignment horizontal="center" vertical="center"/>
    </xf>
    <xf numFmtId="180" fontId="8" fillId="0" borderId="7" xfId="0" applyNumberFormat="1" applyFont="1" applyFill="1" applyBorder="1" applyAlignment="1">
      <alignment horizontal="center" vertical="center"/>
    </xf>
    <xf numFmtId="180" fontId="8" fillId="0" borderId="36" xfId="0" applyNumberFormat="1" applyFont="1" applyFill="1" applyBorder="1" applyAlignment="1">
      <alignment horizontal="center" vertical="center"/>
    </xf>
    <xf numFmtId="180" fontId="8" fillId="0" borderId="6" xfId="0" applyNumberFormat="1" applyFont="1" applyFill="1" applyBorder="1" applyAlignment="1">
      <alignment horizontal="center" vertical="center"/>
    </xf>
    <xf numFmtId="180" fontId="8" fillId="0" borderId="37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180" fontId="11" fillId="2" borderId="36" xfId="0" applyNumberFormat="1" applyFont="1" applyFill="1" applyBorder="1" applyAlignment="1">
      <alignment horizontal="center" vertical="center" wrapText="1"/>
    </xf>
    <xf numFmtId="180" fontId="11" fillId="2" borderId="6" xfId="0" applyNumberFormat="1" applyFont="1" applyFill="1" applyBorder="1" applyAlignment="1">
      <alignment horizontal="center" vertical="center" wrapText="1"/>
    </xf>
    <xf numFmtId="180" fontId="8" fillId="2" borderId="6" xfId="0" applyNumberFormat="1" applyFont="1" applyFill="1" applyBorder="1" applyAlignment="1">
      <alignment horizontal="center" vertical="center" wrapText="1"/>
    </xf>
    <xf numFmtId="180" fontId="8" fillId="2" borderId="37" xfId="0" applyNumberFormat="1" applyFont="1" applyFill="1" applyBorder="1" applyAlignment="1">
      <alignment horizontal="center" vertical="center" wrapText="1"/>
    </xf>
    <xf numFmtId="180" fontId="11" fillId="0" borderId="36" xfId="0" applyNumberFormat="1" applyFont="1" applyFill="1" applyBorder="1" applyAlignment="1">
      <alignment horizontal="center" vertical="center" wrapText="1"/>
    </xf>
    <xf numFmtId="180" fontId="8" fillId="0" borderId="6" xfId="0" applyNumberFormat="1" applyFont="1" applyFill="1" applyBorder="1" applyAlignment="1">
      <alignment horizontal="center" vertical="center" wrapText="1"/>
    </xf>
    <xf numFmtId="180" fontId="8" fillId="0" borderId="36" xfId="0" applyNumberFormat="1" applyFont="1" applyFill="1" applyBorder="1" applyAlignment="1">
      <alignment horizontal="center" vertical="center" wrapText="1"/>
    </xf>
    <xf numFmtId="180" fontId="8" fillId="0" borderId="37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180" fontId="8" fillId="6" borderId="5" xfId="0" applyNumberFormat="1" applyFont="1" applyFill="1" applyBorder="1" applyAlignment="1">
      <alignment horizontal="center" vertical="center"/>
    </xf>
    <xf numFmtId="180" fontId="8" fillId="6" borderId="6" xfId="0" applyNumberFormat="1" applyFont="1" applyFill="1" applyBorder="1" applyAlignment="1">
      <alignment horizontal="center" vertical="center"/>
    </xf>
    <xf numFmtId="180" fontId="8" fillId="6" borderId="2" xfId="0" applyNumberFormat="1" applyFont="1" applyFill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7" xfId="0" applyNumberFormat="1" applyFont="1" applyBorder="1" applyAlignment="1">
      <alignment horizontal="center" vertical="center"/>
    </xf>
    <xf numFmtId="180" fontId="11" fillId="6" borderId="5" xfId="0" applyNumberFormat="1" applyFont="1" applyFill="1" applyBorder="1" applyAlignment="1">
      <alignment horizontal="center" vertical="center"/>
    </xf>
    <xf numFmtId="180" fontId="8" fillId="6" borderId="7" xfId="0" applyNumberFormat="1" applyFont="1" applyFill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 wrapText="1"/>
    </xf>
    <xf numFmtId="180" fontId="8" fillId="0" borderId="7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/>
    </xf>
    <xf numFmtId="4" fontId="12" fillId="0" borderId="7" xfId="0" applyNumberFormat="1" applyFont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177" fontId="38" fillId="0" borderId="5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2" fontId="39" fillId="2" borderId="2" xfId="0" applyNumberFormat="1" applyFont="1" applyFill="1" applyBorder="1" applyAlignment="1">
      <alignment horizontal="center" vertical="center" wrapText="1"/>
    </xf>
    <xf numFmtId="3" fontId="39" fillId="0" borderId="2" xfId="0" applyNumberFormat="1" applyFont="1" applyBorder="1" applyAlignment="1">
      <alignment horizontal="center" vertical="center" wrapText="1"/>
    </xf>
    <xf numFmtId="10" fontId="39" fillId="3" borderId="5" xfId="0" applyNumberFormat="1" applyFont="1" applyFill="1" applyBorder="1" applyAlignment="1">
      <alignment horizontal="center" vertical="center" wrapText="1"/>
    </xf>
    <xf numFmtId="10" fontId="39" fillId="2" borderId="5" xfId="0" applyNumberFormat="1" applyFont="1" applyFill="1" applyBorder="1" applyAlignment="1">
      <alignment horizontal="center" vertical="center" wrapText="1"/>
    </xf>
    <xf numFmtId="10" fontId="39" fillId="2" borderId="2" xfId="0" applyNumberFormat="1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9" fillId="0" borderId="2" xfId="0" applyFont="1" applyBorder="1" applyAlignment="1">
      <alignment vertical="center" wrapText="1"/>
    </xf>
    <xf numFmtId="1" fontId="34" fillId="0" borderId="2" xfId="0" applyNumberFormat="1" applyFont="1" applyBorder="1" applyAlignment="1">
      <alignment horizontal="center" vertical="center" wrapText="1"/>
    </xf>
    <xf numFmtId="178" fontId="39" fillId="2" borderId="2" xfId="0" applyNumberFormat="1" applyFont="1" applyFill="1" applyBorder="1" applyAlignment="1">
      <alignment horizontal="center" vertical="center" wrapText="1"/>
    </xf>
    <xf numFmtId="178" fontId="39" fillId="0" borderId="2" xfId="0" applyNumberFormat="1" applyFont="1" applyBorder="1" applyAlignment="1">
      <alignment vertical="center" wrapText="1"/>
    </xf>
    <xf numFmtId="178" fontId="39" fillId="15" borderId="2" xfId="0" applyNumberFormat="1" applyFont="1" applyFill="1" applyBorder="1" applyAlignment="1">
      <alignment horizontal="center" vertical="center" wrapText="1"/>
    </xf>
    <xf numFmtId="1" fontId="39" fillId="0" borderId="5" xfId="0" applyNumberFormat="1" applyFont="1" applyBorder="1" applyAlignment="1">
      <alignment horizontal="center" vertical="center" wrapText="1"/>
    </xf>
    <xf numFmtId="178" fontId="39" fillId="0" borderId="5" xfId="0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178" fontId="39" fillId="0" borderId="2" xfId="0" applyNumberFormat="1" applyFont="1" applyBorder="1" applyAlignment="1">
      <alignment horizontal="center" vertical="center" wrapText="1"/>
    </xf>
    <xf numFmtId="178" fontId="39" fillId="0" borderId="2" xfId="0" applyNumberFormat="1" applyFont="1" applyBorder="1" applyAlignment="1">
      <alignment horizontal="center" vertical="center" wrapText="1"/>
    </xf>
    <xf numFmtId="179" fontId="39" fillId="0" borderId="5" xfId="0" applyNumberFormat="1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178" fontId="39" fillId="0" borderId="5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178" fontId="39" fillId="0" borderId="6" xfId="0" applyNumberFormat="1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78" fontId="39" fillId="0" borderId="7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178" fontId="39" fillId="0" borderId="7" xfId="0" applyNumberFormat="1" applyFont="1" applyBorder="1" applyAlignment="1">
      <alignment horizontal="center" vertical="center" wrapText="1"/>
    </xf>
    <xf numFmtId="1" fontId="39" fillId="0" borderId="2" xfId="0" applyNumberFormat="1" applyFont="1" applyBorder="1" applyAlignment="1">
      <alignment horizontal="center" vertical="center" wrapText="1"/>
    </xf>
    <xf numFmtId="177" fontId="38" fillId="0" borderId="2" xfId="0" applyNumberFormat="1" applyFont="1" applyBorder="1" applyAlignment="1">
      <alignment horizontal="center" vertical="center"/>
    </xf>
    <xf numFmtId="0" fontId="3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34" fillId="0" borderId="1" xfId="0" applyFont="1" applyBorder="1" applyAlignment="1">
      <alignment horizontal="left" vertical="center"/>
    </xf>
    <xf numFmtId="0" fontId="34" fillId="0" borderId="0" xfId="0" applyFont="1" applyAlignment="1">
      <alignment horizontal="right" vertical="center" wrapText="1"/>
    </xf>
    <xf numFmtId="0" fontId="39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10" fontId="34" fillId="3" borderId="2" xfId="0" applyNumberFormat="1" applyFont="1" applyFill="1" applyBorder="1" applyAlignment="1">
      <alignment horizontal="center" vertical="center" wrapText="1"/>
    </xf>
    <xf numFmtId="10" fontId="34" fillId="2" borderId="2" xfId="0" applyNumberFormat="1" applyFont="1" applyFill="1" applyBorder="1" applyAlignment="1">
      <alignment horizontal="center" vertical="center" wrapText="1"/>
    </xf>
    <xf numFmtId="178" fontId="34" fillId="2" borderId="2" xfId="0" applyNumberFormat="1" applyFont="1" applyFill="1" applyBorder="1" applyAlignment="1">
      <alignment horizontal="center" vertical="center" wrapText="1"/>
    </xf>
    <xf numFmtId="178" fontId="34" fillId="2" borderId="5" xfId="0" applyNumberFormat="1" applyFont="1" applyFill="1" applyBorder="1" applyAlignment="1">
      <alignment horizontal="center" vertical="center" wrapText="1"/>
    </xf>
    <xf numFmtId="178" fontId="34" fillId="4" borderId="2" xfId="0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 vertical="center" wrapText="1"/>
    </xf>
    <xf numFmtId="178" fontId="34" fillId="2" borderId="5" xfId="0" applyNumberFormat="1" applyFont="1" applyFill="1" applyBorder="1" applyAlignment="1">
      <alignment vertical="center" wrapText="1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178" fontId="34" fillId="2" borderId="5" xfId="0" applyNumberFormat="1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78" fontId="34" fillId="2" borderId="7" xfId="0" applyNumberFormat="1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78" fontId="34" fillId="2" borderId="6" xfId="0" applyNumberFormat="1" applyFont="1" applyFill="1" applyBorder="1" applyAlignment="1">
      <alignment horizontal="center" vertical="center" wrapText="1"/>
    </xf>
    <xf numFmtId="178" fontId="34" fillId="2" borderId="2" xfId="0" applyNumberFormat="1" applyFont="1" applyFill="1" applyBorder="1" applyAlignment="1">
      <alignment horizontal="center" vertical="center" wrapText="1"/>
    </xf>
    <xf numFmtId="178" fontId="34" fillId="2" borderId="6" xfId="0" applyNumberFormat="1" applyFont="1" applyFill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178" fontId="39" fillId="2" borderId="5" xfId="0" applyNumberFormat="1" applyFont="1" applyFill="1" applyBorder="1" applyAlignment="1">
      <alignment horizontal="center" vertical="center" wrapText="1"/>
    </xf>
    <xf numFmtId="2" fontId="39" fillId="0" borderId="5" xfId="0" applyNumberFormat="1" applyFont="1" applyBorder="1" applyAlignment="1">
      <alignment horizontal="center" vertical="center" wrapText="1"/>
    </xf>
    <xf numFmtId="10" fontId="34" fillId="3" borderId="5" xfId="0" applyNumberFormat="1" applyFont="1" applyFill="1" applyBorder="1" applyAlignment="1">
      <alignment horizontal="center" vertical="center" wrapText="1"/>
    </xf>
    <xf numFmtId="10" fontId="34" fillId="2" borderId="5" xfId="0" applyNumberFormat="1" applyFont="1" applyFill="1" applyBorder="1" applyAlignment="1">
      <alignment horizontal="center" vertical="center" wrapText="1"/>
    </xf>
    <xf numFmtId="1" fontId="34" fillId="0" borderId="5" xfId="0" applyNumberFormat="1" applyFont="1" applyBorder="1" applyAlignment="1">
      <alignment horizontal="center" vertical="center" wrapText="1"/>
    </xf>
    <xf numFmtId="178" fontId="34" fillId="4" borderId="5" xfId="0" applyNumberFormat="1" applyFont="1" applyFill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178" fontId="39" fillId="2" borderId="7" xfId="0" applyNumberFormat="1" applyFont="1" applyFill="1" applyBorder="1" applyAlignment="1">
      <alignment horizontal="center" vertical="center" wrapText="1"/>
    </xf>
    <xf numFmtId="2" fontId="39" fillId="0" borderId="7" xfId="0" applyNumberFormat="1" applyFont="1" applyBorder="1" applyAlignment="1">
      <alignment horizontal="center" vertical="center" wrapText="1"/>
    </xf>
    <xf numFmtId="10" fontId="34" fillId="3" borderId="7" xfId="0" applyNumberFormat="1" applyFont="1" applyFill="1" applyBorder="1" applyAlignment="1">
      <alignment horizontal="center" vertical="center" wrapText="1"/>
    </xf>
    <xf numFmtId="10" fontId="34" fillId="2" borderId="7" xfId="0" applyNumberFormat="1" applyFont="1" applyFill="1" applyBorder="1" applyAlignment="1">
      <alignment horizontal="center" vertical="center" wrapText="1"/>
    </xf>
    <xf numFmtId="1" fontId="34" fillId="0" borderId="7" xfId="0" applyNumberFormat="1" applyFont="1" applyBorder="1" applyAlignment="1">
      <alignment horizontal="center" vertical="center" wrapText="1"/>
    </xf>
    <xf numFmtId="178" fontId="34" fillId="4" borderId="7" xfId="0" applyNumberFormat="1" applyFont="1" applyFill="1" applyBorder="1" applyAlignment="1">
      <alignment horizontal="center" vertical="center" wrapText="1"/>
    </xf>
    <xf numFmtId="177" fontId="38" fillId="0" borderId="5" xfId="0" applyNumberFormat="1" applyFont="1" applyBorder="1" applyAlignment="1">
      <alignment horizontal="center" vertical="center"/>
    </xf>
    <xf numFmtId="177" fontId="38" fillId="0" borderId="7" xfId="0" applyNumberFormat="1" applyFont="1" applyBorder="1" applyAlignment="1">
      <alignment horizontal="center" vertical="center"/>
    </xf>
    <xf numFmtId="177" fontId="38" fillId="0" borderId="7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178" fontId="39" fillId="2" borderId="7" xfId="0" applyNumberFormat="1" applyFont="1" applyFill="1" applyBorder="1" applyAlignment="1">
      <alignment horizontal="center" vertical="center" wrapText="1"/>
    </xf>
    <xf numFmtId="2" fontId="39" fillId="0" borderId="7" xfId="0" applyNumberFormat="1" applyFont="1" applyBorder="1" applyAlignment="1">
      <alignment horizontal="center" vertical="center" wrapText="1"/>
    </xf>
    <xf numFmtId="10" fontId="34" fillId="3" borderId="7" xfId="0" applyNumberFormat="1" applyFont="1" applyFill="1" applyBorder="1" applyAlignment="1">
      <alignment horizontal="center" vertical="center" wrapText="1"/>
    </xf>
    <xf numFmtId="10" fontId="34" fillId="2" borderId="7" xfId="0" applyNumberFormat="1" applyFont="1" applyFill="1" applyBorder="1" applyAlignment="1">
      <alignment horizontal="center" vertical="center" wrapText="1"/>
    </xf>
    <xf numFmtId="1" fontId="34" fillId="0" borderId="7" xfId="0" applyNumberFormat="1" applyFont="1" applyBorder="1" applyAlignment="1">
      <alignment horizontal="center" vertical="center" wrapText="1"/>
    </xf>
    <xf numFmtId="178" fontId="34" fillId="2" borderId="7" xfId="0" applyNumberFormat="1" applyFont="1" applyFill="1" applyBorder="1" applyAlignment="1">
      <alignment horizontal="center" vertical="center" wrapText="1"/>
    </xf>
    <xf numFmtId="178" fontId="34" fillId="4" borderId="7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 wrapText="1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1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H6">
            <v>83.162701036800001</v>
          </cell>
        </row>
        <row r="11">
          <cell r="H11">
            <v>3.4223333760000001</v>
          </cell>
        </row>
        <row r="19">
          <cell r="H19">
            <v>11.864089036799999</v>
          </cell>
        </row>
      </sheetData>
      <sheetData sheetId="8">
        <row r="6">
          <cell r="G6">
            <v>16.051414579199999</v>
          </cell>
        </row>
        <row r="8">
          <cell r="G8">
            <v>34.545435724800001</v>
          </cell>
        </row>
        <row r="10">
          <cell r="G10">
            <v>55.831007231999997</v>
          </cell>
        </row>
        <row r="20">
          <cell r="G20">
            <v>15.353526988800001</v>
          </cell>
        </row>
        <row r="21">
          <cell r="G21">
            <v>22.899436560000002</v>
          </cell>
        </row>
        <row r="22">
          <cell r="G22">
            <v>32.975188646399999</v>
          </cell>
        </row>
        <row r="23">
          <cell r="G23">
            <v>36.934501227623997</v>
          </cell>
        </row>
        <row r="24">
          <cell r="G24">
            <v>53.039456870400002</v>
          </cell>
        </row>
        <row r="34">
          <cell r="G34">
            <v>12.9914459136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4"/>
  <sheetViews>
    <sheetView showGridLines="0" topLeftCell="G1" workbookViewId="0">
      <pane xSplit="1" ySplit="237" topLeftCell="W238" activePane="bottomRight" state="frozen"/>
      <selection pane="topRight"/>
      <selection pane="bottomLeft"/>
      <selection pane="bottomRight" activeCell="AK271" sqref="AK271"/>
    </sheetView>
  </sheetViews>
  <sheetFormatPr defaultColWidth="9.140625" defaultRowHeight="15"/>
  <cols>
    <col min="1" max="1" width="13.7109375" style="28" hidden="1" customWidth="1"/>
    <col min="2" max="2" width="18.140625" style="28" hidden="1" customWidth="1"/>
    <col min="3" max="5" width="12" style="45" hidden="1" customWidth="1"/>
    <col min="6" max="6" width="11.5703125" style="45" hidden="1" customWidth="1"/>
    <col min="7" max="7" width="19.28515625" style="28" customWidth="1"/>
    <col min="8" max="8" width="36.28515625" style="28" customWidth="1"/>
    <col min="9" max="11" width="7.7109375" style="28" customWidth="1"/>
    <col min="12" max="12" width="7.7109375" style="146" customWidth="1"/>
    <col min="13" max="15" width="7.7109375" style="28" customWidth="1"/>
    <col min="16" max="19" width="7.7109375" style="146" customWidth="1"/>
    <col min="20" max="21" width="7.7109375" style="28" customWidth="1"/>
    <col min="22" max="22" width="7.7109375" style="146" customWidth="1"/>
    <col min="23" max="25" width="7.7109375" style="28" customWidth="1"/>
    <col min="26" max="26" width="7.7109375" style="146" customWidth="1"/>
    <col min="27" max="32" width="7.7109375" style="28" customWidth="1"/>
    <col min="33" max="33" width="7.7109375" style="146" customWidth="1"/>
    <col min="34" max="37" width="7.7109375" style="28" customWidth="1"/>
    <col min="38" max="39" width="11.7109375" style="45" customWidth="1"/>
    <col min="40" max="40" width="13.42578125" style="45" customWidth="1"/>
    <col min="41" max="48" width="11.7109375" style="45" customWidth="1"/>
    <col min="49" max="16384" width="9.140625" style="28"/>
  </cols>
  <sheetData>
    <row r="1" spans="1:50" ht="41.45" customHeight="1">
      <c r="G1" s="147" t="s">
        <v>0</v>
      </c>
      <c r="J1" s="47"/>
      <c r="K1" s="47"/>
      <c r="L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</row>
    <row r="2" spans="1:50" s="145" customFormat="1" ht="41.45" hidden="1" customHeight="1">
      <c r="A2" s="124" t="s">
        <v>1</v>
      </c>
      <c r="B2" s="124" t="s">
        <v>2</v>
      </c>
      <c r="C2" s="148" t="s">
        <v>3</v>
      </c>
      <c r="D2" s="149" t="s">
        <v>4</v>
      </c>
      <c r="E2" s="150" t="s">
        <v>5</v>
      </c>
      <c r="F2" s="150" t="s">
        <v>6</v>
      </c>
      <c r="G2" s="124" t="s">
        <v>7</v>
      </c>
      <c r="H2" s="49" t="s">
        <v>8</v>
      </c>
      <c r="I2" s="124">
        <v>1</v>
      </c>
      <c r="J2" s="124">
        <v>2</v>
      </c>
      <c r="K2" s="124">
        <v>3</v>
      </c>
      <c r="L2" s="166">
        <v>4</v>
      </c>
      <c r="M2" s="124">
        <v>5</v>
      </c>
      <c r="N2" s="124">
        <v>6</v>
      </c>
      <c r="O2" s="124">
        <v>7</v>
      </c>
      <c r="P2" s="166">
        <v>8</v>
      </c>
      <c r="Q2" s="166">
        <v>9</v>
      </c>
      <c r="R2" s="166">
        <v>10</v>
      </c>
      <c r="S2" s="166">
        <v>11</v>
      </c>
      <c r="T2" s="124">
        <v>12</v>
      </c>
      <c r="U2" s="124">
        <v>13</v>
      </c>
      <c r="V2" s="166">
        <v>14</v>
      </c>
      <c r="W2" s="124">
        <v>15</v>
      </c>
      <c r="X2" s="124">
        <v>16</v>
      </c>
      <c r="Y2" s="124">
        <v>17</v>
      </c>
      <c r="Z2" s="166">
        <v>18</v>
      </c>
      <c r="AA2" s="124">
        <v>19</v>
      </c>
      <c r="AB2" s="124">
        <v>20</v>
      </c>
      <c r="AC2" s="124">
        <v>21</v>
      </c>
      <c r="AD2" s="124">
        <v>22</v>
      </c>
      <c r="AE2" s="124">
        <v>23</v>
      </c>
      <c r="AF2" s="124">
        <v>24</v>
      </c>
      <c r="AG2" s="186">
        <v>25</v>
      </c>
      <c r="AH2" s="124">
        <v>26</v>
      </c>
      <c r="AI2" s="124">
        <v>27</v>
      </c>
      <c r="AJ2" s="124">
        <v>28</v>
      </c>
      <c r="AK2" s="124">
        <v>29</v>
      </c>
      <c r="AL2" s="124" t="s">
        <v>9</v>
      </c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213"/>
      <c r="AX2" s="213"/>
    </row>
    <row r="3" spans="1:50" hidden="1">
      <c r="A3" s="151"/>
      <c r="B3" s="279" t="s">
        <v>10</v>
      </c>
      <c r="C3" s="291">
        <v>8000</v>
      </c>
      <c r="D3" s="305">
        <v>1.59</v>
      </c>
      <c r="E3" s="322"/>
      <c r="F3" s="330" t="s">
        <v>11</v>
      </c>
      <c r="G3" s="152">
        <v>0.08</v>
      </c>
      <c r="H3" s="53" t="s">
        <v>12</v>
      </c>
      <c r="I3" s="54">
        <v>101.64</v>
      </c>
      <c r="J3" s="54">
        <v>101.64</v>
      </c>
      <c r="K3" s="54">
        <v>101.64</v>
      </c>
      <c r="L3" s="56"/>
      <c r="M3" s="54">
        <v>101.64</v>
      </c>
      <c r="N3" s="54">
        <v>101.64</v>
      </c>
      <c r="O3" s="54">
        <v>101.64</v>
      </c>
      <c r="P3" s="56"/>
      <c r="Q3" s="56"/>
      <c r="R3" s="56"/>
      <c r="S3" s="56"/>
      <c r="T3" s="54">
        <v>101.64</v>
      </c>
      <c r="U3" s="54">
        <v>101.64</v>
      </c>
      <c r="V3" s="56"/>
      <c r="W3" s="54">
        <v>101.64</v>
      </c>
      <c r="X3" s="54">
        <v>101.64</v>
      </c>
      <c r="Y3" s="54">
        <v>101.64</v>
      </c>
      <c r="Z3" s="56"/>
      <c r="AA3" s="54">
        <v>101.64</v>
      </c>
      <c r="AB3" s="54">
        <v>101.64</v>
      </c>
      <c r="AC3" s="54">
        <v>101.64</v>
      </c>
      <c r="AD3" s="54">
        <v>101.64</v>
      </c>
      <c r="AE3" s="54">
        <v>101.64</v>
      </c>
      <c r="AF3" s="54">
        <v>101.64</v>
      </c>
      <c r="AG3" s="56"/>
      <c r="AH3" s="54">
        <v>101.64</v>
      </c>
      <c r="AI3" s="54">
        <v>101.64</v>
      </c>
      <c r="AJ3" s="54">
        <v>101.64</v>
      </c>
      <c r="AK3" s="188">
        <v>101.64</v>
      </c>
      <c r="AL3" s="189"/>
      <c r="AM3" s="346"/>
      <c r="AN3" s="346"/>
      <c r="AO3" s="190"/>
      <c r="AP3" s="190"/>
      <c r="AQ3" s="190"/>
      <c r="AR3" s="190"/>
      <c r="AS3" s="346"/>
      <c r="AT3" s="212"/>
      <c r="AU3" s="212"/>
      <c r="AV3" s="346"/>
    </row>
    <row r="4" spans="1:50" hidden="1">
      <c r="A4" s="265" t="s">
        <v>13</v>
      </c>
      <c r="B4" s="280"/>
      <c r="C4" s="292"/>
      <c r="D4" s="306"/>
      <c r="E4" s="323"/>
      <c r="F4" s="331"/>
      <c r="G4" s="153"/>
      <c r="H4" s="62" t="s">
        <v>14</v>
      </c>
      <c r="I4" s="167">
        <v>1.5</v>
      </c>
      <c r="J4" s="167">
        <v>1.5</v>
      </c>
      <c r="K4" s="167">
        <v>1.5</v>
      </c>
      <c r="L4" s="168"/>
      <c r="M4" s="167">
        <v>1.5</v>
      </c>
      <c r="N4" s="167">
        <v>1.5</v>
      </c>
      <c r="O4" s="167">
        <v>1.5</v>
      </c>
      <c r="P4" s="168"/>
      <c r="Q4" s="168"/>
      <c r="R4" s="168"/>
      <c r="S4" s="168"/>
      <c r="T4" s="167">
        <v>1.5</v>
      </c>
      <c r="U4" s="167">
        <v>1.5</v>
      </c>
      <c r="V4" s="168"/>
      <c r="W4" s="167">
        <v>1.5</v>
      </c>
      <c r="X4" s="167">
        <v>1.5</v>
      </c>
      <c r="Y4" s="167">
        <v>1.5</v>
      </c>
      <c r="Z4" s="168"/>
      <c r="AA4" s="167">
        <v>1.5</v>
      </c>
      <c r="AB4" s="167">
        <v>1.5</v>
      </c>
      <c r="AC4" s="167">
        <v>1.5</v>
      </c>
      <c r="AD4" s="167">
        <v>1.5</v>
      </c>
      <c r="AE4" s="167">
        <v>1.5</v>
      </c>
      <c r="AF4" s="167">
        <v>1.5</v>
      </c>
      <c r="AG4" s="168"/>
      <c r="AH4" s="167">
        <v>1.5</v>
      </c>
      <c r="AI4" s="167">
        <v>1.5</v>
      </c>
      <c r="AJ4" s="167">
        <v>1.5</v>
      </c>
      <c r="AK4" s="191">
        <v>1.5</v>
      </c>
      <c r="AL4" s="192"/>
      <c r="AM4" s="346"/>
      <c r="AN4" s="346"/>
      <c r="AO4" s="190"/>
      <c r="AP4" s="190"/>
      <c r="AQ4" s="190"/>
      <c r="AR4" s="190"/>
      <c r="AS4" s="346"/>
      <c r="AT4" s="212"/>
      <c r="AU4" s="212"/>
      <c r="AV4" s="346"/>
    </row>
    <row r="5" spans="1:50" hidden="1">
      <c r="A5" s="265"/>
      <c r="B5" s="280"/>
      <c r="C5" s="292"/>
      <c r="D5" s="306"/>
      <c r="E5" s="323"/>
      <c r="F5" s="331"/>
      <c r="G5" s="154"/>
      <c r="H5" s="57" t="s">
        <v>15</v>
      </c>
      <c r="I5" s="164"/>
      <c r="J5" s="58"/>
      <c r="K5" s="58"/>
      <c r="L5" s="60"/>
      <c r="M5" s="58"/>
      <c r="N5" s="58"/>
      <c r="O5" s="58"/>
      <c r="P5" s="60"/>
      <c r="Q5" s="60"/>
      <c r="R5" s="60"/>
      <c r="S5" s="60"/>
      <c r="T5" s="58"/>
      <c r="U5" s="58"/>
      <c r="V5" s="60"/>
      <c r="W5" s="58"/>
      <c r="X5" s="58"/>
      <c r="Y5" s="58"/>
      <c r="Z5" s="60"/>
      <c r="AA5" s="58"/>
      <c r="AB5" s="58"/>
      <c r="AC5" s="58"/>
      <c r="AD5" s="58"/>
      <c r="AE5" s="58"/>
      <c r="AF5" s="58"/>
      <c r="AG5" s="60"/>
      <c r="AH5" s="58"/>
      <c r="AI5" s="58"/>
      <c r="AJ5" s="58"/>
      <c r="AK5" s="193"/>
      <c r="AL5" s="192"/>
      <c r="AM5" s="346"/>
      <c r="AN5" s="346"/>
      <c r="AO5" s="190"/>
      <c r="AP5" s="190"/>
      <c r="AQ5" s="190"/>
      <c r="AR5" s="190"/>
      <c r="AS5" s="346"/>
      <c r="AT5" s="212"/>
      <c r="AU5" s="212"/>
      <c r="AV5" s="346"/>
    </row>
    <row r="6" spans="1:50" hidden="1">
      <c r="A6" s="265"/>
      <c r="B6" s="280"/>
      <c r="C6" s="292"/>
      <c r="D6" s="306"/>
      <c r="E6" s="323"/>
      <c r="F6" s="331"/>
      <c r="G6" s="153" t="s">
        <v>16</v>
      </c>
      <c r="H6" s="81" t="s">
        <v>17</v>
      </c>
      <c r="I6" s="63">
        <v>101.64</v>
      </c>
      <c r="J6" s="63">
        <v>101.64</v>
      </c>
      <c r="K6" s="63">
        <v>101.64</v>
      </c>
      <c r="L6" s="60"/>
      <c r="M6" s="63">
        <v>101.64</v>
      </c>
      <c r="N6" s="63">
        <v>101.64</v>
      </c>
      <c r="O6" s="63">
        <v>101.64</v>
      </c>
      <c r="P6" s="60"/>
      <c r="Q6" s="60"/>
      <c r="R6" s="60"/>
      <c r="S6" s="60"/>
      <c r="T6" s="63">
        <v>101.64</v>
      </c>
      <c r="U6" s="63">
        <v>101.64</v>
      </c>
      <c r="V6" s="60"/>
      <c r="W6" s="63">
        <v>101.64</v>
      </c>
      <c r="X6" s="63">
        <v>101.64</v>
      </c>
      <c r="Y6" s="63">
        <v>101.64</v>
      </c>
      <c r="Z6" s="60"/>
      <c r="AA6" s="63">
        <v>101.64</v>
      </c>
      <c r="AB6" s="63">
        <v>101.64</v>
      </c>
      <c r="AC6" s="63">
        <v>101.64</v>
      </c>
      <c r="AD6" s="63">
        <v>101.64</v>
      </c>
      <c r="AE6" s="63">
        <v>101.64</v>
      </c>
      <c r="AF6" s="63">
        <v>101.64</v>
      </c>
      <c r="AG6" s="60"/>
      <c r="AH6" s="63">
        <v>101.64</v>
      </c>
      <c r="AI6" s="63">
        <v>101.64</v>
      </c>
      <c r="AJ6" s="63">
        <v>101.64</v>
      </c>
      <c r="AK6" s="194">
        <v>101.64</v>
      </c>
      <c r="AL6" s="192"/>
      <c r="AM6" s="346"/>
      <c r="AN6" s="346"/>
      <c r="AO6" s="190"/>
      <c r="AP6" s="190"/>
      <c r="AQ6" s="190"/>
      <c r="AR6" s="190"/>
      <c r="AS6" s="346"/>
      <c r="AT6" s="212"/>
      <c r="AU6" s="212"/>
      <c r="AV6" s="346"/>
    </row>
    <row r="7" spans="1:50" hidden="1">
      <c r="A7" s="265"/>
      <c r="B7" s="280"/>
      <c r="C7" s="292"/>
      <c r="D7" s="306"/>
      <c r="E7" s="323"/>
      <c r="F7" s="331"/>
      <c r="G7" s="153"/>
      <c r="H7" s="62" t="s">
        <v>14</v>
      </c>
      <c r="I7" s="63">
        <v>0.5</v>
      </c>
      <c r="J7" s="63">
        <v>0.5</v>
      </c>
      <c r="K7" s="63">
        <v>0.5</v>
      </c>
      <c r="L7" s="60"/>
      <c r="M7" s="63">
        <v>0.5</v>
      </c>
      <c r="N7" s="63">
        <v>0.5</v>
      </c>
      <c r="O7" s="63">
        <v>0.5</v>
      </c>
      <c r="P7" s="60"/>
      <c r="Q7" s="60"/>
      <c r="R7" s="60"/>
      <c r="S7" s="60"/>
      <c r="T7" s="63">
        <v>0.5</v>
      </c>
      <c r="U7" s="63">
        <v>0.5</v>
      </c>
      <c r="V7" s="60"/>
      <c r="W7" s="63">
        <v>0.5</v>
      </c>
      <c r="X7" s="63">
        <v>0.5</v>
      </c>
      <c r="Y7" s="63">
        <v>0.5</v>
      </c>
      <c r="Z7" s="60"/>
      <c r="AA7" s="63">
        <v>0.5</v>
      </c>
      <c r="AB7" s="63">
        <v>0.5</v>
      </c>
      <c r="AC7" s="63">
        <v>0.5</v>
      </c>
      <c r="AD7" s="63">
        <v>0.5</v>
      </c>
      <c r="AE7" s="63">
        <v>0.5</v>
      </c>
      <c r="AF7" s="63">
        <v>0.5</v>
      </c>
      <c r="AG7" s="60"/>
      <c r="AH7" s="63">
        <v>0.5</v>
      </c>
      <c r="AI7" s="63">
        <v>0.5</v>
      </c>
      <c r="AJ7" s="63">
        <v>0.5</v>
      </c>
      <c r="AK7" s="194">
        <v>0.5</v>
      </c>
      <c r="AL7" s="192"/>
      <c r="AM7" s="346"/>
      <c r="AN7" s="346"/>
      <c r="AO7" s="190"/>
      <c r="AP7" s="190"/>
      <c r="AQ7" s="190"/>
      <c r="AR7" s="190"/>
      <c r="AS7" s="346"/>
      <c r="AT7" s="212"/>
      <c r="AU7" s="212"/>
      <c r="AV7" s="346"/>
    </row>
    <row r="8" spans="1:50" hidden="1">
      <c r="A8" s="265"/>
      <c r="B8" s="280"/>
      <c r="C8" s="292"/>
      <c r="D8" s="306"/>
      <c r="E8" s="323"/>
      <c r="F8" s="331"/>
      <c r="G8" s="155"/>
      <c r="H8" s="57" t="s">
        <v>15</v>
      </c>
      <c r="I8" s="169"/>
      <c r="J8" s="58"/>
      <c r="K8" s="58"/>
      <c r="L8" s="60"/>
      <c r="M8" s="58"/>
      <c r="N8" s="58"/>
      <c r="O8" s="58"/>
      <c r="P8" s="60"/>
      <c r="Q8" s="60"/>
      <c r="R8" s="60"/>
      <c r="S8" s="60"/>
      <c r="T8" s="58"/>
      <c r="U8" s="58"/>
      <c r="V8" s="60"/>
      <c r="W8" s="58"/>
      <c r="X8" s="58"/>
      <c r="Y8" s="58"/>
      <c r="Z8" s="60"/>
      <c r="AA8" s="58"/>
      <c r="AB8" s="58"/>
      <c r="AC8" s="58"/>
      <c r="AD8" s="58"/>
      <c r="AE8" s="58"/>
      <c r="AF8" s="58"/>
      <c r="AG8" s="60"/>
      <c r="AH8" s="58"/>
      <c r="AI8" s="58"/>
      <c r="AJ8" s="58"/>
      <c r="AK8" s="193"/>
      <c r="AL8" s="192"/>
      <c r="AM8" s="346"/>
      <c r="AN8" s="346"/>
      <c r="AO8" s="190"/>
      <c r="AP8" s="190"/>
      <c r="AQ8" s="190"/>
      <c r="AR8" s="190"/>
      <c r="AS8" s="346"/>
      <c r="AT8" s="212"/>
      <c r="AU8" s="212"/>
      <c r="AV8" s="346"/>
    </row>
    <row r="9" spans="1:50" hidden="1">
      <c r="A9" s="265"/>
      <c r="B9" s="280"/>
      <c r="C9" s="292"/>
      <c r="D9" s="306"/>
      <c r="E9" s="323"/>
      <c r="F9" s="332"/>
      <c r="G9" s="153" t="s">
        <v>18</v>
      </c>
      <c r="H9" s="62" t="s">
        <v>19</v>
      </c>
      <c r="I9" s="170">
        <f>($M$27*$D$3/3)*4</f>
        <v>50880</v>
      </c>
      <c r="J9" s="170">
        <f>(($M$27*$D$3/3)*4)-(I11)</f>
        <v>66445</v>
      </c>
      <c r="K9" s="170">
        <f>(($M$27*$D$3/3)*4)-(J11)</f>
        <v>82344</v>
      </c>
      <c r="L9" s="171"/>
      <c r="M9" s="170">
        <f>(($M$27*$D$3/3)*4)-(K11)</f>
        <v>106341</v>
      </c>
      <c r="N9" s="170">
        <f>(($M$27*$D$3/3)*4)-(M11)</f>
        <v>126014</v>
      </c>
      <c r="O9" s="170">
        <f>(($M$27*$D$3/3)*4)-(N11)</f>
        <v>137684</v>
      </c>
      <c r="P9" s="171"/>
      <c r="Q9" s="171"/>
      <c r="R9" s="171"/>
      <c r="S9" s="171"/>
      <c r="T9" s="170">
        <f>($M$27*$D$3/3)*4</f>
        <v>50880</v>
      </c>
      <c r="U9" s="170">
        <f>($M$27*$D$3/3)*4</f>
        <v>50880</v>
      </c>
      <c r="V9" s="171"/>
      <c r="W9" s="170">
        <f>($M$27*$D$3/3)*4</f>
        <v>50880</v>
      </c>
      <c r="X9" s="170">
        <f>($M$27*$D$3/3)*4</f>
        <v>50880</v>
      </c>
      <c r="Y9" s="170">
        <f>($M$27*$D$3/3)*4</f>
        <v>50880</v>
      </c>
      <c r="Z9" s="171"/>
      <c r="AA9" s="170">
        <f t="shared" ref="AA9:AF9" si="0">($M$27*$D$3/3)*4</f>
        <v>50880</v>
      </c>
      <c r="AB9" s="170">
        <f t="shared" si="0"/>
        <v>50880</v>
      </c>
      <c r="AC9" s="170">
        <f t="shared" si="0"/>
        <v>50880</v>
      </c>
      <c r="AD9" s="170">
        <f t="shared" si="0"/>
        <v>50880</v>
      </c>
      <c r="AE9" s="170">
        <f t="shared" si="0"/>
        <v>50880</v>
      </c>
      <c r="AF9" s="170">
        <f t="shared" si="0"/>
        <v>50880</v>
      </c>
      <c r="AG9" s="171"/>
      <c r="AH9" s="170">
        <f>($M$27*$D$3/3)*4</f>
        <v>50880</v>
      </c>
      <c r="AI9" s="170">
        <f>($M$27*$D$3/3)*4</f>
        <v>50880</v>
      </c>
      <c r="AJ9" s="170">
        <f>($M$27*$D$3/3)*4</f>
        <v>50880</v>
      </c>
      <c r="AK9" s="195">
        <f>($M$27*$D$3/3)*4</f>
        <v>50880</v>
      </c>
      <c r="AL9" s="196">
        <f>SUM(I9:AK9)</f>
        <v>1332908</v>
      </c>
      <c r="AM9" s="346"/>
      <c r="AN9" s="346"/>
      <c r="AO9" s="190"/>
      <c r="AP9" s="190"/>
      <c r="AQ9" s="190"/>
      <c r="AR9" s="190"/>
      <c r="AS9" s="346"/>
      <c r="AT9" s="212"/>
      <c r="AU9" s="212"/>
      <c r="AV9" s="346"/>
    </row>
    <row r="10" spans="1:50" hidden="1">
      <c r="A10" s="265"/>
      <c r="B10" s="280"/>
      <c r="C10" s="292"/>
      <c r="D10" s="306"/>
      <c r="E10" s="323"/>
      <c r="F10" s="332"/>
      <c r="G10" s="156"/>
      <c r="H10" s="62" t="s">
        <v>20</v>
      </c>
      <c r="I10" s="170">
        <v>2</v>
      </c>
      <c r="J10" s="170">
        <v>2</v>
      </c>
      <c r="K10" s="170">
        <v>2</v>
      </c>
      <c r="L10" s="171"/>
      <c r="M10" s="170">
        <v>3</v>
      </c>
      <c r="N10" s="170">
        <v>3</v>
      </c>
      <c r="O10" s="170">
        <v>3</v>
      </c>
      <c r="P10" s="171"/>
      <c r="Q10" s="171"/>
      <c r="R10" s="171"/>
      <c r="S10" s="171"/>
      <c r="T10" s="170">
        <v>3</v>
      </c>
      <c r="U10" s="170">
        <v>3</v>
      </c>
      <c r="V10" s="171"/>
      <c r="W10" s="170">
        <v>3</v>
      </c>
      <c r="X10" s="170">
        <v>3</v>
      </c>
      <c r="Y10" s="170">
        <v>3</v>
      </c>
      <c r="Z10" s="171"/>
      <c r="AA10" s="170">
        <v>3</v>
      </c>
      <c r="AB10" s="170">
        <v>3</v>
      </c>
      <c r="AC10" s="170">
        <v>3</v>
      </c>
      <c r="AD10" s="170">
        <v>3</v>
      </c>
      <c r="AE10" s="170">
        <v>3</v>
      </c>
      <c r="AF10" s="170">
        <v>3</v>
      </c>
      <c r="AG10" s="171"/>
      <c r="AH10" s="170">
        <v>3</v>
      </c>
      <c r="AI10" s="170">
        <v>3</v>
      </c>
      <c r="AJ10" s="170">
        <v>3</v>
      </c>
      <c r="AK10" s="195">
        <v>3</v>
      </c>
      <c r="AL10" s="196"/>
      <c r="AM10" s="190"/>
      <c r="AN10" s="190"/>
      <c r="AO10" s="190"/>
      <c r="AP10" s="190"/>
      <c r="AQ10" s="190"/>
      <c r="AR10" s="190"/>
      <c r="AS10" s="346"/>
      <c r="AT10" s="212"/>
      <c r="AU10" s="212"/>
      <c r="AV10" s="346"/>
    </row>
    <row r="11" spans="1:50" hidden="1">
      <c r="A11" s="265"/>
      <c r="B11" s="280"/>
      <c r="C11" s="292"/>
      <c r="D11" s="306"/>
      <c r="E11" s="323"/>
      <c r="F11" s="332"/>
      <c r="G11" s="156"/>
      <c r="H11" s="62"/>
      <c r="I11" s="170">
        <f>I12-I9</f>
        <v>-15565</v>
      </c>
      <c r="J11" s="170">
        <f>J12-J9</f>
        <v>-31464</v>
      </c>
      <c r="K11" s="170">
        <f>K12-K9</f>
        <v>-55461</v>
      </c>
      <c r="L11" s="171"/>
      <c r="M11" s="170">
        <f>M12-M9</f>
        <v>-75134</v>
      </c>
      <c r="N11" s="170">
        <f>N12-N9</f>
        <v>-86804</v>
      </c>
      <c r="O11" s="170">
        <f>O12-O9</f>
        <v>-106403</v>
      </c>
      <c r="P11" s="171"/>
      <c r="Q11" s="171"/>
      <c r="R11" s="171"/>
      <c r="S11" s="171"/>
      <c r="T11" s="170"/>
      <c r="U11" s="170"/>
      <c r="V11" s="171"/>
      <c r="W11" s="170"/>
      <c r="X11" s="170"/>
      <c r="Y11" s="170"/>
      <c r="Z11" s="171"/>
      <c r="AA11" s="170"/>
      <c r="AB11" s="170"/>
      <c r="AC11" s="170"/>
      <c r="AD11" s="170"/>
      <c r="AE11" s="170"/>
      <c r="AF11" s="170"/>
      <c r="AG11" s="171"/>
      <c r="AH11" s="170"/>
      <c r="AI11" s="170"/>
      <c r="AJ11" s="170"/>
      <c r="AK11" s="195"/>
      <c r="AL11" s="196"/>
      <c r="AM11" s="190"/>
      <c r="AN11" s="190"/>
      <c r="AO11" s="190"/>
      <c r="AP11" s="190"/>
      <c r="AQ11" s="190"/>
      <c r="AR11" s="190"/>
      <c r="AS11" s="346"/>
      <c r="AT11" s="212"/>
      <c r="AU11" s="212"/>
      <c r="AV11" s="346"/>
    </row>
    <row r="12" spans="1:50" hidden="1">
      <c r="A12" s="265"/>
      <c r="B12" s="280"/>
      <c r="C12" s="292"/>
      <c r="D12" s="306"/>
      <c r="E12" s="323"/>
      <c r="F12" s="332"/>
      <c r="G12" s="154"/>
      <c r="H12" s="57" t="s">
        <v>15</v>
      </c>
      <c r="I12" s="172">
        <f>9674+6802+9575+9264</f>
        <v>35315</v>
      </c>
      <c r="J12" s="172">
        <f>8810+8935+9469+7767</f>
        <v>34981</v>
      </c>
      <c r="K12" s="172">
        <f>5480+5550+4121+6234+5498</f>
        <v>26883</v>
      </c>
      <c r="L12" s="171"/>
      <c r="M12" s="172">
        <f>8984+6391+8970+6862</f>
        <v>31207</v>
      </c>
      <c r="N12" s="172">
        <f>10854+9741+9346+9269</f>
        <v>39210</v>
      </c>
      <c r="O12" s="172">
        <f>8918+3748+9346+9269</f>
        <v>31281</v>
      </c>
      <c r="P12" s="171"/>
      <c r="Q12" s="171"/>
      <c r="R12" s="171"/>
      <c r="S12" s="171"/>
      <c r="T12" s="172">
        <f>8979+9437+8197+9515</f>
        <v>36128</v>
      </c>
      <c r="U12" s="172">
        <v>34638</v>
      </c>
      <c r="V12" s="171"/>
      <c r="W12" s="172">
        <f>9373+8709+8516+9500</f>
        <v>36098</v>
      </c>
      <c r="X12" s="172">
        <v>36002</v>
      </c>
      <c r="Y12" s="172"/>
      <c r="Z12" s="171"/>
      <c r="AA12" s="172"/>
      <c r="AB12" s="172"/>
      <c r="AC12" s="172"/>
      <c r="AD12" s="172"/>
      <c r="AE12" s="172"/>
      <c r="AF12" s="172"/>
      <c r="AG12" s="171"/>
      <c r="AH12" s="172"/>
      <c r="AI12" s="172"/>
      <c r="AJ12" s="172"/>
      <c r="AK12" s="197"/>
      <c r="AL12" s="192">
        <f>SUM(I12:AK12)</f>
        <v>341743</v>
      </c>
      <c r="AM12" s="190"/>
      <c r="AN12" s="190"/>
      <c r="AO12" s="190"/>
      <c r="AP12" s="190"/>
      <c r="AQ12" s="190"/>
      <c r="AR12" s="190"/>
      <c r="AS12" s="346"/>
      <c r="AT12" s="212"/>
      <c r="AU12" s="212"/>
      <c r="AV12" s="346"/>
    </row>
    <row r="13" spans="1:50" hidden="1">
      <c r="A13" s="265"/>
      <c r="B13" s="280"/>
      <c r="C13" s="292"/>
      <c r="D13" s="306"/>
      <c r="E13" s="323"/>
      <c r="F13" s="332"/>
      <c r="G13" s="156" t="s">
        <v>21</v>
      </c>
      <c r="H13" s="62" t="s">
        <v>22</v>
      </c>
      <c r="I13" s="170">
        <f>$M$27*$D$3/3</f>
        <v>12720</v>
      </c>
      <c r="J13" s="170">
        <f>$M$27*$D$3/3</f>
        <v>12720</v>
      </c>
      <c r="K13" s="170">
        <f>$M$27*$D$3/3</f>
        <v>12720</v>
      </c>
      <c r="L13" s="173"/>
      <c r="M13" s="170">
        <f>$M$27*$D$3/3</f>
        <v>12720</v>
      </c>
      <c r="N13" s="170">
        <f>$M$27*$D$3/3</f>
        <v>12720</v>
      </c>
      <c r="O13" s="170">
        <f>$M$27*$D$3/3</f>
        <v>12720</v>
      </c>
      <c r="P13" s="173"/>
      <c r="Q13" s="173"/>
      <c r="R13" s="173"/>
      <c r="S13" s="173"/>
      <c r="T13" s="170">
        <f>$M$27*$D$3/3</f>
        <v>12720</v>
      </c>
      <c r="U13" s="170">
        <f>$M$27*$D$3/3</f>
        <v>12720</v>
      </c>
      <c r="V13" s="173"/>
      <c r="W13" s="170">
        <f>$M$27*$D$3/3</f>
        <v>12720</v>
      </c>
      <c r="X13" s="170">
        <f>$M$27*$D$3/3</f>
        <v>12720</v>
      </c>
      <c r="Y13" s="170">
        <f>$M$27*$D$3/3</f>
        <v>12720</v>
      </c>
      <c r="Z13" s="173"/>
      <c r="AA13" s="170">
        <f t="shared" ref="AA13:AF13" si="1">$M$27*$D$3/3</f>
        <v>12720</v>
      </c>
      <c r="AB13" s="170">
        <f t="shared" si="1"/>
        <v>12720</v>
      </c>
      <c r="AC13" s="170">
        <f t="shared" si="1"/>
        <v>12720</v>
      </c>
      <c r="AD13" s="170">
        <f t="shared" si="1"/>
        <v>12720</v>
      </c>
      <c r="AE13" s="170">
        <f t="shared" si="1"/>
        <v>12720</v>
      </c>
      <c r="AF13" s="170">
        <f t="shared" si="1"/>
        <v>12720</v>
      </c>
      <c r="AG13" s="173"/>
      <c r="AH13" s="170">
        <f>$M$27*$D$3/3</f>
        <v>12720</v>
      </c>
      <c r="AI13" s="170">
        <f>$M$27*$D$3/3</f>
        <v>12720</v>
      </c>
      <c r="AJ13" s="170">
        <f>$M$27*$D$3/3</f>
        <v>12720</v>
      </c>
      <c r="AK13" s="195">
        <f>$M$27*$D$3/3</f>
        <v>12720</v>
      </c>
      <c r="AL13" s="196">
        <f>SUM(I13:AK13)</f>
        <v>267120</v>
      </c>
      <c r="AM13" s="190"/>
      <c r="AN13" s="190"/>
      <c r="AO13" s="190"/>
      <c r="AP13" s="190"/>
      <c r="AQ13" s="190"/>
      <c r="AR13" s="190"/>
      <c r="AS13" s="346"/>
      <c r="AT13" s="212"/>
      <c r="AU13" s="212"/>
      <c r="AV13" s="346"/>
    </row>
    <row r="14" spans="1:50" hidden="1">
      <c r="A14" s="265"/>
      <c r="B14" s="280"/>
      <c r="C14" s="292"/>
      <c r="D14" s="306"/>
      <c r="E14" s="323"/>
      <c r="F14" s="332"/>
      <c r="G14" s="156"/>
      <c r="H14" s="62" t="s">
        <v>20</v>
      </c>
      <c r="I14" s="170">
        <v>2</v>
      </c>
      <c r="J14" s="170">
        <v>2</v>
      </c>
      <c r="K14" s="170">
        <v>2</v>
      </c>
      <c r="L14" s="173"/>
      <c r="M14" s="170">
        <v>2</v>
      </c>
      <c r="N14" s="170">
        <v>2</v>
      </c>
      <c r="O14" s="170">
        <v>2</v>
      </c>
      <c r="P14" s="173"/>
      <c r="Q14" s="173"/>
      <c r="R14" s="173"/>
      <c r="S14" s="173"/>
      <c r="T14" s="170">
        <v>2</v>
      </c>
      <c r="U14" s="170">
        <v>2</v>
      </c>
      <c r="V14" s="173"/>
      <c r="W14" s="170">
        <v>2</v>
      </c>
      <c r="X14" s="170">
        <v>2</v>
      </c>
      <c r="Y14" s="170">
        <v>2</v>
      </c>
      <c r="Z14" s="173"/>
      <c r="AA14" s="170">
        <v>2</v>
      </c>
      <c r="AB14" s="170">
        <v>2</v>
      </c>
      <c r="AC14" s="170">
        <v>2</v>
      </c>
      <c r="AD14" s="170">
        <v>2</v>
      </c>
      <c r="AE14" s="170">
        <v>2</v>
      </c>
      <c r="AF14" s="170">
        <v>2</v>
      </c>
      <c r="AG14" s="173"/>
      <c r="AH14" s="170">
        <v>2</v>
      </c>
      <c r="AI14" s="170">
        <v>2</v>
      </c>
      <c r="AJ14" s="170">
        <v>2</v>
      </c>
      <c r="AK14" s="195">
        <v>2</v>
      </c>
      <c r="AL14" s="196"/>
      <c r="AM14" s="190"/>
      <c r="AN14" s="190"/>
      <c r="AO14" s="190"/>
      <c r="AP14" s="190"/>
      <c r="AQ14" s="190"/>
      <c r="AR14" s="190"/>
      <c r="AS14" s="346"/>
      <c r="AT14" s="212"/>
      <c r="AU14" s="212"/>
      <c r="AV14" s="346"/>
    </row>
    <row r="15" spans="1:50" hidden="1">
      <c r="A15" s="265"/>
      <c r="B15" s="280"/>
      <c r="C15" s="292"/>
      <c r="D15" s="306"/>
      <c r="E15" s="323"/>
      <c r="F15" s="332"/>
      <c r="G15" s="154"/>
      <c r="H15" s="57" t="s">
        <v>15</v>
      </c>
      <c r="I15" s="174">
        <f>5951+6056</f>
        <v>12007</v>
      </c>
      <c r="J15" s="172">
        <f>6333+6085</f>
        <v>12418</v>
      </c>
      <c r="K15" s="172">
        <f>3759+3971+3269</f>
        <v>10999</v>
      </c>
      <c r="L15" s="173"/>
      <c r="M15" s="172">
        <f>6601+5996</f>
        <v>12597</v>
      </c>
      <c r="N15" s="172">
        <f>6742+6181</f>
        <v>12923</v>
      </c>
      <c r="O15" s="172">
        <f>6185+3951</f>
        <v>10136</v>
      </c>
      <c r="P15" s="173"/>
      <c r="Q15" s="173"/>
      <c r="R15" s="173"/>
      <c r="S15" s="173"/>
      <c r="T15" s="172">
        <f>4845+6409</f>
        <v>11254</v>
      </c>
      <c r="U15" s="172">
        <f>6654+6302</f>
        <v>12956</v>
      </c>
      <c r="V15" s="173"/>
      <c r="W15" s="172">
        <f>6311+6521</f>
        <v>12832</v>
      </c>
      <c r="X15" s="172">
        <f>5981+6083</f>
        <v>12064</v>
      </c>
      <c r="Y15" s="172"/>
      <c r="Z15" s="173"/>
      <c r="AA15" s="172"/>
      <c r="AB15" s="172"/>
      <c r="AC15" s="172"/>
      <c r="AD15" s="172"/>
      <c r="AE15" s="172"/>
      <c r="AF15" s="172"/>
      <c r="AG15" s="173"/>
      <c r="AH15" s="172"/>
      <c r="AI15" s="172"/>
      <c r="AJ15" s="172"/>
      <c r="AK15" s="197"/>
      <c r="AL15" s="192">
        <f>SUM(I15:AK15)</f>
        <v>120186</v>
      </c>
      <c r="AM15" s="190"/>
      <c r="AN15" s="190"/>
      <c r="AO15" s="190"/>
      <c r="AP15" s="190"/>
      <c r="AQ15" s="190"/>
      <c r="AR15" s="190"/>
      <c r="AS15" s="346"/>
      <c r="AT15" s="212"/>
      <c r="AU15" s="212"/>
      <c r="AV15" s="346"/>
    </row>
    <row r="16" spans="1:50" hidden="1">
      <c r="A16" s="265"/>
      <c r="B16" s="280"/>
      <c r="C16" s="292"/>
      <c r="D16" s="306"/>
      <c r="E16" s="323"/>
      <c r="F16" s="332"/>
      <c r="G16" s="156" t="s">
        <v>23</v>
      </c>
      <c r="H16" s="62" t="s">
        <v>24</v>
      </c>
      <c r="I16" s="170">
        <f>($M$27*$D$3/3)*2</f>
        <v>25440</v>
      </c>
      <c r="J16" s="170">
        <f>($M$27*$D$3/3)*2</f>
        <v>25440</v>
      </c>
      <c r="K16" s="170">
        <f>($M$27*$D$3/3)*2</f>
        <v>25440</v>
      </c>
      <c r="L16" s="173"/>
      <c r="M16" s="170">
        <f>($M$27*$D$3/3)*2</f>
        <v>25440</v>
      </c>
      <c r="N16" s="170">
        <f>($M$27*$D$3/3)*2</f>
        <v>25440</v>
      </c>
      <c r="O16" s="170">
        <f>($M$27*$D$3/3)*2</f>
        <v>25440</v>
      </c>
      <c r="P16" s="173"/>
      <c r="Q16" s="173"/>
      <c r="R16" s="173"/>
      <c r="S16" s="173"/>
      <c r="T16" s="170">
        <f>($M$27*$D$3/3)*2</f>
        <v>25440</v>
      </c>
      <c r="U16" s="170">
        <f>($M$27*$D$3/3)*2</f>
        <v>25440</v>
      </c>
      <c r="V16" s="173"/>
      <c r="W16" s="170">
        <f>($M$27*$D$3/3)*2</f>
        <v>25440</v>
      </c>
      <c r="X16" s="170">
        <f>($M$27*$D$3/3)*2</f>
        <v>25440</v>
      </c>
      <c r="Y16" s="170">
        <f>($M$27*$D$3/3)*2</f>
        <v>25440</v>
      </c>
      <c r="Z16" s="173"/>
      <c r="AA16" s="170">
        <f t="shared" ref="AA16:AF16" si="2">($M$27*$D$3/3)*2</f>
        <v>25440</v>
      </c>
      <c r="AB16" s="170">
        <f t="shared" si="2"/>
        <v>25440</v>
      </c>
      <c r="AC16" s="170">
        <f t="shared" si="2"/>
        <v>25440</v>
      </c>
      <c r="AD16" s="170">
        <f t="shared" si="2"/>
        <v>25440</v>
      </c>
      <c r="AE16" s="170">
        <f t="shared" si="2"/>
        <v>25440</v>
      </c>
      <c r="AF16" s="170">
        <f t="shared" si="2"/>
        <v>25440</v>
      </c>
      <c r="AG16" s="173"/>
      <c r="AH16" s="170">
        <f>($M$27*$D$3/3)*2</f>
        <v>25440</v>
      </c>
      <c r="AI16" s="170">
        <f>($M$27*$D$3/3)*2</f>
        <v>25440</v>
      </c>
      <c r="AJ16" s="170">
        <f>($M$27*$D$3/3)*2</f>
        <v>25440</v>
      </c>
      <c r="AK16" s="195">
        <f>($M$27*$D$3/3)*2</f>
        <v>25440</v>
      </c>
      <c r="AL16" s="196">
        <f>SUM(I16:AK16)</f>
        <v>534240</v>
      </c>
      <c r="AM16" s="198"/>
      <c r="AN16" s="199"/>
      <c r="AO16" s="199"/>
      <c r="AP16" s="212"/>
      <c r="AQ16" s="190"/>
      <c r="AR16" s="190"/>
      <c r="AS16" s="346"/>
      <c r="AT16" s="212"/>
      <c r="AU16" s="212"/>
      <c r="AV16" s="346"/>
    </row>
    <row r="17" spans="1:48" hidden="1">
      <c r="A17" s="265"/>
      <c r="B17" s="280"/>
      <c r="C17" s="292"/>
      <c r="D17" s="306"/>
      <c r="E17" s="323"/>
      <c r="F17" s="332"/>
      <c r="G17" s="154"/>
      <c r="H17" s="57" t="s">
        <v>15</v>
      </c>
      <c r="I17" s="154"/>
      <c r="J17" s="172">
        <v>39168</v>
      </c>
      <c r="K17" s="154"/>
      <c r="L17" s="173"/>
      <c r="M17" s="172">
        <f>4675+35202</f>
        <v>39877</v>
      </c>
      <c r="N17" s="164"/>
      <c r="O17" s="172"/>
      <c r="P17" s="173"/>
      <c r="Q17" s="173"/>
      <c r="R17" s="173"/>
      <c r="S17" s="173"/>
      <c r="T17" s="172">
        <f>59551</f>
        <v>59551</v>
      </c>
      <c r="U17" s="154"/>
      <c r="V17" s="173"/>
      <c r="W17" s="172"/>
      <c r="X17" s="154"/>
      <c r="Y17" s="172"/>
      <c r="Z17" s="173"/>
      <c r="AA17" s="154"/>
      <c r="AB17" s="172"/>
      <c r="AC17" s="154"/>
      <c r="AD17" s="172"/>
      <c r="AE17" s="154"/>
      <c r="AF17" s="172"/>
      <c r="AG17" s="173"/>
      <c r="AH17" s="172"/>
      <c r="AI17" s="172"/>
      <c r="AJ17" s="154"/>
      <c r="AK17" s="197"/>
      <c r="AL17" s="192">
        <f>SUM(I17:AK17)</f>
        <v>138596</v>
      </c>
      <c r="AM17" s="198"/>
      <c r="AN17" s="199"/>
      <c r="AO17" s="199"/>
      <c r="AP17" s="212"/>
      <c r="AQ17" s="190"/>
      <c r="AR17" s="190"/>
      <c r="AS17" s="346"/>
      <c r="AT17" s="212"/>
      <c r="AU17" s="212"/>
      <c r="AV17" s="346"/>
    </row>
    <row r="18" spans="1:48" hidden="1">
      <c r="A18" s="265"/>
      <c r="B18" s="280"/>
      <c r="C18" s="292"/>
      <c r="D18" s="306"/>
      <c r="E18" s="323"/>
      <c r="F18" s="332"/>
      <c r="G18" s="156" t="s">
        <v>25</v>
      </c>
      <c r="H18" s="62" t="s">
        <v>26</v>
      </c>
      <c r="I18" s="170">
        <f>($M$27*$D$3/3)*2</f>
        <v>25440</v>
      </c>
      <c r="J18" s="170">
        <f>($M$27*$D$3/3)*2</f>
        <v>25440</v>
      </c>
      <c r="K18" s="170">
        <f>($M$27*$D$3/3)*2</f>
        <v>25440</v>
      </c>
      <c r="L18" s="173"/>
      <c r="M18" s="170">
        <f>($M$27*$D$3/3)*2</f>
        <v>25440</v>
      </c>
      <c r="N18" s="170">
        <f>($M$27*$D$3/3)*2</f>
        <v>25440</v>
      </c>
      <c r="O18" s="170">
        <f>($M$27*$D$3/3)*2</f>
        <v>25440</v>
      </c>
      <c r="P18" s="173"/>
      <c r="Q18" s="173"/>
      <c r="R18" s="173"/>
      <c r="S18" s="173"/>
      <c r="T18" s="170">
        <f>($M$27*$D$3/3)*2</f>
        <v>25440</v>
      </c>
      <c r="U18" s="170">
        <f>($M$27*$D$3/3)*2</f>
        <v>25440</v>
      </c>
      <c r="V18" s="173"/>
      <c r="W18" s="170">
        <f>($M$27*$D$3/3)*2</f>
        <v>25440</v>
      </c>
      <c r="X18" s="170">
        <f>($M$27*$D$3/3)*2</f>
        <v>25440</v>
      </c>
      <c r="Y18" s="170">
        <f>($M$27*$D$3/3)*2</f>
        <v>25440</v>
      </c>
      <c r="Z18" s="173"/>
      <c r="AA18" s="170">
        <f t="shared" ref="AA18:AF18" si="3">($M$27*$D$3/3)*2</f>
        <v>25440</v>
      </c>
      <c r="AB18" s="170">
        <f t="shared" si="3"/>
        <v>25440</v>
      </c>
      <c r="AC18" s="170">
        <f t="shared" si="3"/>
        <v>25440</v>
      </c>
      <c r="AD18" s="170">
        <f t="shared" si="3"/>
        <v>25440</v>
      </c>
      <c r="AE18" s="170">
        <f t="shared" si="3"/>
        <v>25440</v>
      </c>
      <c r="AF18" s="170">
        <f t="shared" si="3"/>
        <v>25440</v>
      </c>
      <c r="AG18" s="173"/>
      <c r="AH18" s="170">
        <f>($M$27*$D$3/3)*2</f>
        <v>25440</v>
      </c>
      <c r="AI18" s="170">
        <f>($M$27*$D$3/3)*2</f>
        <v>25440</v>
      </c>
      <c r="AJ18" s="170">
        <f>($M$27*$D$3/3)*2</f>
        <v>25440</v>
      </c>
      <c r="AK18" s="195">
        <f>($M$27*$D$3/3)*2</f>
        <v>25440</v>
      </c>
      <c r="AL18" s="196">
        <f>SUM(I18:AK18)</f>
        <v>534240</v>
      </c>
      <c r="AM18" s="198"/>
      <c r="AN18" s="199"/>
      <c r="AO18" s="199"/>
      <c r="AP18" s="212"/>
      <c r="AQ18" s="190"/>
      <c r="AR18" s="190"/>
      <c r="AS18" s="346"/>
      <c r="AT18" s="212"/>
      <c r="AU18" s="212"/>
      <c r="AV18" s="346"/>
    </row>
    <row r="19" spans="1:48" hidden="1">
      <c r="A19" s="265"/>
      <c r="B19" s="280"/>
      <c r="C19" s="292"/>
      <c r="D19" s="306"/>
      <c r="E19" s="323"/>
      <c r="F19" s="332"/>
      <c r="G19" s="156"/>
      <c r="H19" s="62" t="s">
        <v>27</v>
      </c>
      <c r="I19" s="170">
        <v>1</v>
      </c>
      <c r="J19" s="170">
        <v>1</v>
      </c>
      <c r="K19" s="170">
        <v>1</v>
      </c>
      <c r="L19" s="173"/>
      <c r="M19" s="170">
        <v>1</v>
      </c>
      <c r="N19" s="170">
        <v>1</v>
      </c>
      <c r="O19" s="170">
        <v>1</v>
      </c>
      <c r="P19" s="173"/>
      <c r="Q19" s="173"/>
      <c r="R19" s="173"/>
      <c r="S19" s="173"/>
      <c r="T19" s="170">
        <v>1</v>
      </c>
      <c r="U19" s="170">
        <v>1</v>
      </c>
      <c r="V19" s="173"/>
      <c r="W19" s="170">
        <v>1</v>
      </c>
      <c r="X19" s="170">
        <v>1</v>
      </c>
      <c r="Y19" s="170">
        <v>1</v>
      </c>
      <c r="Z19" s="173"/>
      <c r="AA19" s="170">
        <v>1</v>
      </c>
      <c r="AB19" s="170">
        <v>1</v>
      </c>
      <c r="AC19" s="170">
        <v>1</v>
      </c>
      <c r="AD19" s="170">
        <v>1</v>
      </c>
      <c r="AE19" s="170">
        <v>1</v>
      </c>
      <c r="AF19" s="170">
        <v>1</v>
      </c>
      <c r="AG19" s="173"/>
      <c r="AH19" s="170">
        <v>1</v>
      </c>
      <c r="AI19" s="170">
        <v>1</v>
      </c>
      <c r="AJ19" s="170">
        <v>1</v>
      </c>
      <c r="AK19" s="195">
        <v>1</v>
      </c>
      <c r="AL19" s="196"/>
      <c r="AM19" s="198"/>
      <c r="AN19" s="199"/>
      <c r="AO19" s="199"/>
      <c r="AP19" s="212"/>
      <c r="AQ19" s="190"/>
      <c r="AR19" s="190"/>
      <c r="AS19" s="346"/>
      <c r="AT19" s="212"/>
      <c r="AU19" s="212"/>
      <c r="AV19" s="346"/>
    </row>
    <row r="20" spans="1:48" hidden="1">
      <c r="A20" s="265"/>
      <c r="B20" s="280"/>
      <c r="C20" s="292"/>
      <c r="D20" s="306"/>
      <c r="E20" s="323"/>
      <c r="F20" s="332"/>
      <c r="G20" s="154"/>
      <c r="H20" s="57" t="s">
        <v>15</v>
      </c>
      <c r="I20" s="154"/>
      <c r="J20" s="172"/>
      <c r="K20" s="154"/>
      <c r="L20" s="173"/>
      <c r="M20" s="172">
        <f>73834</f>
        <v>73834</v>
      </c>
      <c r="N20" s="154"/>
      <c r="O20" s="172"/>
      <c r="P20" s="173"/>
      <c r="Q20" s="173"/>
      <c r="R20" s="173"/>
      <c r="S20" s="173"/>
      <c r="T20" s="172"/>
      <c r="U20" s="154"/>
      <c r="V20" s="173"/>
      <c r="W20" s="172">
        <f>24221+30054</f>
        <v>54275</v>
      </c>
      <c r="X20" s="154"/>
      <c r="Y20" s="172"/>
      <c r="Z20" s="173"/>
      <c r="AA20" s="154"/>
      <c r="AB20" s="172"/>
      <c r="AC20" s="154"/>
      <c r="AD20" s="172"/>
      <c r="AE20" s="154"/>
      <c r="AF20" s="172"/>
      <c r="AG20" s="173"/>
      <c r="AH20" s="154"/>
      <c r="AI20" s="172"/>
      <c r="AJ20" s="154"/>
      <c r="AK20" s="197"/>
      <c r="AL20" s="192">
        <f>SUM(I20:AK20)</f>
        <v>128109</v>
      </c>
      <c r="AM20" s="198"/>
      <c r="AN20" s="199"/>
      <c r="AO20" s="199"/>
      <c r="AP20" s="212"/>
      <c r="AQ20" s="190"/>
      <c r="AR20" s="190"/>
      <c r="AS20" s="346"/>
      <c r="AT20" s="212"/>
      <c r="AU20" s="212"/>
      <c r="AV20" s="346"/>
    </row>
    <row r="21" spans="1:48" hidden="1">
      <c r="A21" s="265"/>
      <c r="B21" s="280"/>
      <c r="C21" s="292"/>
      <c r="D21" s="306"/>
      <c r="E21" s="323"/>
      <c r="F21" s="332"/>
      <c r="G21" s="156" t="s">
        <v>28</v>
      </c>
      <c r="H21" s="62" t="s">
        <v>29</v>
      </c>
      <c r="I21" s="170">
        <f>$M$27*$D$3/3</f>
        <v>12720</v>
      </c>
      <c r="J21" s="170">
        <f>$M$27*$D$3/3</f>
        <v>12720</v>
      </c>
      <c r="K21" s="170">
        <f>$M$27*$D$3/3</f>
        <v>12720</v>
      </c>
      <c r="L21" s="173"/>
      <c r="M21" s="170">
        <f>$M$27*$D$3/3</f>
        <v>12720</v>
      </c>
      <c r="N21" s="170">
        <f>$M$27*$D$3/3</f>
        <v>12720</v>
      </c>
      <c r="O21" s="170">
        <f>$M$27*$D$3/3</f>
        <v>12720</v>
      </c>
      <c r="P21" s="173"/>
      <c r="Q21" s="173"/>
      <c r="R21" s="173"/>
      <c r="S21" s="173"/>
      <c r="T21" s="170">
        <f>$M$27*$D$3/3</f>
        <v>12720</v>
      </c>
      <c r="U21" s="170">
        <f>$M$27*$D$3/3</f>
        <v>12720</v>
      </c>
      <c r="V21" s="173"/>
      <c r="W21" s="170">
        <f>$M$27*$D$3/3</f>
        <v>12720</v>
      </c>
      <c r="X21" s="170">
        <f>$M$27*$D$3/3</f>
        <v>12720</v>
      </c>
      <c r="Y21" s="170">
        <f>$M$27*$D$3/3</f>
        <v>12720</v>
      </c>
      <c r="Z21" s="173"/>
      <c r="AA21" s="170">
        <f t="shared" ref="AA21:AF21" si="4">$M$27*$D$3/3</f>
        <v>12720</v>
      </c>
      <c r="AB21" s="170">
        <f t="shared" si="4"/>
        <v>12720</v>
      </c>
      <c r="AC21" s="170">
        <f t="shared" si="4"/>
        <v>12720</v>
      </c>
      <c r="AD21" s="170">
        <f t="shared" si="4"/>
        <v>12720</v>
      </c>
      <c r="AE21" s="170">
        <f t="shared" si="4"/>
        <v>12720</v>
      </c>
      <c r="AF21" s="170">
        <f t="shared" si="4"/>
        <v>12720</v>
      </c>
      <c r="AG21" s="173"/>
      <c r="AH21" s="170">
        <f>$M$27*$D$3/3</f>
        <v>12720</v>
      </c>
      <c r="AI21" s="170">
        <f>$M$27*$D$3/3</f>
        <v>12720</v>
      </c>
      <c r="AJ21" s="170">
        <f>$M$27*$D$3/3</f>
        <v>12720</v>
      </c>
      <c r="AK21" s="195">
        <f>$M$27*$D$3/3</f>
        <v>12720</v>
      </c>
      <c r="AL21" s="196">
        <f>SUM(I21:AK21)</f>
        <v>267120</v>
      </c>
      <c r="AM21" s="198"/>
      <c r="AN21" s="199"/>
      <c r="AO21" s="199"/>
      <c r="AP21" s="212"/>
      <c r="AQ21" s="190"/>
      <c r="AR21" s="190"/>
      <c r="AS21" s="346"/>
      <c r="AT21" s="212"/>
      <c r="AU21" s="212"/>
      <c r="AV21" s="346"/>
    </row>
    <row r="22" spans="1:48" hidden="1">
      <c r="A22" s="265"/>
      <c r="B22" s="280"/>
      <c r="C22" s="292"/>
      <c r="D22" s="306"/>
      <c r="E22" s="323"/>
      <c r="F22" s="332"/>
      <c r="G22" s="156"/>
      <c r="H22" s="62" t="s">
        <v>27</v>
      </c>
      <c r="I22" s="170">
        <v>1</v>
      </c>
      <c r="J22" s="170">
        <v>1</v>
      </c>
      <c r="K22" s="170">
        <v>1</v>
      </c>
      <c r="L22" s="173"/>
      <c r="M22" s="170">
        <v>1</v>
      </c>
      <c r="N22" s="170">
        <v>1</v>
      </c>
      <c r="O22" s="170">
        <v>1</v>
      </c>
      <c r="P22" s="173"/>
      <c r="Q22" s="173"/>
      <c r="R22" s="173"/>
      <c r="S22" s="173"/>
      <c r="T22" s="170">
        <v>1</v>
      </c>
      <c r="U22" s="170">
        <v>1</v>
      </c>
      <c r="V22" s="173"/>
      <c r="W22" s="170">
        <v>1</v>
      </c>
      <c r="X22" s="170">
        <v>1</v>
      </c>
      <c r="Y22" s="170">
        <v>1</v>
      </c>
      <c r="Z22" s="173"/>
      <c r="AA22" s="170">
        <v>1</v>
      </c>
      <c r="AB22" s="170">
        <v>1</v>
      </c>
      <c r="AC22" s="170">
        <v>1</v>
      </c>
      <c r="AD22" s="170">
        <v>1</v>
      </c>
      <c r="AE22" s="170">
        <v>1</v>
      </c>
      <c r="AF22" s="170">
        <v>1</v>
      </c>
      <c r="AG22" s="173"/>
      <c r="AH22" s="170">
        <v>1</v>
      </c>
      <c r="AI22" s="170">
        <v>1</v>
      </c>
      <c r="AJ22" s="170">
        <v>1</v>
      </c>
      <c r="AK22" s="195">
        <v>1</v>
      </c>
      <c r="AL22" s="196"/>
      <c r="AM22" s="198"/>
      <c r="AN22" s="199"/>
      <c r="AO22" s="199"/>
      <c r="AP22" s="212"/>
      <c r="AQ22" s="190"/>
      <c r="AR22" s="190"/>
      <c r="AS22" s="346"/>
      <c r="AT22" s="212"/>
      <c r="AU22" s="212"/>
      <c r="AV22" s="346"/>
    </row>
    <row r="23" spans="1:48" hidden="1">
      <c r="A23" s="265"/>
      <c r="B23" s="280"/>
      <c r="C23" s="292"/>
      <c r="D23" s="306"/>
      <c r="E23" s="323"/>
      <c r="F23" s="332"/>
      <c r="G23" s="154"/>
      <c r="H23" s="57" t="s">
        <v>15</v>
      </c>
      <c r="I23" s="175">
        <f>39236</f>
        <v>39236</v>
      </c>
      <c r="J23" s="172"/>
      <c r="K23" s="154"/>
      <c r="L23" s="173"/>
      <c r="M23" s="172">
        <f>27053+7020</f>
        <v>34073</v>
      </c>
      <c r="N23" s="164"/>
      <c r="O23" s="172"/>
      <c r="P23" s="173"/>
      <c r="Q23" s="173"/>
      <c r="R23" s="173"/>
      <c r="S23" s="173"/>
      <c r="T23" s="172"/>
      <c r="U23" s="172">
        <f>27392+17240</f>
        <v>44632</v>
      </c>
      <c r="V23" s="173"/>
      <c r="W23" s="172"/>
      <c r="X23" s="154"/>
      <c r="Y23" s="172"/>
      <c r="Z23" s="173"/>
      <c r="AA23" s="154"/>
      <c r="AB23" s="172"/>
      <c r="AC23" s="154"/>
      <c r="AD23" s="172"/>
      <c r="AE23" s="154"/>
      <c r="AF23" s="172"/>
      <c r="AG23" s="173"/>
      <c r="AH23" s="154"/>
      <c r="AI23" s="172"/>
      <c r="AJ23" s="154"/>
      <c r="AK23" s="197"/>
      <c r="AL23" s="192">
        <f>SUM(I23:AK23)</f>
        <v>117941</v>
      </c>
      <c r="AM23" s="198"/>
      <c r="AN23" s="199"/>
      <c r="AO23" s="199"/>
      <c r="AP23" s="212"/>
      <c r="AQ23" s="190"/>
      <c r="AR23" s="190"/>
      <c r="AS23" s="346"/>
      <c r="AT23" s="212"/>
      <c r="AU23" s="212"/>
      <c r="AV23" s="346"/>
    </row>
    <row r="24" spans="1:48" hidden="1">
      <c r="A24" s="265"/>
      <c r="B24" s="280"/>
      <c r="C24" s="292"/>
      <c r="D24" s="306"/>
      <c r="E24" s="323"/>
      <c r="F24" s="332"/>
      <c r="G24" s="156"/>
      <c r="H24" s="62" t="s">
        <v>30</v>
      </c>
      <c r="I24" s="170">
        <f>$M$27*$D$3/3</f>
        <v>12720</v>
      </c>
      <c r="J24" s="170">
        <f>$M$27*$D$3/3</f>
        <v>12720</v>
      </c>
      <c r="K24" s="170">
        <f>$M$27*$D$3/3</f>
        <v>12720</v>
      </c>
      <c r="L24" s="173"/>
      <c r="M24" s="170">
        <f>$M$27*$D$3/3</f>
        <v>12720</v>
      </c>
      <c r="N24" s="170">
        <f>$M$27*$D$3/3</f>
        <v>12720</v>
      </c>
      <c r="O24" s="170">
        <f>$M$27*$D$3/3</f>
        <v>12720</v>
      </c>
      <c r="P24" s="173"/>
      <c r="Q24" s="173"/>
      <c r="R24" s="173"/>
      <c r="S24" s="173"/>
      <c r="T24" s="170">
        <f>$M$27*$D$3/3</f>
        <v>12720</v>
      </c>
      <c r="U24" s="170">
        <f>$M$27*$D$3/3</f>
        <v>12720</v>
      </c>
      <c r="V24" s="173"/>
      <c r="W24" s="170">
        <f>$M$27*$D$3/3</f>
        <v>12720</v>
      </c>
      <c r="X24" s="170">
        <f>$M$27*$D$3/3</f>
        <v>12720</v>
      </c>
      <c r="Y24" s="170">
        <f>$M$27*$D$3/3</f>
        <v>12720</v>
      </c>
      <c r="Z24" s="173"/>
      <c r="AA24" s="170">
        <f t="shared" ref="AA24:AF24" si="5">$M$27*$D$3/3</f>
        <v>12720</v>
      </c>
      <c r="AB24" s="170">
        <f t="shared" si="5"/>
        <v>12720</v>
      </c>
      <c r="AC24" s="170">
        <f t="shared" si="5"/>
        <v>12720</v>
      </c>
      <c r="AD24" s="170">
        <f t="shared" si="5"/>
        <v>12720</v>
      </c>
      <c r="AE24" s="170">
        <f t="shared" si="5"/>
        <v>12720</v>
      </c>
      <c r="AF24" s="170">
        <f t="shared" si="5"/>
        <v>12720</v>
      </c>
      <c r="AG24" s="173"/>
      <c r="AH24" s="170">
        <f>$M$27*$D$3/3</f>
        <v>12720</v>
      </c>
      <c r="AI24" s="170">
        <f>$M$27*$D$3/3</f>
        <v>12720</v>
      </c>
      <c r="AJ24" s="170">
        <f>$M$27*$D$3/3</f>
        <v>12720</v>
      </c>
      <c r="AK24" s="195">
        <f>$M$27*$D$3/3</f>
        <v>12720</v>
      </c>
      <c r="AL24" s="196">
        <f>SUM(I24:AK24)</f>
        <v>267120</v>
      </c>
      <c r="AM24" s="198"/>
      <c r="AN24" s="199"/>
      <c r="AO24" s="199"/>
      <c r="AP24" s="212"/>
      <c r="AQ24" s="190"/>
      <c r="AR24" s="190"/>
      <c r="AS24" s="346"/>
      <c r="AT24" s="212"/>
      <c r="AU24" s="212"/>
      <c r="AV24" s="346"/>
    </row>
    <row r="25" spans="1:48" hidden="1">
      <c r="A25" s="265"/>
      <c r="B25" s="280"/>
      <c r="C25" s="292"/>
      <c r="D25" s="306"/>
      <c r="E25" s="323"/>
      <c r="F25" s="332"/>
      <c r="G25" s="156"/>
      <c r="H25" s="62" t="s">
        <v>31</v>
      </c>
      <c r="I25" s="170">
        <v>1</v>
      </c>
      <c r="J25" s="170">
        <v>1</v>
      </c>
      <c r="K25" s="170">
        <v>1</v>
      </c>
      <c r="L25" s="171"/>
      <c r="M25" s="170">
        <v>1</v>
      </c>
      <c r="N25" s="170">
        <v>1</v>
      </c>
      <c r="O25" s="170">
        <v>1</v>
      </c>
      <c r="P25" s="171"/>
      <c r="Q25" s="171"/>
      <c r="R25" s="171"/>
      <c r="S25" s="171"/>
      <c r="T25" s="170">
        <v>1</v>
      </c>
      <c r="U25" s="170">
        <v>1</v>
      </c>
      <c r="V25" s="171"/>
      <c r="W25" s="170">
        <v>1</v>
      </c>
      <c r="X25" s="170">
        <v>1</v>
      </c>
      <c r="Y25" s="170">
        <v>1</v>
      </c>
      <c r="Z25" s="171"/>
      <c r="AA25" s="170">
        <v>1</v>
      </c>
      <c r="AB25" s="170">
        <v>1</v>
      </c>
      <c r="AC25" s="170">
        <v>1</v>
      </c>
      <c r="AD25" s="170">
        <v>1</v>
      </c>
      <c r="AE25" s="170">
        <v>1</v>
      </c>
      <c r="AF25" s="170">
        <v>1</v>
      </c>
      <c r="AG25" s="171"/>
      <c r="AH25" s="170">
        <v>1</v>
      </c>
      <c r="AI25" s="170">
        <v>1</v>
      </c>
      <c r="AJ25" s="170">
        <v>1</v>
      </c>
      <c r="AK25" s="195">
        <v>1</v>
      </c>
      <c r="AL25" s="196"/>
      <c r="AM25" s="198"/>
      <c r="AN25" s="199"/>
      <c r="AO25" s="199"/>
      <c r="AP25" s="212"/>
      <c r="AQ25" s="190"/>
      <c r="AR25" s="190"/>
      <c r="AS25" s="346"/>
      <c r="AT25" s="212"/>
      <c r="AU25" s="212"/>
      <c r="AV25" s="346"/>
    </row>
    <row r="26" spans="1:48" hidden="1">
      <c r="A26" s="265"/>
      <c r="B26" s="280"/>
      <c r="C26" s="292"/>
      <c r="D26" s="306"/>
      <c r="E26" s="323"/>
      <c r="F26" s="332"/>
      <c r="G26" s="154"/>
      <c r="H26" s="57" t="s">
        <v>15</v>
      </c>
      <c r="I26" s="172">
        <f>3090+1670</f>
        <v>4760</v>
      </c>
      <c r="J26" s="172">
        <f>2525+1786+4125</f>
        <v>8436</v>
      </c>
      <c r="K26" s="172">
        <f>400+2100+2278+514</f>
        <v>5292</v>
      </c>
      <c r="L26" s="173"/>
      <c r="M26" s="172">
        <f>3311+3864</f>
        <v>7175</v>
      </c>
      <c r="N26" s="172">
        <f>1635+1119+2771+2009</f>
        <v>7534</v>
      </c>
      <c r="O26" s="172">
        <f>4095+1523</f>
        <v>5618</v>
      </c>
      <c r="P26" s="173"/>
      <c r="Q26" s="173"/>
      <c r="R26" s="173"/>
      <c r="S26" s="173"/>
      <c r="T26" s="172">
        <f>550+4498+500+3570+1212</f>
        <v>10330</v>
      </c>
      <c r="U26" s="154"/>
      <c r="V26" s="173"/>
      <c r="W26" s="172">
        <f>4501+2428+4096</f>
        <v>11025</v>
      </c>
      <c r="X26" s="154"/>
      <c r="Y26" s="154"/>
      <c r="Z26" s="173"/>
      <c r="AA26" s="154"/>
      <c r="AB26" s="154"/>
      <c r="AC26" s="154"/>
      <c r="AD26" s="154"/>
      <c r="AE26" s="154"/>
      <c r="AF26" s="154"/>
      <c r="AG26" s="173"/>
      <c r="AH26" s="154"/>
      <c r="AI26" s="154"/>
      <c r="AJ26" s="154"/>
      <c r="AK26" s="200"/>
      <c r="AL26" s="201">
        <v>1</v>
      </c>
      <c r="AM26" s="198"/>
      <c r="AN26" s="199"/>
      <c r="AO26" s="199"/>
      <c r="AP26" s="212"/>
      <c r="AQ26" s="190"/>
      <c r="AR26" s="190"/>
      <c r="AS26" s="346"/>
      <c r="AT26" s="212"/>
      <c r="AU26" s="212"/>
      <c r="AV26" s="346"/>
    </row>
    <row r="27" spans="1:48" hidden="1">
      <c r="A27" s="265"/>
      <c r="B27" s="280"/>
      <c r="C27" s="292"/>
      <c r="D27" s="306"/>
      <c r="E27" s="323"/>
      <c r="F27" s="332"/>
      <c r="G27" s="156"/>
      <c r="H27" s="62" t="s">
        <v>32</v>
      </c>
      <c r="I27" s="156"/>
      <c r="J27" s="156"/>
      <c r="K27" s="156"/>
      <c r="L27" s="173"/>
      <c r="M27" s="170">
        <f>$C$3*3</f>
        <v>24000</v>
      </c>
      <c r="N27" s="156"/>
      <c r="O27" s="156"/>
      <c r="P27" s="173"/>
      <c r="Q27" s="173"/>
      <c r="R27" s="173"/>
      <c r="S27" s="173"/>
      <c r="T27" s="170">
        <f>$C$3*3</f>
        <v>24000</v>
      </c>
      <c r="U27" s="156"/>
      <c r="V27" s="173"/>
      <c r="W27" s="156"/>
      <c r="X27" s="170">
        <f>$C$3*3</f>
        <v>24000</v>
      </c>
      <c r="Y27" s="156"/>
      <c r="Z27" s="173"/>
      <c r="AA27" s="156"/>
      <c r="AB27" s="170">
        <f>$C$3*3</f>
        <v>24000</v>
      </c>
      <c r="AC27" s="156"/>
      <c r="AD27" s="156"/>
      <c r="AE27" s="170">
        <f>$C$3*3</f>
        <v>24000</v>
      </c>
      <c r="AF27" s="156"/>
      <c r="AG27" s="173"/>
      <c r="AH27" s="156"/>
      <c r="AI27" s="170">
        <f>$C$3*3</f>
        <v>24000</v>
      </c>
      <c r="AJ27" s="156"/>
      <c r="AK27" s="202"/>
      <c r="AL27" s="196">
        <f>SUM(I27:AK27)</f>
        <v>144000</v>
      </c>
      <c r="AM27" s="198"/>
      <c r="AN27" s="199"/>
      <c r="AO27" s="199"/>
      <c r="AP27" s="212"/>
      <c r="AQ27" s="190"/>
      <c r="AR27" s="190"/>
      <c r="AS27" s="346"/>
      <c r="AT27" s="212"/>
      <c r="AU27" s="212"/>
      <c r="AV27" s="346"/>
    </row>
    <row r="28" spans="1:48" hidden="1">
      <c r="A28" s="265"/>
      <c r="B28" s="280"/>
      <c r="C28" s="292"/>
      <c r="D28" s="306"/>
      <c r="E28" s="323"/>
      <c r="F28" s="332"/>
      <c r="G28" s="156"/>
      <c r="H28" s="62" t="s">
        <v>33</v>
      </c>
      <c r="I28" s="156"/>
      <c r="J28" s="156"/>
      <c r="K28" s="156"/>
      <c r="L28" s="173"/>
      <c r="M28" s="156">
        <v>1</v>
      </c>
      <c r="N28" s="156"/>
      <c r="O28" s="156"/>
      <c r="P28" s="173"/>
      <c r="Q28" s="173"/>
      <c r="R28" s="173"/>
      <c r="S28" s="173"/>
      <c r="T28" s="156">
        <v>1</v>
      </c>
      <c r="U28" s="156"/>
      <c r="V28" s="173"/>
      <c r="W28" s="156"/>
      <c r="X28" s="156">
        <v>1</v>
      </c>
      <c r="Y28" s="156"/>
      <c r="Z28" s="173"/>
      <c r="AA28" s="156"/>
      <c r="AB28" s="156">
        <v>1</v>
      </c>
      <c r="AC28" s="156"/>
      <c r="AD28" s="156"/>
      <c r="AE28" s="156">
        <v>1</v>
      </c>
      <c r="AF28" s="156"/>
      <c r="AG28" s="173"/>
      <c r="AH28" s="156"/>
      <c r="AI28" s="156">
        <v>1</v>
      </c>
      <c r="AJ28" s="156"/>
      <c r="AK28" s="202"/>
      <c r="AL28" s="196"/>
      <c r="AM28" s="198"/>
      <c r="AN28" s="199"/>
      <c r="AO28" s="199"/>
      <c r="AP28" s="212"/>
      <c r="AQ28" s="190"/>
      <c r="AR28" s="190"/>
      <c r="AS28" s="346"/>
      <c r="AT28" s="212"/>
      <c r="AU28" s="212"/>
      <c r="AV28" s="346"/>
    </row>
    <row r="29" spans="1:48" hidden="1">
      <c r="A29" s="157"/>
      <c r="B29" s="281"/>
      <c r="C29" s="293"/>
      <c r="D29" s="307"/>
      <c r="E29" s="324"/>
      <c r="F29" s="333"/>
      <c r="G29" s="158"/>
      <c r="H29" s="159" t="s">
        <v>15</v>
      </c>
      <c r="I29" s="176">
        <v>12750</v>
      </c>
      <c r="J29" s="158"/>
      <c r="K29" s="158"/>
      <c r="L29" s="177"/>
      <c r="M29" s="176"/>
      <c r="N29" s="158"/>
      <c r="O29" s="176">
        <f>13221+3000</f>
        <v>16221</v>
      </c>
      <c r="P29" s="177"/>
      <c r="Q29" s="177"/>
      <c r="R29" s="177"/>
      <c r="S29" s="177"/>
      <c r="T29" s="158"/>
      <c r="U29" s="176">
        <v>10684</v>
      </c>
      <c r="V29" s="177"/>
      <c r="W29" s="158"/>
      <c r="X29" s="158"/>
      <c r="Y29" s="158"/>
      <c r="Z29" s="177"/>
      <c r="AA29" s="158"/>
      <c r="AB29" s="158"/>
      <c r="AC29" s="158"/>
      <c r="AD29" s="158"/>
      <c r="AE29" s="158"/>
      <c r="AF29" s="158"/>
      <c r="AG29" s="177"/>
      <c r="AH29" s="158"/>
      <c r="AI29" s="158"/>
      <c r="AJ29" s="158"/>
      <c r="AK29" s="203"/>
      <c r="AL29" s="192">
        <f>SUM(I29:AK29)</f>
        <v>39655</v>
      </c>
      <c r="AM29" s="198"/>
      <c r="AN29" s="199"/>
      <c r="AO29" s="199"/>
      <c r="AP29" s="212"/>
      <c r="AQ29" s="190"/>
      <c r="AR29" s="190"/>
      <c r="AS29" s="346"/>
      <c r="AT29" s="212"/>
      <c r="AU29" s="212"/>
      <c r="AV29" s="346"/>
    </row>
    <row r="30" spans="1:48" hidden="1">
      <c r="A30" s="266" t="s">
        <v>34</v>
      </c>
      <c r="B30" s="282" t="s">
        <v>35</v>
      </c>
      <c r="C30" s="294">
        <v>12000</v>
      </c>
      <c r="D30" s="308">
        <v>1.2749999999999999</v>
      </c>
      <c r="E30" s="160"/>
      <c r="F30" s="334" t="s">
        <v>11</v>
      </c>
      <c r="G30" s="152">
        <v>0.08</v>
      </c>
      <c r="H30" s="53" t="s">
        <v>12</v>
      </c>
      <c r="I30" s="178">
        <v>128.16999999999999</v>
      </c>
      <c r="J30" s="178">
        <v>128.16999999999999</v>
      </c>
      <c r="K30" s="178">
        <v>128.16999999999999</v>
      </c>
      <c r="L30" s="179"/>
      <c r="M30" s="178">
        <v>128.16999999999999</v>
      </c>
      <c r="N30" s="178">
        <v>128.16999999999999</v>
      </c>
      <c r="O30" s="178">
        <v>128.16999999999999</v>
      </c>
      <c r="P30" s="179"/>
      <c r="Q30" s="179"/>
      <c r="R30" s="179"/>
      <c r="S30" s="179"/>
      <c r="T30" s="178">
        <v>128.16999999999999</v>
      </c>
      <c r="U30" s="178">
        <v>128.16999999999999</v>
      </c>
      <c r="V30" s="179"/>
      <c r="W30" s="178">
        <v>128.16999999999999</v>
      </c>
      <c r="X30" s="178">
        <v>128.16999999999999</v>
      </c>
      <c r="Y30" s="178">
        <v>128.16999999999999</v>
      </c>
      <c r="Z30" s="179"/>
      <c r="AA30" s="178">
        <v>128.16999999999999</v>
      </c>
      <c r="AB30" s="178">
        <v>128.16999999999999</v>
      </c>
      <c r="AC30" s="178">
        <v>128.16999999999999</v>
      </c>
      <c r="AD30" s="178">
        <v>128.16999999999999</v>
      </c>
      <c r="AE30" s="178">
        <v>128.16999999999999</v>
      </c>
      <c r="AF30" s="178">
        <v>128.16999999999999</v>
      </c>
      <c r="AG30" s="179"/>
      <c r="AH30" s="178">
        <v>128.16999999999999</v>
      </c>
      <c r="AI30" s="178">
        <v>128.16999999999999</v>
      </c>
      <c r="AJ30" s="178">
        <v>128.16999999999999</v>
      </c>
      <c r="AK30" s="204">
        <v>128.16999999999999</v>
      </c>
      <c r="AL30" s="192"/>
      <c r="AM30" s="346"/>
      <c r="AN30" s="346"/>
      <c r="AO30" s="190"/>
      <c r="AP30" s="190"/>
      <c r="AQ30" s="190"/>
      <c r="AR30" s="190"/>
      <c r="AS30" s="346"/>
      <c r="AT30" s="212"/>
      <c r="AU30" s="212"/>
      <c r="AV30" s="346"/>
    </row>
    <row r="31" spans="1:48" hidden="1">
      <c r="A31" s="267"/>
      <c r="B31" s="283"/>
      <c r="C31" s="295"/>
      <c r="D31" s="309"/>
      <c r="E31" s="162"/>
      <c r="F31" s="335"/>
      <c r="G31" s="153"/>
      <c r="H31" s="62" t="s">
        <v>14</v>
      </c>
      <c r="I31" s="170">
        <v>1.5</v>
      </c>
      <c r="J31" s="170">
        <v>1.5</v>
      </c>
      <c r="K31" s="170">
        <v>1.5</v>
      </c>
      <c r="L31" s="171"/>
      <c r="M31" s="170">
        <v>1.5</v>
      </c>
      <c r="N31" s="170">
        <v>1.5</v>
      </c>
      <c r="O31" s="170">
        <v>1.5</v>
      </c>
      <c r="P31" s="171"/>
      <c r="Q31" s="171"/>
      <c r="R31" s="171"/>
      <c r="S31" s="171"/>
      <c r="T31" s="170">
        <v>1.5</v>
      </c>
      <c r="U31" s="170">
        <v>1.5</v>
      </c>
      <c r="V31" s="171"/>
      <c r="W31" s="170">
        <v>1.5</v>
      </c>
      <c r="X31" s="170">
        <v>1.5</v>
      </c>
      <c r="Y31" s="170">
        <v>1.5</v>
      </c>
      <c r="Z31" s="171"/>
      <c r="AA31" s="170">
        <v>1.5</v>
      </c>
      <c r="AB31" s="170">
        <v>1.5</v>
      </c>
      <c r="AC31" s="170">
        <v>1.5</v>
      </c>
      <c r="AD31" s="170">
        <v>1.5</v>
      </c>
      <c r="AE31" s="170">
        <v>1.5</v>
      </c>
      <c r="AF31" s="170">
        <v>1.5</v>
      </c>
      <c r="AG31" s="171"/>
      <c r="AH31" s="170">
        <v>1.5</v>
      </c>
      <c r="AI31" s="170">
        <v>1.5</v>
      </c>
      <c r="AJ31" s="170">
        <v>1.5</v>
      </c>
      <c r="AK31" s="195">
        <v>1.5</v>
      </c>
      <c r="AL31" s="192"/>
      <c r="AM31" s="346"/>
      <c r="AN31" s="346"/>
      <c r="AO31" s="190"/>
      <c r="AP31" s="190"/>
      <c r="AQ31" s="190"/>
      <c r="AR31" s="190"/>
      <c r="AS31" s="346"/>
      <c r="AT31" s="212"/>
      <c r="AU31" s="212"/>
      <c r="AV31" s="346"/>
    </row>
    <row r="32" spans="1:48" hidden="1">
      <c r="A32" s="267"/>
      <c r="B32" s="283"/>
      <c r="C32" s="295"/>
      <c r="D32" s="309"/>
      <c r="E32" s="162"/>
      <c r="F32" s="335"/>
      <c r="G32" s="163"/>
      <c r="H32" s="67" t="s">
        <v>15</v>
      </c>
      <c r="I32" s="180"/>
      <c r="J32" s="180"/>
      <c r="K32" s="180"/>
      <c r="L32" s="171"/>
      <c r="M32" s="172"/>
      <c r="N32" s="172"/>
      <c r="O32" s="172"/>
      <c r="P32" s="171"/>
      <c r="Q32" s="171"/>
      <c r="R32" s="171"/>
      <c r="S32" s="171"/>
      <c r="T32" s="172"/>
      <c r="U32" s="172"/>
      <c r="V32" s="171"/>
      <c r="W32" s="172"/>
      <c r="X32" s="172"/>
      <c r="Y32" s="172"/>
      <c r="Z32" s="171"/>
      <c r="AA32" s="172"/>
      <c r="AB32" s="172"/>
      <c r="AC32" s="172"/>
      <c r="AD32" s="172"/>
      <c r="AE32" s="172"/>
      <c r="AF32" s="172"/>
      <c r="AG32" s="171"/>
      <c r="AH32" s="172"/>
      <c r="AI32" s="172"/>
      <c r="AJ32" s="172"/>
      <c r="AK32" s="197"/>
      <c r="AL32" s="192"/>
      <c r="AM32" s="190"/>
      <c r="AN32" s="190"/>
      <c r="AO32" s="190"/>
      <c r="AP32" s="190"/>
      <c r="AQ32" s="190"/>
      <c r="AR32" s="190"/>
      <c r="AS32" s="346"/>
      <c r="AT32" s="212"/>
      <c r="AU32" s="212"/>
      <c r="AV32" s="346"/>
    </row>
    <row r="33" spans="1:48" hidden="1">
      <c r="A33" s="267"/>
      <c r="B33" s="283"/>
      <c r="C33" s="295"/>
      <c r="D33" s="309"/>
      <c r="E33" s="162"/>
      <c r="F33" s="335"/>
      <c r="G33" s="156" t="s">
        <v>16</v>
      </c>
      <c r="H33" s="62" t="s">
        <v>17</v>
      </c>
      <c r="I33" s="64">
        <v>128.16999999999999</v>
      </c>
      <c r="J33" s="64">
        <v>128.16999999999999</v>
      </c>
      <c r="K33" s="64">
        <v>128.16999999999999</v>
      </c>
      <c r="L33" s="171"/>
      <c r="M33" s="64">
        <v>128.16999999999999</v>
      </c>
      <c r="N33" s="64">
        <v>128.16999999999999</v>
      </c>
      <c r="O33" s="64">
        <v>128.16999999999999</v>
      </c>
      <c r="P33" s="171"/>
      <c r="Q33" s="171"/>
      <c r="R33" s="171"/>
      <c r="S33" s="171"/>
      <c r="T33" s="64">
        <v>128.16999999999999</v>
      </c>
      <c r="U33" s="64">
        <v>128.16999999999999</v>
      </c>
      <c r="V33" s="171"/>
      <c r="W33" s="64">
        <v>128.16999999999999</v>
      </c>
      <c r="X33" s="64">
        <v>128.16999999999999</v>
      </c>
      <c r="Y33" s="64">
        <v>128.16999999999999</v>
      </c>
      <c r="Z33" s="171"/>
      <c r="AA33" s="64">
        <v>128.16999999999999</v>
      </c>
      <c r="AB33" s="64">
        <v>128.16999999999999</v>
      </c>
      <c r="AC33" s="64">
        <v>128.16999999999999</v>
      </c>
      <c r="AD33" s="64">
        <v>128.16999999999999</v>
      </c>
      <c r="AE33" s="64">
        <v>128.16999999999999</v>
      </c>
      <c r="AF33" s="64">
        <v>128.16999999999999</v>
      </c>
      <c r="AG33" s="171"/>
      <c r="AH33" s="64">
        <v>128.16999999999999</v>
      </c>
      <c r="AI33" s="64">
        <v>128.16999999999999</v>
      </c>
      <c r="AJ33" s="64">
        <v>128.16999999999999</v>
      </c>
      <c r="AK33" s="205">
        <v>128.16999999999999</v>
      </c>
      <c r="AL33" s="192"/>
      <c r="AM33" s="190"/>
      <c r="AN33" s="190"/>
      <c r="AO33" s="190"/>
      <c r="AP33" s="190"/>
      <c r="AQ33" s="190"/>
      <c r="AR33" s="190"/>
      <c r="AS33" s="346"/>
      <c r="AT33" s="212"/>
      <c r="AU33" s="212"/>
      <c r="AV33" s="346"/>
    </row>
    <row r="34" spans="1:48" hidden="1">
      <c r="A34" s="267"/>
      <c r="B34" s="283"/>
      <c r="C34" s="295"/>
      <c r="D34" s="309"/>
      <c r="E34" s="162"/>
      <c r="F34" s="335"/>
      <c r="G34" s="153"/>
      <c r="H34" s="62" t="s">
        <v>14</v>
      </c>
      <c r="I34" s="170">
        <v>0.5</v>
      </c>
      <c r="J34" s="170">
        <v>0.5</v>
      </c>
      <c r="K34" s="170">
        <v>0.5</v>
      </c>
      <c r="L34" s="171"/>
      <c r="M34" s="170">
        <v>0.5</v>
      </c>
      <c r="N34" s="170">
        <v>0.5</v>
      </c>
      <c r="O34" s="170">
        <v>0.5</v>
      </c>
      <c r="P34" s="171"/>
      <c r="Q34" s="171"/>
      <c r="R34" s="171"/>
      <c r="S34" s="171"/>
      <c r="T34" s="170">
        <v>0.5</v>
      </c>
      <c r="U34" s="170">
        <v>0.5</v>
      </c>
      <c r="V34" s="171"/>
      <c r="W34" s="170">
        <v>0.5</v>
      </c>
      <c r="X34" s="170">
        <v>0.5</v>
      </c>
      <c r="Y34" s="170">
        <v>0.5</v>
      </c>
      <c r="Z34" s="171"/>
      <c r="AA34" s="170">
        <v>0.5</v>
      </c>
      <c r="AB34" s="170">
        <v>0.5</v>
      </c>
      <c r="AC34" s="170">
        <v>0.5</v>
      </c>
      <c r="AD34" s="170">
        <v>0.5</v>
      </c>
      <c r="AE34" s="170">
        <v>0.5</v>
      </c>
      <c r="AF34" s="170">
        <v>0.5</v>
      </c>
      <c r="AG34" s="171"/>
      <c r="AH34" s="170">
        <v>0.5</v>
      </c>
      <c r="AI34" s="170">
        <v>0.5</v>
      </c>
      <c r="AJ34" s="170">
        <v>0.5</v>
      </c>
      <c r="AK34" s="195">
        <v>0.5</v>
      </c>
      <c r="AL34" s="192"/>
      <c r="AM34" s="190"/>
      <c r="AN34" s="190"/>
      <c r="AO34" s="190"/>
      <c r="AP34" s="190"/>
      <c r="AQ34" s="190"/>
      <c r="AR34" s="190"/>
      <c r="AS34" s="346"/>
      <c r="AT34" s="212"/>
      <c r="AU34" s="212"/>
      <c r="AV34" s="346"/>
    </row>
    <row r="35" spans="1:48" hidden="1">
      <c r="A35" s="267"/>
      <c r="B35" s="283"/>
      <c r="C35" s="295"/>
      <c r="D35" s="309"/>
      <c r="E35" s="162"/>
      <c r="F35" s="335"/>
      <c r="G35" s="154"/>
      <c r="H35" s="57" t="s">
        <v>15</v>
      </c>
      <c r="I35" s="172"/>
      <c r="J35" s="172"/>
      <c r="K35" s="172"/>
      <c r="L35" s="171"/>
      <c r="M35" s="172"/>
      <c r="N35" s="172"/>
      <c r="O35" s="172"/>
      <c r="P35" s="171"/>
      <c r="Q35" s="171"/>
      <c r="R35" s="171"/>
      <c r="S35" s="171"/>
      <c r="T35" s="172"/>
      <c r="U35" s="172"/>
      <c r="V35" s="171"/>
      <c r="W35" s="172"/>
      <c r="X35" s="185"/>
      <c r="Y35" s="172"/>
      <c r="Z35" s="171"/>
      <c r="AA35" s="172"/>
      <c r="AB35" s="172"/>
      <c r="AC35" s="172"/>
      <c r="AD35" s="172"/>
      <c r="AE35" s="172"/>
      <c r="AF35" s="172"/>
      <c r="AG35" s="171"/>
      <c r="AH35" s="172"/>
      <c r="AI35" s="172"/>
      <c r="AJ35" s="172"/>
      <c r="AK35" s="197"/>
      <c r="AL35" s="192"/>
      <c r="AM35" s="190"/>
      <c r="AN35" s="190"/>
      <c r="AO35" s="190"/>
      <c r="AP35" s="190"/>
      <c r="AQ35" s="190"/>
      <c r="AR35" s="190"/>
      <c r="AS35" s="346"/>
      <c r="AT35" s="212"/>
      <c r="AU35" s="212"/>
      <c r="AV35" s="346"/>
    </row>
    <row r="36" spans="1:48" hidden="1">
      <c r="A36" s="267"/>
      <c r="B36" s="283"/>
      <c r="C36" s="295"/>
      <c r="D36" s="309"/>
      <c r="E36" s="162"/>
      <c r="F36" s="335"/>
      <c r="G36" s="153" t="s">
        <v>36</v>
      </c>
      <c r="H36" s="62" t="s">
        <v>19</v>
      </c>
      <c r="I36" s="170">
        <f>$I$42*2</f>
        <v>30600</v>
      </c>
      <c r="J36" s="170">
        <f>$I$42*2</f>
        <v>30600</v>
      </c>
      <c r="K36" s="170">
        <f>$I$42*2</f>
        <v>30600</v>
      </c>
      <c r="L36" s="171"/>
      <c r="M36" s="170">
        <f>$I$42*2</f>
        <v>30600</v>
      </c>
      <c r="N36" s="170">
        <f>$I$42*2</f>
        <v>30600</v>
      </c>
      <c r="O36" s="170">
        <f>$I$42*2</f>
        <v>30600</v>
      </c>
      <c r="P36" s="171"/>
      <c r="Q36" s="171"/>
      <c r="R36" s="171"/>
      <c r="S36" s="171"/>
      <c r="T36" s="170">
        <f>$I$42*2</f>
        <v>30600</v>
      </c>
      <c r="U36" s="170">
        <f>$I$42*2</f>
        <v>30600</v>
      </c>
      <c r="V36" s="171"/>
      <c r="W36" s="170">
        <f>$I$42*2</f>
        <v>30600</v>
      </c>
      <c r="X36" s="170">
        <f>$I$42*2</f>
        <v>30600</v>
      </c>
      <c r="Y36" s="170">
        <f>$I$42*2</f>
        <v>30600</v>
      </c>
      <c r="Z36" s="171"/>
      <c r="AA36" s="170">
        <f t="shared" ref="AA36:AF36" si="6">$I$42*2</f>
        <v>30600</v>
      </c>
      <c r="AB36" s="170">
        <f t="shared" si="6"/>
        <v>30600</v>
      </c>
      <c r="AC36" s="170">
        <f t="shared" si="6"/>
        <v>30600</v>
      </c>
      <c r="AD36" s="170">
        <f t="shared" si="6"/>
        <v>30600</v>
      </c>
      <c r="AE36" s="170">
        <f t="shared" si="6"/>
        <v>30600</v>
      </c>
      <c r="AF36" s="170">
        <f t="shared" si="6"/>
        <v>30600</v>
      </c>
      <c r="AG36" s="171"/>
      <c r="AH36" s="170">
        <f>$I$42*2</f>
        <v>30600</v>
      </c>
      <c r="AI36" s="170">
        <f>$I$42*2</f>
        <v>30600</v>
      </c>
      <c r="AJ36" s="170">
        <f>$I$42*2</f>
        <v>30600</v>
      </c>
      <c r="AK36" s="195">
        <f>$I$42*2</f>
        <v>30600</v>
      </c>
      <c r="AL36" s="196">
        <f>SUM(I36:AK36)</f>
        <v>642600</v>
      </c>
      <c r="AM36" s="190"/>
      <c r="AN36" s="190"/>
      <c r="AO36" s="190"/>
      <c r="AP36" s="190"/>
      <c r="AQ36" s="190"/>
      <c r="AR36" s="190"/>
      <c r="AS36" s="346"/>
      <c r="AT36" s="212"/>
      <c r="AU36" s="212"/>
      <c r="AV36" s="346"/>
    </row>
    <row r="37" spans="1:48" hidden="1">
      <c r="A37" s="267"/>
      <c r="B37" s="283"/>
      <c r="C37" s="295"/>
      <c r="D37" s="309"/>
      <c r="E37" s="162"/>
      <c r="F37" s="335"/>
      <c r="G37" s="156"/>
      <c r="H37" s="62" t="s">
        <v>20</v>
      </c>
      <c r="I37" s="170">
        <v>1</v>
      </c>
      <c r="J37" s="170">
        <v>1</v>
      </c>
      <c r="K37" s="170">
        <v>1</v>
      </c>
      <c r="L37" s="171"/>
      <c r="M37" s="170">
        <v>1</v>
      </c>
      <c r="N37" s="170">
        <v>1</v>
      </c>
      <c r="O37" s="170">
        <v>1</v>
      </c>
      <c r="P37" s="171"/>
      <c r="Q37" s="171"/>
      <c r="R37" s="171"/>
      <c r="S37" s="171"/>
      <c r="T37" s="170">
        <v>1</v>
      </c>
      <c r="U37" s="170">
        <v>1</v>
      </c>
      <c r="V37" s="171"/>
      <c r="W37" s="170">
        <v>1</v>
      </c>
      <c r="X37" s="170">
        <v>1</v>
      </c>
      <c r="Y37" s="170">
        <v>1</v>
      </c>
      <c r="Z37" s="171"/>
      <c r="AA37" s="170">
        <v>1</v>
      </c>
      <c r="AB37" s="170">
        <v>1</v>
      </c>
      <c r="AC37" s="170">
        <v>1</v>
      </c>
      <c r="AD37" s="170">
        <v>1</v>
      </c>
      <c r="AE37" s="170">
        <v>1</v>
      </c>
      <c r="AF37" s="170">
        <v>1</v>
      </c>
      <c r="AG37" s="171"/>
      <c r="AH37" s="170">
        <v>1</v>
      </c>
      <c r="AI37" s="170">
        <v>1</v>
      </c>
      <c r="AJ37" s="170">
        <v>1</v>
      </c>
      <c r="AK37" s="195">
        <v>1</v>
      </c>
      <c r="AL37" s="196"/>
      <c r="AM37" s="190"/>
      <c r="AN37" s="190"/>
      <c r="AO37" s="190"/>
      <c r="AP37" s="190"/>
      <c r="AQ37" s="190"/>
      <c r="AR37" s="190"/>
      <c r="AS37" s="346"/>
      <c r="AT37" s="212"/>
      <c r="AU37" s="212"/>
      <c r="AV37" s="346"/>
    </row>
    <row r="38" spans="1:48" hidden="1">
      <c r="A38" s="267"/>
      <c r="B38" s="283"/>
      <c r="C38" s="295"/>
      <c r="D38" s="309"/>
      <c r="E38" s="162"/>
      <c r="F38" s="335"/>
      <c r="G38" s="154"/>
      <c r="H38" s="57" t="s">
        <v>15</v>
      </c>
      <c r="I38" s="172">
        <f>10722+10053</f>
        <v>20775</v>
      </c>
      <c r="J38" s="172">
        <f>7594+10955</f>
        <v>18549</v>
      </c>
      <c r="K38" s="172">
        <f>6795+5480+2412</f>
        <v>14687</v>
      </c>
      <c r="L38" s="171"/>
      <c r="M38" s="172">
        <f>9845+9744</f>
        <v>19589</v>
      </c>
      <c r="N38" s="172">
        <f>11826+8169</f>
        <v>19995</v>
      </c>
      <c r="O38" s="172">
        <f>11818+8132</f>
        <v>19950</v>
      </c>
      <c r="P38" s="171"/>
      <c r="Q38" s="171"/>
      <c r="R38" s="171"/>
      <c r="S38" s="171"/>
      <c r="T38" s="172">
        <f>10193+11275</f>
        <v>21468</v>
      </c>
      <c r="U38" s="172">
        <f>10824+8177</f>
        <v>19001</v>
      </c>
      <c r="V38" s="171"/>
      <c r="W38" s="172">
        <f>6371+5506</f>
        <v>11877</v>
      </c>
      <c r="X38" s="172">
        <f>7221+9622</f>
        <v>16843</v>
      </c>
      <c r="Y38" s="172"/>
      <c r="Z38" s="171"/>
      <c r="AA38" s="172"/>
      <c r="AB38" s="172"/>
      <c r="AC38" s="172"/>
      <c r="AD38" s="172"/>
      <c r="AE38" s="172"/>
      <c r="AF38" s="172"/>
      <c r="AG38" s="171"/>
      <c r="AH38" s="172"/>
      <c r="AI38" s="172"/>
      <c r="AJ38" s="172"/>
      <c r="AK38" s="197"/>
      <c r="AL38" s="192">
        <f>SUM(I38:AK38)</f>
        <v>182734</v>
      </c>
      <c r="AM38" s="190"/>
      <c r="AN38" s="190"/>
      <c r="AO38" s="190"/>
      <c r="AP38" s="190"/>
      <c r="AQ38" s="190"/>
      <c r="AR38" s="190"/>
      <c r="AS38" s="346"/>
      <c r="AT38" s="212"/>
      <c r="AU38" s="212"/>
      <c r="AV38" s="346"/>
    </row>
    <row r="39" spans="1:48" hidden="1">
      <c r="A39" s="267"/>
      <c r="B39" s="283"/>
      <c r="C39" s="295"/>
      <c r="D39" s="309"/>
      <c r="E39" s="162"/>
      <c r="F39" s="335"/>
      <c r="G39" s="156" t="s">
        <v>37</v>
      </c>
      <c r="H39" s="62" t="s">
        <v>38</v>
      </c>
      <c r="I39" s="170">
        <f>$I$47*2</f>
        <v>30600</v>
      </c>
      <c r="J39" s="170">
        <f>$I$47*2</f>
        <v>30600</v>
      </c>
      <c r="K39" s="170">
        <f>$I$47*2</f>
        <v>30600</v>
      </c>
      <c r="L39" s="171"/>
      <c r="M39" s="170">
        <f>$I$47*2</f>
        <v>30600</v>
      </c>
      <c r="N39" s="170">
        <f>$I$47*2</f>
        <v>30600</v>
      </c>
      <c r="O39" s="170">
        <f>$I$47*2</f>
        <v>30600</v>
      </c>
      <c r="P39" s="171"/>
      <c r="Q39" s="171"/>
      <c r="R39" s="171"/>
      <c r="S39" s="171"/>
      <c r="T39" s="170">
        <f>$I$47*2</f>
        <v>30600</v>
      </c>
      <c r="U39" s="170">
        <f>$I$47*2</f>
        <v>30600</v>
      </c>
      <c r="V39" s="171"/>
      <c r="W39" s="170">
        <f>$I$47*2</f>
        <v>30600</v>
      </c>
      <c r="X39" s="170">
        <f>$I$47*2</f>
        <v>30600</v>
      </c>
      <c r="Y39" s="170">
        <f>$I$47*2</f>
        <v>30600</v>
      </c>
      <c r="Z39" s="171"/>
      <c r="AA39" s="170">
        <f t="shared" ref="AA39:AF39" si="7">$I$47*2</f>
        <v>30600</v>
      </c>
      <c r="AB39" s="170">
        <f t="shared" si="7"/>
        <v>30600</v>
      </c>
      <c r="AC39" s="170">
        <f t="shared" si="7"/>
        <v>30600</v>
      </c>
      <c r="AD39" s="170">
        <f t="shared" si="7"/>
        <v>30600</v>
      </c>
      <c r="AE39" s="170">
        <f t="shared" si="7"/>
        <v>30600</v>
      </c>
      <c r="AF39" s="170">
        <f t="shared" si="7"/>
        <v>30600</v>
      </c>
      <c r="AG39" s="171"/>
      <c r="AH39" s="170">
        <f>$I$47*2</f>
        <v>30600</v>
      </c>
      <c r="AI39" s="170">
        <f>$I$47*2</f>
        <v>30600</v>
      </c>
      <c r="AJ39" s="170">
        <f>$I$47*2</f>
        <v>30600</v>
      </c>
      <c r="AK39" s="195">
        <f>$I$47*2</f>
        <v>30600</v>
      </c>
      <c r="AL39" s="196">
        <f>SUM(I39:AK39)</f>
        <v>642600</v>
      </c>
      <c r="AM39" s="190"/>
      <c r="AN39" s="190"/>
      <c r="AO39" s="190"/>
      <c r="AP39" s="190"/>
      <c r="AQ39" s="190"/>
      <c r="AR39" s="190"/>
      <c r="AS39" s="346"/>
      <c r="AT39" s="212"/>
      <c r="AU39" s="212"/>
      <c r="AV39" s="346"/>
    </row>
    <row r="40" spans="1:48" hidden="1">
      <c r="A40" s="267"/>
      <c r="B40" s="283"/>
      <c r="C40" s="295"/>
      <c r="D40" s="309"/>
      <c r="E40" s="162"/>
      <c r="F40" s="335"/>
      <c r="G40" s="156"/>
      <c r="H40" s="62" t="s">
        <v>20</v>
      </c>
      <c r="I40" s="170">
        <v>4</v>
      </c>
      <c r="J40" s="170">
        <v>4</v>
      </c>
      <c r="K40" s="170">
        <v>4</v>
      </c>
      <c r="L40" s="171"/>
      <c r="M40" s="170">
        <v>4</v>
      </c>
      <c r="N40" s="170">
        <v>4</v>
      </c>
      <c r="O40" s="170">
        <v>4</v>
      </c>
      <c r="P40" s="171"/>
      <c r="Q40" s="171"/>
      <c r="R40" s="171"/>
      <c r="S40" s="171"/>
      <c r="T40" s="170">
        <v>4</v>
      </c>
      <c r="U40" s="170">
        <v>4</v>
      </c>
      <c r="V40" s="171"/>
      <c r="W40" s="170">
        <v>4</v>
      </c>
      <c r="X40" s="170">
        <v>4</v>
      </c>
      <c r="Y40" s="170">
        <v>4</v>
      </c>
      <c r="Z40" s="171"/>
      <c r="AA40" s="170">
        <v>4</v>
      </c>
      <c r="AB40" s="170">
        <v>4</v>
      </c>
      <c r="AC40" s="170">
        <v>4</v>
      </c>
      <c r="AD40" s="170">
        <v>4</v>
      </c>
      <c r="AE40" s="170">
        <v>4</v>
      </c>
      <c r="AF40" s="170">
        <v>4</v>
      </c>
      <c r="AG40" s="171"/>
      <c r="AH40" s="170">
        <v>4</v>
      </c>
      <c r="AI40" s="170">
        <v>4</v>
      </c>
      <c r="AJ40" s="170">
        <v>4</v>
      </c>
      <c r="AK40" s="195">
        <v>4</v>
      </c>
      <c r="AL40" s="196"/>
      <c r="AM40" s="190"/>
      <c r="AN40" s="190"/>
      <c r="AO40" s="190"/>
      <c r="AP40" s="190"/>
      <c r="AQ40" s="190"/>
      <c r="AR40" s="190"/>
      <c r="AS40" s="346"/>
      <c r="AT40" s="212"/>
      <c r="AU40" s="212"/>
      <c r="AV40" s="346"/>
    </row>
    <row r="41" spans="1:48" hidden="1">
      <c r="A41" s="267"/>
      <c r="B41" s="283"/>
      <c r="C41" s="295"/>
      <c r="D41" s="309"/>
      <c r="E41" s="162"/>
      <c r="F41" s="335"/>
      <c r="G41" s="154"/>
      <c r="H41" s="57" t="s">
        <v>15</v>
      </c>
      <c r="I41" s="172">
        <f>5888+6598+6952+6165</f>
        <v>25603</v>
      </c>
      <c r="J41" s="172">
        <v>27203</v>
      </c>
      <c r="K41" s="172">
        <v>21342</v>
      </c>
      <c r="L41" s="171"/>
      <c r="M41" s="172">
        <v>19919</v>
      </c>
      <c r="N41" s="172">
        <f>4161</f>
        <v>4161</v>
      </c>
      <c r="O41" s="172"/>
      <c r="P41" s="171"/>
      <c r="Q41" s="171"/>
      <c r="R41" s="171"/>
      <c r="S41" s="171"/>
      <c r="T41" s="172"/>
      <c r="U41" s="172">
        <v>7779</v>
      </c>
      <c r="V41" s="171"/>
      <c r="W41" s="172">
        <f>6401+6468+6288+6749</f>
        <v>25906</v>
      </c>
      <c r="X41" s="172">
        <v>25964</v>
      </c>
      <c r="Y41" s="172"/>
      <c r="Z41" s="171"/>
      <c r="AA41" s="172"/>
      <c r="AB41" s="172"/>
      <c r="AC41" s="172"/>
      <c r="AD41" s="172"/>
      <c r="AE41" s="172"/>
      <c r="AF41" s="172"/>
      <c r="AG41" s="171"/>
      <c r="AH41" s="172"/>
      <c r="AI41" s="172"/>
      <c r="AJ41" s="172"/>
      <c r="AK41" s="197"/>
      <c r="AL41" s="192">
        <f>SUM(I41:AK41)</f>
        <v>157877</v>
      </c>
      <c r="AM41" s="190"/>
      <c r="AN41" s="190"/>
      <c r="AO41" s="190"/>
      <c r="AP41" s="190"/>
      <c r="AQ41" s="190"/>
      <c r="AR41" s="190"/>
      <c r="AS41" s="346"/>
      <c r="AT41" s="212"/>
      <c r="AU41" s="212"/>
      <c r="AV41" s="346"/>
    </row>
    <row r="42" spans="1:48" hidden="1">
      <c r="A42" s="267"/>
      <c r="B42" s="283"/>
      <c r="C42" s="295"/>
      <c r="D42" s="309"/>
      <c r="E42" s="162"/>
      <c r="F42" s="335"/>
      <c r="G42" s="156" t="s">
        <v>23</v>
      </c>
      <c r="H42" s="62" t="s">
        <v>24</v>
      </c>
      <c r="I42" s="170">
        <f>$K$55*$D$30/2</f>
        <v>15300</v>
      </c>
      <c r="J42" s="170">
        <f>$K$55*$D$30/2</f>
        <v>15300</v>
      </c>
      <c r="K42" s="170">
        <f>$K$55*$D$30/2</f>
        <v>15300</v>
      </c>
      <c r="L42" s="171"/>
      <c r="M42" s="170">
        <f>$K$55*$D$30/2</f>
        <v>15300</v>
      </c>
      <c r="N42" s="170">
        <f>$K$55*$D$30/2</f>
        <v>15300</v>
      </c>
      <c r="O42" s="170">
        <f>$K$55*$D$30/2</f>
        <v>15300</v>
      </c>
      <c r="P42" s="171"/>
      <c r="Q42" s="171"/>
      <c r="R42" s="171"/>
      <c r="S42" s="171"/>
      <c r="T42" s="170">
        <f>$K$55*$D$30/2</f>
        <v>15300</v>
      </c>
      <c r="U42" s="170">
        <f>$K$55*$D$30/2</f>
        <v>15300</v>
      </c>
      <c r="V42" s="171"/>
      <c r="W42" s="170">
        <f>$K$55*$D$30/2</f>
        <v>15300</v>
      </c>
      <c r="X42" s="170">
        <f>$K$55*$D$30/2</f>
        <v>15300</v>
      </c>
      <c r="Y42" s="170">
        <f>$K$55*$D$30/2</f>
        <v>15300</v>
      </c>
      <c r="Z42" s="171"/>
      <c r="AA42" s="170">
        <f t="shared" ref="AA42:AF42" si="8">$K$55*$D$30/2</f>
        <v>15300</v>
      </c>
      <c r="AB42" s="170">
        <f t="shared" si="8"/>
        <v>15300</v>
      </c>
      <c r="AC42" s="170">
        <f t="shared" si="8"/>
        <v>15300</v>
      </c>
      <c r="AD42" s="170">
        <f t="shared" si="8"/>
        <v>15300</v>
      </c>
      <c r="AE42" s="170">
        <f t="shared" si="8"/>
        <v>15300</v>
      </c>
      <c r="AF42" s="170">
        <f t="shared" si="8"/>
        <v>15300</v>
      </c>
      <c r="AG42" s="171"/>
      <c r="AH42" s="170">
        <f>$K$55*$D$30/2</f>
        <v>15300</v>
      </c>
      <c r="AI42" s="170">
        <f>$K$55*$D$30/2</f>
        <v>15300</v>
      </c>
      <c r="AJ42" s="170">
        <f>$K$55*$D$30/2</f>
        <v>15300</v>
      </c>
      <c r="AK42" s="195">
        <f>$K$55*$D$30/2</f>
        <v>15300</v>
      </c>
      <c r="AL42" s="196">
        <f>SUM(I42:AK42)</f>
        <v>321300</v>
      </c>
      <c r="AM42" s="190"/>
      <c r="AN42" s="190"/>
      <c r="AO42" s="190"/>
      <c r="AP42" s="190"/>
      <c r="AQ42" s="190"/>
      <c r="AR42" s="190"/>
      <c r="AS42" s="346"/>
      <c r="AT42" s="212"/>
      <c r="AU42" s="212"/>
      <c r="AV42" s="346"/>
    </row>
    <row r="43" spans="1:48" hidden="1">
      <c r="A43" s="267"/>
      <c r="B43" s="283"/>
      <c r="C43" s="295"/>
      <c r="D43" s="309"/>
      <c r="E43" s="162"/>
      <c r="F43" s="335"/>
      <c r="G43" s="154"/>
      <c r="H43" s="57" t="s">
        <v>15</v>
      </c>
      <c r="I43" s="172">
        <f>16730</f>
        <v>16730</v>
      </c>
      <c r="J43" s="172"/>
      <c r="K43" s="172"/>
      <c r="L43" s="171"/>
      <c r="M43" s="172"/>
      <c r="N43" s="172"/>
      <c r="O43" s="172"/>
      <c r="P43" s="171"/>
      <c r="Q43" s="171"/>
      <c r="R43" s="171"/>
      <c r="S43" s="171"/>
      <c r="T43" s="172"/>
      <c r="U43" s="172">
        <f>11280+23744</f>
        <v>35024</v>
      </c>
      <c r="V43" s="171"/>
      <c r="W43" s="172"/>
      <c r="X43" s="172"/>
      <c r="Y43" s="172"/>
      <c r="Z43" s="171"/>
      <c r="AA43" s="172"/>
      <c r="AB43" s="172"/>
      <c r="AC43" s="172"/>
      <c r="AD43" s="172"/>
      <c r="AE43" s="172"/>
      <c r="AF43" s="172"/>
      <c r="AG43" s="171"/>
      <c r="AH43" s="172"/>
      <c r="AI43" s="172"/>
      <c r="AJ43" s="172"/>
      <c r="AK43" s="197"/>
      <c r="AL43" s="192">
        <f>SUM(I43:AK43)</f>
        <v>51754</v>
      </c>
      <c r="AM43" s="190"/>
      <c r="AN43" s="190"/>
      <c r="AO43" s="190"/>
      <c r="AP43" s="190"/>
      <c r="AQ43" s="190"/>
      <c r="AR43" s="190"/>
      <c r="AS43" s="346"/>
      <c r="AT43" s="212"/>
      <c r="AU43" s="212"/>
      <c r="AV43" s="346"/>
    </row>
    <row r="44" spans="1:48" hidden="1">
      <c r="A44" s="267"/>
      <c r="B44" s="283"/>
      <c r="C44" s="295"/>
      <c r="D44" s="309"/>
      <c r="E44" s="162"/>
      <c r="F44" s="335"/>
      <c r="G44" s="156" t="s">
        <v>25</v>
      </c>
      <c r="H44" s="62" t="s">
        <v>26</v>
      </c>
      <c r="I44" s="170">
        <f>$K$55*$D$30/2</f>
        <v>15300</v>
      </c>
      <c r="J44" s="170">
        <f>$K$55*$D$30/2</f>
        <v>15300</v>
      </c>
      <c r="K44" s="170">
        <f>$K$55*$D$30/2</f>
        <v>15300</v>
      </c>
      <c r="L44" s="171"/>
      <c r="M44" s="170">
        <f>$K$55*$D$30/2</f>
        <v>15300</v>
      </c>
      <c r="N44" s="170">
        <f>$K$55*$D$30/2</f>
        <v>15300</v>
      </c>
      <c r="O44" s="170">
        <f>$K$55*$D$30/2</f>
        <v>15300</v>
      </c>
      <c r="P44" s="171"/>
      <c r="Q44" s="171"/>
      <c r="R44" s="171"/>
      <c r="S44" s="171"/>
      <c r="T44" s="170">
        <f>$K$55*$D$30/2</f>
        <v>15300</v>
      </c>
      <c r="U44" s="170">
        <f>$K$55*$D$30/2</f>
        <v>15300</v>
      </c>
      <c r="V44" s="171"/>
      <c r="W44" s="170">
        <f>$K$55*$D$30/2</f>
        <v>15300</v>
      </c>
      <c r="X44" s="170">
        <f>$K$55*$D$30/2</f>
        <v>15300</v>
      </c>
      <c r="Y44" s="170">
        <f>$K$55*$D$30/2</f>
        <v>15300</v>
      </c>
      <c r="Z44" s="171"/>
      <c r="AA44" s="170">
        <f t="shared" ref="AA44:AF44" si="9">$K$55*$D$30/2</f>
        <v>15300</v>
      </c>
      <c r="AB44" s="170">
        <f t="shared" si="9"/>
        <v>15300</v>
      </c>
      <c r="AC44" s="170">
        <f t="shared" si="9"/>
        <v>15300</v>
      </c>
      <c r="AD44" s="170">
        <f t="shared" si="9"/>
        <v>15300</v>
      </c>
      <c r="AE44" s="170">
        <f t="shared" si="9"/>
        <v>15300</v>
      </c>
      <c r="AF44" s="170">
        <f t="shared" si="9"/>
        <v>15300</v>
      </c>
      <c r="AG44" s="171"/>
      <c r="AH44" s="170">
        <f>$K$55*$D$30/2</f>
        <v>15300</v>
      </c>
      <c r="AI44" s="170">
        <f>$K$55*$D$30/2</f>
        <v>15300</v>
      </c>
      <c r="AJ44" s="170">
        <f>$K$55*$D$30/2</f>
        <v>15300</v>
      </c>
      <c r="AK44" s="195">
        <f>$K$55*$D$30/2</f>
        <v>15300</v>
      </c>
      <c r="AL44" s="196">
        <f>SUM(I44:AK44)</f>
        <v>321300</v>
      </c>
      <c r="AM44" s="190"/>
      <c r="AN44" s="190"/>
      <c r="AO44" s="190"/>
      <c r="AP44" s="190"/>
      <c r="AQ44" s="190"/>
      <c r="AR44" s="190"/>
      <c r="AS44" s="346"/>
      <c r="AT44" s="212"/>
      <c r="AU44" s="212"/>
      <c r="AV44" s="346"/>
    </row>
    <row r="45" spans="1:48" hidden="1">
      <c r="A45" s="267"/>
      <c r="B45" s="283"/>
      <c r="C45" s="295"/>
      <c r="D45" s="309"/>
      <c r="E45" s="162"/>
      <c r="F45" s="335"/>
      <c r="G45" s="156"/>
      <c r="H45" s="62" t="s">
        <v>27</v>
      </c>
      <c r="I45" s="170">
        <v>1</v>
      </c>
      <c r="J45" s="170">
        <v>1</v>
      </c>
      <c r="K45" s="170">
        <v>1</v>
      </c>
      <c r="L45" s="171"/>
      <c r="M45" s="170">
        <v>1</v>
      </c>
      <c r="N45" s="170">
        <v>1</v>
      </c>
      <c r="O45" s="170">
        <v>1</v>
      </c>
      <c r="P45" s="171"/>
      <c r="Q45" s="171"/>
      <c r="R45" s="171"/>
      <c r="S45" s="171"/>
      <c r="T45" s="170">
        <v>1</v>
      </c>
      <c r="U45" s="170">
        <v>1</v>
      </c>
      <c r="V45" s="171"/>
      <c r="W45" s="170">
        <v>1</v>
      </c>
      <c r="X45" s="170">
        <v>1</v>
      </c>
      <c r="Y45" s="170">
        <v>1</v>
      </c>
      <c r="Z45" s="171"/>
      <c r="AA45" s="170">
        <v>1</v>
      </c>
      <c r="AB45" s="170">
        <v>1</v>
      </c>
      <c r="AC45" s="170">
        <v>1</v>
      </c>
      <c r="AD45" s="170">
        <v>1</v>
      </c>
      <c r="AE45" s="170">
        <v>1</v>
      </c>
      <c r="AF45" s="170">
        <v>1</v>
      </c>
      <c r="AG45" s="171"/>
      <c r="AH45" s="170">
        <v>1</v>
      </c>
      <c r="AI45" s="170">
        <v>1</v>
      </c>
      <c r="AJ45" s="170">
        <v>1</v>
      </c>
      <c r="AK45" s="195">
        <v>1</v>
      </c>
      <c r="AL45" s="196"/>
      <c r="AM45" s="190"/>
      <c r="AN45" s="190"/>
      <c r="AO45" s="190"/>
      <c r="AP45" s="190"/>
      <c r="AQ45" s="190"/>
      <c r="AR45" s="190"/>
      <c r="AS45" s="346"/>
      <c r="AT45" s="212"/>
      <c r="AU45" s="212"/>
      <c r="AV45" s="346"/>
    </row>
    <row r="46" spans="1:48" hidden="1">
      <c r="A46" s="267"/>
      <c r="B46" s="283"/>
      <c r="C46" s="295"/>
      <c r="D46" s="309"/>
      <c r="E46" s="162"/>
      <c r="F46" s="335"/>
      <c r="G46" s="164"/>
      <c r="H46" s="57" t="s">
        <v>15</v>
      </c>
      <c r="I46" s="172">
        <f>15130</f>
        <v>15130</v>
      </c>
      <c r="J46" s="172">
        <f>27685</f>
        <v>27685</v>
      </c>
      <c r="K46" s="172">
        <f>25905</f>
        <v>25905</v>
      </c>
      <c r="L46" s="171"/>
      <c r="M46" s="172">
        <f>25905</f>
        <v>25905</v>
      </c>
      <c r="N46" s="172"/>
      <c r="O46" s="172">
        <f>26779</f>
        <v>26779</v>
      </c>
      <c r="P46" s="171"/>
      <c r="Q46" s="171"/>
      <c r="R46" s="171"/>
      <c r="S46" s="171"/>
      <c r="T46" s="172"/>
      <c r="U46" s="172">
        <f>19530</f>
        <v>19530</v>
      </c>
      <c r="V46" s="171"/>
      <c r="W46" s="172"/>
      <c r="X46" s="172"/>
      <c r="Y46" s="172"/>
      <c r="Z46" s="171"/>
      <c r="AA46" s="172"/>
      <c r="AB46" s="172"/>
      <c r="AC46" s="172"/>
      <c r="AD46" s="172"/>
      <c r="AE46" s="172"/>
      <c r="AF46" s="172"/>
      <c r="AG46" s="171"/>
      <c r="AH46" s="172"/>
      <c r="AI46" s="172"/>
      <c r="AJ46" s="172"/>
      <c r="AK46" s="197"/>
      <c r="AL46" s="192">
        <f>SUM(I46:AK46)</f>
        <v>140934</v>
      </c>
      <c r="AM46" s="190"/>
      <c r="AN46" s="190"/>
      <c r="AO46" s="190"/>
      <c r="AP46" s="190"/>
      <c r="AQ46" s="190"/>
      <c r="AR46" s="190"/>
      <c r="AS46" s="346"/>
      <c r="AT46" s="212"/>
      <c r="AU46" s="212"/>
      <c r="AV46" s="346"/>
    </row>
    <row r="47" spans="1:48" hidden="1">
      <c r="A47" s="267"/>
      <c r="B47" s="283"/>
      <c r="C47" s="295"/>
      <c r="D47" s="309"/>
      <c r="E47" s="162"/>
      <c r="F47" s="335"/>
      <c r="G47" s="156" t="s">
        <v>28</v>
      </c>
      <c r="H47" s="62" t="s">
        <v>29</v>
      </c>
      <c r="I47" s="170">
        <f>$K$55*$D$30/2</f>
        <v>15300</v>
      </c>
      <c r="J47" s="170">
        <f>$K$55*$D$30/2</f>
        <v>15300</v>
      </c>
      <c r="K47" s="170">
        <f>$K$55*$D$30/2</f>
        <v>15300</v>
      </c>
      <c r="L47" s="171"/>
      <c r="M47" s="170">
        <f>$K$55*$D$30/2</f>
        <v>15300</v>
      </c>
      <c r="N47" s="170">
        <f>$K$55*$D$30/2</f>
        <v>15300</v>
      </c>
      <c r="O47" s="170">
        <f>$K$55*$D$30/2</f>
        <v>15300</v>
      </c>
      <c r="P47" s="171"/>
      <c r="Q47" s="171"/>
      <c r="R47" s="171"/>
      <c r="S47" s="171"/>
      <c r="T47" s="170">
        <f>$K$55*$D$30/2</f>
        <v>15300</v>
      </c>
      <c r="U47" s="170">
        <f>$K$55*$D$30/2</f>
        <v>15300</v>
      </c>
      <c r="V47" s="171"/>
      <c r="W47" s="170">
        <f>$K$55*$D$30/2</f>
        <v>15300</v>
      </c>
      <c r="X47" s="170">
        <f>$K$55*$D$30/2</f>
        <v>15300</v>
      </c>
      <c r="Y47" s="170">
        <f>$K$55*$D$30/2</f>
        <v>15300</v>
      </c>
      <c r="Z47" s="171"/>
      <c r="AA47" s="170">
        <f t="shared" ref="AA47:AF47" si="10">$K$55*$D$30/2</f>
        <v>15300</v>
      </c>
      <c r="AB47" s="170">
        <f t="shared" si="10"/>
        <v>15300</v>
      </c>
      <c r="AC47" s="170">
        <f t="shared" si="10"/>
        <v>15300</v>
      </c>
      <c r="AD47" s="170">
        <f t="shared" si="10"/>
        <v>15300</v>
      </c>
      <c r="AE47" s="170">
        <f t="shared" si="10"/>
        <v>15300</v>
      </c>
      <c r="AF47" s="170">
        <f t="shared" si="10"/>
        <v>15300</v>
      </c>
      <c r="AG47" s="171"/>
      <c r="AH47" s="170">
        <f>$K$55*$D$30/2</f>
        <v>15300</v>
      </c>
      <c r="AI47" s="170">
        <f>$K$55*$D$30/2</f>
        <v>15300</v>
      </c>
      <c r="AJ47" s="170">
        <f>$K$55*$D$30/2</f>
        <v>15300</v>
      </c>
      <c r="AK47" s="195">
        <f>$K$55*$D$30/2</f>
        <v>15300</v>
      </c>
      <c r="AL47" s="196">
        <f>SUM(I47:AK47)</f>
        <v>321300</v>
      </c>
      <c r="AM47" s="190"/>
      <c r="AN47" s="190"/>
      <c r="AO47" s="190"/>
      <c r="AP47" s="190"/>
      <c r="AQ47" s="190"/>
      <c r="AR47" s="190"/>
      <c r="AS47" s="346"/>
      <c r="AT47" s="212"/>
      <c r="AU47" s="212"/>
      <c r="AV47" s="346"/>
    </row>
    <row r="48" spans="1:48" hidden="1">
      <c r="A48" s="267"/>
      <c r="B48" s="283"/>
      <c r="C48" s="295"/>
      <c r="D48" s="309"/>
      <c r="E48" s="162"/>
      <c r="F48" s="335"/>
      <c r="G48" s="154"/>
      <c r="H48" s="57" t="s">
        <v>15</v>
      </c>
      <c r="I48" s="172">
        <f>41155</f>
        <v>41155</v>
      </c>
      <c r="J48" s="172">
        <f>45917</f>
        <v>45917</v>
      </c>
      <c r="K48" s="172"/>
      <c r="L48" s="171"/>
      <c r="M48" s="172"/>
      <c r="N48" s="172"/>
      <c r="O48" s="172"/>
      <c r="P48" s="171"/>
      <c r="Q48" s="171"/>
      <c r="R48" s="171"/>
      <c r="S48" s="171"/>
      <c r="T48" s="172"/>
      <c r="U48" s="172"/>
      <c r="V48" s="171"/>
      <c r="W48" s="172"/>
      <c r="X48" s="172"/>
      <c r="Y48" s="172"/>
      <c r="Z48" s="171"/>
      <c r="AA48" s="172"/>
      <c r="AB48" s="172"/>
      <c r="AC48" s="172"/>
      <c r="AD48" s="172"/>
      <c r="AE48" s="172"/>
      <c r="AF48" s="172"/>
      <c r="AG48" s="171"/>
      <c r="AH48" s="172"/>
      <c r="AI48" s="172"/>
      <c r="AJ48" s="172"/>
      <c r="AK48" s="197"/>
      <c r="AL48" s="192">
        <f>SUM(I48:AK48)</f>
        <v>87072</v>
      </c>
      <c r="AM48" s="190"/>
      <c r="AN48" s="190"/>
      <c r="AO48" s="190"/>
      <c r="AP48" s="190"/>
      <c r="AQ48" s="190"/>
      <c r="AR48" s="190"/>
      <c r="AS48" s="346"/>
      <c r="AT48" s="212"/>
      <c r="AU48" s="212"/>
      <c r="AV48" s="346"/>
    </row>
    <row r="49" spans="1:48" hidden="1">
      <c r="A49" s="267"/>
      <c r="B49" s="283"/>
      <c r="C49" s="295"/>
      <c r="D49" s="309"/>
      <c r="E49" s="162"/>
      <c r="F49" s="335"/>
      <c r="G49" s="156" t="s">
        <v>39</v>
      </c>
      <c r="H49" s="62" t="s">
        <v>40</v>
      </c>
      <c r="I49" s="170">
        <f>$K$55*$D$30/2</f>
        <v>15300</v>
      </c>
      <c r="J49" s="170">
        <f>$K$55*$D$30/2</f>
        <v>15300</v>
      </c>
      <c r="K49" s="170">
        <f>$K$55*$D$30/2</f>
        <v>15300</v>
      </c>
      <c r="L49" s="171"/>
      <c r="M49" s="170">
        <f>$K$55*$D$30/2</f>
        <v>15300</v>
      </c>
      <c r="N49" s="170">
        <f>$K$55*$D$30/2</f>
        <v>15300</v>
      </c>
      <c r="O49" s="170">
        <f>$K$55*$D$30/2</f>
        <v>15300</v>
      </c>
      <c r="P49" s="171"/>
      <c r="Q49" s="171"/>
      <c r="R49" s="171"/>
      <c r="S49" s="171"/>
      <c r="T49" s="170">
        <f>$K$55*$D$30/2</f>
        <v>15300</v>
      </c>
      <c r="U49" s="170">
        <f>$K$55*$D$30/2</f>
        <v>15300</v>
      </c>
      <c r="V49" s="171"/>
      <c r="W49" s="170">
        <f>$K$55*$D$30/2</f>
        <v>15300</v>
      </c>
      <c r="X49" s="170">
        <f>$K$55*$D$30/2</f>
        <v>15300</v>
      </c>
      <c r="Y49" s="170">
        <f>$K$55*$D$30/2</f>
        <v>15300</v>
      </c>
      <c r="Z49" s="171"/>
      <c r="AA49" s="170">
        <f t="shared" ref="AA49:AF49" si="11">$K$55*$D$30/2</f>
        <v>15300</v>
      </c>
      <c r="AB49" s="170">
        <f t="shared" si="11"/>
        <v>15300</v>
      </c>
      <c r="AC49" s="170">
        <f t="shared" si="11"/>
        <v>15300</v>
      </c>
      <c r="AD49" s="170">
        <f t="shared" si="11"/>
        <v>15300</v>
      </c>
      <c r="AE49" s="170">
        <f t="shared" si="11"/>
        <v>15300</v>
      </c>
      <c r="AF49" s="170">
        <f t="shared" si="11"/>
        <v>15300</v>
      </c>
      <c r="AG49" s="171"/>
      <c r="AH49" s="170">
        <f>$K$55*$D$30/2</f>
        <v>15300</v>
      </c>
      <c r="AI49" s="170">
        <f>$K$55*$D$30/2</f>
        <v>15300</v>
      </c>
      <c r="AJ49" s="170">
        <f>$K$55*$D$30/2</f>
        <v>15300</v>
      </c>
      <c r="AK49" s="195">
        <f>$K$55*$D$30/2</f>
        <v>15300</v>
      </c>
      <c r="AL49" s="196">
        <f>SUM(I49:AK49)</f>
        <v>321300</v>
      </c>
      <c r="AM49" s="190"/>
      <c r="AN49" s="190"/>
      <c r="AO49" s="190"/>
      <c r="AP49" s="190"/>
      <c r="AQ49" s="190"/>
      <c r="AR49" s="190"/>
      <c r="AS49" s="346"/>
      <c r="AT49" s="212"/>
      <c r="AU49" s="212"/>
      <c r="AV49" s="346"/>
    </row>
    <row r="50" spans="1:48" hidden="1">
      <c r="A50" s="267"/>
      <c r="B50" s="283"/>
      <c r="C50" s="295"/>
      <c r="D50" s="309"/>
      <c r="E50" s="162"/>
      <c r="F50" s="335"/>
      <c r="G50" s="156"/>
      <c r="H50" s="62" t="s">
        <v>27</v>
      </c>
      <c r="I50" s="170">
        <v>1</v>
      </c>
      <c r="J50" s="170">
        <v>1</v>
      </c>
      <c r="K50" s="170">
        <v>1</v>
      </c>
      <c r="L50" s="171"/>
      <c r="M50" s="170">
        <v>1</v>
      </c>
      <c r="N50" s="170">
        <v>1</v>
      </c>
      <c r="O50" s="170">
        <v>1</v>
      </c>
      <c r="P50" s="171"/>
      <c r="Q50" s="171"/>
      <c r="R50" s="171"/>
      <c r="S50" s="171"/>
      <c r="T50" s="170">
        <v>1</v>
      </c>
      <c r="U50" s="170">
        <v>1</v>
      </c>
      <c r="V50" s="171"/>
      <c r="W50" s="170">
        <v>1</v>
      </c>
      <c r="X50" s="170">
        <v>1</v>
      </c>
      <c r="Y50" s="170">
        <v>1</v>
      </c>
      <c r="Z50" s="171"/>
      <c r="AA50" s="170">
        <v>1</v>
      </c>
      <c r="AB50" s="170">
        <v>1</v>
      </c>
      <c r="AC50" s="170">
        <v>1</v>
      </c>
      <c r="AD50" s="170">
        <v>1</v>
      </c>
      <c r="AE50" s="170">
        <v>1</v>
      </c>
      <c r="AF50" s="170">
        <v>1</v>
      </c>
      <c r="AG50" s="171"/>
      <c r="AH50" s="170">
        <v>1</v>
      </c>
      <c r="AI50" s="170">
        <v>1</v>
      </c>
      <c r="AJ50" s="170">
        <v>1</v>
      </c>
      <c r="AK50" s="195">
        <v>1</v>
      </c>
      <c r="AL50" s="196"/>
      <c r="AM50" s="206"/>
      <c r="AN50" s="206"/>
      <c r="AO50" s="206"/>
      <c r="AP50" s="346"/>
      <c r="AQ50" s="190"/>
      <c r="AR50" s="190"/>
      <c r="AS50" s="346"/>
      <c r="AT50" s="212"/>
      <c r="AU50" s="212"/>
      <c r="AV50" s="346"/>
    </row>
    <row r="51" spans="1:48" hidden="1">
      <c r="A51" s="267"/>
      <c r="B51" s="283"/>
      <c r="C51" s="295"/>
      <c r="D51" s="309"/>
      <c r="E51" s="162"/>
      <c r="F51" s="335"/>
      <c r="G51" s="154"/>
      <c r="H51" s="57" t="s">
        <v>15</v>
      </c>
      <c r="I51" s="172"/>
      <c r="J51" s="172"/>
      <c r="K51" s="172"/>
      <c r="L51" s="171"/>
      <c r="M51" s="172"/>
      <c r="N51" s="172">
        <f>23609</f>
        <v>23609</v>
      </c>
      <c r="O51" s="172">
        <f>33783</f>
        <v>33783</v>
      </c>
      <c r="P51" s="171"/>
      <c r="Q51" s="171"/>
      <c r="R51" s="171"/>
      <c r="S51" s="171"/>
      <c r="T51" s="172"/>
      <c r="U51" s="172"/>
      <c r="V51" s="171"/>
      <c r="W51" s="172"/>
      <c r="X51" s="172"/>
      <c r="Y51" s="172"/>
      <c r="Z51" s="171"/>
      <c r="AA51" s="172"/>
      <c r="AB51" s="172"/>
      <c r="AC51" s="172"/>
      <c r="AD51" s="172"/>
      <c r="AE51" s="172"/>
      <c r="AF51" s="172"/>
      <c r="AG51" s="171"/>
      <c r="AH51" s="172"/>
      <c r="AI51" s="172"/>
      <c r="AJ51" s="172"/>
      <c r="AK51" s="197"/>
      <c r="AL51" s="192">
        <f>SUM(I51:AK51)</f>
        <v>57392</v>
      </c>
      <c r="AM51" s="206"/>
      <c r="AN51" s="206"/>
      <c r="AO51" s="206"/>
      <c r="AP51" s="346"/>
      <c r="AQ51" s="190"/>
      <c r="AR51" s="190"/>
      <c r="AS51" s="346"/>
      <c r="AT51" s="212"/>
      <c r="AU51" s="212"/>
      <c r="AV51" s="346"/>
    </row>
    <row r="52" spans="1:48" hidden="1">
      <c r="A52" s="267"/>
      <c r="B52" s="283"/>
      <c r="C52" s="295"/>
      <c r="D52" s="309"/>
      <c r="E52" s="162"/>
      <c r="F52" s="335"/>
      <c r="G52" s="156"/>
      <c r="H52" s="62" t="s">
        <v>30</v>
      </c>
      <c r="I52" s="170">
        <f>$K$55*$D$30/2</f>
        <v>15300</v>
      </c>
      <c r="J52" s="170">
        <f>$K$55*$D$30/2</f>
        <v>15300</v>
      </c>
      <c r="K52" s="170">
        <f>$K$55*$D$30/2</f>
        <v>15300</v>
      </c>
      <c r="L52" s="171"/>
      <c r="M52" s="170">
        <f>$K$55*$D$30/2</f>
        <v>15300</v>
      </c>
      <c r="N52" s="170">
        <f>$K$55*$D$30/2</f>
        <v>15300</v>
      </c>
      <c r="O52" s="170">
        <f>$K$55*$D$30/2</f>
        <v>15300</v>
      </c>
      <c r="P52" s="171"/>
      <c r="Q52" s="171"/>
      <c r="R52" s="171"/>
      <c r="S52" s="171"/>
      <c r="T52" s="170">
        <f>$K$55*$D$30/2</f>
        <v>15300</v>
      </c>
      <c r="U52" s="170">
        <f>$K$55*$D$30/2</f>
        <v>15300</v>
      </c>
      <c r="V52" s="171"/>
      <c r="W52" s="170">
        <f>$K$55*$D$30/2</f>
        <v>15300</v>
      </c>
      <c r="X52" s="170">
        <f>$K$55*$D$30/2</f>
        <v>15300</v>
      </c>
      <c r="Y52" s="170">
        <f>$K$55*$D$30/2</f>
        <v>15300</v>
      </c>
      <c r="Z52" s="171"/>
      <c r="AA52" s="170">
        <f t="shared" ref="AA52:AF52" si="12">$K$55*$D$30/2</f>
        <v>15300</v>
      </c>
      <c r="AB52" s="170">
        <f t="shared" si="12"/>
        <v>15300</v>
      </c>
      <c r="AC52" s="170">
        <f t="shared" si="12"/>
        <v>15300</v>
      </c>
      <c r="AD52" s="170">
        <f t="shared" si="12"/>
        <v>15300</v>
      </c>
      <c r="AE52" s="170">
        <f t="shared" si="12"/>
        <v>15300</v>
      </c>
      <c r="AF52" s="170">
        <f t="shared" si="12"/>
        <v>15300</v>
      </c>
      <c r="AG52" s="171"/>
      <c r="AH52" s="170">
        <f>$K$55*$D$30/2</f>
        <v>15300</v>
      </c>
      <c r="AI52" s="170">
        <f>$K$55*$D$30/2</f>
        <v>15300</v>
      </c>
      <c r="AJ52" s="170">
        <f>$K$55*$D$30/2</f>
        <v>15300</v>
      </c>
      <c r="AK52" s="195">
        <f>$K$55*$D$30/2</f>
        <v>15300</v>
      </c>
      <c r="AL52" s="196">
        <f>SUM(I52:AK52)</f>
        <v>321300</v>
      </c>
      <c r="AM52" s="206"/>
      <c r="AN52" s="206"/>
      <c r="AO52" s="206"/>
      <c r="AP52" s="346"/>
      <c r="AQ52" s="190"/>
      <c r="AR52" s="190"/>
      <c r="AS52" s="346"/>
      <c r="AT52" s="212"/>
      <c r="AU52" s="212"/>
      <c r="AV52" s="346"/>
    </row>
    <row r="53" spans="1:48" hidden="1">
      <c r="A53" s="267"/>
      <c r="B53" s="283"/>
      <c r="C53" s="295"/>
      <c r="D53" s="309"/>
      <c r="E53" s="162"/>
      <c r="F53" s="335"/>
      <c r="G53" s="156"/>
      <c r="H53" s="62" t="s">
        <v>31</v>
      </c>
      <c r="I53" s="170">
        <v>1</v>
      </c>
      <c r="J53" s="170">
        <v>1</v>
      </c>
      <c r="K53" s="170">
        <v>1</v>
      </c>
      <c r="L53" s="171"/>
      <c r="M53" s="170">
        <v>1</v>
      </c>
      <c r="N53" s="170">
        <v>1</v>
      </c>
      <c r="O53" s="170">
        <v>1</v>
      </c>
      <c r="P53" s="171"/>
      <c r="Q53" s="171"/>
      <c r="R53" s="171"/>
      <c r="S53" s="171"/>
      <c r="T53" s="170">
        <v>1</v>
      </c>
      <c r="U53" s="170">
        <v>1</v>
      </c>
      <c r="V53" s="171"/>
      <c r="W53" s="172">
        <v>1</v>
      </c>
      <c r="X53" s="172">
        <v>1</v>
      </c>
      <c r="Y53" s="172">
        <v>1</v>
      </c>
      <c r="Z53" s="171"/>
      <c r="AA53" s="170">
        <v>1</v>
      </c>
      <c r="AB53" s="170">
        <v>1</v>
      </c>
      <c r="AC53" s="170">
        <v>1</v>
      </c>
      <c r="AD53" s="170">
        <v>1</v>
      </c>
      <c r="AE53" s="170">
        <v>1</v>
      </c>
      <c r="AF53" s="170">
        <v>1</v>
      </c>
      <c r="AG53" s="171"/>
      <c r="AH53" s="170">
        <v>1</v>
      </c>
      <c r="AI53" s="170">
        <v>1</v>
      </c>
      <c r="AJ53" s="170">
        <v>1</v>
      </c>
      <c r="AK53" s="195">
        <v>1</v>
      </c>
      <c r="AL53" s="196"/>
      <c r="AM53" s="206"/>
      <c r="AN53" s="206"/>
      <c r="AO53" s="206"/>
      <c r="AP53" s="346"/>
      <c r="AQ53" s="190"/>
      <c r="AR53" s="190"/>
      <c r="AS53" s="346"/>
      <c r="AT53" s="212"/>
      <c r="AU53" s="212"/>
      <c r="AV53" s="346"/>
    </row>
    <row r="54" spans="1:48" hidden="1">
      <c r="A54" s="267"/>
      <c r="B54" s="283"/>
      <c r="C54" s="295"/>
      <c r="D54" s="309"/>
      <c r="E54" s="162"/>
      <c r="F54" s="335"/>
      <c r="G54" s="154"/>
      <c r="H54" s="57" t="s">
        <v>15</v>
      </c>
      <c r="I54" s="172">
        <f>2180+4000+510+3646</f>
        <v>10336</v>
      </c>
      <c r="J54" s="172">
        <f>864+3537+4510+1309</f>
        <v>10220</v>
      </c>
      <c r="K54" s="172">
        <f>3200+3203+2056</f>
        <v>8459</v>
      </c>
      <c r="L54" s="171"/>
      <c r="M54" s="172">
        <f>2735+3624+4463+1775</f>
        <v>12597</v>
      </c>
      <c r="N54" s="172">
        <f>895+3143+1365+4480</f>
        <v>9883</v>
      </c>
      <c r="O54" s="172">
        <f>750+1746+30+3832</f>
        <v>6358</v>
      </c>
      <c r="P54" s="171"/>
      <c r="Q54" s="171"/>
      <c r="R54" s="171"/>
      <c r="S54" s="171"/>
      <c r="T54" s="172">
        <f>2768+2062+1197+2933</f>
        <v>8960</v>
      </c>
      <c r="U54" s="172">
        <f>2909+1004+3664+1599</f>
        <v>9176</v>
      </c>
      <c r="V54" s="171"/>
      <c r="W54" s="172">
        <f>2503+2004+3107+2009</f>
        <v>9623</v>
      </c>
      <c r="X54" s="172"/>
      <c r="Y54" s="172"/>
      <c r="Z54" s="171"/>
      <c r="AA54" s="172"/>
      <c r="AB54" s="172"/>
      <c r="AC54" s="172"/>
      <c r="AD54" s="172"/>
      <c r="AE54" s="172"/>
      <c r="AF54" s="172"/>
      <c r="AG54" s="171"/>
      <c r="AH54" s="172"/>
      <c r="AI54" s="172"/>
      <c r="AJ54" s="172"/>
      <c r="AK54" s="197"/>
      <c r="AL54" s="192">
        <f>SUM(I54:AK54)</f>
        <v>85612</v>
      </c>
      <c r="AM54" s="206"/>
      <c r="AN54" s="206"/>
      <c r="AO54" s="206"/>
      <c r="AP54" s="346"/>
      <c r="AQ54" s="190"/>
      <c r="AR54" s="190"/>
      <c r="AS54" s="346"/>
      <c r="AT54" s="212"/>
      <c r="AU54" s="212"/>
      <c r="AV54" s="346"/>
    </row>
    <row r="55" spans="1:48" hidden="1">
      <c r="A55" s="267"/>
      <c r="B55" s="283"/>
      <c r="C55" s="295"/>
      <c r="D55" s="309"/>
      <c r="E55" s="162"/>
      <c r="F55" s="335"/>
      <c r="G55" s="156"/>
      <c r="H55" s="62" t="s">
        <v>32</v>
      </c>
      <c r="I55" s="170"/>
      <c r="J55" s="170"/>
      <c r="K55" s="170">
        <f>($C$30*2)</f>
        <v>24000</v>
      </c>
      <c r="L55" s="171"/>
      <c r="M55" s="170"/>
      <c r="N55" s="170">
        <f>($C$30*2)</f>
        <v>24000</v>
      </c>
      <c r="O55" s="170"/>
      <c r="P55" s="171"/>
      <c r="Q55" s="171"/>
      <c r="R55" s="171"/>
      <c r="S55" s="171"/>
      <c r="T55" s="170">
        <f>($C$30*2)</f>
        <v>24000</v>
      </c>
      <c r="U55" s="170"/>
      <c r="V55" s="171"/>
      <c r="W55" s="170">
        <f>($C$30*2)</f>
        <v>24000</v>
      </c>
      <c r="X55" s="156"/>
      <c r="Y55" s="170">
        <f>($C$30*2)</f>
        <v>24000</v>
      </c>
      <c r="Z55" s="171"/>
      <c r="AA55" s="170"/>
      <c r="AB55" s="170">
        <f>($C$30*2)</f>
        <v>24000</v>
      </c>
      <c r="AC55" s="170"/>
      <c r="AD55" s="170">
        <f>($C$30*2)</f>
        <v>24000</v>
      </c>
      <c r="AE55" s="156"/>
      <c r="AF55" s="170">
        <f>($C$30*2)</f>
        <v>24000</v>
      </c>
      <c r="AG55" s="171"/>
      <c r="AH55" s="170"/>
      <c r="AI55" s="170">
        <f>($C$30*2)</f>
        <v>24000</v>
      </c>
      <c r="AJ55" s="170"/>
      <c r="AK55" s="195">
        <f>($C$30*2)</f>
        <v>24000</v>
      </c>
      <c r="AL55" s="196">
        <f>SUM(I55:AK55)</f>
        <v>240000</v>
      </c>
      <c r="AM55" s="206"/>
      <c r="AN55" s="206"/>
      <c r="AO55" s="206"/>
      <c r="AP55" s="346"/>
      <c r="AQ55" s="190"/>
      <c r="AR55" s="190"/>
      <c r="AS55" s="346"/>
      <c r="AT55" s="212"/>
      <c r="AU55" s="212"/>
      <c r="AV55" s="346"/>
    </row>
    <row r="56" spans="1:48" hidden="1">
      <c r="A56" s="267"/>
      <c r="B56" s="283"/>
      <c r="C56" s="295"/>
      <c r="D56" s="309"/>
      <c r="E56" s="162"/>
      <c r="F56" s="335"/>
      <c r="G56" s="156"/>
      <c r="H56" s="62" t="s">
        <v>33</v>
      </c>
      <c r="I56" s="170"/>
      <c r="J56" s="170"/>
      <c r="K56" s="181">
        <v>1</v>
      </c>
      <c r="L56" s="171"/>
      <c r="M56" s="170"/>
      <c r="N56" s="181">
        <v>1</v>
      </c>
      <c r="O56" s="170"/>
      <c r="P56" s="171"/>
      <c r="Q56" s="171"/>
      <c r="R56" s="171"/>
      <c r="S56" s="171"/>
      <c r="T56" s="181">
        <v>1</v>
      </c>
      <c r="U56" s="170"/>
      <c r="V56" s="171"/>
      <c r="W56" s="181">
        <v>1</v>
      </c>
      <c r="X56" s="156"/>
      <c r="Y56" s="181">
        <v>1</v>
      </c>
      <c r="Z56" s="171"/>
      <c r="AA56" s="170"/>
      <c r="AB56" s="181">
        <v>1</v>
      </c>
      <c r="AC56" s="170"/>
      <c r="AD56" s="181">
        <v>1</v>
      </c>
      <c r="AE56" s="156"/>
      <c r="AF56" s="181">
        <v>1</v>
      </c>
      <c r="AG56" s="171"/>
      <c r="AH56" s="170"/>
      <c r="AI56" s="181">
        <v>1</v>
      </c>
      <c r="AJ56" s="170"/>
      <c r="AK56" s="207">
        <v>1</v>
      </c>
      <c r="AL56" s="196"/>
      <c r="AM56" s="206"/>
      <c r="AN56" s="206"/>
      <c r="AO56" s="206"/>
      <c r="AP56" s="346"/>
      <c r="AQ56" s="190"/>
      <c r="AR56" s="190"/>
      <c r="AS56" s="346"/>
      <c r="AT56" s="212"/>
      <c r="AU56" s="212"/>
      <c r="AV56" s="346"/>
    </row>
    <row r="57" spans="1:48" hidden="1">
      <c r="A57" s="268"/>
      <c r="B57" s="283"/>
      <c r="C57" s="296"/>
      <c r="D57" s="309"/>
      <c r="E57" s="162"/>
      <c r="F57" s="335"/>
      <c r="G57" s="163"/>
      <c r="H57" s="67" t="s">
        <v>15</v>
      </c>
      <c r="I57" s="180"/>
      <c r="J57" s="180">
        <f>5800+6000+9632+5646</f>
        <v>27078</v>
      </c>
      <c r="K57" s="22"/>
      <c r="L57" s="182"/>
      <c r="M57" s="180"/>
      <c r="N57" s="180">
        <f>15783+4500</f>
        <v>20283</v>
      </c>
      <c r="O57" s="180"/>
      <c r="P57" s="182"/>
      <c r="Q57" s="182"/>
      <c r="R57" s="182"/>
      <c r="S57" s="182"/>
      <c r="T57" s="180">
        <f>7500+5899</f>
        <v>13399</v>
      </c>
      <c r="U57" s="180"/>
      <c r="V57" s="182"/>
      <c r="W57" s="180"/>
      <c r="X57" s="180"/>
      <c r="Y57" s="180">
        <v>12527</v>
      </c>
      <c r="Z57" s="182"/>
      <c r="AA57" s="180"/>
      <c r="AB57" s="180"/>
      <c r="AC57" s="180"/>
      <c r="AD57" s="180"/>
      <c r="AE57" s="180"/>
      <c r="AF57" s="180"/>
      <c r="AG57" s="182"/>
      <c r="AH57" s="180"/>
      <c r="AI57" s="180"/>
      <c r="AJ57" s="180"/>
      <c r="AK57" s="208"/>
      <c r="AL57" s="209">
        <f>SUM(I57:AK57)</f>
        <v>73287</v>
      </c>
      <c r="AM57" s="206"/>
      <c r="AN57" s="206"/>
      <c r="AO57" s="206"/>
      <c r="AP57" s="346"/>
      <c r="AQ57" s="190"/>
      <c r="AR57" s="190"/>
      <c r="AS57" s="346"/>
      <c r="AT57" s="212"/>
      <c r="AU57" s="212"/>
      <c r="AV57" s="346"/>
    </row>
    <row r="58" spans="1:48" ht="15" hidden="1" customHeight="1">
      <c r="A58" s="269" t="s">
        <v>41</v>
      </c>
      <c r="B58" s="269" t="s">
        <v>42</v>
      </c>
      <c r="C58" s="295">
        <v>2500</v>
      </c>
      <c r="D58" s="310">
        <v>1.59</v>
      </c>
      <c r="E58" s="303"/>
      <c r="F58" s="295" t="s">
        <v>43</v>
      </c>
      <c r="G58" s="154">
        <v>0.08</v>
      </c>
      <c r="H58" s="62" t="s">
        <v>12</v>
      </c>
      <c r="I58" s="64">
        <v>43.82</v>
      </c>
      <c r="J58" s="64">
        <v>43.82</v>
      </c>
      <c r="K58" s="64">
        <v>43.82</v>
      </c>
      <c r="L58" s="171"/>
      <c r="M58" s="64">
        <v>43.82</v>
      </c>
      <c r="N58" s="64">
        <v>43.82</v>
      </c>
      <c r="O58" s="64">
        <v>43.82</v>
      </c>
      <c r="P58" s="171"/>
      <c r="Q58" s="171"/>
      <c r="R58" s="171"/>
      <c r="S58" s="171"/>
      <c r="T58" s="64">
        <v>43.82</v>
      </c>
      <c r="U58" s="64">
        <v>43.82</v>
      </c>
      <c r="V58" s="171"/>
      <c r="W58" s="64">
        <v>43.82</v>
      </c>
      <c r="X58" s="64">
        <v>43.82</v>
      </c>
      <c r="Y58" s="64">
        <v>43.82</v>
      </c>
      <c r="Z58" s="171"/>
      <c r="AA58" s="64">
        <v>43.82</v>
      </c>
      <c r="AB58" s="64">
        <v>43.82</v>
      </c>
      <c r="AC58" s="64">
        <v>43.82</v>
      </c>
      <c r="AD58" s="64">
        <v>43.82</v>
      </c>
      <c r="AE58" s="64">
        <v>43.82</v>
      </c>
      <c r="AF58" s="64">
        <v>43.82</v>
      </c>
      <c r="AG58" s="171"/>
      <c r="AH58" s="64">
        <v>43.82</v>
      </c>
      <c r="AI58" s="64">
        <v>43.82</v>
      </c>
      <c r="AJ58" s="64">
        <v>43.82</v>
      </c>
      <c r="AK58" s="64">
        <v>43.82</v>
      </c>
      <c r="AL58" s="210"/>
      <c r="AM58" s="346"/>
      <c r="AN58" s="346"/>
      <c r="AO58" s="190"/>
      <c r="AP58" s="190"/>
      <c r="AQ58" s="190"/>
      <c r="AR58" s="190"/>
      <c r="AS58" s="346"/>
      <c r="AT58" s="212"/>
      <c r="AU58" s="346"/>
      <c r="AV58" s="346"/>
    </row>
    <row r="59" spans="1:48" hidden="1">
      <c r="A59" s="269"/>
      <c r="B59" s="269"/>
      <c r="C59" s="295"/>
      <c r="D59" s="310"/>
      <c r="E59" s="303"/>
      <c r="F59" s="295"/>
      <c r="G59" s="154"/>
      <c r="H59" s="62" t="s">
        <v>14</v>
      </c>
      <c r="I59" s="170">
        <v>0.5</v>
      </c>
      <c r="J59" s="170">
        <v>0.5</v>
      </c>
      <c r="K59" s="170">
        <v>0.5</v>
      </c>
      <c r="L59" s="171"/>
      <c r="M59" s="170">
        <v>0.5</v>
      </c>
      <c r="N59" s="170">
        <v>0.5</v>
      </c>
      <c r="O59" s="170">
        <v>0.5</v>
      </c>
      <c r="P59" s="171"/>
      <c r="Q59" s="171"/>
      <c r="R59" s="171"/>
      <c r="S59" s="171"/>
      <c r="T59" s="170">
        <v>0.5</v>
      </c>
      <c r="U59" s="170">
        <v>0.5</v>
      </c>
      <c r="V59" s="171"/>
      <c r="W59" s="170">
        <v>0.5</v>
      </c>
      <c r="X59" s="170">
        <v>0.5</v>
      </c>
      <c r="Y59" s="170">
        <v>0.5</v>
      </c>
      <c r="Z59" s="171"/>
      <c r="AA59" s="170">
        <v>0.5</v>
      </c>
      <c r="AB59" s="170">
        <v>0.5</v>
      </c>
      <c r="AC59" s="170">
        <v>0.5</v>
      </c>
      <c r="AD59" s="170">
        <v>0.5</v>
      </c>
      <c r="AE59" s="170">
        <v>0.5</v>
      </c>
      <c r="AF59" s="170">
        <v>0.5</v>
      </c>
      <c r="AG59" s="171"/>
      <c r="AH59" s="170">
        <v>0.5</v>
      </c>
      <c r="AI59" s="170">
        <v>0.5</v>
      </c>
      <c r="AJ59" s="170">
        <v>0.5</v>
      </c>
      <c r="AK59" s="170">
        <v>0.5</v>
      </c>
      <c r="AL59" s="210"/>
      <c r="AM59" s="346"/>
      <c r="AN59" s="346"/>
      <c r="AO59" s="190"/>
      <c r="AP59" s="190"/>
      <c r="AQ59" s="190"/>
      <c r="AR59" s="190"/>
      <c r="AS59" s="346"/>
      <c r="AT59" s="212"/>
      <c r="AU59" s="346"/>
      <c r="AV59" s="346"/>
    </row>
    <row r="60" spans="1:48" hidden="1">
      <c r="A60" s="269"/>
      <c r="B60" s="269"/>
      <c r="C60" s="295"/>
      <c r="D60" s="310"/>
      <c r="E60" s="303"/>
      <c r="F60" s="295"/>
      <c r="G60" s="154"/>
      <c r="H60" s="57" t="s">
        <v>15</v>
      </c>
      <c r="I60" s="172"/>
      <c r="J60" s="172"/>
      <c r="K60" s="172"/>
      <c r="L60" s="171"/>
      <c r="M60" s="172"/>
      <c r="N60" s="172"/>
      <c r="O60" s="172"/>
      <c r="P60" s="171"/>
      <c r="Q60" s="171"/>
      <c r="R60" s="171"/>
      <c r="S60" s="171"/>
      <c r="T60" s="172"/>
      <c r="U60" s="172"/>
      <c r="V60" s="171"/>
      <c r="W60" s="172"/>
      <c r="X60" s="172"/>
      <c r="Y60" s="172"/>
      <c r="Z60" s="171"/>
      <c r="AA60" s="172"/>
      <c r="AB60" s="172"/>
      <c r="AC60" s="172"/>
      <c r="AD60" s="172"/>
      <c r="AE60" s="172"/>
      <c r="AF60" s="172"/>
      <c r="AG60" s="171"/>
      <c r="AH60" s="172"/>
      <c r="AI60" s="172"/>
      <c r="AJ60" s="172"/>
      <c r="AK60" s="172"/>
      <c r="AL60" s="210"/>
      <c r="AM60" s="206"/>
      <c r="AN60" s="206"/>
      <c r="AO60" s="206"/>
      <c r="AP60" s="346"/>
      <c r="AQ60" s="190"/>
      <c r="AR60" s="190"/>
      <c r="AS60" s="346"/>
      <c r="AT60" s="212"/>
      <c r="AU60" s="346"/>
      <c r="AV60" s="346"/>
    </row>
    <row r="61" spans="1:48" hidden="1">
      <c r="A61" s="269"/>
      <c r="B61" s="269"/>
      <c r="C61" s="295"/>
      <c r="D61" s="310"/>
      <c r="E61" s="303"/>
      <c r="F61" s="295"/>
      <c r="G61" s="154" t="s">
        <v>16</v>
      </c>
      <c r="H61" s="62" t="s">
        <v>17</v>
      </c>
      <c r="I61" s="64">
        <v>43.82</v>
      </c>
      <c r="J61" s="64">
        <v>43.82</v>
      </c>
      <c r="K61" s="64">
        <v>43.82</v>
      </c>
      <c r="L61" s="171"/>
      <c r="M61" s="64">
        <v>43.82</v>
      </c>
      <c r="N61" s="64">
        <v>43.82</v>
      </c>
      <c r="O61" s="64">
        <v>43.82</v>
      </c>
      <c r="P61" s="171"/>
      <c r="Q61" s="171"/>
      <c r="R61" s="171"/>
      <c r="S61" s="171"/>
      <c r="T61" s="64">
        <v>43.82</v>
      </c>
      <c r="U61" s="64">
        <v>43.82</v>
      </c>
      <c r="V61" s="171"/>
      <c r="W61" s="64">
        <v>43.82</v>
      </c>
      <c r="X61" s="64">
        <v>43.82</v>
      </c>
      <c r="Y61" s="64">
        <v>43.82</v>
      </c>
      <c r="Z61" s="171"/>
      <c r="AA61" s="64">
        <v>43.82</v>
      </c>
      <c r="AB61" s="64">
        <v>43.82</v>
      </c>
      <c r="AC61" s="64">
        <v>43.82</v>
      </c>
      <c r="AD61" s="64">
        <v>43.82</v>
      </c>
      <c r="AE61" s="64">
        <v>43.82</v>
      </c>
      <c r="AF61" s="64">
        <v>43.82</v>
      </c>
      <c r="AG61" s="171"/>
      <c r="AH61" s="64">
        <v>43.82</v>
      </c>
      <c r="AI61" s="64">
        <v>43.82</v>
      </c>
      <c r="AJ61" s="64">
        <v>43.82</v>
      </c>
      <c r="AK61" s="64">
        <v>43.82</v>
      </c>
      <c r="AL61" s="210"/>
      <c r="AM61" s="206"/>
      <c r="AN61" s="206"/>
      <c r="AO61" s="206"/>
      <c r="AP61" s="346"/>
      <c r="AQ61" s="190"/>
      <c r="AR61" s="190"/>
      <c r="AS61" s="346"/>
      <c r="AT61" s="212"/>
      <c r="AU61" s="346"/>
      <c r="AV61" s="346"/>
    </row>
    <row r="62" spans="1:48" hidden="1">
      <c r="A62" s="269"/>
      <c r="B62" s="269"/>
      <c r="C62" s="295"/>
      <c r="D62" s="310"/>
      <c r="E62" s="303"/>
      <c r="F62" s="295"/>
      <c r="G62" s="154"/>
      <c r="H62" s="62" t="s">
        <v>14</v>
      </c>
      <c r="I62" s="170">
        <v>0.2</v>
      </c>
      <c r="J62" s="170">
        <v>0.2</v>
      </c>
      <c r="K62" s="170">
        <v>0.2</v>
      </c>
      <c r="L62" s="171"/>
      <c r="M62" s="170">
        <v>0.2</v>
      </c>
      <c r="N62" s="170">
        <v>0.2</v>
      </c>
      <c r="O62" s="170">
        <v>0.2</v>
      </c>
      <c r="P62" s="171"/>
      <c r="Q62" s="171"/>
      <c r="R62" s="171"/>
      <c r="S62" s="171"/>
      <c r="T62" s="170">
        <v>0.2</v>
      </c>
      <c r="U62" s="170">
        <v>0.2</v>
      </c>
      <c r="V62" s="171"/>
      <c r="W62" s="170">
        <v>0.2</v>
      </c>
      <c r="X62" s="170">
        <v>0.2</v>
      </c>
      <c r="Y62" s="170">
        <v>0.2</v>
      </c>
      <c r="Z62" s="171"/>
      <c r="AA62" s="170">
        <v>0.2</v>
      </c>
      <c r="AB62" s="170">
        <v>0.2</v>
      </c>
      <c r="AC62" s="170">
        <v>0.2</v>
      </c>
      <c r="AD62" s="170">
        <v>0.2</v>
      </c>
      <c r="AE62" s="170">
        <v>0.2</v>
      </c>
      <c r="AF62" s="170">
        <v>0.2</v>
      </c>
      <c r="AG62" s="171"/>
      <c r="AH62" s="170">
        <v>0.2</v>
      </c>
      <c r="AI62" s="170">
        <v>0.2</v>
      </c>
      <c r="AJ62" s="170">
        <v>0.2</v>
      </c>
      <c r="AK62" s="170">
        <v>0.2</v>
      </c>
      <c r="AL62" s="210"/>
      <c r="AM62" s="206"/>
      <c r="AN62" s="206"/>
      <c r="AO62" s="206"/>
      <c r="AP62" s="346"/>
      <c r="AQ62" s="190"/>
      <c r="AR62" s="190"/>
      <c r="AS62" s="346"/>
      <c r="AT62" s="212"/>
      <c r="AU62" s="346"/>
      <c r="AV62" s="346"/>
    </row>
    <row r="63" spans="1:48" hidden="1">
      <c r="A63" s="269"/>
      <c r="B63" s="269"/>
      <c r="C63" s="295"/>
      <c r="D63" s="310"/>
      <c r="E63" s="303"/>
      <c r="F63" s="295"/>
      <c r="G63" s="154"/>
      <c r="H63" s="57" t="s">
        <v>15</v>
      </c>
      <c r="I63" s="172"/>
      <c r="J63" s="172"/>
      <c r="K63" s="172"/>
      <c r="L63" s="171"/>
      <c r="M63" s="172"/>
      <c r="N63" s="172"/>
      <c r="O63" s="172"/>
      <c r="P63" s="171"/>
      <c r="Q63" s="171"/>
      <c r="R63" s="171"/>
      <c r="S63" s="171"/>
      <c r="T63" s="172"/>
      <c r="U63" s="172"/>
      <c r="V63" s="171"/>
      <c r="W63" s="172"/>
      <c r="X63" s="172"/>
      <c r="Y63" s="172"/>
      <c r="Z63" s="171"/>
      <c r="AA63" s="172"/>
      <c r="AB63" s="172"/>
      <c r="AC63" s="172"/>
      <c r="AD63" s="172"/>
      <c r="AE63" s="172"/>
      <c r="AF63" s="172"/>
      <c r="AG63" s="171"/>
      <c r="AH63" s="172"/>
      <c r="AI63" s="172"/>
      <c r="AJ63" s="172"/>
      <c r="AK63" s="172"/>
      <c r="AL63" s="210"/>
      <c r="AM63" s="206"/>
      <c r="AN63" s="206"/>
      <c r="AO63" s="206"/>
      <c r="AP63" s="346"/>
      <c r="AQ63" s="190"/>
      <c r="AR63" s="190"/>
      <c r="AS63" s="346"/>
      <c r="AT63" s="212"/>
      <c r="AU63" s="346"/>
      <c r="AV63" s="346"/>
    </row>
    <row r="64" spans="1:48" hidden="1">
      <c r="A64" s="269"/>
      <c r="B64" s="269"/>
      <c r="C64" s="295"/>
      <c r="D64" s="310"/>
      <c r="E64" s="303"/>
      <c r="F64" s="295"/>
      <c r="G64" s="154" t="s">
        <v>44</v>
      </c>
      <c r="H64" s="62" t="s">
        <v>45</v>
      </c>
      <c r="I64" s="183">
        <f>$O$84*$D$58/5</f>
        <v>4372.5</v>
      </c>
      <c r="J64" s="183">
        <f>$O$84*$D$58/5</f>
        <v>4372.5</v>
      </c>
      <c r="K64" s="183">
        <f>$O$84*$D$58/5</f>
        <v>4372.5</v>
      </c>
      <c r="L64" s="184"/>
      <c r="M64" s="183">
        <f>$O$84*$D$58/5</f>
        <v>4372.5</v>
      </c>
      <c r="N64" s="183">
        <f>$O$84*$D$58/5</f>
        <v>4372.5</v>
      </c>
      <c r="O64" s="183">
        <f>$O$84*$D$58/5</f>
        <v>4372.5</v>
      </c>
      <c r="P64" s="171"/>
      <c r="Q64" s="171"/>
      <c r="R64" s="171"/>
      <c r="S64" s="171"/>
      <c r="T64" s="183">
        <f>$O$84*$D$58/5</f>
        <v>4372.5</v>
      </c>
      <c r="U64" s="183">
        <f>$O$84*$D$58/5</f>
        <v>4372.5</v>
      </c>
      <c r="V64" s="171"/>
      <c r="W64" s="183">
        <f>$O$84*$D$58/5</f>
        <v>4372.5</v>
      </c>
      <c r="X64" s="183">
        <f>$O$84*$D$58/5</f>
        <v>4372.5</v>
      </c>
      <c r="Y64" s="183">
        <f>$O$84*$D$58/5</f>
        <v>4372.5</v>
      </c>
      <c r="Z64" s="171"/>
      <c r="AA64" s="183">
        <f t="shared" ref="AA64:AF64" si="13">$O$84*$D$58/5</f>
        <v>4372.5</v>
      </c>
      <c r="AB64" s="183">
        <f t="shared" si="13"/>
        <v>4372.5</v>
      </c>
      <c r="AC64" s="183">
        <f t="shared" si="13"/>
        <v>4372.5</v>
      </c>
      <c r="AD64" s="183">
        <f t="shared" si="13"/>
        <v>4372.5</v>
      </c>
      <c r="AE64" s="183">
        <f t="shared" si="13"/>
        <v>4372.5</v>
      </c>
      <c r="AF64" s="183">
        <f t="shared" si="13"/>
        <v>4372.5</v>
      </c>
      <c r="AG64" s="171"/>
      <c r="AH64" s="183">
        <f>$O$84*$D$58/5</f>
        <v>4372.5</v>
      </c>
      <c r="AI64" s="183">
        <f>$O$84*$D$58/5</f>
        <v>4372.5</v>
      </c>
      <c r="AJ64" s="183">
        <f>$O$84*$D$58/5</f>
        <v>4372.5</v>
      </c>
      <c r="AK64" s="183">
        <f>$O$84*$D$58/5</f>
        <v>4372.5</v>
      </c>
      <c r="AL64" s="211">
        <f>SUM(I64:AK64)</f>
        <v>91822.5</v>
      </c>
      <c r="AM64" s="206"/>
      <c r="AN64" s="206"/>
      <c r="AO64" s="206"/>
      <c r="AP64" s="346"/>
      <c r="AQ64" s="190"/>
      <c r="AR64" s="190"/>
      <c r="AS64" s="346"/>
      <c r="AT64" s="212"/>
      <c r="AU64" s="346"/>
      <c r="AV64" s="346"/>
    </row>
    <row r="65" spans="1:48" hidden="1">
      <c r="A65" s="269"/>
      <c r="B65" s="269"/>
      <c r="C65" s="295"/>
      <c r="D65" s="310"/>
      <c r="E65" s="303"/>
      <c r="F65" s="295"/>
      <c r="G65" s="154"/>
      <c r="H65" s="62" t="s">
        <v>20</v>
      </c>
      <c r="I65" s="170">
        <v>1</v>
      </c>
      <c r="J65" s="170"/>
      <c r="K65" s="170">
        <v>1</v>
      </c>
      <c r="L65" s="171"/>
      <c r="M65" s="170"/>
      <c r="N65" s="170"/>
      <c r="O65" s="170">
        <v>1</v>
      </c>
      <c r="P65" s="171"/>
      <c r="Q65" s="171"/>
      <c r="R65" s="171"/>
      <c r="S65" s="171"/>
      <c r="T65" s="170"/>
      <c r="U65" s="170">
        <v>1</v>
      </c>
      <c r="V65" s="171"/>
      <c r="W65" s="170"/>
      <c r="X65" s="170"/>
      <c r="Y65" s="170">
        <v>1</v>
      </c>
      <c r="Z65" s="171"/>
      <c r="AA65" s="170"/>
      <c r="AB65" s="170">
        <v>1</v>
      </c>
      <c r="AC65" s="170"/>
      <c r="AD65" s="170"/>
      <c r="AE65" s="170">
        <v>1</v>
      </c>
      <c r="AF65" s="170"/>
      <c r="AG65" s="171"/>
      <c r="AH65" s="170">
        <v>1</v>
      </c>
      <c r="AI65" s="170"/>
      <c r="AJ65" s="170"/>
      <c r="AK65" s="170">
        <v>1</v>
      </c>
      <c r="AL65" s="211"/>
      <c r="AM65" s="206"/>
      <c r="AN65" s="206"/>
      <c r="AO65" s="206"/>
      <c r="AP65" s="346"/>
      <c r="AQ65" s="190"/>
      <c r="AR65" s="190"/>
      <c r="AS65" s="346"/>
      <c r="AT65" s="212"/>
      <c r="AU65" s="346"/>
      <c r="AV65" s="346"/>
    </row>
    <row r="66" spans="1:48" hidden="1">
      <c r="A66" s="269"/>
      <c r="B66" s="269"/>
      <c r="C66" s="295"/>
      <c r="D66" s="310"/>
      <c r="E66" s="303"/>
      <c r="F66" s="295"/>
      <c r="G66" s="154"/>
      <c r="H66" s="57" t="s">
        <v>15</v>
      </c>
      <c r="I66" s="172"/>
      <c r="J66" s="172">
        <v>15075</v>
      </c>
      <c r="K66" s="172"/>
      <c r="L66" s="171"/>
      <c r="M66" s="172"/>
      <c r="N66" s="172"/>
      <c r="O66" s="172"/>
      <c r="P66" s="171"/>
      <c r="Q66" s="171"/>
      <c r="R66" s="171"/>
      <c r="S66" s="171"/>
      <c r="T66" s="172"/>
      <c r="U66" s="172"/>
      <c r="V66" s="171"/>
      <c r="W66" s="172"/>
      <c r="X66" s="172">
        <f>5221+8261</f>
        <v>13482</v>
      </c>
      <c r="Y66" s="172"/>
      <c r="Z66" s="171"/>
      <c r="AA66" s="172"/>
      <c r="AB66" s="172"/>
      <c r="AC66" s="172"/>
      <c r="AD66" s="172"/>
      <c r="AE66" s="172"/>
      <c r="AF66" s="172"/>
      <c r="AG66" s="171"/>
      <c r="AH66" s="172"/>
      <c r="AI66" s="172"/>
      <c r="AJ66" s="172"/>
      <c r="AK66" s="172"/>
      <c r="AL66" s="210">
        <f>SUM(I66:AK66)</f>
        <v>28557</v>
      </c>
      <c r="AM66" s="206"/>
      <c r="AN66" s="206"/>
      <c r="AO66" s="206"/>
      <c r="AP66" s="346"/>
      <c r="AQ66" s="190"/>
      <c r="AR66" s="190"/>
      <c r="AS66" s="346"/>
      <c r="AT66" s="212"/>
      <c r="AU66" s="346"/>
      <c r="AV66" s="346"/>
    </row>
    <row r="67" spans="1:48" hidden="1">
      <c r="A67" s="269"/>
      <c r="B67" s="269"/>
      <c r="C67" s="295"/>
      <c r="D67" s="310"/>
      <c r="E67" s="303"/>
      <c r="F67" s="295"/>
      <c r="G67" s="154" t="s">
        <v>37</v>
      </c>
      <c r="H67" s="62" t="s">
        <v>46</v>
      </c>
      <c r="I67" s="170">
        <f>($O$84*$D$58/5)*2</f>
        <v>8745</v>
      </c>
      <c r="J67" s="170">
        <f>($O$84*$D$58/5)*2</f>
        <v>8745</v>
      </c>
      <c r="K67" s="170">
        <f>($O$84*$D$58/5)*2</f>
        <v>8745</v>
      </c>
      <c r="L67" s="171"/>
      <c r="M67" s="170">
        <f>($O$84*$D$58/5)*2</f>
        <v>8745</v>
      </c>
      <c r="N67" s="170">
        <f>($O$84*$D$58/5)*2</f>
        <v>8745</v>
      </c>
      <c r="O67" s="170">
        <f>($O$84*$D$58/5)*2</f>
        <v>8745</v>
      </c>
      <c r="P67" s="171"/>
      <c r="Q67" s="171"/>
      <c r="R67" s="171"/>
      <c r="S67" s="171"/>
      <c r="T67" s="170">
        <f>($O$84*$D$58/5)*2</f>
        <v>8745</v>
      </c>
      <c r="U67" s="170">
        <f>($O$84*$D$58/5)*2</f>
        <v>8745</v>
      </c>
      <c r="V67" s="171"/>
      <c r="W67" s="170">
        <f>($O$84*$D$58/5)*2</f>
        <v>8745</v>
      </c>
      <c r="X67" s="170">
        <f>($O$84*$D$58/5)*2</f>
        <v>8745</v>
      </c>
      <c r="Y67" s="170">
        <f>($O$84*$D$58/5)*2</f>
        <v>8745</v>
      </c>
      <c r="Z67" s="171"/>
      <c r="AA67" s="170">
        <f t="shared" ref="AA67:AF67" si="14">($O$84*$D$58/5)*2</f>
        <v>8745</v>
      </c>
      <c r="AB67" s="170">
        <f t="shared" si="14"/>
        <v>8745</v>
      </c>
      <c r="AC67" s="170">
        <f t="shared" si="14"/>
        <v>8745</v>
      </c>
      <c r="AD67" s="170">
        <f t="shared" si="14"/>
        <v>8745</v>
      </c>
      <c r="AE67" s="170">
        <f t="shared" si="14"/>
        <v>8745</v>
      </c>
      <c r="AF67" s="170">
        <f t="shared" si="14"/>
        <v>8745</v>
      </c>
      <c r="AG67" s="171"/>
      <c r="AH67" s="170">
        <f>($O$84*$D$58/5)*2</f>
        <v>8745</v>
      </c>
      <c r="AI67" s="170">
        <f>($O$84*$D$58/5)*2</f>
        <v>8745</v>
      </c>
      <c r="AJ67" s="170">
        <f>($O$84*$D$58/5)*2</f>
        <v>8745</v>
      </c>
      <c r="AK67" s="170">
        <f>($O$84*$D$58/5)*2</f>
        <v>8745</v>
      </c>
      <c r="AL67" s="211">
        <f>SUM(I67:AK67)</f>
        <v>183645</v>
      </c>
      <c r="AM67" s="206"/>
      <c r="AN67" s="206"/>
      <c r="AO67" s="206"/>
      <c r="AP67" s="346"/>
      <c r="AQ67" s="190"/>
      <c r="AR67" s="190"/>
      <c r="AS67" s="346"/>
      <c r="AT67" s="212"/>
      <c r="AU67" s="346"/>
      <c r="AV67" s="346"/>
    </row>
    <row r="68" spans="1:48" hidden="1">
      <c r="A68" s="269"/>
      <c r="B68" s="269"/>
      <c r="C68" s="295"/>
      <c r="D68" s="310"/>
      <c r="E68" s="303"/>
      <c r="F68" s="295"/>
      <c r="G68" s="154"/>
      <c r="H68" s="62" t="s">
        <v>20</v>
      </c>
      <c r="I68" s="170">
        <v>1</v>
      </c>
      <c r="J68" s="170">
        <v>1</v>
      </c>
      <c r="K68" s="170">
        <v>1</v>
      </c>
      <c r="L68" s="171"/>
      <c r="M68" s="170">
        <v>1</v>
      </c>
      <c r="N68" s="170">
        <v>1</v>
      </c>
      <c r="O68" s="170">
        <v>1</v>
      </c>
      <c r="P68" s="171"/>
      <c r="Q68" s="171"/>
      <c r="R68" s="171"/>
      <c r="S68" s="171"/>
      <c r="T68" s="170">
        <v>1</v>
      </c>
      <c r="U68" s="170">
        <v>1</v>
      </c>
      <c r="V68" s="171"/>
      <c r="W68" s="170">
        <v>1</v>
      </c>
      <c r="X68" s="170">
        <v>1</v>
      </c>
      <c r="Y68" s="170">
        <v>1</v>
      </c>
      <c r="Z68" s="171"/>
      <c r="AA68" s="170">
        <v>1</v>
      </c>
      <c r="AB68" s="170">
        <v>1</v>
      </c>
      <c r="AC68" s="170">
        <v>1</v>
      </c>
      <c r="AD68" s="170">
        <v>1</v>
      </c>
      <c r="AE68" s="170">
        <v>1</v>
      </c>
      <c r="AF68" s="170">
        <v>1</v>
      </c>
      <c r="AG68" s="171"/>
      <c r="AH68" s="170">
        <v>1</v>
      </c>
      <c r="AI68" s="170">
        <v>1</v>
      </c>
      <c r="AJ68" s="170">
        <v>1</v>
      </c>
      <c r="AK68" s="170">
        <v>1</v>
      </c>
      <c r="AL68" s="211"/>
      <c r="AM68" s="206"/>
      <c r="AN68" s="206"/>
      <c r="AO68" s="206"/>
      <c r="AP68" s="346"/>
      <c r="AQ68" s="190"/>
      <c r="AR68" s="190"/>
      <c r="AS68" s="346"/>
      <c r="AT68" s="212"/>
      <c r="AU68" s="346"/>
      <c r="AV68" s="346"/>
    </row>
    <row r="69" spans="1:48" hidden="1">
      <c r="A69" s="269"/>
      <c r="B69" s="269"/>
      <c r="C69" s="295"/>
      <c r="D69" s="310"/>
      <c r="E69" s="303"/>
      <c r="F69" s="295"/>
      <c r="G69" s="154"/>
      <c r="H69" s="57" t="s">
        <v>15</v>
      </c>
      <c r="I69" s="172">
        <v>22974</v>
      </c>
      <c r="J69" s="172">
        <v>23635</v>
      </c>
      <c r="K69" s="172">
        <v>16288</v>
      </c>
      <c r="L69" s="171"/>
      <c r="M69" s="172">
        <v>23435</v>
      </c>
      <c r="N69" s="172">
        <v>16631</v>
      </c>
      <c r="O69" s="172">
        <f>2300+6337</f>
        <v>8637</v>
      </c>
      <c r="P69" s="171"/>
      <c r="Q69" s="171"/>
      <c r="R69" s="171"/>
      <c r="S69" s="171"/>
      <c r="T69" s="172">
        <f>3860+6259</f>
        <v>10119</v>
      </c>
      <c r="U69" s="172">
        <v>17041</v>
      </c>
      <c r="V69" s="171"/>
      <c r="W69" s="172">
        <f>6474+6207+6986+6168</f>
        <v>25835</v>
      </c>
      <c r="X69" s="172">
        <v>23255</v>
      </c>
      <c r="Y69" s="172"/>
      <c r="Z69" s="171"/>
      <c r="AA69" s="172"/>
      <c r="AB69" s="172"/>
      <c r="AC69" s="172"/>
      <c r="AD69" s="172"/>
      <c r="AE69" s="172"/>
      <c r="AF69" s="172"/>
      <c r="AG69" s="171"/>
      <c r="AH69" s="172"/>
      <c r="AI69" s="172"/>
      <c r="AJ69" s="172"/>
      <c r="AK69" s="172"/>
      <c r="AL69" s="210">
        <f>SUM(I69:AK69)</f>
        <v>187850</v>
      </c>
      <c r="AM69" s="206"/>
      <c r="AN69" s="206"/>
      <c r="AO69" s="206"/>
      <c r="AP69" s="346"/>
      <c r="AQ69" s="190"/>
      <c r="AR69" s="190"/>
      <c r="AS69" s="346"/>
      <c r="AT69" s="212"/>
      <c r="AU69" s="346"/>
      <c r="AV69" s="346"/>
    </row>
    <row r="70" spans="1:48" hidden="1">
      <c r="A70" s="269"/>
      <c r="B70" s="269"/>
      <c r="C70" s="295"/>
      <c r="D70" s="310"/>
      <c r="E70" s="303"/>
      <c r="F70" s="295"/>
      <c r="G70" s="154" t="s">
        <v>23</v>
      </c>
      <c r="H70" s="62" t="s">
        <v>24</v>
      </c>
      <c r="I70" s="183">
        <f>$O$84*$D$58/5</f>
        <v>4372.5</v>
      </c>
      <c r="J70" s="183">
        <f>$O$84*$D$58/5</f>
        <v>4372.5</v>
      </c>
      <c r="K70" s="183">
        <f>$O$84*$D$58/5</f>
        <v>4372.5</v>
      </c>
      <c r="L70" s="184"/>
      <c r="M70" s="183">
        <f>$O$84*$D$58/5</f>
        <v>4372.5</v>
      </c>
      <c r="N70" s="183">
        <f>$O$84*$D$58/5</f>
        <v>4372.5</v>
      </c>
      <c r="O70" s="183">
        <f>$O$84*$D$58/5</f>
        <v>4372.5</v>
      </c>
      <c r="P70" s="171"/>
      <c r="Q70" s="171"/>
      <c r="R70" s="171"/>
      <c r="S70" s="171"/>
      <c r="T70" s="183">
        <f>$O$84*$D$58/5</f>
        <v>4372.5</v>
      </c>
      <c r="U70" s="183">
        <f>$O$84*$D$58/5</f>
        <v>4372.5</v>
      </c>
      <c r="V70" s="171"/>
      <c r="W70" s="183">
        <f>$O$84*$D$58/5</f>
        <v>4372.5</v>
      </c>
      <c r="X70" s="183">
        <f>$O$84*$D$58/5</f>
        <v>4372.5</v>
      </c>
      <c r="Y70" s="183">
        <f>$O$84*$D$58/5</f>
        <v>4372.5</v>
      </c>
      <c r="Z70" s="171"/>
      <c r="AA70" s="183">
        <f t="shared" ref="AA70:AF70" si="15">$O$84*$D$58/5</f>
        <v>4372.5</v>
      </c>
      <c r="AB70" s="183">
        <f t="shared" si="15"/>
        <v>4372.5</v>
      </c>
      <c r="AC70" s="183">
        <f t="shared" si="15"/>
        <v>4372.5</v>
      </c>
      <c r="AD70" s="183">
        <f t="shared" si="15"/>
        <v>4372.5</v>
      </c>
      <c r="AE70" s="183">
        <f t="shared" si="15"/>
        <v>4372.5</v>
      </c>
      <c r="AF70" s="183">
        <f t="shared" si="15"/>
        <v>4372.5</v>
      </c>
      <c r="AG70" s="171"/>
      <c r="AH70" s="183">
        <f>$O$84*$D$58/5</f>
        <v>4372.5</v>
      </c>
      <c r="AI70" s="183">
        <f>$O$84*$D$58/5</f>
        <v>4372.5</v>
      </c>
      <c r="AJ70" s="183">
        <f>$O$84*$D$58/5</f>
        <v>4372.5</v>
      </c>
      <c r="AK70" s="183">
        <f>$O$84*$D$58/5</f>
        <v>4372.5</v>
      </c>
      <c r="AL70" s="211">
        <f>SUM(I70:AK70)</f>
        <v>91822.5</v>
      </c>
      <c r="AM70" s="206"/>
      <c r="AN70" s="206"/>
      <c r="AO70" s="206"/>
      <c r="AP70" s="346"/>
      <c r="AQ70" s="190"/>
      <c r="AR70" s="190"/>
      <c r="AS70" s="346"/>
      <c r="AT70" s="212"/>
      <c r="AU70" s="346"/>
      <c r="AV70" s="346"/>
    </row>
    <row r="71" spans="1:48" hidden="1">
      <c r="A71" s="269"/>
      <c r="B71" s="269"/>
      <c r="C71" s="295"/>
      <c r="D71" s="310"/>
      <c r="E71" s="303"/>
      <c r="F71" s="295"/>
      <c r="G71" s="154"/>
      <c r="H71" s="62" t="s">
        <v>27</v>
      </c>
      <c r="I71" s="170"/>
      <c r="J71" s="170">
        <v>1</v>
      </c>
      <c r="K71" s="170"/>
      <c r="L71" s="171"/>
      <c r="M71" s="170">
        <v>1</v>
      </c>
      <c r="N71" s="170"/>
      <c r="O71" s="170"/>
      <c r="P71" s="171"/>
      <c r="Q71" s="171"/>
      <c r="R71" s="171"/>
      <c r="S71" s="171"/>
      <c r="T71" s="170">
        <v>1</v>
      </c>
      <c r="U71" s="170"/>
      <c r="V71" s="171"/>
      <c r="W71" s="170">
        <v>1</v>
      </c>
      <c r="X71" s="170"/>
      <c r="Y71" s="170"/>
      <c r="Z71" s="171"/>
      <c r="AA71" s="170">
        <v>1</v>
      </c>
      <c r="AB71" s="170"/>
      <c r="AC71" s="170">
        <v>1</v>
      </c>
      <c r="AD71" s="170"/>
      <c r="AE71" s="170"/>
      <c r="AF71" s="170">
        <v>1</v>
      </c>
      <c r="AG71" s="171"/>
      <c r="AH71" s="170"/>
      <c r="AI71" s="170">
        <v>1</v>
      </c>
      <c r="AJ71" s="170"/>
      <c r="AK71" s="170"/>
      <c r="AL71" s="211"/>
      <c r="AM71" s="206"/>
      <c r="AN71" s="206"/>
      <c r="AO71" s="206"/>
      <c r="AP71" s="346"/>
      <c r="AQ71" s="190"/>
      <c r="AR71" s="190"/>
      <c r="AS71" s="346"/>
      <c r="AT71" s="212"/>
      <c r="AU71" s="346"/>
      <c r="AV71" s="346"/>
    </row>
    <row r="72" spans="1:48" hidden="1">
      <c r="A72" s="269"/>
      <c r="B72" s="269"/>
      <c r="C72" s="295"/>
      <c r="D72" s="310"/>
      <c r="E72" s="303"/>
      <c r="F72" s="295"/>
      <c r="G72" s="154"/>
      <c r="H72" s="57" t="s">
        <v>15</v>
      </c>
      <c r="I72" s="172"/>
      <c r="J72" s="172"/>
      <c r="K72" s="172"/>
      <c r="L72" s="171"/>
      <c r="M72" s="172">
        <f>26696</f>
        <v>26696</v>
      </c>
      <c r="N72" s="172"/>
      <c r="O72" s="172"/>
      <c r="P72" s="171"/>
      <c r="Q72" s="171"/>
      <c r="R72" s="171"/>
      <c r="S72" s="171"/>
      <c r="T72" s="172"/>
      <c r="U72" s="172"/>
      <c r="V72" s="171"/>
      <c r="W72" s="172"/>
      <c r="X72" s="172"/>
      <c r="Y72" s="172"/>
      <c r="Z72" s="171"/>
      <c r="AA72" s="172"/>
      <c r="AB72" s="172"/>
      <c r="AC72" s="172"/>
      <c r="AD72" s="172"/>
      <c r="AE72" s="172"/>
      <c r="AF72" s="172"/>
      <c r="AG72" s="171"/>
      <c r="AH72" s="172"/>
      <c r="AI72" s="172"/>
      <c r="AJ72" s="172"/>
      <c r="AK72" s="172"/>
      <c r="AL72" s="210">
        <f>SUM(I72:AK72)</f>
        <v>26696</v>
      </c>
      <c r="AM72" s="206"/>
      <c r="AN72" s="206"/>
      <c r="AO72" s="206"/>
      <c r="AP72" s="346"/>
      <c r="AQ72" s="190"/>
      <c r="AR72" s="190"/>
      <c r="AS72" s="346"/>
      <c r="AT72" s="212"/>
      <c r="AU72" s="346"/>
      <c r="AV72" s="346"/>
    </row>
    <row r="73" spans="1:48" hidden="1">
      <c r="A73" s="269"/>
      <c r="B73" s="269"/>
      <c r="C73" s="295"/>
      <c r="D73" s="310"/>
      <c r="E73" s="303"/>
      <c r="F73" s="295"/>
      <c r="G73" s="154" t="s">
        <v>28</v>
      </c>
      <c r="H73" s="62" t="s">
        <v>29</v>
      </c>
      <c r="I73" s="183">
        <f>$O$84*$D$58/5</f>
        <v>4372.5</v>
      </c>
      <c r="J73" s="183">
        <f>$O$84*$D$58/5</f>
        <v>4372.5</v>
      </c>
      <c r="K73" s="183">
        <f>$O$84*$D$58/5</f>
        <v>4372.5</v>
      </c>
      <c r="L73" s="184"/>
      <c r="M73" s="183">
        <f>$O$84*$D$58/5</f>
        <v>4372.5</v>
      </c>
      <c r="N73" s="183">
        <f>$O$84*$D$58/5</f>
        <v>4372.5</v>
      </c>
      <c r="O73" s="183">
        <f>$O$84*$D$58/5</f>
        <v>4372.5</v>
      </c>
      <c r="P73" s="171"/>
      <c r="Q73" s="171"/>
      <c r="R73" s="171"/>
      <c r="S73" s="171"/>
      <c r="T73" s="183">
        <f>$O$84*$D$58/5</f>
        <v>4372.5</v>
      </c>
      <c r="U73" s="183">
        <f>$O$84*$D$58/5</f>
        <v>4372.5</v>
      </c>
      <c r="V73" s="171"/>
      <c r="W73" s="183">
        <f>$O$84*$D$58/5</f>
        <v>4372.5</v>
      </c>
      <c r="X73" s="183">
        <f>$O$84*$D$58/5</f>
        <v>4372.5</v>
      </c>
      <c r="Y73" s="183">
        <f>$O$84*$D$58/5</f>
        <v>4372.5</v>
      </c>
      <c r="Z73" s="171"/>
      <c r="AA73" s="183">
        <f t="shared" ref="AA73:AF73" si="16">$O$84*$D$58/5</f>
        <v>4372.5</v>
      </c>
      <c r="AB73" s="183">
        <f t="shared" si="16"/>
        <v>4372.5</v>
      </c>
      <c r="AC73" s="183">
        <f t="shared" si="16"/>
        <v>4372.5</v>
      </c>
      <c r="AD73" s="183">
        <f t="shared" si="16"/>
        <v>4372.5</v>
      </c>
      <c r="AE73" s="183">
        <f t="shared" si="16"/>
        <v>4372.5</v>
      </c>
      <c r="AF73" s="183">
        <f t="shared" si="16"/>
        <v>4372.5</v>
      </c>
      <c r="AG73" s="171"/>
      <c r="AH73" s="183">
        <f>$O$84*$D$58/5</f>
        <v>4372.5</v>
      </c>
      <c r="AI73" s="183">
        <f>$O$84*$D$58/5</f>
        <v>4372.5</v>
      </c>
      <c r="AJ73" s="183">
        <f>$O$84*$D$58/5</f>
        <v>4372.5</v>
      </c>
      <c r="AK73" s="183">
        <f>$O$84*$D$58/5</f>
        <v>4372.5</v>
      </c>
      <c r="AL73" s="211">
        <f>SUM(I73:AK73)</f>
        <v>91822.5</v>
      </c>
      <c r="AM73" s="206"/>
      <c r="AN73" s="206"/>
      <c r="AO73" s="206"/>
      <c r="AP73" s="346"/>
      <c r="AQ73" s="190"/>
      <c r="AR73" s="190"/>
      <c r="AS73" s="346"/>
      <c r="AT73" s="212"/>
      <c r="AU73" s="346"/>
      <c r="AV73" s="346"/>
    </row>
    <row r="74" spans="1:48" hidden="1">
      <c r="A74" s="269"/>
      <c r="B74" s="269"/>
      <c r="C74" s="295"/>
      <c r="D74" s="310"/>
      <c r="E74" s="303"/>
      <c r="F74" s="295"/>
      <c r="G74" s="154"/>
      <c r="H74" s="57" t="s">
        <v>15</v>
      </c>
      <c r="I74" s="218"/>
      <c r="J74" s="218"/>
      <c r="K74" s="218"/>
      <c r="L74" s="184"/>
      <c r="M74" s="218">
        <f>30107</f>
        <v>30107</v>
      </c>
      <c r="N74" s="218"/>
      <c r="O74" s="218"/>
      <c r="P74" s="171"/>
      <c r="Q74" s="171"/>
      <c r="R74" s="171"/>
      <c r="S74" s="171"/>
      <c r="T74" s="218"/>
      <c r="U74" s="218"/>
      <c r="V74" s="171"/>
      <c r="W74" s="218"/>
      <c r="X74" s="218"/>
      <c r="Y74" s="218"/>
      <c r="Z74" s="171"/>
      <c r="AA74" s="218"/>
      <c r="AB74" s="218"/>
      <c r="AC74" s="218"/>
      <c r="AD74" s="218"/>
      <c r="AE74" s="218"/>
      <c r="AF74" s="218"/>
      <c r="AG74" s="171"/>
      <c r="AH74" s="218"/>
      <c r="AI74" s="218"/>
      <c r="AJ74" s="218"/>
      <c r="AK74" s="218"/>
      <c r="AL74" s="210">
        <f>SUM(I74:AK74)</f>
        <v>30107</v>
      </c>
      <c r="AM74" s="206"/>
      <c r="AN74" s="206"/>
      <c r="AO74" s="206"/>
      <c r="AP74" s="346"/>
      <c r="AQ74" s="190"/>
      <c r="AR74" s="190"/>
      <c r="AS74" s="346"/>
      <c r="AT74" s="212"/>
      <c r="AU74" s="346"/>
      <c r="AV74" s="346"/>
    </row>
    <row r="75" spans="1:48" hidden="1">
      <c r="A75" s="269"/>
      <c r="B75" s="269"/>
      <c r="C75" s="295"/>
      <c r="D75" s="310"/>
      <c r="E75" s="303"/>
      <c r="F75" s="295"/>
      <c r="G75" s="154" t="s">
        <v>47</v>
      </c>
      <c r="H75" s="62" t="s">
        <v>48</v>
      </c>
      <c r="I75" s="183">
        <f>$O$84*$D$58/5</f>
        <v>4372.5</v>
      </c>
      <c r="J75" s="183">
        <f>$O$84*$D$58/5</f>
        <v>4372.5</v>
      </c>
      <c r="K75" s="183">
        <f>$O$84*$D$58/5</f>
        <v>4372.5</v>
      </c>
      <c r="L75" s="184"/>
      <c r="M75" s="183">
        <f>$O$84*$D$58/5</f>
        <v>4372.5</v>
      </c>
      <c r="N75" s="183">
        <f>$O$84*$D$58/5</f>
        <v>4372.5</v>
      </c>
      <c r="O75" s="183">
        <f>$O$84*$D$58/5</f>
        <v>4372.5</v>
      </c>
      <c r="P75" s="171"/>
      <c r="Q75" s="171"/>
      <c r="R75" s="171"/>
      <c r="S75" s="171"/>
      <c r="T75" s="183">
        <f>$O$84*$D$58/5</f>
        <v>4372.5</v>
      </c>
      <c r="U75" s="183">
        <f>$O$84*$D$58/5</f>
        <v>4372.5</v>
      </c>
      <c r="V75" s="171"/>
      <c r="W75" s="183">
        <f>$O$84*$D$58/5</f>
        <v>4372.5</v>
      </c>
      <c r="X75" s="183">
        <f>$O$84*$D$58/5</f>
        <v>4372.5</v>
      </c>
      <c r="Y75" s="183">
        <f>$O$84*$D$58/5</f>
        <v>4372.5</v>
      </c>
      <c r="Z75" s="171"/>
      <c r="AA75" s="183">
        <f t="shared" ref="AA75:AF75" si="17">$O$84*$D$58/5</f>
        <v>4372.5</v>
      </c>
      <c r="AB75" s="183">
        <f t="shared" si="17"/>
        <v>4372.5</v>
      </c>
      <c r="AC75" s="183">
        <f t="shared" si="17"/>
        <v>4372.5</v>
      </c>
      <c r="AD75" s="183">
        <f t="shared" si="17"/>
        <v>4372.5</v>
      </c>
      <c r="AE75" s="183">
        <f t="shared" si="17"/>
        <v>4372.5</v>
      </c>
      <c r="AF75" s="183">
        <f t="shared" si="17"/>
        <v>4372.5</v>
      </c>
      <c r="AG75" s="171"/>
      <c r="AH75" s="183">
        <f>$O$84*$D$58/5</f>
        <v>4372.5</v>
      </c>
      <c r="AI75" s="183">
        <f>$O$84*$D$58/5</f>
        <v>4372.5</v>
      </c>
      <c r="AJ75" s="183">
        <f>$O$84*$D$58/5</f>
        <v>4372.5</v>
      </c>
      <c r="AK75" s="183">
        <f>$O$84*$D$58/5</f>
        <v>4372.5</v>
      </c>
      <c r="AL75" s="211">
        <f>SUM(I75:AK75)</f>
        <v>91822.5</v>
      </c>
      <c r="AM75" s="206"/>
      <c r="AN75" s="206"/>
      <c r="AO75" s="206"/>
      <c r="AP75" s="346"/>
      <c r="AQ75" s="190"/>
      <c r="AR75" s="190"/>
      <c r="AS75" s="346"/>
      <c r="AT75" s="212"/>
      <c r="AU75" s="346"/>
      <c r="AV75" s="346"/>
    </row>
    <row r="76" spans="1:48" hidden="1">
      <c r="A76" s="269"/>
      <c r="B76" s="269"/>
      <c r="C76" s="295"/>
      <c r="D76" s="310"/>
      <c r="E76" s="303"/>
      <c r="F76" s="295"/>
      <c r="G76" s="154"/>
      <c r="H76" s="62" t="s">
        <v>27</v>
      </c>
      <c r="I76" s="170"/>
      <c r="J76" s="170">
        <v>1</v>
      </c>
      <c r="K76" s="170"/>
      <c r="L76" s="171"/>
      <c r="M76" s="170">
        <v>1</v>
      </c>
      <c r="N76" s="170"/>
      <c r="O76" s="170"/>
      <c r="P76" s="171"/>
      <c r="Q76" s="171"/>
      <c r="R76" s="171"/>
      <c r="S76" s="171"/>
      <c r="T76" s="170">
        <v>1</v>
      </c>
      <c r="U76" s="170"/>
      <c r="V76" s="171"/>
      <c r="W76" s="170">
        <v>1</v>
      </c>
      <c r="X76" s="170"/>
      <c r="Y76" s="170"/>
      <c r="Z76" s="171"/>
      <c r="AA76" s="170">
        <v>1</v>
      </c>
      <c r="AB76" s="170"/>
      <c r="AC76" s="170">
        <v>1</v>
      </c>
      <c r="AD76" s="170"/>
      <c r="AE76" s="170"/>
      <c r="AF76" s="170">
        <v>1</v>
      </c>
      <c r="AG76" s="171"/>
      <c r="AH76" s="170"/>
      <c r="AI76" s="170">
        <v>1</v>
      </c>
      <c r="AJ76" s="170"/>
      <c r="AK76" s="170"/>
      <c r="AL76" s="211"/>
      <c r="AM76" s="206"/>
      <c r="AN76" s="206"/>
      <c r="AO76" s="206"/>
      <c r="AP76" s="346"/>
      <c r="AQ76" s="190"/>
      <c r="AR76" s="190"/>
      <c r="AS76" s="346"/>
      <c r="AT76" s="212"/>
      <c r="AU76" s="346"/>
      <c r="AV76" s="346"/>
    </row>
    <row r="77" spans="1:48" hidden="1">
      <c r="A77" s="269"/>
      <c r="B77" s="269"/>
      <c r="C77" s="295"/>
      <c r="D77" s="310"/>
      <c r="E77" s="303"/>
      <c r="F77" s="295"/>
      <c r="G77" s="154"/>
      <c r="H77" s="57" t="s">
        <v>15</v>
      </c>
      <c r="I77" s="172"/>
      <c r="J77" s="172"/>
      <c r="K77" s="172"/>
      <c r="L77" s="171"/>
      <c r="M77" s="172">
        <f>23066</f>
        <v>23066</v>
      </c>
      <c r="N77" s="172"/>
      <c r="O77" s="172"/>
      <c r="P77" s="171"/>
      <c r="Q77" s="171"/>
      <c r="R77" s="171"/>
      <c r="S77" s="171"/>
      <c r="T77" s="172"/>
      <c r="U77" s="172"/>
      <c r="V77" s="171"/>
      <c r="W77" s="172"/>
      <c r="X77" s="172"/>
      <c r="Y77" s="172"/>
      <c r="Z77" s="171"/>
      <c r="AA77" s="172"/>
      <c r="AB77" s="172"/>
      <c r="AC77" s="172"/>
      <c r="AD77" s="172"/>
      <c r="AE77" s="172"/>
      <c r="AF77" s="172"/>
      <c r="AG77" s="171"/>
      <c r="AH77" s="172"/>
      <c r="AI77" s="172"/>
      <c r="AJ77" s="172"/>
      <c r="AK77" s="172"/>
      <c r="AL77" s="210">
        <f>SUM(I77:AK77)</f>
        <v>23066</v>
      </c>
      <c r="AM77" s="206"/>
      <c r="AN77" s="206"/>
      <c r="AO77" s="206"/>
      <c r="AP77" s="346"/>
      <c r="AQ77" s="190"/>
      <c r="AR77" s="190"/>
      <c r="AS77" s="346"/>
      <c r="AT77" s="212"/>
      <c r="AU77" s="346"/>
      <c r="AV77" s="346"/>
    </row>
    <row r="78" spans="1:48" hidden="1">
      <c r="A78" s="269"/>
      <c r="B78" s="269"/>
      <c r="C78" s="295"/>
      <c r="D78" s="310"/>
      <c r="E78" s="303"/>
      <c r="F78" s="295"/>
      <c r="G78" s="154"/>
      <c r="H78" s="62" t="s">
        <v>30</v>
      </c>
      <c r="I78" s="170">
        <f>$O$84*$D$58/5</f>
        <v>4372.5</v>
      </c>
      <c r="J78" s="170">
        <f>$O$84*$D$58/5</f>
        <v>4372.5</v>
      </c>
      <c r="K78" s="170">
        <f>$O$84*$D$58/5</f>
        <v>4372.5</v>
      </c>
      <c r="L78" s="171"/>
      <c r="M78" s="170">
        <f>$O$84*$D$58/5</f>
        <v>4372.5</v>
      </c>
      <c r="N78" s="170">
        <f>$O$84*$D$58/5</f>
        <v>4372.5</v>
      </c>
      <c r="O78" s="170">
        <f>$O$84*$D$58/5</f>
        <v>4372.5</v>
      </c>
      <c r="P78" s="171"/>
      <c r="Q78" s="171"/>
      <c r="R78" s="171"/>
      <c r="S78" s="171"/>
      <c r="T78" s="170">
        <f>$O$84*$D$58/5</f>
        <v>4372.5</v>
      </c>
      <c r="U78" s="170">
        <f>$O$84*$D$58/5</f>
        <v>4372.5</v>
      </c>
      <c r="V78" s="171"/>
      <c r="W78" s="170">
        <f>$O$84*$D$58/5</f>
        <v>4372.5</v>
      </c>
      <c r="X78" s="170">
        <f>$O$84*$D$58/5</f>
        <v>4372.5</v>
      </c>
      <c r="Y78" s="170">
        <f>$O$84*$D$58/5</f>
        <v>4372.5</v>
      </c>
      <c r="Z78" s="171"/>
      <c r="AA78" s="170">
        <f t="shared" ref="AA78:AF78" si="18">$O$84*$D$58/5</f>
        <v>4372.5</v>
      </c>
      <c r="AB78" s="170">
        <f t="shared" si="18"/>
        <v>4372.5</v>
      </c>
      <c r="AC78" s="170">
        <f t="shared" si="18"/>
        <v>4372.5</v>
      </c>
      <c r="AD78" s="170">
        <f t="shared" si="18"/>
        <v>4372.5</v>
      </c>
      <c r="AE78" s="170">
        <f t="shared" si="18"/>
        <v>4372.5</v>
      </c>
      <c r="AF78" s="170">
        <f t="shared" si="18"/>
        <v>4372.5</v>
      </c>
      <c r="AG78" s="171"/>
      <c r="AH78" s="170">
        <f>$O$84*$D$58/5</f>
        <v>4372.5</v>
      </c>
      <c r="AI78" s="170">
        <f>$O$84*$D$58/5</f>
        <v>4372.5</v>
      </c>
      <c r="AJ78" s="170">
        <f>$O$84*$D$58/5</f>
        <v>4372.5</v>
      </c>
      <c r="AK78" s="170">
        <f>$O$84*$D$58/5</f>
        <v>4372.5</v>
      </c>
      <c r="AL78" s="211">
        <f>SUM(I78:AK78)</f>
        <v>91822.5</v>
      </c>
      <c r="AM78" s="206"/>
      <c r="AN78" s="206"/>
      <c r="AO78" s="206"/>
      <c r="AP78" s="346"/>
      <c r="AQ78" s="190"/>
      <c r="AR78" s="190"/>
      <c r="AS78" s="346"/>
      <c r="AT78" s="212"/>
      <c r="AU78" s="346"/>
      <c r="AV78" s="346"/>
    </row>
    <row r="79" spans="1:48" hidden="1">
      <c r="A79" s="269"/>
      <c r="B79" s="269"/>
      <c r="C79" s="295"/>
      <c r="D79" s="310"/>
      <c r="E79" s="303"/>
      <c r="F79" s="295"/>
      <c r="G79" s="154"/>
      <c r="H79" s="62" t="s">
        <v>31</v>
      </c>
      <c r="I79" s="170"/>
      <c r="J79" s="170"/>
      <c r="K79" s="170">
        <v>1</v>
      </c>
      <c r="L79" s="171"/>
      <c r="M79" s="170">
        <v>1</v>
      </c>
      <c r="N79" s="170">
        <v>1</v>
      </c>
      <c r="O79" s="170"/>
      <c r="P79" s="171"/>
      <c r="Q79" s="171"/>
      <c r="R79" s="171"/>
      <c r="S79" s="171"/>
      <c r="T79" s="170"/>
      <c r="U79" s="170">
        <v>1</v>
      </c>
      <c r="V79" s="171"/>
      <c r="W79" s="170">
        <v>1</v>
      </c>
      <c r="X79" s="170">
        <v>1</v>
      </c>
      <c r="Y79" s="170"/>
      <c r="Z79" s="171"/>
      <c r="AA79" s="170"/>
      <c r="AB79" s="170">
        <v>1</v>
      </c>
      <c r="AC79" s="170">
        <v>1</v>
      </c>
      <c r="AD79" s="170">
        <v>1</v>
      </c>
      <c r="AE79" s="170"/>
      <c r="AF79" s="170"/>
      <c r="AG79" s="171"/>
      <c r="AH79" s="170">
        <v>1</v>
      </c>
      <c r="AI79" s="170">
        <v>1</v>
      </c>
      <c r="AJ79" s="170">
        <v>1</v>
      </c>
      <c r="AK79" s="170"/>
      <c r="AL79" s="211"/>
      <c r="AM79" s="206"/>
      <c r="AN79" s="206"/>
      <c r="AO79" s="206"/>
      <c r="AP79" s="346"/>
      <c r="AQ79" s="190"/>
      <c r="AR79" s="190"/>
      <c r="AS79" s="346"/>
      <c r="AT79" s="212"/>
      <c r="AU79" s="346"/>
      <c r="AV79" s="346"/>
    </row>
    <row r="80" spans="1:48" hidden="1">
      <c r="A80" s="269"/>
      <c r="B80" s="269"/>
      <c r="C80" s="295"/>
      <c r="D80" s="310"/>
      <c r="E80" s="303"/>
      <c r="F80" s="295"/>
      <c r="G80" s="21"/>
      <c r="H80" s="57" t="s">
        <v>15</v>
      </c>
      <c r="I80" s="172">
        <f>1200+3500+1308+2969</f>
        <v>8977</v>
      </c>
      <c r="J80" s="172"/>
      <c r="K80" s="172"/>
      <c r="L80" s="171"/>
      <c r="M80" s="172"/>
      <c r="N80" s="172"/>
      <c r="O80" s="172"/>
      <c r="P80" s="171"/>
      <c r="Q80" s="171"/>
      <c r="R80" s="171"/>
      <c r="S80" s="171"/>
      <c r="T80" s="172">
        <f>4661+1127</f>
        <v>5788</v>
      </c>
      <c r="U80" s="172">
        <f>28+4169</f>
        <v>4197</v>
      </c>
      <c r="V80" s="171"/>
      <c r="W80" s="172">
        <f>500+4656+77+4659+615</f>
        <v>10507</v>
      </c>
      <c r="X80" s="172"/>
      <c r="Y80" s="172"/>
      <c r="Z80" s="171"/>
      <c r="AA80" s="172"/>
      <c r="AB80" s="172"/>
      <c r="AC80" s="172"/>
      <c r="AD80" s="172"/>
      <c r="AE80" s="172"/>
      <c r="AF80" s="172"/>
      <c r="AG80" s="171"/>
      <c r="AH80" s="172"/>
      <c r="AI80" s="172"/>
      <c r="AJ80" s="172"/>
      <c r="AK80" s="172"/>
      <c r="AL80" s="210">
        <f>SUM(I80:AK80)</f>
        <v>29469</v>
      </c>
      <c r="AM80" s="206"/>
      <c r="AN80" s="206"/>
      <c r="AO80" s="206"/>
      <c r="AP80" s="346"/>
      <c r="AQ80" s="190"/>
      <c r="AR80" s="190"/>
      <c r="AS80" s="346"/>
      <c r="AT80" s="212"/>
      <c r="AU80" s="346"/>
      <c r="AV80" s="346"/>
    </row>
    <row r="81" spans="1:48" hidden="1">
      <c r="A81" s="269"/>
      <c r="B81" s="269"/>
      <c r="C81" s="295"/>
      <c r="D81" s="310"/>
      <c r="E81" s="303"/>
      <c r="F81" s="295"/>
      <c r="G81" s="21"/>
      <c r="H81" s="62" t="s">
        <v>49</v>
      </c>
      <c r="I81" s="170">
        <f>$O$84*$D$58/5</f>
        <v>4372.5</v>
      </c>
      <c r="J81" s="170">
        <f>$O$84*$D$58/5</f>
        <v>4372.5</v>
      </c>
      <c r="K81" s="170">
        <f>$O$84*$D$58/5</f>
        <v>4372.5</v>
      </c>
      <c r="L81" s="171"/>
      <c r="M81" s="170">
        <f>$O$84*$D$58/5</f>
        <v>4372.5</v>
      </c>
      <c r="N81" s="170">
        <f>$O$84*$D$58/5</f>
        <v>4372.5</v>
      </c>
      <c r="O81" s="170">
        <f>$O$84*$D$58/5</f>
        <v>4372.5</v>
      </c>
      <c r="P81" s="171"/>
      <c r="Q81" s="171"/>
      <c r="R81" s="171"/>
      <c r="S81" s="171"/>
      <c r="T81" s="170">
        <f>$O$84*$D$58/5</f>
        <v>4372.5</v>
      </c>
      <c r="U81" s="170">
        <f>$O$84*$D$58/5</f>
        <v>4372.5</v>
      </c>
      <c r="V81" s="171"/>
      <c r="W81" s="170">
        <f>$O$84*$D$58/5</f>
        <v>4372.5</v>
      </c>
      <c r="X81" s="170">
        <f>$O$84*$D$58/5</f>
        <v>4372.5</v>
      </c>
      <c r="Y81" s="170">
        <f>$O$84*$D$58/5</f>
        <v>4372.5</v>
      </c>
      <c r="Z81" s="171"/>
      <c r="AA81" s="170">
        <f t="shared" ref="AA81:AF81" si="19">$O$84*$D$58/5</f>
        <v>4372.5</v>
      </c>
      <c r="AB81" s="170">
        <f t="shared" si="19"/>
        <v>4372.5</v>
      </c>
      <c r="AC81" s="170">
        <f t="shared" si="19"/>
        <v>4372.5</v>
      </c>
      <c r="AD81" s="170">
        <f t="shared" si="19"/>
        <v>4372.5</v>
      </c>
      <c r="AE81" s="170">
        <f t="shared" si="19"/>
        <v>4372.5</v>
      </c>
      <c r="AF81" s="170">
        <f t="shared" si="19"/>
        <v>4372.5</v>
      </c>
      <c r="AG81" s="171"/>
      <c r="AH81" s="170">
        <f>$O$84*$D$58/5</f>
        <v>4372.5</v>
      </c>
      <c r="AI81" s="170">
        <f>$O$84*$D$58/5</f>
        <v>4372.5</v>
      </c>
      <c r="AJ81" s="170">
        <f>$O$84*$D$58/5</f>
        <v>4372.5</v>
      </c>
      <c r="AK81" s="170">
        <f>$O$84*$D$58/5</f>
        <v>4372.5</v>
      </c>
      <c r="AL81" s="211">
        <f>SUM(I81:AK81)</f>
        <v>91822.5</v>
      </c>
      <c r="AM81" s="206"/>
      <c r="AN81" s="206"/>
      <c r="AO81" s="206"/>
      <c r="AP81" s="190"/>
      <c r="AQ81" s="190"/>
      <c r="AR81" s="190"/>
      <c r="AS81" s="190"/>
      <c r="AT81" s="212"/>
      <c r="AU81" s="190"/>
      <c r="AV81" s="190"/>
    </row>
    <row r="82" spans="1:48" hidden="1">
      <c r="A82" s="269"/>
      <c r="B82" s="269"/>
      <c r="C82" s="295"/>
      <c r="D82" s="310"/>
      <c r="E82" s="303"/>
      <c r="F82" s="295"/>
      <c r="G82" s="21"/>
      <c r="H82" s="62" t="s">
        <v>50</v>
      </c>
      <c r="I82" s="170"/>
      <c r="J82" s="170"/>
      <c r="K82" s="170"/>
      <c r="L82" s="171"/>
      <c r="M82" s="170">
        <v>2</v>
      </c>
      <c r="N82" s="170">
        <v>2</v>
      </c>
      <c r="O82" s="170"/>
      <c r="P82" s="171"/>
      <c r="Q82" s="171"/>
      <c r="R82" s="171"/>
      <c r="S82" s="171"/>
      <c r="T82" s="170"/>
      <c r="U82" s="170"/>
      <c r="V82" s="171"/>
      <c r="W82" s="170">
        <v>2</v>
      </c>
      <c r="X82" s="170">
        <v>2</v>
      </c>
      <c r="Y82" s="170"/>
      <c r="Z82" s="171"/>
      <c r="AA82" s="170"/>
      <c r="AB82" s="170"/>
      <c r="AC82" s="170">
        <v>2</v>
      </c>
      <c r="AD82" s="170">
        <v>2</v>
      </c>
      <c r="AE82" s="170"/>
      <c r="AF82" s="170"/>
      <c r="AG82" s="171"/>
      <c r="AH82" s="170"/>
      <c r="AI82" s="170">
        <v>2</v>
      </c>
      <c r="AJ82" s="170">
        <v>2</v>
      </c>
      <c r="AK82" s="170"/>
      <c r="AL82" s="211"/>
      <c r="AM82" s="206"/>
      <c r="AN82" s="206"/>
      <c r="AO82" s="206"/>
      <c r="AP82" s="190"/>
      <c r="AQ82" s="190"/>
      <c r="AR82" s="190"/>
      <c r="AS82" s="190"/>
      <c r="AT82" s="212"/>
      <c r="AU82" s="190"/>
      <c r="AV82" s="190"/>
    </row>
    <row r="83" spans="1:48" hidden="1">
      <c r="A83" s="269"/>
      <c r="B83" s="269"/>
      <c r="C83" s="295"/>
      <c r="D83" s="310"/>
      <c r="E83" s="303"/>
      <c r="F83" s="295"/>
      <c r="G83" s="21"/>
      <c r="H83" s="57" t="s">
        <v>15</v>
      </c>
      <c r="I83" s="172">
        <v>6751</v>
      </c>
      <c r="J83" s="172">
        <v>7303</v>
      </c>
      <c r="K83" s="172">
        <v>1900</v>
      </c>
      <c r="L83" s="171"/>
      <c r="M83" s="172"/>
      <c r="N83" s="172"/>
      <c r="O83" s="172"/>
      <c r="P83" s="171"/>
      <c r="Q83" s="171"/>
      <c r="R83" s="171"/>
      <c r="S83" s="171"/>
      <c r="T83" s="172"/>
      <c r="U83" s="172">
        <v>4144</v>
      </c>
      <c r="V83" s="171"/>
      <c r="W83" s="172">
        <v>1292</v>
      </c>
      <c r="X83" s="172">
        <f>1500+1533+1600+1500+950+1400</f>
        <v>8483</v>
      </c>
      <c r="Y83" s="172"/>
      <c r="Z83" s="171"/>
      <c r="AA83" s="172"/>
      <c r="AB83" s="172"/>
      <c r="AC83" s="172"/>
      <c r="AD83" s="172"/>
      <c r="AE83" s="172"/>
      <c r="AF83" s="172"/>
      <c r="AG83" s="171"/>
      <c r="AH83" s="172"/>
      <c r="AI83" s="172"/>
      <c r="AJ83" s="172"/>
      <c r="AK83" s="172"/>
      <c r="AL83" s="210">
        <f>SUM(I83:AK83)</f>
        <v>29873</v>
      </c>
      <c r="AM83" s="206"/>
      <c r="AN83" s="206"/>
      <c r="AO83" s="206"/>
      <c r="AP83" s="190"/>
      <c r="AQ83" s="190"/>
      <c r="AR83" s="190"/>
      <c r="AS83" s="190"/>
      <c r="AT83" s="212"/>
      <c r="AU83" s="190"/>
      <c r="AV83" s="190"/>
    </row>
    <row r="84" spans="1:48" hidden="1">
      <c r="A84" s="269"/>
      <c r="B84" s="269"/>
      <c r="C84" s="295"/>
      <c r="D84" s="310"/>
      <c r="E84" s="303"/>
      <c r="F84" s="295"/>
      <c r="G84" s="154"/>
      <c r="H84" s="62" t="s">
        <v>32</v>
      </c>
      <c r="I84" s="170"/>
      <c r="J84" s="170"/>
      <c r="K84" s="170"/>
      <c r="L84" s="171"/>
      <c r="M84" s="170"/>
      <c r="N84" s="170"/>
      <c r="O84" s="170">
        <f>($C$58*5)+($C$58*5*10%)</f>
        <v>13750</v>
      </c>
      <c r="P84" s="171"/>
      <c r="Q84" s="171"/>
      <c r="R84" s="171"/>
      <c r="S84" s="171"/>
      <c r="T84" s="170"/>
      <c r="U84" s="170"/>
      <c r="V84" s="171"/>
      <c r="W84" s="170"/>
      <c r="X84" s="170"/>
      <c r="Y84" s="170">
        <f>($C$58*5)+($C$58*5*10%)</f>
        <v>13750</v>
      </c>
      <c r="Z84" s="171"/>
      <c r="AA84" s="170"/>
      <c r="AB84" s="170"/>
      <c r="AC84" s="170"/>
      <c r="AD84" s="170"/>
      <c r="AE84" s="170">
        <f>($C$58*5)+($C$58*5*10%)</f>
        <v>13750</v>
      </c>
      <c r="AF84" s="170"/>
      <c r="AG84" s="171"/>
      <c r="AH84" s="170"/>
      <c r="AI84" s="170"/>
      <c r="AJ84" s="170"/>
      <c r="AK84" s="170">
        <f>($C$58*5)+($C$58*5*10%)</f>
        <v>13750</v>
      </c>
      <c r="AL84" s="211">
        <f>SUM(I84:AK84)</f>
        <v>55000</v>
      </c>
      <c r="AM84" s="206"/>
      <c r="AN84" s="206"/>
      <c r="AO84" s="206"/>
      <c r="AP84" s="190"/>
      <c r="AQ84" s="190"/>
      <c r="AR84" s="190"/>
      <c r="AS84" s="190"/>
      <c r="AT84" s="212"/>
      <c r="AU84" s="190"/>
      <c r="AV84" s="190"/>
    </row>
    <row r="85" spans="1:48" hidden="1">
      <c r="A85" s="269"/>
      <c r="B85" s="269"/>
      <c r="C85" s="295"/>
      <c r="D85" s="310"/>
      <c r="E85" s="303"/>
      <c r="F85" s="295"/>
      <c r="G85" s="154"/>
      <c r="H85" s="62" t="s">
        <v>51</v>
      </c>
      <c r="I85" s="170"/>
      <c r="J85" s="170"/>
      <c r="K85" s="170"/>
      <c r="L85" s="171"/>
      <c r="M85" s="170"/>
      <c r="N85" s="170"/>
      <c r="O85" s="170">
        <v>1</v>
      </c>
      <c r="P85" s="171"/>
      <c r="Q85" s="171"/>
      <c r="R85" s="171"/>
      <c r="S85" s="171"/>
      <c r="T85" s="170"/>
      <c r="U85" s="170"/>
      <c r="V85" s="171"/>
      <c r="W85" s="170"/>
      <c r="X85" s="170"/>
      <c r="Y85" s="170">
        <v>1</v>
      </c>
      <c r="Z85" s="171"/>
      <c r="AA85" s="170"/>
      <c r="AB85" s="170"/>
      <c r="AC85" s="170"/>
      <c r="AD85" s="170"/>
      <c r="AE85" s="170">
        <v>1</v>
      </c>
      <c r="AF85" s="170"/>
      <c r="AG85" s="171"/>
      <c r="AH85" s="170"/>
      <c r="AI85" s="170"/>
      <c r="AJ85" s="170"/>
      <c r="AK85" s="170">
        <v>1</v>
      </c>
      <c r="AL85" s="211"/>
      <c r="AM85" s="206"/>
      <c r="AN85" s="206"/>
      <c r="AO85" s="206"/>
      <c r="AP85" s="190"/>
      <c r="AQ85" s="190"/>
      <c r="AR85" s="190"/>
      <c r="AS85" s="190"/>
      <c r="AT85" s="212"/>
      <c r="AU85" s="190"/>
      <c r="AV85" s="190"/>
    </row>
    <row r="86" spans="1:48" hidden="1">
      <c r="A86" s="270"/>
      <c r="B86" s="270"/>
      <c r="C86" s="297"/>
      <c r="D86" s="311"/>
      <c r="E86" s="304"/>
      <c r="F86" s="297"/>
      <c r="G86" s="158"/>
      <c r="H86" s="159" t="s">
        <v>15</v>
      </c>
      <c r="I86" s="176"/>
      <c r="J86" s="176"/>
      <c r="K86" s="176">
        <f>9000+6150</f>
        <v>15150</v>
      </c>
      <c r="L86" s="219"/>
      <c r="M86" s="176"/>
      <c r="N86" s="176">
        <v>6042</v>
      </c>
      <c r="O86" s="176">
        <v>7762</v>
      </c>
      <c r="P86" s="219"/>
      <c r="Q86" s="219"/>
      <c r="R86" s="219"/>
      <c r="S86" s="219"/>
      <c r="T86" s="176"/>
      <c r="U86" s="176"/>
      <c r="V86" s="219"/>
      <c r="W86" s="176"/>
      <c r="X86" s="176"/>
      <c r="Y86" s="176">
        <v>5909</v>
      </c>
      <c r="Z86" s="219"/>
      <c r="AA86" s="176"/>
      <c r="AB86" s="176"/>
      <c r="AC86" s="176"/>
      <c r="AD86" s="176"/>
      <c r="AE86" s="176"/>
      <c r="AF86" s="176"/>
      <c r="AG86" s="219"/>
      <c r="AH86" s="176"/>
      <c r="AI86" s="176"/>
      <c r="AJ86" s="176"/>
      <c r="AK86" s="176"/>
      <c r="AL86" s="227">
        <f>SUM(I86:AK86)</f>
        <v>34863</v>
      </c>
      <c r="AM86" s="206"/>
      <c r="AN86" s="206"/>
      <c r="AO86" s="206"/>
      <c r="AP86" s="190"/>
      <c r="AQ86" s="190"/>
      <c r="AR86" s="190"/>
      <c r="AS86" s="190"/>
      <c r="AT86" s="212"/>
      <c r="AU86" s="190"/>
      <c r="AV86" s="190"/>
    </row>
    <row r="87" spans="1:48" ht="15" hidden="1" customHeight="1">
      <c r="A87" s="271" t="s">
        <v>52</v>
      </c>
      <c r="B87" s="284" t="s">
        <v>53</v>
      </c>
      <c r="C87" s="298">
        <v>2000</v>
      </c>
      <c r="D87" s="312">
        <v>1.56</v>
      </c>
      <c r="E87" s="325"/>
      <c r="F87" s="298" t="s">
        <v>54</v>
      </c>
      <c r="G87" s="155">
        <v>0.16</v>
      </c>
      <c r="H87" s="81" t="s">
        <v>12</v>
      </c>
      <c r="I87" s="220">
        <f>(6.91*20)+(2.41*20)</f>
        <v>186.4</v>
      </c>
      <c r="J87" s="181"/>
      <c r="K87" s="181"/>
      <c r="L87" s="221"/>
      <c r="M87" s="181"/>
      <c r="N87" s="181"/>
      <c r="O87" s="181"/>
      <c r="P87" s="221"/>
      <c r="Q87" s="221"/>
      <c r="R87" s="221"/>
      <c r="S87" s="221"/>
      <c r="T87" s="181"/>
      <c r="U87" s="181"/>
      <c r="V87" s="221"/>
      <c r="W87" s="181"/>
      <c r="X87" s="181"/>
      <c r="Y87" s="181"/>
      <c r="Z87" s="221"/>
      <c r="AA87" s="181"/>
      <c r="AB87" s="181"/>
      <c r="AC87" s="181"/>
      <c r="AD87" s="181"/>
      <c r="AE87" s="181"/>
      <c r="AF87" s="181"/>
      <c r="AG87" s="221"/>
      <c r="AH87" s="181"/>
      <c r="AI87" s="181"/>
      <c r="AJ87" s="181"/>
      <c r="AK87" s="181"/>
      <c r="AL87" s="228"/>
      <c r="AM87" s="190"/>
      <c r="AN87" s="190"/>
      <c r="AO87" s="190"/>
      <c r="AP87" s="190"/>
      <c r="AQ87" s="190"/>
      <c r="AR87" s="190"/>
      <c r="AS87" s="190"/>
      <c r="AT87" s="190"/>
      <c r="AU87" s="346"/>
      <c r="AV87" s="346"/>
    </row>
    <row r="88" spans="1:48" ht="15" hidden="1" customHeight="1">
      <c r="A88" s="269"/>
      <c r="B88" s="285"/>
      <c r="C88" s="295"/>
      <c r="D88" s="313"/>
      <c r="E88" s="303"/>
      <c r="F88" s="295"/>
      <c r="G88" s="154"/>
      <c r="H88" s="62" t="s">
        <v>14</v>
      </c>
      <c r="I88" s="170">
        <v>1</v>
      </c>
      <c r="J88" s="170"/>
      <c r="K88" s="170"/>
      <c r="L88" s="171"/>
      <c r="M88" s="170"/>
      <c r="N88" s="170"/>
      <c r="O88" s="170"/>
      <c r="P88" s="171"/>
      <c r="Q88" s="171"/>
      <c r="R88" s="171"/>
      <c r="S88" s="171"/>
      <c r="T88" s="170"/>
      <c r="U88" s="170"/>
      <c r="V88" s="171"/>
      <c r="W88" s="170"/>
      <c r="X88" s="170"/>
      <c r="Y88" s="170"/>
      <c r="Z88" s="171"/>
      <c r="AA88" s="170"/>
      <c r="AB88" s="170"/>
      <c r="AC88" s="170"/>
      <c r="AD88" s="170"/>
      <c r="AE88" s="170"/>
      <c r="AF88" s="170"/>
      <c r="AG88" s="171"/>
      <c r="AH88" s="170"/>
      <c r="AI88" s="170"/>
      <c r="AJ88" s="170"/>
      <c r="AK88" s="170"/>
      <c r="AL88" s="210"/>
      <c r="AM88" s="190"/>
      <c r="AN88" s="190"/>
      <c r="AO88" s="190"/>
      <c r="AP88" s="190"/>
      <c r="AQ88" s="190"/>
      <c r="AR88" s="190"/>
      <c r="AS88" s="190"/>
      <c r="AT88" s="190"/>
      <c r="AU88" s="346"/>
      <c r="AV88" s="346"/>
    </row>
    <row r="89" spans="1:48" ht="15" hidden="1" customHeight="1">
      <c r="A89" s="269"/>
      <c r="B89" s="285"/>
      <c r="C89" s="295"/>
      <c r="D89" s="313"/>
      <c r="E89" s="303"/>
      <c r="F89" s="295"/>
      <c r="G89" s="154"/>
      <c r="H89" s="57" t="s">
        <v>15</v>
      </c>
      <c r="I89" s="172"/>
      <c r="J89" s="172"/>
      <c r="K89" s="172"/>
      <c r="L89" s="171"/>
      <c r="M89" s="172"/>
      <c r="N89" s="172"/>
      <c r="O89" s="172"/>
      <c r="P89" s="171"/>
      <c r="Q89" s="171"/>
      <c r="R89" s="171"/>
      <c r="S89" s="171"/>
      <c r="T89" s="172"/>
      <c r="U89" s="172"/>
      <c r="V89" s="171"/>
      <c r="W89" s="172"/>
      <c r="X89" s="172"/>
      <c r="Y89" s="172"/>
      <c r="Z89" s="171"/>
      <c r="AA89" s="172"/>
      <c r="AB89" s="172"/>
      <c r="AC89" s="172"/>
      <c r="AD89" s="172"/>
      <c r="AE89" s="172"/>
      <c r="AF89" s="172"/>
      <c r="AG89" s="171"/>
      <c r="AH89" s="172"/>
      <c r="AI89" s="172"/>
      <c r="AJ89" s="172"/>
      <c r="AK89" s="172"/>
      <c r="AL89" s="210"/>
      <c r="AM89" s="190"/>
      <c r="AN89" s="190"/>
      <c r="AO89" s="190"/>
      <c r="AP89" s="190"/>
      <c r="AQ89" s="190"/>
      <c r="AR89" s="190"/>
      <c r="AS89" s="190"/>
      <c r="AT89" s="190"/>
      <c r="AU89" s="346"/>
      <c r="AV89" s="346"/>
    </row>
    <row r="90" spans="1:48" ht="15" hidden="1" customHeight="1">
      <c r="A90" s="269"/>
      <c r="B90" s="285"/>
      <c r="C90" s="295"/>
      <c r="D90" s="313"/>
      <c r="E90" s="303"/>
      <c r="F90" s="295"/>
      <c r="G90" s="154">
        <v>0.12</v>
      </c>
      <c r="H90" s="62" t="s">
        <v>12</v>
      </c>
      <c r="I90" s="64">
        <f>(8.1*20)+(2.81*20)</f>
        <v>218.2</v>
      </c>
      <c r="J90" s="170"/>
      <c r="K90" s="170"/>
      <c r="L90" s="171"/>
      <c r="M90" s="170"/>
      <c r="N90" s="170"/>
      <c r="O90" s="170"/>
      <c r="P90" s="171"/>
      <c r="Q90" s="171"/>
      <c r="R90" s="171"/>
      <c r="S90" s="171"/>
      <c r="T90" s="170"/>
      <c r="U90" s="170"/>
      <c r="V90" s="171"/>
      <c r="W90" s="170"/>
      <c r="X90" s="170"/>
      <c r="Y90" s="170"/>
      <c r="Z90" s="171"/>
      <c r="AA90" s="170"/>
      <c r="AB90" s="170"/>
      <c r="AC90" s="170"/>
      <c r="AD90" s="170"/>
      <c r="AE90" s="170"/>
      <c r="AF90" s="170"/>
      <c r="AG90" s="171"/>
      <c r="AH90" s="170"/>
      <c r="AI90" s="170"/>
      <c r="AJ90" s="170"/>
      <c r="AK90" s="170"/>
      <c r="AL90" s="210"/>
      <c r="AM90" s="190"/>
      <c r="AN90" s="190"/>
      <c r="AO90" s="190"/>
      <c r="AP90" s="190"/>
      <c r="AQ90" s="190"/>
      <c r="AR90" s="190"/>
      <c r="AS90" s="190"/>
      <c r="AT90" s="190"/>
      <c r="AU90" s="346"/>
      <c r="AV90" s="346"/>
    </row>
    <row r="91" spans="1:48" hidden="1">
      <c r="A91" s="269"/>
      <c r="B91" s="285"/>
      <c r="C91" s="295"/>
      <c r="D91" s="313"/>
      <c r="E91" s="303"/>
      <c r="F91" s="295"/>
      <c r="G91" s="154"/>
      <c r="H91" s="62" t="s">
        <v>14</v>
      </c>
      <c r="I91" s="170">
        <v>1</v>
      </c>
      <c r="J91" s="170"/>
      <c r="K91" s="170"/>
      <c r="L91" s="171"/>
      <c r="M91" s="170"/>
      <c r="N91" s="170"/>
      <c r="O91" s="170"/>
      <c r="P91" s="171"/>
      <c r="Q91" s="171"/>
      <c r="R91" s="171"/>
      <c r="S91" s="171"/>
      <c r="T91" s="170"/>
      <c r="U91" s="170"/>
      <c r="V91" s="171"/>
      <c r="W91" s="170"/>
      <c r="X91" s="170"/>
      <c r="Y91" s="170"/>
      <c r="Z91" s="171"/>
      <c r="AA91" s="170"/>
      <c r="AB91" s="170"/>
      <c r="AC91" s="170"/>
      <c r="AD91" s="170"/>
      <c r="AE91" s="170"/>
      <c r="AF91" s="170"/>
      <c r="AG91" s="171"/>
      <c r="AH91" s="170"/>
      <c r="AI91" s="170"/>
      <c r="AJ91" s="170"/>
      <c r="AK91" s="170"/>
      <c r="AL91" s="210"/>
      <c r="AM91" s="206"/>
      <c r="AN91" s="206"/>
      <c r="AO91" s="206"/>
      <c r="AP91" s="190"/>
      <c r="AQ91" s="190"/>
      <c r="AR91" s="190"/>
      <c r="AS91" s="190"/>
      <c r="AT91" s="190"/>
      <c r="AU91" s="346"/>
      <c r="AV91" s="346"/>
    </row>
    <row r="92" spans="1:48" hidden="1">
      <c r="A92" s="269"/>
      <c r="B92" s="285"/>
      <c r="C92" s="295"/>
      <c r="D92" s="313"/>
      <c r="E92" s="303"/>
      <c r="F92" s="295"/>
      <c r="G92" s="154"/>
      <c r="H92" s="57" t="s">
        <v>15</v>
      </c>
      <c r="I92" s="172"/>
      <c r="J92" s="172"/>
      <c r="K92" s="172"/>
      <c r="L92" s="171"/>
      <c r="M92" s="172"/>
      <c r="N92" s="172"/>
      <c r="O92" s="172"/>
      <c r="P92" s="171"/>
      <c r="Q92" s="171"/>
      <c r="R92" s="171"/>
      <c r="S92" s="171"/>
      <c r="T92" s="172"/>
      <c r="U92" s="172"/>
      <c r="V92" s="171"/>
      <c r="W92" s="172"/>
      <c r="X92" s="172"/>
      <c r="Y92" s="172"/>
      <c r="Z92" s="171"/>
      <c r="AA92" s="172"/>
      <c r="AB92" s="172"/>
      <c r="AC92" s="172"/>
      <c r="AD92" s="172"/>
      <c r="AE92" s="172"/>
      <c r="AF92" s="172"/>
      <c r="AG92" s="171"/>
      <c r="AH92" s="172"/>
      <c r="AI92" s="172"/>
      <c r="AJ92" s="172"/>
      <c r="AK92" s="172"/>
      <c r="AL92" s="210"/>
      <c r="AM92" s="190"/>
      <c r="AN92" s="190"/>
      <c r="AO92" s="190"/>
      <c r="AP92" s="190"/>
      <c r="AQ92" s="190"/>
      <c r="AR92" s="190"/>
      <c r="AS92" s="190"/>
      <c r="AT92" s="190"/>
      <c r="AU92" s="346"/>
      <c r="AV92" s="346"/>
    </row>
    <row r="93" spans="1:48" hidden="1">
      <c r="A93" s="269"/>
      <c r="B93" s="285"/>
      <c r="C93" s="295"/>
      <c r="D93" s="313"/>
      <c r="E93" s="303"/>
      <c r="F93" s="295"/>
      <c r="G93" s="154" t="s">
        <v>55</v>
      </c>
      <c r="H93" s="62" t="s">
        <v>22</v>
      </c>
      <c r="I93" s="170">
        <f>($O$102*$D$87)+($O$105*$D$98)</f>
        <v>21050</v>
      </c>
      <c r="J93" s="170"/>
      <c r="K93" s="170"/>
      <c r="L93" s="171"/>
      <c r="M93" s="170"/>
      <c r="N93" s="170"/>
      <c r="O93" s="170">
        <f>($O$102*$D$87)+($O$105*$D$98)</f>
        <v>21050</v>
      </c>
      <c r="P93" s="171"/>
      <c r="Q93" s="171"/>
      <c r="R93" s="171"/>
      <c r="S93" s="171"/>
      <c r="T93" s="170"/>
      <c r="U93" s="170"/>
      <c r="V93" s="171"/>
      <c r="W93" s="170"/>
      <c r="X93" s="170"/>
      <c r="Y93" s="170">
        <f>($O$102*$D$87)+($O$105*$D$98)</f>
        <v>21050</v>
      </c>
      <c r="Z93" s="171"/>
      <c r="AA93" s="170"/>
      <c r="AB93" s="170"/>
      <c r="AC93" s="170"/>
      <c r="AD93" s="170"/>
      <c r="AE93" s="170">
        <f>($O$102*$D$87)+($O$105*$D$98)</f>
        <v>21050</v>
      </c>
      <c r="AF93" s="170"/>
      <c r="AG93" s="171"/>
      <c r="AH93" s="170"/>
      <c r="AI93" s="170"/>
      <c r="AJ93" s="170"/>
      <c r="AK93" s="170">
        <f>($O$102*$D$87)+($O$105*$D$98)</f>
        <v>21050</v>
      </c>
      <c r="AL93" s="211">
        <f>SUM(I93:AK93)</f>
        <v>105250</v>
      </c>
      <c r="AM93" s="190"/>
      <c r="AN93" s="190"/>
      <c r="AO93" s="190"/>
      <c r="AP93" s="190"/>
      <c r="AQ93" s="190"/>
      <c r="AR93" s="190"/>
      <c r="AS93" s="190"/>
      <c r="AT93" s="190"/>
      <c r="AU93" s="190"/>
      <c r="AV93" s="346"/>
    </row>
    <row r="94" spans="1:48" hidden="1">
      <c r="A94" s="269"/>
      <c r="B94" s="285"/>
      <c r="C94" s="295"/>
      <c r="D94" s="313"/>
      <c r="E94" s="303"/>
      <c r="F94" s="295"/>
      <c r="G94" s="154"/>
      <c r="H94" s="62" t="s">
        <v>20</v>
      </c>
      <c r="I94" s="170">
        <v>1</v>
      </c>
      <c r="J94" s="170"/>
      <c r="K94" s="170"/>
      <c r="L94" s="171"/>
      <c r="M94" s="170"/>
      <c r="N94" s="170"/>
      <c r="O94" s="170">
        <v>1</v>
      </c>
      <c r="P94" s="171"/>
      <c r="Q94" s="171"/>
      <c r="R94" s="171"/>
      <c r="S94" s="171"/>
      <c r="T94" s="170"/>
      <c r="U94" s="170"/>
      <c r="V94" s="171"/>
      <c r="W94" s="170"/>
      <c r="X94" s="170"/>
      <c r="Y94" s="170">
        <v>1</v>
      </c>
      <c r="Z94" s="171"/>
      <c r="AA94" s="170"/>
      <c r="AB94" s="170"/>
      <c r="AC94" s="170"/>
      <c r="AD94" s="170"/>
      <c r="AE94" s="170">
        <v>1</v>
      </c>
      <c r="AF94" s="170"/>
      <c r="AG94" s="171"/>
      <c r="AH94" s="170"/>
      <c r="AI94" s="170"/>
      <c r="AJ94" s="170"/>
      <c r="AK94" s="170">
        <v>1</v>
      </c>
      <c r="AL94" s="211"/>
      <c r="AM94" s="190"/>
      <c r="AN94" s="190"/>
      <c r="AO94" s="190"/>
      <c r="AP94" s="190"/>
      <c r="AQ94" s="190"/>
      <c r="AR94" s="190"/>
      <c r="AS94" s="190"/>
      <c r="AT94" s="190"/>
      <c r="AU94" s="190"/>
      <c r="AV94" s="346"/>
    </row>
    <row r="95" spans="1:48" hidden="1">
      <c r="A95" s="269"/>
      <c r="B95" s="285"/>
      <c r="C95" s="295"/>
      <c r="D95" s="313"/>
      <c r="E95" s="303"/>
      <c r="F95" s="295"/>
      <c r="G95" s="154"/>
      <c r="H95" s="57" t="s">
        <v>15</v>
      </c>
      <c r="I95" s="172"/>
      <c r="J95" s="172"/>
      <c r="K95" s="172"/>
      <c r="L95" s="171"/>
      <c r="M95" s="172"/>
      <c r="N95" s="172"/>
      <c r="O95" s="172"/>
      <c r="P95" s="171"/>
      <c r="Q95" s="171"/>
      <c r="R95" s="171"/>
      <c r="S95" s="171"/>
      <c r="T95" s="172"/>
      <c r="U95" s="172"/>
      <c r="V95" s="171"/>
      <c r="W95" s="172">
        <f>7339</f>
        <v>7339</v>
      </c>
      <c r="X95" s="172">
        <f>10087+8385</f>
        <v>18472</v>
      </c>
      <c r="Y95" s="172"/>
      <c r="Z95" s="171"/>
      <c r="AA95" s="172"/>
      <c r="AB95" s="172"/>
      <c r="AC95" s="172"/>
      <c r="AD95" s="172"/>
      <c r="AE95" s="172"/>
      <c r="AF95" s="172"/>
      <c r="AG95" s="171"/>
      <c r="AH95" s="172"/>
      <c r="AI95" s="172"/>
      <c r="AJ95" s="172"/>
      <c r="AK95" s="172"/>
      <c r="AL95" s="210">
        <f>SUM(I95:AK95)</f>
        <v>25811</v>
      </c>
      <c r="AM95" s="190"/>
      <c r="AN95" s="190"/>
      <c r="AO95" s="190"/>
      <c r="AP95" s="190"/>
      <c r="AQ95" s="190"/>
      <c r="AR95" s="190"/>
      <c r="AS95" s="190"/>
      <c r="AT95" s="190"/>
      <c r="AU95" s="190"/>
      <c r="AV95" s="346"/>
    </row>
    <row r="96" spans="1:48" hidden="1">
      <c r="A96" s="269"/>
      <c r="B96" s="285"/>
      <c r="C96" s="295"/>
      <c r="D96" s="313"/>
      <c r="E96" s="303"/>
      <c r="F96" s="295"/>
      <c r="G96" s="154" t="s">
        <v>28</v>
      </c>
      <c r="H96" s="62" t="s">
        <v>29</v>
      </c>
      <c r="I96" s="170"/>
      <c r="J96" s="170">
        <f>($O$102*$D$87)+($O$105*$D$98)</f>
        <v>21050</v>
      </c>
      <c r="K96" s="170"/>
      <c r="L96" s="171"/>
      <c r="M96" s="170"/>
      <c r="N96" s="170"/>
      <c r="O96" s="170"/>
      <c r="P96" s="171"/>
      <c r="Q96" s="171"/>
      <c r="R96" s="171"/>
      <c r="S96" s="171"/>
      <c r="T96" s="170">
        <f>($O$102*$D$87)+($O$105*$D$98)</f>
        <v>21050</v>
      </c>
      <c r="U96" s="170"/>
      <c r="V96" s="171"/>
      <c r="W96" s="170"/>
      <c r="X96" s="170"/>
      <c r="Y96" s="170"/>
      <c r="Z96" s="171"/>
      <c r="AA96" s="170">
        <f>($O$102*$D$87)+($O$105*$D$98)</f>
        <v>21050</v>
      </c>
      <c r="AB96" s="170"/>
      <c r="AC96" s="170"/>
      <c r="AD96" s="170"/>
      <c r="AE96" s="170"/>
      <c r="AF96" s="170">
        <f>($O$102*$D$87)+($O$105*$D$98)</f>
        <v>21050</v>
      </c>
      <c r="AG96" s="171"/>
      <c r="AH96" s="170"/>
      <c r="AI96" s="170"/>
      <c r="AJ96" s="170"/>
      <c r="AK96" s="170"/>
      <c r="AL96" s="211">
        <f>SUM(I96:AK96)</f>
        <v>84200</v>
      </c>
      <c r="AM96" s="190"/>
      <c r="AN96" s="190"/>
      <c r="AO96" s="190"/>
      <c r="AP96" s="190"/>
      <c r="AQ96" s="190"/>
      <c r="AR96" s="190"/>
      <c r="AS96" s="190"/>
      <c r="AT96" s="190"/>
      <c r="AU96" s="190"/>
      <c r="AV96" s="346"/>
    </row>
    <row r="97" spans="1:48" hidden="1">
      <c r="A97" s="269"/>
      <c r="B97" s="285"/>
      <c r="C97" s="295"/>
      <c r="D97" s="313"/>
      <c r="E97" s="303"/>
      <c r="F97" s="295"/>
      <c r="G97" s="154"/>
      <c r="H97" s="62" t="s">
        <v>27</v>
      </c>
      <c r="I97" s="170"/>
      <c r="J97" s="170">
        <v>1</v>
      </c>
      <c r="K97" s="170"/>
      <c r="L97" s="171"/>
      <c r="M97" s="170"/>
      <c r="N97" s="170"/>
      <c r="O97" s="170"/>
      <c r="P97" s="171"/>
      <c r="Q97" s="171"/>
      <c r="R97" s="171"/>
      <c r="S97" s="171"/>
      <c r="T97" s="170">
        <v>1</v>
      </c>
      <c r="U97" s="170"/>
      <c r="V97" s="171"/>
      <c r="W97" s="170"/>
      <c r="X97" s="170"/>
      <c r="Y97" s="170"/>
      <c r="Z97" s="171"/>
      <c r="AA97" s="170">
        <v>1</v>
      </c>
      <c r="AB97" s="170"/>
      <c r="AC97" s="170"/>
      <c r="AD97" s="170"/>
      <c r="AE97" s="170"/>
      <c r="AF97" s="170">
        <v>1</v>
      </c>
      <c r="AG97" s="171"/>
      <c r="AH97" s="170"/>
      <c r="AI97" s="170"/>
      <c r="AJ97" s="170"/>
      <c r="AK97" s="170"/>
      <c r="AL97" s="211"/>
      <c r="AM97" s="190"/>
      <c r="AN97" s="190"/>
      <c r="AO97" s="190"/>
      <c r="AP97" s="190"/>
      <c r="AQ97" s="190"/>
      <c r="AR97" s="190"/>
      <c r="AS97" s="190"/>
      <c r="AT97" s="190"/>
      <c r="AU97" s="190"/>
      <c r="AV97" s="346"/>
    </row>
    <row r="98" spans="1:48" hidden="1">
      <c r="A98" s="269" t="s">
        <v>56</v>
      </c>
      <c r="B98" s="285" t="s">
        <v>57</v>
      </c>
      <c r="C98" s="295">
        <v>1000</v>
      </c>
      <c r="D98" s="314">
        <v>1.0900000000000001</v>
      </c>
      <c r="E98" s="303"/>
      <c r="F98" s="295" t="s">
        <v>58</v>
      </c>
      <c r="G98" s="154"/>
      <c r="H98" s="57" t="s">
        <v>15</v>
      </c>
      <c r="I98" s="172"/>
      <c r="J98" s="172"/>
      <c r="K98" s="172"/>
      <c r="L98" s="171"/>
      <c r="M98" s="172">
        <f>20910*2</f>
        <v>41820</v>
      </c>
      <c r="N98" s="172"/>
      <c r="O98" s="218">
        <f>6469</f>
        <v>6469</v>
      </c>
      <c r="P98" s="171"/>
      <c r="Q98" s="171"/>
      <c r="R98" s="171"/>
      <c r="S98" s="171"/>
      <c r="T98" s="172"/>
      <c r="U98" s="172">
        <f>10200</f>
        <v>10200</v>
      </c>
      <c r="V98" s="171"/>
      <c r="W98" s="172"/>
      <c r="X98" s="172"/>
      <c r="Y98" s="172"/>
      <c r="Z98" s="171"/>
      <c r="AA98" s="172"/>
      <c r="AB98" s="172"/>
      <c r="AC98" s="172"/>
      <c r="AD98" s="172"/>
      <c r="AE98" s="172"/>
      <c r="AF98" s="172"/>
      <c r="AG98" s="171"/>
      <c r="AH98" s="172"/>
      <c r="AI98" s="172"/>
      <c r="AJ98" s="172"/>
      <c r="AK98" s="172"/>
      <c r="AL98" s="210">
        <f>SUM(I98:AK98)</f>
        <v>58489</v>
      </c>
      <c r="AM98" s="190"/>
      <c r="AN98" s="190"/>
      <c r="AO98" s="190"/>
      <c r="AP98" s="190"/>
      <c r="AQ98" s="190"/>
      <c r="AR98" s="190"/>
      <c r="AS98" s="190"/>
      <c r="AT98" s="190"/>
      <c r="AU98" s="190"/>
      <c r="AV98" s="346"/>
    </row>
    <row r="99" spans="1:48" hidden="1">
      <c r="A99" s="269"/>
      <c r="B99" s="285"/>
      <c r="C99" s="295"/>
      <c r="D99" s="315"/>
      <c r="E99" s="303"/>
      <c r="F99" s="295"/>
      <c r="G99" s="154"/>
      <c r="H99" s="62" t="s">
        <v>49</v>
      </c>
      <c r="I99" s="170"/>
      <c r="J99" s="170"/>
      <c r="K99" s="183">
        <f>($O$102*$D$87/3)+($O$105*$D$98/3)</f>
        <v>7016.6666666666697</v>
      </c>
      <c r="L99" s="171"/>
      <c r="M99" s="183">
        <f>($O$102*$D$87/3)+($O$105*$D$98/3)</f>
        <v>7016.6666666666697</v>
      </c>
      <c r="N99" s="183">
        <f>($O$102*$D$87/3)+($O$105*$D$98/3)</f>
        <v>7016.6666666666697</v>
      </c>
      <c r="O99" s="170"/>
      <c r="P99" s="171"/>
      <c r="Q99" s="171"/>
      <c r="R99" s="171"/>
      <c r="S99" s="171"/>
      <c r="T99" s="170"/>
      <c r="U99" s="183">
        <f>($O$102*$D$87/3)+($O$105*$D$98/3)</f>
        <v>7016.6666666666697</v>
      </c>
      <c r="V99" s="171"/>
      <c r="W99" s="183">
        <f>($O$102*$D$87/3)+($O$105*$D$98/3)</f>
        <v>7016.6666666666697</v>
      </c>
      <c r="X99" s="183">
        <f>($O$102*$D$87/3)+($O$105*$D$98/3)</f>
        <v>7016.6666666666697</v>
      </c>
      <c r="Y99" s="170"/>
      <c r="Z99" s="171"/>
      <c r="AA99" s="170"/>
      <c r="AB99" s="183">
        <f>($O$102*$D$87/3)+($O$105*$D$98/3)</f>
        <v>7016.6666666666697</v>
      </c>
      <c r="AC99" s="183">
        <f>($O$102*$D$87/3)+($O$105*$D$98/3)</f>
        <v>7016.6666666666697</v>
      </c>
      <c r="AD99" s="183">
        <f>($O$102*$D$87/3)+($O$105*$D$98/3)</f>
        <v>7016.6666666666697</v>
      </c>
      <c r="AE99" s="170"/>
      <c r="AF99" s="170"/>
      <c r="AG99" s="171"/>
      <c r="AH99" s="183">
        <f>($O$102*$D$87/3)+($O$105*$D$98/3)</f>
        <v>7016.6666666666697</v>
      </c>
      <c r="AI99" s="183">
        <f>($O$102*$D$87/3)+($O$105*$D$98/3)</f>
        <v>7016.6666666666697</v>
      </c>
      <c r="AJ99" s="183">
        <f>($O$102*$D$87/3)+($O$105*$D$98/3)</f>
        <v>7016.6666666666697</v>
      </c>
      <c r="AK99" s="170"/>
      <c r="AL99" s="211">
        <f>SUM(I99:AK99)</f>
        <v>84200</v>
      </c>
      <c r="AM99" s="190"/>
      <c r="AN99" s="190"/>
      <c r="AO99" s="190"/>
      <c r="AP99" s="190"/>
      <c r="AQ99" s="190"/>
      <c r="AR99" s="190"/>
      <c r="AS99" s="190"/>
      <c r="AT99" s="190"/>
      <c r="AU99" s="190"/>
      <c r="AV99" s="346"/>
    </row>
    <row r="100" spans="1:48" hidden="1">
      <c r="A100" s="269"/>
      <c r="B100" s="285"/>
      <c r="C100" s="295"/>
      <c r="D100" s="315"/>
      <c r="E100" s="303"/>
      <c r="F100" s="295"/>
      <c r="G100" s="154"/>
      <c r="H100" s="62" t="s">
        <v>50</v>
      </c>
      <c r="I100" s="170"/>
      <c r="J100" s="170"/>
      <c r="K100" s="170">
        <v>1</v>
      </c>
      <c r="L100" s="171"/>
      <c r="M100" s="170">
        <v>1</v>
      </c>
      <c r="N100" s="170">
        <v>1</v>
      </c>
      <c r="O100" s="170"/>
      <c r="P100" s="171"/>
      <c r="Q100" s="171"/>
      <c r="R100" s="171"/>
      <c r="S100" s="171"/>
      <c r="T100" s="170"/>
      <c r="U100" s="170">
        <v>1</v>
      </c>
      <c r="V100" s="171"/>
      <c r="W100" s="170">
        <v>1</v>
      </c>
      <c r="X100" s="170">
        <v>1</v>
      </c>
      <c r="Y100" s="170"/>
      <c r="Z100" s="171"/>
      <c r="AA100" s="170"/>
      <c r="AB100" s="170">
        <v>1</v>
      </c>
      <c r="AC100" s="170">
        <v>1</v>
      </c>
      <c r="AD100" s="170">
        <v>1</v>
      </c>
      <c r="AE100" s="170"/>
      <c r="AF100" s="170"/>
      <c r="AG100" s="171"/>
      <c r="AH100" s="170">
        <v>1</v>
      </c>
      <c r="AI100" s="170">
        <v>1</v>
      </c>
      <c r="AJ100" s="170">
        <v>1</v>
      </c>
      <c r="AK100" s="170"/>
      <c r="AL100" s="211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346"/>
    </row>
    <row r="101" spans="1:48" hidden="1">
      <c r="A101" s="269"/>
      <c r="B101" s="285"/>
      <c r="C101" s="295"/>
      <c r="D101" s="315"/>
      <c r="E101" s="303"/>
      <c r="F101" s="295"/>
      <c r="G101" s="154"/>
      <c r="H101" s="57" t="s">
        <v>15</v>
      </c>
      <c r="I101" s="172"/>
      <c r="J101" s="172"/>
      <c r="K101" s="21"/>
      <c r="L101" s="173"/>
      <c r="M101" s="222">
        <f>9003*2</f>
        <v>18006</v>
      </c>
      <c r="N101" s="222">
        <f>9824*2</f>
        <v>19648</v>
      </c>
      <c r="O101" s="172">
        <f>1054+700+1832+600+1423</f>
        <v>5609</v>
      </c>
      <c r="P101" s="171"/>
      <c r="Q101" s="171"/>
      <c r="R101" s="171"/>
      <c r="S101" s="171"/>
      <c r="T101" s="172">
        <f>1000+750</f>
        <v>1750</v>
      </c>
      <c r="U101" s="222">
        <f>5350+5351</f>
        <v>10701</v>
      </c>
      <c r="V101" s="171"/>
      <c r="W101" s="222">
        <f>2046*2</f>
        <v>4092</v>
      </c>
      <c r="X101" s="222">
        <f>900+1099+1750+2260+1347</f>
        <v>7356</v>
      </c>
      <c r="Y101" s="172"/>
      <c r="Z101" s="171"/>
      <c r="AA101" s="172"/>
      <c r="AB101" s="21"/>
      <c r="AC101" s="21"/>
      <c r="AD101" s="21"/>
      <c r="AE101" s="172"/>
      <c r="AF101" s="172"/>
      <c r="AG101" s="171"/>
      <c r="AH101" s="21"/>
      <c r="AI101" s="21"/>
      <c r="AJ101" s="21"/>
      <c r="AK101" s="172"/>
      <c r="AL101" s="210">
        <f>SUM(I101:AK101)</f>
        <v>67162</v>
      </c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346"/>
    </row>
    <row r="102" spans="1:48" hidden="1">
      <c r="A102" s="269"/>
      <c r="B102" s="285"/>
      <c r="C102" s="295"/>
      <c r="D102" s="315"/>
      <c r="E102" s="303"/>
      <c r="F102" s="295"/>
      <c r="G102" s="154"/>
      <c r="H102" s="62" t="s">
        <v>32</v>
      </c>
      <c r="I102" s="170"/>
      <c r="J102" s="170"/>
      <c r="K102" s="170"/>
      <c r="L102" s="171"/>
      <c r="M102" s="170"/>
      <c r="N102" s="170"/>
      <c r="O102" s="170">
        <f>($C$87*5)</f>
        <v>10000</v>
      </c>
      <c r="P102" s="171"/>
      <c r="Q102" s="171"/>
      <c r="R102" s="171"/>
      <c r="S102" s="171"/>
      <c r="T102" s="170"/>
      <c r="U102" s="170"/>
      <c r="V102" s="171"/>
      <c r="W102" s="170"/>
      <c r="X102" s="170"/>
      <c r="Y102" s="170">
        <f>($C$87*5)+($C$87*5*10%)</f>
        <v>11000</v>
      </c>
      <c r="Z102" s="171"/>
      <c r="AA102" s="170"/>
      <c r="AB102" s="170"/>
      <c r="AC102" s="170"/>
      <c r="AD102" s="170"/>
      <c r="AE102" s="170">
        <f>($C$87*5)+($C$87*5*10%)</f>
        <v>11000</v>
      </c>
      <c r="AF102" s="170"/>
      <c r="AG102" s="171"/>
      <c r="AH102" s="170"/>
      <c r="AI102" s="170"/>
      <c r="AJ102" s="170"/>
      <c r="AK102" s="170">
        <f>($C$87*5)+($C$87*5*10%)</f>
        <v>11000</v>
      </c>
      <c r="AL102" s="211">
        <f>SUM(I102:AK102)</f>
        <v>43000</v>
      </c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346"/>
    </row>
    <row r="103" spans="1:48" hidden="1">
      <c r="A103" s="269"/>
      <c r="B103" s="285"/>
      <c r="C103" s="295"/>
      <c r="D103" s="315"/>
      <c r="E103" s="303"/>
      <c r="F103" s="295"/>
      <c r="G103" s="154"/>
      <c r="H103" s="62" t="s">
        <v>51</v>
      </c>
      <c r="I103" s="170"/>
      <c r="J103" s="170"/>
      <c r="K103" s="170"/>
      <c r="L103" s="171"/>
      <c r="M103" s="170"/>
      <c r="N103" s="170"/>
      <c r="O103" s="170">
        <v>1</v>
      </c>
      <c r="P103" s="171"/>
      <c r="Q103" s="171"/>
      <c r="R103" s="171"/>
      <c r="S103" s="171"/>
      <c r="T103" s="170"/>
      <c r="U103" s="170"/>
      <c r="V103" s="171"/>
      <c r="W103" s="170"/>
      <c r="X103" s="170"/>
      <c r="Y103" s="170">
        <v>1</v>
      </c>
      <c r="Z103" s="171"/>
      <c r="AA103" s="170"/>
      <c r="AB103" s="170"/>
      <c r="AC103" s="170"/>
      <c r="AD103" s="170"/>
      <c r="AE103" s="170">
        <v>1</v>
      </c>
      <c r="AF103" s="170"/>
      <c r="AG103" s="171"/>
      <c r="AH103" s="170"/>
      <c r="AI103" s="170"/>
      <c r="AJ103" s="170"/>
      <c r="AK103" s="170">
        <v>1</v>
      </c>
      <c r="AL103" s="211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346"/>
    </row>
    <row r="104" spans="1:48" hidden="1">
      <c r="A104" s="269"/>
      <c r="B104" s="285"/>
      <c r="C104" s="295"/>
      <c r="D104" s="315"/>
      <c r="E104" s="303"/>
      <c r="F104" s="295"/>
      <c r="G104" s="154"/>
      <c r="H104" s="57" t="s">
        <v>15</v>
      </c>
      <c r="I104" s="172"/>
      <c r="J104" s="172"/>
      <c r="K104" s="172"/>
      <c r="L104" s="171"/>
      <c r="M104" s="172"/>
      <c r="N104" s="172"/>
      <c r="O104" s="172"/>
      <c r="P104" s="171"/>
      <c r="Q104" s="171"/>
      <c r="R104" s="171"/>
      <c r="S104" s="171"/>
      <c r="T104" s="172"/>
      <c r="U104" s="172"/>
      <c r="V104" s="171"/>
      <c r="W104" s="172">
        <v>6611</v>
      </c>
      <c r="X104" s="172"/>
      <c r="Y104" s="172"/>
      <c r="Z104" s="171"/>
      <c r="AA104" s="172"/>
      <c r="AB104" s="172"/>
      <c r="AC104" s="172"/>
      <c r="AD104" s="172"/>
      <c r="AE104" s="172"/>
      <c r="AF104" s="172"/>
      <c r="AG104" s="171"/>
      <c r="AH104" s="172"/>
      <c r="AI104" s="172"/>
      <c r="AJ104" s="172"/>
      <c r="AK104" s="172"/>
      <c r="AL104" s="210">
        <f>SUM(I104:AK104)</f>
        <v>6611</v>
      </c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346"/>
    </row>
    <row r="105" spans="1:48" hidden="1">
      <c r="A105" s="269"/>
      <c r="B105" s="285"/>
      <c r="C105" s="295"/>
      <c r="D105" s="315"/>
      <c r="E105" s="165"/>
      <c r="F105" s="295"/>
      <c r="G105" s="154"/>
      <c r="H105" s="62" t="s">
        <v>32</v>
      </c>
      <c r="I105" s="170"/>
      <c r="J105" s="170"/>
      <c r="K105" s="170"/>
      <c r="L105" s="171"/>
      <c r="M105" s="170"/>
      <c r="N105" s="170"/>
      <c r="O105" s="170">
        <f>($C$98*5)</f>
        <v>5000</v>
      </c>
      <c r="P105" s="171"/>
      <c r="Q105" s="171"/>
      <c r="R105" s="171"/>
      <c r="S105" s="171"/>
      <c r="T105" s="170"/>
      <c r="U105" s="170"/>
      <c r="V105" s="171"/>
      <c r="W105" s="170"/>
      <c r="X105" s="170"/>
      <c r="Y105" s="170" t="e">
        <f>(#REF!*5)+(#REF!*5*10%)</f>
        <v>#REF!</v>
      </c>
      <c r="Z105" s="171"/>
      <c r="AA105" s="170"/>
      <c r="AB105" s="170"/>
      <c r="AC105" s="170"/>
      <c r="AD105" s="170"/>
      <c r="AE105" s="170" t="e">
        <f>(#REF!*5)+(#REF!*5*10%)</f>
        <v>#REF!</v>
      </c>
      <c r="AF105" s="170"/>
      <c r="AG105" s="171"/>
      <c r="AH105" s="170"/>
      <c r="AI105" s="170"/>
      <c r="AJ105" s="170"/>
      <c r="AK105" s="195" t="e">
        <f>(#REF!*5)+(#REF!*5*10%)</f>
        <v>#REF!</v>
      </c>
      <c r="AL105" s="196" t="e">
        <f>SUM(I105:AK105)</f>
        <v>#REF!</v>
      </c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346"/>
    </row>
    <row r="106" spans="1:48" hidden="1">
      <c r="A106" s="269"/>
      <c r="B106" s="285"/>
      <c r="C106" s="295"/>
      <c r="D106" s="315"/>
      <c r="E106" s="165"/>
      <c r="F106" s="295"/>
      <c r="G106" s="154"/>
      <c r="H106" s="62" t="s">
        <v>51</v>
      </c>
      <c r="I106" s="170"/>
      <c r="J106" s="170"/>
      <c r="K106" s="170"/>
      <c r="L106" s="171"/>
      <c r="M106" s="170"/>
      <c r="N106" s="170"/>
      <c r="O106" s="170">
        <v>1</v>
      </c>
      <c r="P106" s="171"/>
      <c r="Q106" s="171"/>
      <c r="R106" s="171"/>
      <c r="S106" s="171"/>
      <c r="T106" s="170"/>
      <c r="U106" s="170"/>
      <c r="V106" s="171"/>
      <c r="W106" s="170"/>
      <c r="X106" s="170"/>
      <c r="Y106" s="170">
        <v>1</v>
      </c>
      <c r="Z106" s="171"/>
      <c r="AA106" s="170"/>
      <c r="AB106" s="170"/>
      <c r="AC106" s="170"/>
      <c r="AD106" s="170"/>
      <c r="AE106" s="170">
        <v>1</v>
      </c>
      <c r="AF106" s="170"/>
      <c r="AG106" s="171"/>
      <c r="AH106" s="170"/>
      <c r="AI106" s="170"/>
      <c r="AJ106" s="170"/>
      <c r="AK106" s="195">
        <v>1</v>
      </c>
      <c r="AL106" s="196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346"/>
    </row>
    <row r="107" spans="1:48" hidden="1">
      <c r="A107" s="269"/>
      <c r="B107" s="285"/>
      <c r="C107" s="295"/>
      <c r="D107" s="312"/>
      <c r="E107" s="165"/>
      <c r="F107" s="295"/>
      <c r="G107" s="158"/>
      <c r="H107" s="159" t="s">
        <v>15</v>
      </c>
      <c r="I107" s="176"/>
      <c r="J107" s="176"/>
      <c r="K107" s="176"/>
      <c r="L107" s="219"/>
      <c r="M107" s="176"/>
      <c r="N107" s="176"/>
      <c r="O107" s="176"/>
      <c r="P107" s="219"/>
      <c r="Q107" s="219"/>
      <c r="R107" s="219"/>
      <c r="S107" s="219"/>
      <c r="T107" s="176"/>
      <c r="U107" s="176"/>
      <c r="V107" s="219"/>
      <c r="W107" s="176">
        <f>2592+10000+1500+8500</f>
        <v>22592</v>
      </c>
      <c r="X107" s="176"/>
      <c r="Y107" s="176"/>
      <c r="Z107" s="219"/>
      <c r="AA107" s="176"/>
      <c r="AB107" s="176"/>
      <c r="AC107" s="176"/>
      <c r="AD107" s="176"/>
      <c r="AE107" s="176"/>
      <c r="AF107" s="176"/>
      <c r="AG107" s="219"/>
      <c r="AH107" s="176"/>
      <c r="AI107" s="176"/>
      <c r="AJ107" s="176"/>
      <c r="AK107" s="229"/>
      <c r="AL107" s="192">
        <f>SUM(I107:AK107)</f>
        <v>22592</v>
      </c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346"/>
    </row>
    <row r="108" spans="1:48" hidden="1">
      <c r="A108" s="266" t="s">
        <v>59</v>
      </c>
      <c r="B108" s="286" t="s">
        <v>60</v>
      </c>
      <c r="C108" s="294">
        <v>10000</v>
      </c>
      <c r="D108" s="316">
        <v>1.56</v>
      </c>
      <c r="E108" s="326"/>
      <c r="F108" s="336" t="s">
        <v>61</v>
      </c>
      <c r="G108" s="215">
        <v>0.08</v>
      </c>
      <c r="H108" s="53" t="s">
        <v>12</v>
      </c>
      <c r="I108" s="223"/>
      <c r="J108" s="223"/>
      <c r="K108" s="223"/>
      <c r="L108" s="179"/>
      <c r="M108" s="223"/>
      <c r="N108" s="223">
        <v>47</v>
      </c>
      <c r="O108" s="223">
        <v>47</v>
      </c>
      <c r="P108" s="179"/>
      <c r="Q108" s="179"/>
      <c r="R108" s="179"/>
      <c r="S108" s="179"/>
      <c r="T108" s="223">
        <v>47</v>
      </c>
      <c r="U108" s="223">
        <v>47</v>
      </c>
      <c r="V108" s="179"/>
      <c r="W108" s="223">
        <v>47</v>
      </c>
      <c r="X108" s="223">
        <v>47</v>
      </c>
      <c r="Y108" s="223">
        <v>47</v>
      </c>
      <c r="Z108" s="179"/>
      <c r="AA108" s="223">
        <v>47</v>
      </c>
      <c r="AB108" s="223">
        <v>47</v>
      </c>
      <c r="AC108" s="223">
        <v>47</v>
      </c>
      <c r="AD108" s="223">
        <v>47</v>
      </c>
      <c r="AE108" s="223">
        <v>47</v>
      </c>
      <c r="AF108" s="223">
        <v>47</v>
      </c>
      <c r="AG108" s="179"/>
      <c r="AH108" s="223">
        <v>47</v>
      </c>
      <c r="AI108" s="223">
        <v>47</v>
      </c>
      <c r="AJ108" s="223">
        <v>47</v>
      </c>
      <c r="AK108" s="230">
        <v>47</v>
      </c>
      <c r="AL108" s="192"/>
      <c r="AM108" s="190"/>
      <c r="AN108" s="190"/>
      <c r="AO108" s="190"/>
      <c r="AP108" s="190"/>
      <c r="AQ108" s="190"/>
      <c r="AR108" s="190"/>
      <c r="AS108" s="190"/>
      <c r="AT108" s="190"/>
      <c r="AU108" s="346"/>
      <c r="AV108" s="346"/>
    </row>
    <row r="109" spans="1:48" hidden="1">
      <c r="A109" s="272"/>
      <c r="B109" s="287"/>
      <c r="C109" s="295"/>
      <c r="D109" s="317"/>
      <c r="E109" s="327"/>
      <c r="F109" s="335"/>
      <c r="G109" s="155"/>
      <c r="H109" s="62" t="s">
        <v>14</v>
      </c>
      <c r="I109" s="181"/>
      <c r="J109" s="181"/>
      <c r="K109" s="181"/>
      <c r="L109" s="221"/>
      <c r="M109" s="181"/>
      <c r="N109" s="181">
        <v>0.5</v>
      </c>
      <c r="O109" s="181">
        <v>0.5</v>
      </c>
      <c r="P109" s="221"/>
      <c r="Q109" s="221"/>
      <c r="R109" s="221"/>
      <c r="S109" s="221"/>
      <c r="T109" s="181">
        <v>0.5</v>
      </c>
      <c r="U109" s="181">
        <v>0.5</v>
      </c>
      <c r="V109" s="221"/>
      <c r="W109" s="181">
        <v>0.5</v>
      </c>
      <c r="X109" s="181">
        <v>0.5</v>
      </c>
      <c r="Y109" s="181">
        <v>0.5</v>
      </c>
      <c r="Z109" s="221"/>
      <c r="AA109" s="181">
        <v>0.5</v>
      </c>
      <c r="AB109" s="181">
        <v>0.5</v>
      </c>
      <c r="AC109" s="181">
        <v>0.5</v>
      </c>
      <c r="AD109" s="181">
        <v>0.5</v>
      </c>
      <c r="AE109" s="181">
        <v>0.5</v>
      </c>
      <c r="AF109" s="181">
        <v>0.5</v>
      </c>
      <c r="AG109" s="221"/>
      <c r="AH109" s="181">
        <v>0.5</v>
      </c>
      <c r="AI109" s="181">
        <v>0.5</v>
      </c>
      <c r="AJ109" s="181">
        <v>0.5</v>
      </c>
      <c r="AK109" s="207">
        <v>0.5</v>
      </c>
      <c r="AL109" s="192"/>
      <c r="AM109" s="190"/>
      <c r="AN109" s="190"/>
      <c r="AO109" s="190"/>
      <c r="AP109" s="190"/>
      <c r="AQ109" s="190"/>
      <c r="AR109" s="190"/>
      <c r="AS109" s="190"/>
      <c r="AT109" s="190"/>
      <c r="AU109" s="346"/>
      <c r="AV109" s="346"/>
    </row>
    <row r="110" spans="1:48" hidden="1">
      <c r="A110" s="272"/>
      <c r="B110" s="287"/>
      <c r="C110" s="295"/>
      <c r="D110" s="317"/>
      <c r="E110" s="327"/>
      <c r="F110" s="335"/>
      <c r="G110" s="161"/>
      <c r="H110" s="67" t="s">
        <v>15</v>
      </c>
      <c r="I110" s="224"/>
      <c r="J110" s="224"/>
      <c r="K110" s="224"/>
      <c r="L110" s="221"/>
      <c r="M110" s="224"/>
      <c r="N110" s="224"/>
      <c r="O110" s="224"/>
      <c r="P110" s="221"/>
      <c r="Q110" s="221"/>
      <c r="R110" s="221"/>
      <c r="S110" s="221"/>
      <c r="T110" s="224"/>
      <c r="U110" s="224"/>
      <c r="V110" s="221"/>
      <c r="W110" s="224"/>
      <c r="X110" s="224"/>
      <c r="Y110" s="224"/>
      <c r="Z110" s="221"/>
      <c r="AA110" s="224"/>
      <c r="AB110" s="224"/>
      <c r="AC110" s="224"/>
      <c r="AD110" s="224"/>
      <c r="AE110" s="224"/>
      <c r="AF110" s="224"/>
      <c r="AG110" s="221"/>
      <c r="AH110" s="224"/>
      <c r="AI110" s="224"/>
      <c r="AJ110" s="224"/>
      <c r="AK110" s="231"/>
      <c r="AL110" s="192"/>
      <c r="AM110" s="190"/>
      <c r="AN110" s="190"/>
      <c r="AO110" s="190"/>
      <c r="AP110" s="190"/>
      <c r="AQ110" s="190"/>
      <c r="AR110" s="190"/>
      <c r="AS110" s="190"/>
      <c r="AT110" s="190"/>
      <c r="AU110" s="346"/>
      <c r="AV110" s="346"/>
    </row>
    <row r="111" spans="1:48" hidden="1">
      <c r="A111" s="272"/>
      <c r="B111" s="287"/>
      <c r="C111" s="295"/>
      <c r="D111" s="317"/>
      <c r="E111" s="327"/>
      <c r="F111" s="335"/>
      <c r="G111" s="154" t="s">
        <v>62</v>
      </c>
      <c r="H111" s="62" t="s">
        <v>63</v>
      </c>
      <c r="I111" s="156"/>
      <c r="J111" s="181"/>
      <c r="K111" s="181"/>
      <c r="L111" s="221"/>
      <c r="M111" s="181"/>
      <c r="N111" s="156"/>
      <c r="O111" s="181"/>
      <c r="P111" s="221"/>
      <c r="Q111" s="221"/>
      <c r="R111" s="221"/>
      <c r="S111" s="221"/>
      <c r="T111" s="181"/>
      <c r="U111" s="181"/>
      <c r="V111" s="221"/>
      <c r="W111" s="181"/>
      <c r="X111" s="181"/>
      <c r="Y111" s="181"/>
      <c r="Z111" s="221"/>
      <c r="AA111" s="181"/>
      <c r="AB111" s="181"/>
      <c r="AC111" s="181"/>
      <c r="AD111" s="181"/>
      <c r="AE111" s="181"/>
      <c r="AF111" s="181"/>
      <c r="AG111" s="221"/>
      <c r="AH111" s="181">
        <f>987/4</f>
        <v>246.75</v>
      </c>
      <c r="AI111" s="181">
        <f>987/4</f>
        <v>246.75</v>
      </c>
      <c r="AJ111" s="181">
        <f>987/4</f>
        <v>246.75</v>
      </c>
      <c r="AK111" s="207">
        <f>987/4</f>
        <v>246.75</v>
      </c>
      <c r="AL111" s="192"/>
      <c r="AM111" s="190"/>
      <c r="AN111" s="190"/>
      <c r="AO111" s="190"/>
      <c r="AP111" s="190"/>
      <c r="AQ111" s="190"/>
      <c r="AR111" s="190"/>
      <c r="AS111" s="190"/>
      <c r="AT111" s="190"/>
      <c r="AU111" s="346"/>
      <c r="AV111" s="346"/>
    </row>
    <row r="112" spans="1:48" hidden="1">
      <c r="A112" s="272"/>
      <c r="B112" s="287"/>
      <c r="C112" s="295"/>
      <c r="D112" s="317"/>
      <c r="E112" s="327"/>
      <c r="F112" s="335"/>
      <c r="G112" s="155"/>
      <c r="H112" s="62" t="s">
        <v>14</v>
      </c>
      <c r="I112" s="170"/>
      <c r="J112" s="181"/>
      <c r="K112" s="181"/>
      <c r="L112" s="221"/>
      <c r="M112" s="181"/>
      <c r="N112" s="170"/>
      <c r="O112" s="181"/>
      <c r="P112" s="221"/>
      <c r="Q112" s="221"/>
      <c r="R112" s="221"/>
      <c r="S112" s="221"/>
      <c r="T112" s="181"/>
      <c r="U112" s="181"/>
      <c r="V112" s="221"/>
      <c r="W112" s="181"/>
      <c r="X112" s="181"/>
      <c r="Y112" s="181"/>
      <c r="Z112" s="221"/>
      <c r="AA112" s="181"/>
      <c r="AB112" s="181"/>
      <c r="AC112" s="181"/>
      <c r="AD112" s="181"/>
      <c r="AE112" s="181"/>
      <c r="AF112" s="181"/>
      <c r="AG112" s="221"/>
      <c r="AH112" s="181">
        <v>1</v>
      </c>
      <c r="AI112" s="181">
        <v>1</v>
      </c>
      <c r="AJ112" s="181">
        <v>1</v>
      </c>
      <c r="AK112" s="207">
        <v>1</v>
      </c>
      <c r="AL112" s="192"/>
      <c r="AM112" s="190"/>
      <c r="AN112" s="190"/>
      <c r="AO112" s="190"/>
      <c r="AP112" s="190"/>
      <c r="AQ112" s="190"/>
      <c r="AR112" s="190"/>
      <c r="AS112" s="190"/>
      <c r="AT112" s="190"/>
      <c r="AU112" s="346"/>
      <c r="AV112" s="346"/>
    </row>
    <row r="113" spans="1:48" hidden="1">
      <c r="A113" s="272"/>
      <c r="B113" s="287"/>
      <c r="C113" s="295"/>
      <c r="D113" s="317"/>
      <c r="E113" s="327"/>
      <c r="F113" s="335"/>
      <c r="G113" s="155"/>
      <c r="H113" s="57" t="s">
        <v>15</v>
      </c>
      <c r="I113" s="224"/>
      <c r="J113" s="224"/>
      <c r="K113" s="224"/>
      <c r="L113" s="221"/>
      <c r="M113" s="224"/>
      <c r="N113" s="224"/>
      <c r="O113" s="224"/>
      <c r="P113" s="221"/>
      <c r="Q113" s="221"/>
      <c r="R113" s="221"/>
      <c r="S113" s="221"/>
      <c r="T113" s="224"/>
      <c r="U113" s="224"/>
      <c r="V113" s="221"/>
      <c r="W113" s="224"/>
      <c r="X113" s="224"/>
      <c r="Y113" s="224"/>
      <c r="Z113" s="221"/>
      <c r="AA113" s="224"/>
      <c r="AB113" s="224"/>
      <c r="AC113" s="224"/>
      <c r="AD113" s="224"/>
      <c r="AE113" s="224"/>
      <c r="AF113" s="224"/>
      <c r="AG113" s="221"/>
      <c r="AH113" s="224"/>
      <c r="AI113" s="224"/>
      <c r="AJ113" s="224"/>
      <c r="AK113" s="231"/>
      <c r="AL113" s="192"/>
      <c r="AM113" s="190"/>
      <c r="AN113" s="190"/>
      <c r="AO113" s="190"/>
      <c r="AP113" s="190"/>
      <c r="AQ113" s="190"/>
      <c r="AR113" s="190"/>
      <c r="AS113" s="190"/>
      <c r="AT113" s="190"/>
      <c r="AU113" s="346"/>
      <c r="AV113" s="346"/>
    </row>
    <row r="114" spans="1:48" hidden="1">
      <c r="A114" s="272"/>
      <c r="B114" s="287"/>
      <c r="C114" s="295"/>
      <c r="D114" s="317"/>
      <c r="E114" s="327"/>
      <c r="F114" s="335"/>
      <c r="G114" s="155" t="s">
        <v>64</v>
      </c>
      <c r="H114" s="62" t="s">
        <v>22</v>
      </c>
      <c r="I114" s="181"/>
      <c r="J114" s="181"/>
      <c r="K114" s="181"/>
      <c r="L114" s="221"/>
      <c r="M114" s="181"/>
      <c r="N114" s="181">
        <f>$AJ$123*$D$108/4</f>
        <v>17160</v>
      </c>
      <c r="O114" s="181">
        <f>$AJ$123*$D$108/4</f>
        <v>17160</v>
      </c>
      <c r="P114" s="221"/>
      <c r="Q114" s="221"/>
      <c r="R114" s="221"/>
      <c r="S114" s="221"/>
      <c r="T114" s="181">
        <f>$AJ$123*$D$108/4</f>
        <v>17160</v>
      </c>
      <c r="U114" s="181">
        <f>$AJ$123*$D$108/4</f>
        <v>17160</v>
      </c>
      <c r="V114" s="221"/>
      <c r="W114" s="181">
        <f>$AJ$123*$D$108/4</f>
        <v>17160</v>
      </c>
      <c r="X114" s="181">
        <f>$AJ$123*$D$108/4</f>
        <v>17160</v>
      </c>
      <c r="Y114" s="181">
        <f>$AJ$123*$D$108/4</f>
        <v>17160</v>
      </c>
      <c r="Z114" s="221"/>
      <c r="AA114" s="181">
        <f t="shared" ref="AA114:AF114" si="20">$AJ$123*$D$108/4</f>
        <v>17160</v>
      </c>
      <c r="AB114" s="181">
        <f t="shared" si="20"/>
        <v>17160</v>
      </c>
      <c r="AC114" s="181">
        <f t="shared" si="20"/>
        <v>17160</v>
      </c>
      <c r="AD114" s="181">
        <f t="shared" si="20"/>
        <v>17160</v>
      </c>
      <c r="AE114" s="181">
        <f t="shared" si="20"/>
        <v>17160</v>
      </c>
      <c r="AF114" s="181">
        <f t="shared" si="20"/>
        <v>17160</v>
      </c>
      <c r="AG114" s="221"/>
      <c r="AH114" s="181">
        <f>$AJ$123*$D$108/4</f>
        <v>17160</v>
      </c>
      <c r="AI114" s="181">
        <f>$AJ$123*$D$108/4</f>
        <v>17160</v>
      </c>
      <c r="AJ114" s="181">
        <f>$AJ$123*$D$108/4</f>
        <v>17160</v>
      </c>
      <c r="AK114" s="207">
        <f>$AJ$123*$D$108/4</f>
        <v>17160</v>
      </c>
      <c r="AL114" s="196">
        <f>SUM(I114:AK114)</f>
        <v>291720</v>
      </c>
      <c r="AM114" s="190"/>
      <c r="AN114" s="190"/>
      <c r="AO114" s="190"/>
      <c r="AP114" s="190"/>
      <c r="AQ114" s="190"/>
      <c r="AR114" s="190"/>
      <c r="AS114" s="190"/>
      <c r="AT114" s="190"/>
      <c r="AU114" s="346"/>
      <c r="AV114" s="346"/>
    </row>
    <row r="115" spans="1:48" hidden="1">
      <c r="A115" s="272"/>
      <c r="B115" s="287"/>
      <c r="C115" s="295"/>
      <c r="D115" s="317"/>
      <c r="E115" s="327"/>
      <c r="F115" s="335"/>
      <c r="G115" s="155"/>
      <c r="H115" s="62" t="s">
        <v>20</v>
      </c>
      <c r="I115" s="181"/>
      <c r="J115" s="181"/>
      <c r="K115" s="181"/>
      <c r="L115" s="221"/>
      <c r="M115" s="181"/>
      <c r="N115" s="181">
        <v>1</v>
      </c>
      <c r="O115" s="181">
        <v>1</v>
      </c>
      <c r="P115" s="221"/>
      <c r="Q115" s="221"/>
      <c r="R115" s="221"/>
      <c r="S115" s="221"/>
      <c r="T115" s="181">
        <v>1</v>
      </c>
      <c r="U115" s="181">
        <v>1</v>
      </c>
      <c r="V115" s="221"/>
      <c r="W115" s="181">
        <v>1</v>
      </c>
      <c r="X115" s="181">
        <v>1</v>
      </c>
      <c r="Y115" s="181">
        <v>1</v>
      </c>
      <c r="Z115" s="221"/>
      <c r="AA115" s="181">
        <v>1</v>
      </c>
      <c r="AB115" s="181">
        <v>1</v>
      </c>
      <c r="AC115" s="181">
        <v>1</v>
      </c>
      <c r="AD115" s="181">
        <v>1</v>
      </c>
      <c r="AE115" s="181">
        <v>1</v>
      </c>
      <c r="AF115" s="181">
        <v>1</v>
      </c>
      <c r="AG115" s="221"/>
      <c r="AH115" s="181">
        <v>1</v>
      </c>
      <c r="AI115" s="181">
        <v>1</v>
      </c>
      <c r="AJ115" s="181">
        <v>1</v>
      </c>
      <c r="AK115" s="207">
        <v>1</v>
      </c>
      <c r="AL115" s="196"/>
      <c r="AM115" s="190"/>
      <c r="AN115" s="190"/>
      <c r="AO115" s="190"/>
      <c r="AP115" s="190"/>
      <c r="AQ115" s="190"/>
      <c r="AR115" s="190"/>
      <c r="AS115" s="190"/>
      <c r="AT115" s="190"/>
      <c r="AU115" s="346"/>
      <c r="AV115" s="346"/>
    </row>
    <row r="116" spans="1:48" hidden="1">
      <c r="A116" s="272"/>
      <c r="B116" s="287"/>
      <c r="C116" s="295"/>
      <c r="D116" s="317"/>
      <c r="E116" s="327"/>
      <c r="F116" s="335"/>
      <c r="G116" s="155"/>
      <c r="H116" s="57" t="s">
        <v>15</v>
      </c>
      <c r="I116" s="224"/>
      <c r="J116" s="224"/>
      <c r="K116" s="224">
        <f>6180+7261+4802</f>
        <v>18243</v>
      </c>
      <c r="L116" s="221"/>
      <c r="M116" s="224">
        <f>11343+13926</f>
        <v>25269</v>
      </c>
      <c r="N116" s="224">
        <f>11617+11162</f>
        <v>22779</v>
      </c>
      <c r="O116" s="224">
        <f>8064</f>
        <v>8064</v>
      </c>
      <c r="P116" s="221"/>
      <c r="Q116" s="221"/>
      <c r="R116" s="221"/>
      <c r="S116" s="221"/>
      <c r="T116" s="224"/>
      <c r="U116" s="224">
        <f>3446+7656</f>
        <v>11102</v>
      </c>
      <c r="V116" s="221"/>
      <c r="W116" s="224">
        <f>8744+7799</f>
        <v>16543</v>
      </c>
      <c r="X116" s="224">
        <f>9941+7537</f>
        <v>17478</v>
      </c>
      <c r="Y116" s="224"/>
      <c r="Z116" s="221"/>
      <c r="AA116" s="224"/>
      <c r="AB116" s="224"/>
      <c r="AC116" s="224"/>
      <c r="AD116" s="224"/>
      <c r="AE116" s="224"/>
      <c r="AF116" s="224"/>
      <c r="AG116" s="221"/>
      <c r="AH116" s="224"/>
      <c r="AI116" s="224"/>
      <c r="AJ116" s="224"/>
      <c r="AK116" s="231"/>
      <c r="AL116" s="192">
        <f>SUM(I116:AK116)</f>
        <v>119478</v>
      </c>
      <c r="AM116" s="190"/>
      <c r="AN116" s="190"/>
      <c r="AO116" s="190"/>
      <c r="AP116" s="190"/>
      <c r="AQ116" s="190"/>
      <c r="AR116" s="190"/>
      <c r="AS116" s="190"/>
      <c r="AT116" s="190"/>
      <c r="AU116" s="346"/>
      <c r="AV116" s="346"/>
    </row>
    <row r="117" spans="1:48" hidden="1">
      <c r="A117" s="272"/>
      <c r="B117" s="287"/>
      <c r="C117" s="295"/>
      <c r="D117" s="317"/>
      <c r="E117" s="327"/>
      <c r="F117" s="335"/>
      <c r="G117" s="155" t="s">
        <v>28</v>
      </c>
      <c r="H117" s="62" t="s">
        <v>29</v>
      </c>
      <c r="I117" s="181"/>
      <c r="J117" s="181"/>
      <c r="K117" s="181"/>
      <c r="L117" s="221"/>
      <c r="M117" s="181"/>
      <c r="N117" s="181"/>
      <c r="O117" s="181"/>
      <c r="P117" s="221"/>
      <c r="Q117" s="221"/>
      <c r="R117" s="221"/>
      <c r="S117" s="221"/>
      <c r="T117" s="181">
        <f>$AJ$123*$D$108/4</f>
        <v>17160</v>
      </c>
      <c r="U117" s="181">
        <f>$AJ$123*$D$108/4</f>
        <v>17160</v>
      </c>
      <c r="V117" s="221"/>
      <c r="W117" s="181">
        <f>$AJ$123*$D$108/4</f>
        <v>17160</v>
      </c>
      <c r="X117" s="181">
        <f>$AJ$123*$D$108/4</f>
        <v>17160</v>
      </c>
      <c r="Y117" s="181">
        <f>$AJ$123*$D$108/4</f>
        <v>17160</v>
      </c>
      <c r="Z117" s="221"/>
      <c r="AA117" s="181">
        <f t="shared" ref="AA117:AF117" si="21">$AJ$123*$D$108/4</f>
        <v>17160</v>
      </c>
      <c r="AB117" s="181">
        <f t="shared" si="21"/>
        <v>17160</v>
      </c>
      <c r="AC117" s="181">
        <f t="shared" si="21"/>
        <v>17160</v>
      </c>
      <c r="AD117" s="181">
        <f t="shared" si="21"/>
        <v>17160</v>
      </c>
      <c r="AE117" s="181">
        <f t="shared" si="21"/>
        <v>17160</v>
      </c>
      <c r="AF117" s="181">
        <f t="shared" si="21"/>
        <v>17160</v>
      </c>
      <c r="AG117" s="221"/>
      <c r="AH117" s="181">
        <f>$AJ$123*$D$108/4</f>
        <v>17160</v>
      </c>
      <c r="AI117" s="181">
        <f>$AJ$123*$D$108/4</f>
        <v>17160</v>
      </c>
      <c r="AJ117" s="181">
        <f>$AJ$123*$D$108/4</f>
        <v>17160</v>
      </c>
      <c r="AK117" s="207">
        <f>$AJ$123*$D$108/4</f>
        <v>17160</v>
      </c>
      <c r="AL117" s="196">
        <f>SUM(I117:AK117)</f>
        <v>257400</v>
      </c>
      <c r="AM117" s="190"/>
      <c r="AN117" s="190"/>
      <c r="AO117" s="190"/>
      <c r="AP117" s="190"/>
      <c r="AQ117" s="190"/>
      <c r="AR117" s="190"/>
      <c r="AS117" s="190"/>
      <c r="AT117" s="190"/>
      <c r="AU117" s="346"/>
      <c r="AV117" s="346"/>
    </row>
    <row r="118" spans="1:48" hidden="1">
      <c r="A118" s="272"/>
      <c r="B118" s="287"/>
      <c r="C118" s="295"/>
      <c r="D118" s="317"/>
      <c r="E118" s="327"/>
      <c r="F118" s="335"/>
      <c r="G118" s="155"/>
      <c r="H118" s="62" t="s">
        <v>27</v>
      </c>
      <c r="I118" s="181"/>
      <c r="J118" s="181"/>
      <c r="K118" s="181"/>
      <c r="L118" s="221"/>
      <c r="M118" s="181"/>
      <c r="N118" s="181"/>
      <c r="O118" s="181"/>
      <c r="P118" s="221"/>
      <c r="Q118" s="221"/>
      <c r="R118" s="221"/>
      <c r="S118" s="221"/>
      <c r="T118" s="181">
        <v>1</v>
      </c>
      <c r="U118" s="181">
        <v>1</v>
      </c>
      <c r="V118" s="221"/>
      <c r="W118" s="181">
        <v>1</v>
      </c>
      <c r="X118" s="181">
        <v>1</v>
      </c>
      <c r="Y118" s="181">
        <v>1</v>
      </c>
      <c r="Z118" s="221"/>
      <c r="AA118" s="181">
        <v>1</v>
      </c>
      <c r="AB118" s="181">
        <v>1</v>
      </c>
      <c r="AC118" s="181">
        <v>1</v>
      </c>
      <c r="AD118" s="181">
        <v>1</v>
      </c>
      <c r="AE118" s="181">
        <v>1</v>
      </c>
      <c r="AF118" s="181">
        <v>1</v>
      </c>
      <c r="AG118" s="221"/>
      <c r="AH118" s="181">
        <v>1</v>
      </c>
      <c r="AI118" s="181">
        <v>1</v>
      </c>
      <c r="AJ118" s="181">
        <v>1</v>
      </c>
      <c r="AK118" s="207">
        <v>1</v>
      </c>
      <c r="AL118" s="196"/>
      <c r="AM118" s="190"/>
      <c r="AN118" s="190"/>
      <c r="AO118" s="190"/>
      <c r="AP118" s="190"/>
      <c r="AQ118" s="190"/>
      <c r="AR118" s="190"/>
      <c r="AS118" s="190"/>
      <c r="AT118" s="190"/>
      <c r="AU118" s="346"/>
      <c r="AV118" s="346"/>
    </row>
    <row r="119" spans="1:48" hidden="1">
      <c r="A119" s="272"/>
      <c r="B119" s="287"/>
      <c r="C119" s="295"/>
      <c r="D119" s="317"/>
      <c r="E119" s="327"/>
      <c r="F119" s="335"/>
      <c r="G119" s="155"/>
      <c r="H119" s="57" t="s">
        <v>15</v>
      </c>
      <c r="I119" s="224"/>
      <c r="J119" s="224"/>
      <c r="K119" s="224"/>
      <c r="L119" s="221"/>
      <c r="M119" s="224"/>
      <c r="N119" s="224"/>
      <c r="O119" s="224"/>
      <c r="P119" s="221"/>
      <c r="Q119" s="221"/>
      <c r="R119" s="221"/>
      <c r="S119" s="221"/>
      <c r="T119" s="224">
        <f>50222+21889</f>
        <v>72111</v>
      </c>
      <c r="U119" s="224"/>
      <c r="V119" s="221"/>
      <c r="W119" s="224"/>
      <c r="X119" s="224"/>
      <c r="Y119" s="224"/>
      <c r="Z119" s="221"/>
      <c r="AA119" s="224"/>
      <c r="AB119" s="224"/>
      <c r="AC119" s="224"/>
      <c r="AD119" s="224"/>
      <c r="AE119" s="224"/>
      <c r="AF119" s="224"/>
      <c r="AG119" s="221"/>
      <c r="AH119" s="224"/>
      <c r="AI119" s="224"/>
      <c r="AJ119" s="224"/>
      <c r="AK119" s="231"/>
      <c r="AL119" s="192">
        <f>SUM(I119:AK119)</f>
        <v>72111</v>
      </c>
      <c r="AM119" s="190"/>
      <c r="AN119" s="190"/>
      <c r="AO119" s="190"/>
      <c r="AP119" s="190"/>
      <c r="AQ119" s="190"/>
      <c r="AR119" s="190"/>
      <c r="AS119" s="190"/>
      <c r="AT119" s="190"/>
      <c r="AU119" s="346"/>
      <c r="AV119" s="346"/>
    </row>
    <row r="120" spans="1:48" hidden="1">
      <c r="A120" s="272"/>
      <c r="B120" s="287"/>
      <c r="C120" s="295"/>
      <c r="D120" s="317"/>
      <c r="E120" s="327"/>
      <c r="F120" s="335"/>
      <c r="G120" s="155"/>
      <c r="H120" s="62" t="s">
        <v>49</v>
      </c>
      <c r="I120" s="181"/>
      <c r="J120" s="181"/>
      <c r="K120" s="181"/>
      <c r="L120" s="221"/>
      <c r="M120" s="181"/>
      <c r="N120" s="181"/>
      <c r="O120" s="181"/>
      <c r="P120" s="221"/>
      <c r="Q120" s="221"/>
      <c r="R120" s="221"/>
      <c r="S120" s="221"/>
      <c r="T120" s="181">
        <f>$AJ$123*$D$108/4</f>
        <v>17160</v>
      </c>
      <c r="U120" s="181">
        <f>$AJ$123*$D$108/4</f>
        <v>17160</v>
      </c>
      <c r="V120" s="221"/>
      <c r="W120" s="181">
        <f>$AJ$123*$D$108/4</f>
        <v>17160</v>
      </c>
      <c r="X120" s="181">
        <f>$AJ$123*$D$108/4</f>
        <v>17160</v>
      </c>
      <c r="Y120" s="181">
        <f>$AJ$123*$D$108/4</f>
        <v>17160</v>
      </c>
      <c r="Z120" s="221"/>
      <c r="AA120" s="181">
        <f t="shared" ref="AA120:AF120" si="22">$AJ$123*$D$108/4</f>
        <v>17160</v>
      </c>
      <c r="AB120" s="181">
        <f t="shared" si="22"/>
        <v>17160</v>
      </c>
      <c r="AC120" s="181">
        <f t="shared" si="22"/>
        <v>17160</v>
      </c>
      <c r="AD120" s="181">
        <f t="shared" si="22"/>
        <v>17160</v>
      </c>
      <c r="AE120" s="181">
        <f t="shared" si="22"/>
        <v>17160</v>
      </c>
      <c r="AF120" s="181">
        <f t="shared" si="22"/>
        <v>17160</v>
      </c>
      <c r="AG120" s="221"/>
      <c r="AH120" s="181">
        <f>$AJ$123*$D$108/4</f>
        <v>17160</v>
      </c>
      <c r="AI120" s="181">
        <f>$AJ$123*$D$108/4</f>
        <v>17160</v>
      </c>
      <c r="AJ120" s="181">
        <f>$AJ$123*$D$108/4</f>
        <v>17160</v>
      </c>
      <c r="AK120" s="207">
        <f>$AJ$123*$D$108/4</f>
        <v>17160</v>
      </c>
      <c r="AL120" s="196">
        <f>SUM(I120:AK120)</f>
        <v>257400</v>
      </c>
      <c r="AM120" s="190"/>
      <c r="AN120" s="190"/>
      <c r="AO120" s="190"/>
      <c r="AP120" s="190"/>
      <c r="AQ120" s="190"/>
      <c r="AR120" s="190"/>
      <c r="AS120" s="190"/>
      <c r="AT120" s="190"/>
      <c r="AU120" s="346"/>
      <c r="AV120" s="346"/>
    </row>
    <row r="121" spans="1:48" hidden="1">
      <c r="A121" s="272"/>
      <c r="B121" s="287"/>
      <c r="C121" s="295"/>
      <c r="D121" s="317"/>
      <c r="E121" s="327"/>
      <c r="F121" s="335"/>
      <c r="G121" s="155"/>
      <c r="H121" s="62" t="s">
        <v>50</v>
      </c>
      <c r="I121" s="181"/>
      <c r="J121" s="181"/>
      <c r="K121" s="181"/>
      <c r="L121" s="221"/>
      <c r="M121" s="181"/>
      <c r="N121" s="181"/>
      <c r="O121" s="181"/>
      <c r="P121" s="221"/>
      <c r="Q121" s="221"/>
      <c r="R121" s="221"/>
      <c r="S121" s="221"/>
      <c r="T121" s="181">
        <v>3</v>
      </c>
      <c r="U121" s="181">
        <v>3</v>
      </c>
      <c r="V121" s="221"/>
      <c r="W121" s="181">
        <v>3</v>
      </c>
      <c r="X121" s="181">
        <v>3</v>
      </c>
      <c r="Y121" s="181">
        <v>3</v>
      </c>
      <c r="Z121" s="221"/>
      <c r="AA121" s="181">
        <v>3</v>
      </c>
      <c r="AB121" s="181">
        <v>3</v>
      </c>
      <c r="AC121" s="181">
        <v>3</v>
      </c>
      <c r="AD121" s="181">
        <v>3</v>
      </c>
      <c r="AE121" s="181">
        <v>3</v>
      </c>
      <c r="AF121" s="181">
        <v>3</v>
      </c>
      <c r="AG121" s="221"/>
      <c r="AH121" s="181">
        <v>3</v>
      </c>
      <c r="AI121" s="181">
        <v>3</v>
      </c>
      <c r="AJ121" s="181">
        <v>3</v>
      </c>
      <c r="AK121" s="207">
        <v>3</v>
      </c>
      <c r="AL121" s="196"/>
      <c r="AM121" s="190"/>
      <c r="AN121" s="190"/>
      <c r="AO121" s="190"/>
      <c r="AP121" s="190"/>
      <c r="AQ121" s="190"/>
      <c r="AR121" s="190"/>
      <c r="AS121" s="190"/>
      <c r="AT121" s="190"/>
      <c r="AU121" s="346"/>
      <c r="AV121" s="346"/>
    </row>
    <row r="122" spans="1:48" hidden="1">
      <c r="A122" s="272"/>
      <c r="B122" s="287"/>
      <c r="C122" s="295"/>
      <c r="D122" s="317"/>
      <c r="E122" s="327"/>
      <c r="F122" s="335"/>
      <c r="G122" s="155"/>
      <c r="H122" s="57" t="s">
        <v>15</v>
      </c>
      <c r="I122" s="224"/>
      <c r="J122" s="224"/>
      <c r="K122" s="224"/>
      <c r="L122" s="221"/>
      <c r="M122" s="224"/>
      <c r="N122" s="224"/>
      <c r="O122" s="224"/>
      <c r="P122" s="221"/>
      <c r="Q122" s="221"/>
      <c r="R122" s="221"/>
      <c r="S122" s="221"/>
      <c r="T122" s="224">
        <f>200</f>
        <v>200</v>
      </c>
      <c r="U122" s="224">
        <f>1057+1389+1938</f>
        <v>4384</v>
      </c>
      <c r="V122" s="221"/>
      <c r="W122" s="224">
        <f>1884+1800</f>
        <v>3684</v>
      </c>
      <c r="X122" s="224">
        <f>1900+1918</f>
        <v>3818</v>
      </c>
      <c r="Y122" s="224"/>
      <c r="Z122" s="221"/>
      <c r="AA122" s="224"/>
      <c r="AB122" s="224"/>
      <c r="AC122" s="224"/>
      <c r="AD122" s="224"/>
      <c r="AE122" s="224"/>
      <c r="AF122" s="224"/>
      <c r="AG122" s="221"/>
      <c r="AH122" s="224"/>
      <c r="AI122" s="224"/>
      <c r="AJ122" s="224"/>
      <c r="AK122" s="231"/>
      <c r="AL122" s="192">
        <f>SUM(I122:AK122)</f>
        <v>12086</v>
      </c>
      <c r="AM122" s="190"/>
      <c r="AN122" s="190"/>
      <c r="AO122" s="190"/>
      <c r="AP122" s="190"/>
      <c r="AQ122" s="190"/>
      <c r="AR122" s="190"/>
      <c r="AS122" s="190"/>
      <c r="AT122" s="190"/>
      <c r="AU122" s="346"/>
      <c r="AV122" s="346"/>
    </row>
    <row r="123" spans="1:48" hidden="1">
      <c r="A123" s="272"/>
      <c r="B123" s="287"/>
      <c r="C123" s="295"/>
      <c r="D123" s="317"/>
      <c r="E123" s="327"/>
      <c r="F123" s="335"/>
      <c r="G123" s="155"/>
      <c r="H123" s="62" t="s">
        <v>32</v>
      </c>
      <c r="I123" s="181"/>
      <c r="J123" s="181"/>
      <c r="K123" s="181"/>
      <c r="L123" s="221"/>
      <c r="M123" s="181"/>
      <c r="N123" s="156"/>
      <c r="O123" s="181"/>
      <c r="P123" s="221"/>
      <c r="Q123" s="221"/>
      <c r="R123" s="221"/>
      <c r="S123" s="221"/>
      <c r="T123" s="181"/>
      <c r="U123" s="181"/>
      <c r="V123" s="221"/>
      <c r="W123" s="181"/>
      <c r="X123" s="181"/>
      <c r="Y123" s="181"/>
      <c r="Z123" s="221"/>
      <c r="AA123" s="181">
        <f>($C$108*4)+($C$108*4*10%)</f>
        <v>44000</v>
      </c>
      <c r="AB123" s="156"/>
      <c r="AC123" s="181"/>
      <c r="AD123" s="181"/>
      <c r="AE123" s="181">
        <f>($C$108*4)+($C$108*4*10%)</f>
        <v>44000</v>
      </c>
      <c r="AF123" s="156"/>
      <c r="AG123" s="221"/>
      <c r="AH123" s="181"/>
      <c r="AI123" s="181"/>
      <c r="AJ123" s="181">
        <f>($C$108*4)+($C$108*4*10%)</f>
        <v>44000</v>
      </c>
      <c r="AK123" s="202"/>
      <c r="AL123" s="196">
        <f>SUM(I123:AK123)</f>
        <v>132000</v>
      </c>
      <c r="AM123" s="190"/>
      <c r="AN123" s="190"/>
      <c r="AO123" s="190"/>
      <c r="AP123" s="190"/>
      <c r="AQ123" s="190"/>
      <c r="AR123" s="190"/>
      <c r="AS123" s="190"/>
      <c r="AT123" s="190"/>
      <c r="AU123" s="346"/>
      <c r="AV123" s="346"/>
    </row>
    <row r="124" spans="1:48" hidden="1">
      <c r="A124" s="272"/>
      <c r="B124" s="287"/>
      <c r="C124" s="295"/>
      <c r="D124" s="317"/>
      <c r="E124" s="327"/>
      <c r="F124" s="335"/>
      <c r="G124" s="155"/>
      <c r="H124" s="62" t="s">
        <v>51</v>
      </c>
      <c r="I124" s="181"/>
      <c r="J124" s="181"/>
      <c r="K124" s="181"/>
      <c r="L124" s="221"/>
      <c r="M124" s="181"/>
      <c r="N124" s="156"/>
      <c r="O124" s="181"/>
      <c r="P124" s="221"/>
      <c r="Q124" s="221"/>
      <c r="R124" s="221"/>
      <c r="S124" s="221"/>
      <c r="T124" s="181"/>
      <c r="U124" s="181"/>
      <c r="V124" s="221"/>
      <c r="W124" s="181"/>
      <c r="X124" s="181"/>
      <c r="Y124" s="181"/>
      <c r="Z124" s="221"/>
      <c r="AA124" s="181">
        <v>1</v>
      </c>
      <c r="AB124" s="156"/>
      <c r="AC124" s="181"/>
      <c r="AD124" s="181"/>
      <c r="AE124" s="181">
        <v>1</v>
      </c>
      <c r="AF124" s="156"/>
      <c r="AG124" s="221"/>
      <c r="AH124" s="181"/>
      <c r="AI124" s="181"/>
      <c r="AJ124" s="181">
        <v>1</v>
      </c>
      <c r="AK124" s="202"/>
      <c r="AL124" s="196"/>
      <c r="AM124" s="190"/>
      <c r="AN124" s="190"/>
      <c r="AO124" s="190"/>
      <c r="AP124" s="190"/>
      <c r="AQ124" s="190"/>
      <c r="AR124" s="190"/>
      <c r="AS124" s="190"/>
      <c r="AT124" s="190"/>
      <c r="AU124" s="346"/>
      <c r="AV124" s="346"/>
    </row>
    <row r="125" spans="1:48" hidden="1">
      <c r="A125" s="273"/>
      <c r="B125" s="287"/>
      <c r="C125" s="297"/>
      <c r="D125" s="318"/>
      <c r="E125" s="328"/>
      <c r="F125" s="335"/>
      <c r="G125" s="161"/>
      <c r="H125" s="67" t="s">
        <v>15</v>
      </c>
      <c r="I125" s="225"/>
      <c r="J125" s="225"/>
      <c r="K125" s="225"/>
      <c r="L125" s="226"/>
      <c r="M125" s="225"/>
      <c r="N125" s="225"/>
      <c r="O125" s="225"/>
      <c r="P125" s="226"/>
      <c r="Q125" s="226"/>
      <c r="R125" s="226"/>
      <c r="S125" s="226"/>
      <c r="T125" s="225"/>
      <c r="U125" s="225"/>
      <c r="V125" s="226"/>
      <c r="W125" s="225"/>
      <c r="X125" s="225"/>
      <c r="Y125" s="225"/>
      <c r="Z125" s="226"/>
      <c r="AA125" s="225"/>
      <c r="AB125" s="225"/>
      <c r="AC125" s="225"/>
      <c r="AD125" s="225"/>
      <c r="AE125" s="225"/>
      <c r="AF125" s="225"/>
      <c r="AG125" s="226"/>
      <c r="AH125" s="225"/>
      <c r="AI125" s="225"/>
      <c r="AJ125" s="225"/>
      <c r="AK125" s="232"/>
      <c r="AL125" s="192">
        <f>SUM(I125:AK125)</f>
        <v>0</v>
      </c>
      <c r="AM125" s="190"/>
      <c r="AN125" s="190"/>
      <c r="AO125" s="190"/>
      <c r="AP125" s="190"/>
      <c r="AQ125" s="190"/>
      <c r="AR125" s="190"/>
      <c r="AS125" s="190"/>
      <c r="AT125" s="190"/>
      <c r="AU125" s="346"/>
      <c r="AV125" s="346"/>
    </row>
    <row r="126" spans="1:48" hidden="1">
      <c r="A126" s="266" t="s">
        <v>65</v>
      </c>
      <c r="B126" s="288" t="s">
        <v>66</v>
      </c>
      <c r="C126" s="294">
        <v>1500</v>
      </c>
      <c r="D126" s="319">
        <v>1.5249999999999999</v>
      </c>
      <c r="E126" s="214"/>
      <c r="F126" s="336" t="s">
        <v>67</v>
      </c>
      <c r="G126" s="215">
        <v>0.16</v>
      </c>
      <c r="H126" s="53" t="s">
        <v>12</v>
      </c>
      <c r="I126" s="223"/>
      <c r="J126" s="223"/>
      <c r="K126" s="223"/>
      <c r="L126" s="179"/>
      <c r="M126" s="223"/>
      <c r="N126" s="223"/>
      <c r="O126" s="223"/>
      <c r="P126" s="179"/>
      <c r="Q126" s="179"/>
      <c r="R126" s="179"/>
      <c r="S126" s="179"/>
      <c r="T126" s="223"/>
      <c r="U126" s="223"/>
      <c r="V126" s="179"/>
      <c r="W126" s="223"/>
      <c r="X126" s="223"/>
      <c r="Y126" s="223"/>
      <c r="Z126" s="179"/>
      <c r="AA126" s="223"/>
      <c r="AB126" s="223"/>
      <c r="AC126" s="223"/>
      <c r="AD126" s="223"/>
      <c r="AE126" s="223"/>
      <c r="AF126" s="223"/>
      <c r="AG126" s="179"/>
      <c r="AH126" s="223">
        <v>55</v>
      </c>
      <c r="AI126" s="223">
        <v>55</v>
      </c>
      <c r="AJ126" s="223">
        <v>55</v>
      </c>
      <c r="AK126" s="230">
        <v>55</v>
      </c>
      <c r="AL126" s="192"/>
      <c r="AM126" s="190"/>
      <c r="AN126" s="190"/>
      <c r="AO126" s="190"/>
      <c r="AP126" s="190"/>
      <c r="AQ126" s="190"/>
      <c r="AR126" s="190"/>
      <c r="AS126" s="190"/>
      <c r="AT126" s="190"/>
      <c r="AU126" s="346"/>
      <c r="AV126" s="346"/>
    </row>
    <row r="127" spans="1:48" hidden="1">
      <c r="A127" s="272"/>
      <c r="B127" s="271"/>
      <c r="C127" s="295"/>
      <c r="D127" s="320"/>
      <c r="E127" s="216"/>
      <c r="F127" s="335"/>
      <c r="G127" s="155"/>
      <c r="H127" s="62" t="s">
        <v>14</v>
      </c>
      <c r="I127" s="181"/>
      <c r="J127" s="181"/>
      <c r="K127" s="181"/>
      <c r="L127" s="221"/>
      <c r="M127" s="181"/>
      <c r="N127" s="181"/>
      <c r="O127" s="181"/>
      <c r="P127" s="221"/>
      <c r="Q127" s="221"/>
      <c r="R127" s="221"/>
      <c r="S127" s="221"/>
      <c r="T127" s="181"/>
      <c r="U127" s="181"/>
      <c r="V127" s="221"/>
      <c r="W127" s="181"/>
      <c r="X127" s="181"/>
      <c r="Y127" s="181"/>
      <c r="Z127" s="221"/>
      <c r="AA127" s="181"/>
      <c r="AB127" s="181"/>
      <c r="AC127" s="181"/>
      <c r="AD127" s="181"/>
      <c r="AE127" s="181"/>
      <c r="AF127" s="181"/>
      <c r="AG127" s="221"/>
      <c r="AH127" s="181">
        <v>0.5</v>
      </c>
      <c r="AI127" s="181">
        <v>0.5</v>
      </c>
      <c r="AJ127" s="181">
        <v>0.5</v>
      </c>
      <c r="AK127" s="207">
        <v>0.5</v>
      </c>
      <c r="AL127" s="192"/>
      <c r="AM127" s="190"/>
      <c r="AN127" s="190"/>
      <c r="AO127" s="190"/>
      <c r="AP127" s="190"/>
      <c r="AQ127" s="190"/>
      <c r="AR127" s="190"/>
      <c r="AS127" s="190"/>
      <c r="AT127" s="190"/>
      <c r="AU127" s="346"/>
      <c r="AV127" s="346"/>
    </row>
    <row r="128" spans="1:48" hidden="1">
      <c r="A128" s="272"/>
      <c r="B128" s="271"/>
      <c r="C128" s="295"/>
      <c r="D128" s="320"/>
      <c r="E128" s="216"/>
      <c r="F128" s="335"/>
      <c r="G128" s="161"/>
      <c r="H128" s="57" t="s">
        <v>15</v>
      </c>
      <c r="I128" s="224"/>
      <c r="J128" s="224"/>
      <c r="K128" s="224"/>
      <c r="L128" s="221"/>
      <c r="M128" s="224"/>
      <c r="N128" s="224"/>
      <c r="O128" s="224"/>
      <c r="P128" s="221"/>
      <c r="Q128" s="221"/>
      <c r="R128" s="221"/>
      <c r="S128" s="221"/>
      <c r="T128" s="224"/>
      <c r="U128" s="224"/>
      <c r="V128" s="221"/>
      <c r="W128" s="224"/>
      <c r="X128" s="224"/>
      <c r="Y128" s="224"/>
      <c r="Z128" s="221"/>
      <c r="AA128" s="224"/>
      <c r="AB128" s="224"/>
      <c r="AC128" s="224"/>
      <c r="AD128" s="224"/>
      <c r="AE128" s="224"/>
      <c r="AF128" s="224"/>
      <c r="AG128" s="221"/>
      <c r="AH128" s="224"/>
      <c r="AI128" s="224"/>
      <c r="AJ128" s="224"/>
      <c r="AK128" s="231"/>
      <c r="AL128" s="192"/>
      <c r="AM128" s="190"/>
      <c r="AN128" s="190"/>
      <c r="AO128" s="190"/>
      <c r="AP128" s="190"/>
      <c r="AQ128" s="190"/>
      <c r="AR128" s="190"/>
      <c r="AS128" s="190"/>
      <c r="AT128" s="190"/>
      <c r="AU128" s="346"/>
      <c r="AV128" s="346"/>
    </row>
    <row r="129" spans="1:48" hidden="1">
      <c r="A129" s="272"/>
      <c r="B129" s="271"/>
      <c r="C129" s="295"/>
      <c r="D129" s="320"/>
      <c r="E129" s="216"/>
      <c r="F129" s="335"/>
      <c r="G129" s="154" t="s">
        <v>68</v>
      </c>
      <c r="H129" s="62" t="s">
        <v>22</v>
      </c>
      <c r="I129" s="181"/>
      <c r="J129" s="181"/>
      <c r="K129" s="181"/>
      <c r="L129" s="221"/>
      <c r="M129" s="181"/>
      <c r="N129" s="181"/>
      <c r="O129" s="181"/>
      <c r="P129" s="221"/>
      <c r="Q129" s="221"/>
      <c r="R129" s="221"/>
      <c r="S129" s="221"/>
      <c r="T129" s="181"/>
      <c r="U129" s="181"/>
      <c r="V129" s="221"/>
      <c r="W129" s="181"/>
      <c r="X129" s="181"/>
      <c r="Y129" s="181"/>
      <c r="Z129" s="221"/>
      <c r="AA129" s="181"/>
      <c r="AB129" s="181"/>
      <c r="AC129" s="181"/>
      <c r="AD129" s="181"/>
      <c r="AE129" s="181"/>
      <c r="AF129" s="181"/>
      <c r="AG129" s="221"/>
      <c r="AH129" s="181"/>
      <c r="AI129" s="181">
        <f>$AK$138*$D$126</f>
        <v>10065</v>
      </c>
      <c r="AJ129" s="181"/>
      <c r="AK129" s="207"/>
      <c r="AL129" s="196">
        <f>SUM(I129:AK129)</f>
        <v>10065</v>
      </c>
      <c r="AM129" s="190"/>
      <c r="AN129" s="190"/>
      <c r="AO129" s="190"/>
      <c r="AP129" s="190"/>
      <c r="AQ129" s="190"/>
      <c r="AR129" s="190"/>
      <c r="AS129" s="190"/>
      <c r="AT129" s="190"/>
      <c r="AU129" s="346"/>
      <c r="AV129" s="346"/>
    </row>
    <row r="130" spans="1:48" hidden="1">
      <c r="A130" s="272"/>
      <c r="B130" s="271"/>
      <c r="C130" s="295"/>
      <c r="D130" s="320"/>
      <c r="E130" s="216"/>
      <c r="F130" s="335"/>
      <c r="G130" s="155"/>
      <c r="H130" s="62" t="s">
        <v>20</v>
      </c>
      <c r="I130" s="181"/>
      <c r="J130" s="181"/>
      <c r="K130" s="181"/>
      <c r="L130" s="221"/>
      <c r="M130" s="181"/>
      <c r="N130" s="181"/>
      <c r="O130" s="181"/>
      <c r="P130" s="221"/>
      <c r="Q130" s="221"/>
      <c r="R130" s="221"/>
      <c r="S130" s="221"/>
      <c r="T130" s="181"/>
      <c r="U130" s="181"/>
      <c r="V130" s="221"/>
      <c r="W130" s="181"/>
      <c r="X130" s="181"/>
      <c r="Y130" s="181"/>
      <c r="Z130" s="221"/>
      <c r="AA130" s="181"/>
      <c r="AB130" s="181"/>
      <c r="AC130" s="181"/>
      <c r="AD130" s="181"/>
      <c r="AE130" s="181"/>
      <c r="AF130" s="181"/>
      <c r="AG130" s="221"/>
      <c r="AH130" s="181"/>
      <c r="AI130" s="181">
        <v>1</v>
      </c>
      <c r="AJ130" s="181"/>
      <c r="AK130" s="207"/>
      <c r="AL130" s="196"/>
      <c r="AM130" s="190"/>
      <c r="AN130" s="190"/>
      <c r="AO130" s="190"/>
      <c r="AP130" s="190"/>
      <c r="AQ130" s="190"/>
      <c r="AR130" s="190"/>
      <c r="AS130" s="190"/>
      <c r="AT130" s="190"/>
      <c r="AU130" s="346"/>
      <c r="AV130" s="346"/>
    </row>
    <row r="131" spans="1:48" hidden="1">
      <c r="A131" s="272"/>
      <c r="B131" s="271"/>
      <c r="C131" s="295"/>
      <c r="D131" s="320"/>
      <c r="E131" s="216"/>
      <c r="F131" s="335"/>
      <c r="G131" s="155"/>
      <c r="H131" s="57" t="s">
        <v>15</v>
      </c>
      <c r="I131" s="224"/>
      <c r="J131" s="224"/>
      <c r="K131" s="224"/>
      <c r="L131" s="221"/>
      <c r="M131" s="224"/>
      <c r="N131" s="224"/>
      <c r="O131" s="224"/>
      <c r="P131" s="221"/>
      <c r="Q131" s="221"/>
      <c r="R131" s="221"/>
      <c r="S131" s="221"/>
      <c r="T131" s="224"/>
      <c r="U131" s="224"/>
      <c r="V131" s="221"/>
      <c r="W131" s="224"/>
      <c r="X131" s="224"/>
      <c r="Y131" s="224"/>
      <c r="Z131" s="221"/>
      <c r="AA131" s="224"/>
      <c r="AB131" s="224"/>
      <c r="AC131" s="224"/>
      <c r="AD131" s="224"/>
      <c r="AE131" s="224"/>
      <c r="AF131" s="224"/>
      <c r="AG131" s="221"/>
      <c r="AH131" s="224"/>
      <c r="AI131" s="224"/>
      <c r="AJ131" s="224"/>
      <c r="AK131" s="231"/>
      <c r="AL131" s="192">
        <f>SUM(I131:AK131)</f>
        <v>0</v>
      </c>
      <c r="AM131" s="190"/>
      <c r="AN131" s="190"/>
      <c r="AO131" s="190"/>
      <c r="AP131" s="190"/>
      <c r="AQ131" s="190"/>
      <c r="AR131" s="190"/>
      <c r="AS131" s="190"/>
      <c r="AT131" s="190"/>
      <c r="AU131" s="346"/>
      <c r="AV131" s="346"/>
    </row>
    <row r="132" spans="1:48" hidden="1">
      <c r="A132" s="272"/>
      <c r="B132" s="271"/>
      <c r="C132" s="295"/>
      <c r="D132" s="320"/>
      <c r="E132" s="216"/>
      <c r="F132" s="335"/>
      <c r="G132" s="154" t="s">
        <v>28</v>
      </c>
      <c r="H132" s="62" t="s">
        <v>29</v>
      </c>
      <c r="I132" s="181"/>
      <c r="J132" s="181"/>
      <c r="K132" s="181"/>
      <c r="L132" s="221"/>
      <c r="M132" s="181"/>
      <c r="N132" s="181"/>
      <c r="O132" s="181"/>
      <c r="P132" s="221"/>
      <c r="Q132" s="221"/>
      <c r="R132" s="221"/>
      <c r="S132" s="221"/>
      <c r="T132" s="181"/>
      <c r="U132" s="181"/>
      <c r="V132" s="221"/>
      <c r="W132" s="181"/>
      <c r="X132" s="181"/>
      <c r="Y132" s="181"/>
      <c r="Z132" s="221"/>
      <c r="AA132" s="181"/>
      <c r="AB132" s="181"/>
      <c r="AC132" s="181"/>
      <c r="AD132" s="181"/>
      <c r="AE132" s="181"/>
      <c r="AF132" s="181"/>
      <c r="AG132" s="221"/>
      <c r="AH132" s="181"/>
      <c r="AI132" s="181">
        <f>$AK$138*$D$126</f>
        <v>10065</v>
      </c>
      <c r="AJ132" s="181"/>
      <c r="AK132" s="207"/>
      <c r="AL132" s="196">
        <f>SUM(I132:AK132)</f>
        <v>10065</v>
      </c>
      <c r="AM132" s="190"/>
      <c r="AN132" s="190"/>
      <c r="AO132" s="190"/>
      <c r="AP132" s="190"/>
      <c r="AQ132" s="190"/>
      <c r="AR132" s="190"/>
      <c r="AS132" s="190"/>
      <c r="AT132" s="190"/>
      <c r="AU132" s="346"/>
      <c r="AV132" s="346"/>
    </row>
    <row r="133" spans="1:48" hidden="1">
      <c r="A133" s="272"/>
      <c r="B133" s="271"/>
      <c r="C133" s="295"/>
      <c r="D133" s="320"/>
      <c r="E133" s="216"/>
      <c r="F133" s="335"/>
      <c r="G133" s="155"/>
      <c r="H133" s="62" t="s">
        <v>27</v>
      </c>
      <c r="I133" s="181"/>
      <c r="J133" s="181"/>
      <c r="K133" s="181"/>
      <c r="L133" s="221"/>
      <c r="M133" s="181"/>
      <c r="N133" s="181"/>
      <c r="O133" s="181"/>
      <c r="P133" s="221"/>
      <c r="Q133" s="221"/>
      <c r="R133" s="221"/>
      <c r="S133" s="221"/>
      <c r="T133" s="181"/>
      <c r="U133" s="181"/>
      <c r="V133" s="221"/>
      <c r="W133" s="181"/>
      <c r="X133" s="181"/>
      <c r="Y133" s="181"/>
      <c r="Z133" s="221"/>
      <c r="AA133" s="181"/>
      <c r="AB133" s="181"/>
      <c r="AC133" s="181"/>
      <c r="AD133" s="181"/>
      <c r="AE133" s="181"/>
      <c r="AF133" s="181"/>
      <c r="AG133" s="221"/>
      <c r="AH133" s="181"/>
      <c r="AI133" s="181">
        <v>1</v>
      </c>
      <c r="AJ133" s="181"/>
      <c r="AK133" s="207"/>
      <c r="AL133" s="196"/>
      <c r="AM133" s="190"/>
      <c r="AN133" s="190"/>
      <c r="AO133" s="190"/>
      <c r="AP133" s="190"/>
      <c r="AQ133" s="190"/>
      <c r="AR133" s="190"/>
      <c r="AS133" s="190"/>
      <c r="AT133" s="190"/>
      <c r="AU133" s="346"/>
      <c r="AV133" s="346"/>
    </row>
    <row r="134" spans="1:48" hidden="1">
      <c r="A134" s="272"/>
      <c r="B134" s="271"/>
      <c r="C134" s="295"/>
      <c r="D134" s="320"/>
      <c r="E134" s="216"/>
      <c r="F134" s="335"/>
      <c r="G134" s="155"/>
      <c r="H134" s="57" t="s">
        <v>15</v>
      </c>
      <c r="I134" s="224"/>
      <c r="J134" s="224"/>
      <c r="K134" s="224"/>
      <c r="L134" s="221"/>
      <c r="M134" s="224"/>
      <c r="N134" s="224"/>
      <c r="O134" s="224"/>
      <c r="P134" s="221"/>
      <c r="Q134" s="221"/>
      <c r="R134" s="221"/>
      <c r="S134" s="221"/>
      <c r="T134" s="224"/>
      <c r="U134" s="224"/>
      <c r="V134" s="221"/>
      <c r="W134" s="224"/>
      <c r="X134" s="224"/>
      <c r="Y134" s="224"/>
      <c r="Z134" s="221"/>
      <c r="AA134" s="224"/>
      <c r="AB134" s="224"/>
      <c r="AC134" s="224"/>
      <c r="AD134" s="224"/>
      <c r="AE134" s="224"/>
      <c r="AF134" s="224"/>
      <c r="AG134" s="221"/>
      <c r="AH134" s="224"/>
      <c r="AI134" s="224"/>
      <c r="AJ134" s="224"/>
      <c r="AK134" s="231"/>
      <c r="AL134" s="192">
        <f>SUM(I134:AK134)</f>
        <v>0</v>
      </c>
      <c r="AM134" s="190"/>
      <c r="AN134" s="190"/>
      <c r="AO134" s="190"/>
      <c r="AP134" s="190"/>
      <c r="AQ134" s="190"/>
      <c r="AR134" s="190"/>
      <c r="AS134" s="190"/>
      <c r="AT134" s="190"/>
      <c r="AU134" s="346"/>
      <c r="AV134" s="346"/>
    </row>
    <row r="135" spans="1:48" hidden="1">
      <c r="A135" s="272"/>
      <c r="B135" s="271"/>
      <c r="C135" s="295"/>
      <c r="D135" s="320"/>
      <c r="E135" s="216"/>
      <c r="F135" s="335"/>
      <c r="G135" s="155"/>
      <c r="H135" s="62" t="s">
        <v>49</v>
      </c>
      <c r="I135" s="181"/>
      <c r="J135" s="181"/>
      <c r="K135" s="181"/>
      <c r="L135" s="221"/>
      <c r="M135" s="181"/>
      <c r="N135" s="181"/>
      <c r="O135" s="181"/>
      <c r="P135" s="221"/>
      <c r="Q135" s="221"/>
      <c r="R135" s="221"/>
      <c r="S135" s="221"/>
      <c r="T135" s="181"/>
      <c r="U135" s="181"/>
      <c r="V135" s="221"/>
      <c r="W135" s="181"/>
      <c r="X135" s="181"/>
      <c r="Y135" s="181"/>
      <c r="Z135" s="221"/>
      <c r="AA135" s="181"/>
      <c r="AB135" s="181"/>
      <c r="AC135" s="181"/>
      <c r="AD135" s="181"/>
      <c r="AE135" s="181"/>
      <c r="AF135" s="181"/>
      <c r="AG135" s="221"/>
      <c r="AH135" s="181">
        <f>$AK$138*$D$126/3</f>
        <v>3355</v>
      </c>
      <c r="AI135" s="181">
        <f>$AK$138*$D$126/3</f>
        <v>3355</v>
      </c>
      <c r="AJ135" s="181">
        <f>$AK$138*$D$126/3</f>
        <v>3355</v>
      </c>
      <c r="AK135" s="207">
        <f>$AK$138*$D$126/3</f>
        <v>3355</v>
      </c>
      <c r="AL135" s="196">
        <f>SUM(I135:AK135)</f>
        <v>13420</v>
      </c>
      <c r="AM135" s="190"/>
      <c r="AN135" s="190"/>
      <c r="AO135" s="190"/>
      <c r="AP135" s="190"/>
      <c r="AQ135" s="190"/>
      <c r="AR135" s="190"/>
      <c r="AS135" s="190"/>
      <c r="AT135" s="190"/>
      <c r="AU135" s="346"/>
      <c r="AV135" s="346"/>
    </row>
    <row r="136" spans="1:48" hidden="1">
      <c r="A136" s="272"/>
      <c r="B136" s="271"/>
      <c r="C136" s="295"/>
      <c r="D136" s="320"/>
      <c r="E136" s="216"/>
      <c r="F136" s="335"/>
      <c r="G136" s="155"/>
      <c r="H136" s="62" t="s">
        <v>50</v>
      </c>
      <c r="I136" s="181"/>
      <c r="J136" s="181"/>
      <c r="K136" s="181"/>
      <c r="L136" s="221"/>
      <c r="M136" s="181"/>
      <c r="N136" s="181"/>
      <c r="O136" s="181"/>
      <c r="P136" s="221"/>
      <c r="Q136" s="221"/>
      <c r="R136" s="221"/>
      <c r="S136" s="221"/>
      <c r="T136" s="181"/>
      <c r="U136" s="181"/>
      <c r="V136" s="221"/>
      <c r="W136" s="181"/>
      <c r="X136" s="181"/>
      <c r="Y136" s="181"/>
      <c r="Z136" s="221"/>
      <c r="AA136" s="181"/>
      <c r="AB136" s="181"/>
      <c r="AC136" s="181"/>
      <c r="AD136" s="181"/>
      <c r="AE136" s="181"/>
      <c r="AF136" s="181"/>
      <c r="AG136" s="221"/>
      <c r="AH136" s="181">
        <v>1</v>
      </c>
      <c r="AI136" s="181">
        <v>1</v>
      </c>
      <c r="AJ136" s="181">
        <v>1</v>
      </c>
      <c r="AK136" s="207">
        <v>1</v>
      </c>
      <c r="AL136" s="196"/>
      <c r="AM136" s="190"/>
      <c r="AN136" s="190"/>
      <c r="AO136" s="190"/>
      <c r="AP136" s="190"/>
      <c r="AQ136" s="190"/>
      <c r="AR136" s="190"/>
      <c r="AS136" s="190"/>
      <c r="AT136" s="190"/>
      <c r="AU136" s="346"/>
      <c r="AV136" s="346"/>
    </row>
    <row r="137" spans="1:48" hidden="1">
      <c r="A137" s="272"/>
      <c r="B137" s="271"/>
      <c r="C137" s="295"/>
      <c r="D137" s="320"/>
      <c r="E137" s="216"/>
      <c r="F137" s="335"/>
      <c r="G137" s="155"/>
      <c r="H137" s="57" t="s">
        <v>15</v>
      </c>
      <c r="I137" s="224"/>
      <c r="J137" s="224"/>
      <c r="K137" s="224"/>
      <c r="L137" s="221"/>
      <c r="M137" s="224"/>
      <c r="N137" s="224"/>
      <c r="O137" s="224"/>
      <c r="P137" s="221"/>
      <c r="Q137" s="221"/>
      <c r="R137" s="221"/>
      <c r="S137" s="221"/>
      <c r="T137" s="224"/>
      <c r="U137" s="224"/>
      <c r="V137" s="221"/>
      <c r="W137" s="224"/>
      <c r="X137" s="224">
        <f>1537</f>
        <v>1537</v>
      </c>
      <c r="Y137" s="224"/>
      <c r="Z137" s="221"/>
      <c r="AA137" s="224"/>
      <c r="AB137" s="224"/>
      <c r="AC137" s="224"/>
      <c r="AD137" s="224"/>
      <c r="AE137" s="224"/>
      <c r="AF137" s="224"/>
      <c r="AG137" s="221"/>
      <c r="AH137" s="224"/>
      <c r="AI137" s="224"/>
      <c r="AJ137" s="224"/>
      <c r="AK137" s="231"/>
      <c r="AL137" s="192">
        <f>SUM(I137:AK137)</f>
        <v>1537</v>
      </c>
      <c r="AM137" s="190"/>
      <c r="AN137" s="190"/>
      <c r="AO137" s="190"/>
      <c r="AP137" s="190"/>
      <c r="AQ137" s="190"/>
      <c r="AR137" s="190"/>
      <c r="AS137" s="190"/>
      <c r="AT137" s="190"/>
      <c r="AU137" s="346"/>
      <c r="AV137" s="346"/>
    </row>
    <row r="138" spans="1:48" hidden="1">
      <c r="A138" s="272"/>
      <c r="B138" s="271"/>
      <c r="C138" s="295"/>
      <c r="D138" s="320"/>
      <c r="E138" s="216"/>
      <c r="F138" s="335"/>
      <c r="G138" s="155"/>
      <c r="H138" s="62" t="s">
        <v>32</v>
      </c>
      <c r="I138" s="181"/>
      <c r="J138" s="181"/>
      <c r="K138" s="181"/>
      <c r="L138" s="221"/>
      <c r="M138" s="235"/>
      <c r="N138" s="181"/>
      <c r="O138" s="181"/>
      <c r="P138" s="221"/>
      <c r="Q138" s="221"/>
      <c r="R138" s="221"/>
      <c r="S138" s="221"/>
      <c r="T138" s="181"/>
      <c r="U138" s="181"/>
      <c r="V138" s="221"/>
      <c r="W138" s="181"/>
      <c r="X138" s="181"/>
      <c r="Y138" s="181"/>
      <c r="Z138" s="221"/>
      <c r="AA138" s="181"/>
      <c r="AB138" s="181"/>
      <c r="AC138" s="181"/>
      <c r="AD138" s="181"/>
      <c r="AE138" s="181"/>
      <c r="AF138" s="181"/>
      <c r="AG138" s="221"/>
      <c r="AH138" s="181"/>
      <c r="AI138" s="181"/>
      <c r="AJ138" s="181"/>
      <c r="AK138" s="207">
        <f>($C$126*4)+($C$126*4*10%)</f>
        <v>6600</v>
      </c>
      <c r="AL138" s="196">
        <f>SUM(I138:AK138)</f>
        <v>6600</v>
      </c>
      <c r="AM138" s="190"/>
      <c r="AN138" s="190"/>
      <c r="AO138" s="190"/>
      <c r="AP138" s="190"/>
      <c r="AQ138" s="190"/>
      <c r="AR138" s="190"/>
      <c r="AS138" s="190"/>
      <c r="AT138" s="190"/>
      <c r="AU138" s="346"/>
      <c r="AV138" s="346"/>
    </row>
    <row r="139" spans="1:48" hidden="1">
      <c r="A139" s="267"/>
      <c r="B139" s="269"/>
      <c r="C139" s="295"/>
      <c r="D139" s="320"/>
      <c r="E139" s="216"/>
      <c r="F139" s="335"/>
      <c r="G139" s="154"/>
      <c r="H139" s="62" t="s">
        <v>51</v>
      </c>
      <c r="I139" s="170"/>
      <c r="J139" s="170"/>
      <c r="K139" s="170"/>
      <c r="L139" s="171"/>
      <c r="M139" s="235"/>
      <c r="N139" s="170"/>
      <c r="O139" s="170"/>
      <c r="P139" s="171"/>
      <c r="Q139" s="171"/>
      <c r="R139" s="171"/>
      <c r="S139" s="171"/>
      <c r="T139" s="181"/>
      <c r="U139" s="170"/>
      <c r="V139" s="171"/>
      <c r="W139" s="170"/>
      <c r="X139" s="181"/>
      <c r="Y139" s="170"/>
      <c r="Z139" s="171"/>
      <c r="AA139" s="170"/>
      <c r="AB139" s="181"/>
      <c r="AC139" s="170"/>
      <c r="AD139" s="170"/>
      <c r="AE139" s="181"/>
      <c r="AF139" s="170"/>
      <c r="AG139" s="171"/>
      <c r="AH139" s="170"/>
      <c r="AI139" s="170"/>
      <c r="AJ139" s="170"/>
      <c r="AK139" s="195">
        <v>1</v>
      </c>
      <c r="AL139" s="196"/>
      <c r="AM139" s="206"/>
      <c r="AN139" s="206"/>
      <c r="AO139" s="206"/>
      <c r="AP139" s="190"/>
      <c r="AQ139" s="190"/>
      <c r="AR139" s="190"/>
      <c r="AS139" s="190"/>
      <c r="AT139" s="190"/>
      <c r="AU139" s="346"/>
      <c r="AV139" s="346"/>
    </row>
    <row r="140" spans="1:48" hidden="1">
      <c r="A140" s="268"/>
      <c r="B140" s="289"/>
      <c r="C140" s="296"/>
      <c r="D140" s="320"/>
      <c r="E140" s="216"/>
      <c r="F140" s="335"/>
      <c r="G140" s="163"/>
      <c r="H140" s="67" t="s">
        <v>15</v>
      </c>
      <c r="I140" s="180"/>
      <c r="J140" s="180"/>
      <c r="K140" s="180"/>
      <c r="L140" s="182"/>
      <c r="M140" s="180"/>
      <c r="N140" s="180"/>
      <c r="O140" s="180"/>
      <c r="P140" s="182"/>
      <c r="Q140" s="182"/>
      <c r="R140" s="182"/>
      <c r="S140" s="182"/>
      <c r="T140" s="180"/>
      <c r="U140" s="180"/>
      <c r="V140" s="182"/>
      <c r="W140" s="180"/>
      <c r="X140" s="180"/>
      <c r="Y140" s="180"/>
      <c r="Z140" s="182"/>
      <c r="AA140" s="180"/>
      <c r="AB140" s="180"/>
      <c r="AC140" s="180"/>
      <c r="AD140" s="180"/>
      <c r="AE140" s="180"/>
      <c r="AF140" s="180"/>
      <c r="AG140" s="182"/>
      <c r="AH140" s="180"/>
      <c r="AI140" s="180"/>
      <c r="AJ140" s="180"/>
      <c r="AK140" s="208"/>
      <c r="AL140" s="209">
        <f>SUM(I140:AK140)</f>
        <v>0</v>
      </c>
      <c r="AM140" s="206"/>
      <c r="AN140" s="206"/>
      <c r="AO140" s="206"/>
      <c r="AP140" s="190"/>
      <c r="AQ140" s="190"/>
      <c r="AR140" s="190"/>
      <c r="AS140" s="190"/>
      <c r="AT140" s="190"/>
      <c r="AU140" s="346"/>
      <c r="AV140" s="346"/>
    </row>
    <row r="141" spans="1:48" ht="15" hidden="1" customHeight="1">
      <c r="A141" s="274" t="s">
        <v>69</v>
      </c>
      <c r="B141" s="289"/>
      <c r="C141" s="299"/>
      <c r="D141" s="210"/>
      <c r="E141" s="329"/>
      <c r="F141" s="299"/>
      <c r="G141" s="154">
        <v>0.127</v>
      </c>
      <c r="H141" s="62" t="s">
        <v>12</v>
      </c>
      <c r="I141" s="64">
        <f>(5.65*20)+(11.5*20)</f>
        <v>343</v>
      </c>
      <c r="J141" s="170"/>
      <c r="K141" s="170"/>
      <c r="L141" s="171"/>
      <c r="M141" s="170"/>
      <c r="N141" s="170"/>
      <c r="O141" s="170"/>
      <c r="P141" s="171"/>
      <c r="Q141" s="171"/>
      <c r="R141" s="171"/>
      <c r="S141" s="171"/>
      <c r="T141" s="170"/>
      <c r="U141" s="170"/>
      <c r="V141" s="171"/>
      <c r="W141" s="170"/>
      <c r="X141" s="170"/>
      <c r="Y141" s="170"/>
      <c r="Z141" s="171"/>
      <c r="AA141" s="170"/>
      <c r="AB141" s="170"/>
      <c r="AC141" s="170"/>
      <c r="AD141" s="170"/>
      <c r="AE141" s="170"/>
      <c r="AF141" s="170"/>
      <c r="AG141" s="171"/>
      <c r="AH141" s="170"/>
      <c r="AI141" s="170"/>
      <c r="AJ141" s="170"/>
      <c r="AK141" s="170"/>
      <c r="AL141" s="210"/>
      <c r="AM141" s="190"/>
      <c r="AN141" s="190"/>
      <c r="AO141" s="190"/>
      <c r="AP141" s="190"/>
      <c r="AQ141" s="190"/>
      <c r="AR141" s="190"/>
      <c r="AS141" s="346"/>
      <c r="AT141" s="346"/>
      <c r="AU141" s="212"/>
      <c r="AV141" s="346"/>
    </row>
    <row r="142" spans="1:48" hidden="1">
      <c r="A142" s="275"/>
      <c r="B142" s="283"/>
      <c r="C142" s="300"/>
      <c r="D142" s="210"/>
      <c r="E142" s="329"/>
      <c r="F142" s="300"/>
      <c r="G142" s="154"/>
      <c r="H142" s="62" t="s">
        <v>14</v>
      </c>
      <c r="I142" s="170">
        <v>1</v>
      </c>
      <c r="J142" s="170"/>
      <c r="K142" s="170"/>
      <c r="L142" s="171"/>
      <c r="M142" s="170"/>
      <c r="N142" s="170"/>
      <c r="O142" s="170"/>
      <c r="P142" s="171"/>
      <c r="Q142" s="171"/>
      <c r="R142" s="171"/>
      <c r="S142" s="171"/>
      <c r="T142" s="170"/>
      <c r="U142" s="170"/>
      <c r="V142" s="171"/>
      <c r="W142" s="170"/>
      <c r="X142" s="170"/>
      <c r="Y142" s="170"/>
      <c r="Z142" s="171"/>
      <c r="AA142" s="170"/>
      <c r="AB142" s="170"/>
      <c r="AC142" s="170"/>
      <c r="AD142" s="170"/>
      <c r="AE142" s="170"/>
      <c r="AF142" s="170"/>
      <c r="AG142" s="171"/>
      <c r="AH142" s="170"/>
      <c r="AI142" s="170"/>
      <c r="AJ142" s="170"/>
      <c r="AK142" s="170"/>
      <c r="AL142" s="210"/>
      <c r="AM142" s="190"/>
      <c r="AN142" s="190"/>
      <c r="AO142" s="190"/>
      <c r="AP142" s="190"/>
      <c r="AQ142" s="190"/>
      <c r="AR142" s="190"/>
      <c r="AS142" s="346"/>
      <c r="AT142" s="346"/>
      <c r="AU142" s="212"/>
      <c r="AV142" s="346"/>
    </row>
    <row r="143" spans="1:48" hidden="1">
      <c r="A143" s="275"/>
      <c r="B143" s="283"/>
      <c r="C143" s="300"/>
      <c r="D143" s="210"/>
      <c r="E143" s="329"/>
      <c r="F143" s="300"/>
      <c r="G143" s="154"/>
      <c r="H143" s="57" t="s">
        <v>15</v>
      </c>
      <c r="I143" s="21"/>
      <c r="J143" s="172"/>
      <c r="K143" s="172"/>
      <c r="L143" s="171"/>
      <c r="M143" s="172"/>
      <c r="N143" s="172"/>
      <c r="O143" s="172"/>
      <c r="P143" s="171"/>
      <c r="Q143" s="171"/>
      <c r="R143" s="171"/>
      <c r="S143" s="171"/>
      <c r="T143" s="172"/>
      <c r="U143" s="172"/>
      <c r="V143" s="171"/>
      <c r="W143" s="172"/>
      <c r="X143" s="172"/>
      <c r="Y143" s="172"/>
      <c r="Z143" s="171"/>
      <c r="AA143" s="172"/>
      <c r="AB143" s="172"/>
      <c r="AC143" s="172"/>
      <c r="AD143" s="172"/>
      <c r="AE143" s="172"/>
      <c r="AF143" s="172"/>
      <c r="AG143" s="171"/>
      <c r="AH143" s="172"/>
      <c r="AI143" s="172"/>
      <c r="AJ143" s="172"/>
      <c r="AK143" s="172"/>
      <c r="AL143" s="210"/>
      <c r="AM143" s="190"/>
      <c r="AN143" s="190"/>
      <c r="AO143" s="190"/>
      <c r="AP143" s="190"/>
      <c r="AQ143" s="190"/>
      <c r="AR143" s="190"/>
      <c r="AS143" s="346"/>
      <c r="AT143" s="346"/>
      <c r="AU143" s="212"/>
      <c r="AV143" s="346"/>
    </row>
    <row r="144" spans="1:48" hidden="1">
      <c r="A144" s="275"/>
      <c r="B144" s="283"/>
      <c r="C144" s="300"/>
      <c r="D144" s="210"/>
      <c r="E144" s="329"/>
      <c r="F144" s="300"/>
      <c r="G144" s="154">
        <v>0.12</v>
      </c>
      <c r="H144" s="62" t="s">
        <v>12</v>
      </c>
      <c r="I144" s="183">
        <f>(2.5*20)+(2.5*20)</f>
        <v>100</v>
      </c>
      <c r="J144" s="170"/>
      <c r="K144" s="170"/>
      <c r="L144" s="171"/>
      <c r="M144" s="170"/>
      <c r="N144" s="170"/>
      <c r="O144" s="170"/>
      <c r="P144" s="171"/>
      <c r="Q144" s="171"/>
      <c r="R144" s="171"/>
      <c r="S144" s="171"/>
      <c r="T144" s="170"/>
      <c r="U144" s="170"/>
      <c r="V144" s="171"/>
      <c r="W144" s="170"/>
      <c r="X144" s="170"/>
      <c r="Y144" s="170"/>
      <c r="Z144" s="171"/>
      <c r="AA144" s="170"/>
      <c r="AB144" s="170"/>
      <c r="AC144" s="170"/>
      <c r="AD144" s="170"/>
      <c r="AE144" s="170"/>
      <c r="AF144" s="170"/>
      <c r="AG144" s="171"/>
      <c r="AH144" s="170"/>
      <c r="AI144" s="170"/>
      <c r="AJ144" s="170"/>
      <c r="AK144" s="170"/>
      <c r="AL144" s="210"/>
      <c r="AM144" s="190"/>
      <c r="AN144" s="190"/>
      <c r="AO144" s="190"/>
      <c r="AP144" s="190"/>
      <c r="AQ144" s="190"/>
      <c r="AR144" s="190"/>
      <c r="AS144" s="346"/>
      <c r="AT144" s="346"/>
      <c r="AU144" s="212"/>
      <c r="AV144" s="346"/>
    </row>
    <row r="145" spans="1:48" hidden="1">
      <c r="A145" s="275"/>
      <c r="B145" s="283"/>
      <c r="C145" s="300"/>
      <c r="D145" s="210"/>
      <c r="E145" s="329"/>
      <c r="F145" s="300"/>
      <c r="G145" s="154"/>
      <c r="H145" s="62" t="s">
        <v>14</v>
      </c>
      <c r="I145" s="170">
        <v>0.5</v>
      </c>
      <c r="J145" s="170"/>
      <c r="K145" s="170"/>
      <c r="L145" s="171"/>
      <c r="M145" s="170"/>
      <c r="N145" s="170"/>
      <c r="O145" s="170"/>
      <c r="P145" s="171"/>
      <c r="Q145" s="171"/>
      <c r="R145" s="171"/>
      <c r="S145" s="171"/>
      <c r="T145" s="170"/>
      <c r="U145" s="170"/>
      <c r="V145" s="171"/>
      <c r="W145" s="170"/>
      <c r="X145" s="170"/>
      <c r="Y145" s="170"/>
      <c r="Z145" s="171"/>
      <c r="AA145" s="170"/>
      <c r="AB145" s="170"/>
      <c r="AC145" s="170"/>
      <c r="AD145" s="170"/>
      <c r="AE145" s="170"/>
      <c r="AF145" s="170"/>
      <c r="AG145" s="171"/>
      <c r="AH145" s="170"/>
      <c r="AI145" s="170"/>
      <c r="AJ145" s="170"/>
      <c r="AK145" s="170"/>
      <c r="AL145" s="210"/>
      <c r="AM145" s="190"/>
      <c r="AN145" s="190"/>
      <c r="AO145" s="190"/>
      <c r="AP145" s="190"/>
      <c r="AQ145" s="190"/>
      <c r="AR145" s="190"/>
      <c r="AS145" s="346"/>
      <c r="AT145" s="346"/>
      <c r="AU145" s="212"/>
      <c r="AV145" s="346"/>
    </row>
    <row r="146" spans="1:48" hidden="1">
      <c r="A146" s="275"/>
      <c r="B146" s="283"/>
      <c r="C146" s="300"/>
      <c r="D146" s="210"/>
      <c r="E146" s="329"/>
      <c r="F146" s="300"/>
      <c r="G146" s="154"/>
      <c r="H146" s="57" t="s">
        <v>15</v>
      </c>
      <c r="I146" s="21"/>
      <c r="J146" s="172"/>
      <c r="K146" s="172"/>
      <c r="L146" s="171"/>
      <c r="M146" s="172"/>
      <c r="N146" s="172"/>
      <c r="O146" s="172"/>
      <c r="P146" s="171"/>
      <c r="Q146" s="171"/>
      <c r="R146" s="171"/>
      <c r="S146" s="171"/>
      <c r="T146" s="172"/>
      <c r="U146" s="172"/>
      <c r="V146" s="171"/>
      <c r="W146" s="172"/>
      <c r="X146" s="172"/>
      <c r="Y146" s="172"/>
      <c r="Z146" s="171"/>
      <c r="AA146" s="172"/>
      <c r="AB146" s="172"/>
      <c r="AC146" s="172"/>
      <c r="AD146" s="172"/>
      <c r="AE146" s="172"/>
      <c r="AF146" s="172"/>
      <c r="AG146" s="171"/>
      <c r="AH146" s="172"/>
      <c r="AI146" s="172"/>
      <c r="AJ146" s="172"/>
      <c r="AK146" s="172"/>
      <c r="AL146" s="210"/>
      <c r="AM146" s="190"/>
      <c r="AN146" s="190"/>
      <c r="AO146" s="190"/>
      <c r="AP146" s="190"/>
      <c r="AQ146" s="190"/>
      <c r="AR146" s="190"/>
      <c r="AS146" s="346"/>
      <c r="AT146" s="346"/>
      <c r="AU146" s="212"/>
      <c r="AV146" s="346"/>
    </row>
    <row r="147" spans="1:48" hidden="1">
      <c r="A147" s="275"/>
      <c r="B147" s="283"/>
      <c r="C147" s="300"/>
      <c r="D147" s="210"/>
      <c r="E147" s="329"/>
      <c r="F147" s="300"/>
      <c r="G147" s="154">
        <v>0.2</v>
      </c>
      <c r="H147" s="62" t="s">
        <v>12</v>
      </c>
      <c r="I147" s="183">
        <f>(14*20)</f>
        <v>280</v>
      </c>
      <c r="J147" s="183"/>
      <c r="K147" s="64"/>
      <c r="L147" s="171"/>
      <c r="M147" s="64"/>
      <c r="N147" s="64"/>
      <c r="O147" s="64"/>
      <c r="P147" s="171"/>
      <c r="Q147" s="171"/>
      <c r="R147" s="171"/>
      <c r="S147" s="171"/>
      <c r="T147" s="64"/>
      <c r="U147" s="64"/>
      <c r="V147" s="171"/>
      <c r="W147" s="64"/>
      <c r="X147" s="64"/>
      <c r="Y147" s="64"/>
      <c r="Z147" s="171"/>
      <c r="AA147" s="64"/>
      <c r="AB147" s="64"/>
      <c r="AC147" s="64"/>
      <c r="AD147" s="64"/>
      <c r="AE147" s="64"/>
      <c r="AF147" s="64"/>
      <c r="AG147" s="171"/>
      <c r="AH147" s="64"/>
      <c r="AI147" s="64"/>
      <c r="AJ147" s="64"/>
      <c r="AK147" s="64"/>
      <c r="AL147" s="210"/>
      <c r="AM147" s="190"/>
      <c r="AN147" s="190"/>
      <c r="AO147" s="190"/>
      <c r="AP147" s="190"/>
      <c r="AQ147" s="190"/>
      <c r="AR147" s="190"/>
      <c r="AS147" s="346"/>
      <c r="AT147" s="346"/>
      <c r="AU147" s="212"/>
      <c r="AV147" s="346"/>
    </row>
    <row r="148" spans="1:48" hidden="1">
      <c r="A148" s="275"/>
      <c r="B148" s="283"/>
      <c r="C148" s="300"/>
      <c r="D148" s="210"/>
      <c r="E148" s="329"/>
      <c r="F148" s="300"/>
      <c r="G148" s="21"/>
      <c r="H148" s="62" t="s">
        <v>14</v>
      </c>
      <c r="I148" s="170">
        <v>1</v>
      </c>
      <c r="J148" s="170"/>
      <c r="K148" s="170"/>
      <c r="L148" s="171"/>
      <c r="M148" s="170"/>
      <c r="N148" s="170"/>
      <c r="O148" s="170"/>
      <c r="P148" s="171"/>
      <c r="Q148" s="171"/>
      <c r="R148" s="171"/>
      <c r="S148" s="171"/>
      <c r="T148" s="170"/>
      <c r="U148" s="170"/>
      <c r="V148" s="171"/>
      <c r="W148" s="170"/>
      <c r="X148" s="170"/>
      <c r="Y148" s="170"/>
      <c r="Z148" s="171"/>
      <c r="AA148" s="170"/>
      <c r="AB148" s="170"/>
      <c r="AC148" s="170"/>
      <c r="AD148" s="170"/>
      <c r="AE148" s="170"/>
      <c r="AF148" s="170"/>
      <c r="AG148" s="171"/>
      <c r="AH148" s="170"/>
      <c r="AI148" s="170"/>
      <c r="AJ148" s="170"/>
      <c r="AK148" s="170"/>
      <c r="AL148" s="210"/>
      <c r="AM148" s="190"/>
      <c r="AN148" s="190"/>
      <c r="AO148" s="190"/>
      <c r="AP148" s="190"/>
      <c r="AQ148" s="190"/>
      <c r="AR148" s="190"/>
      <c r="AS148" s="346"/>
      <c r="AT148" s="346"/>
      <c r="AU148" s="212"/>
      <c r="AV148" s="346"/>
    </row>
    <row r="149" spans="1:48" hidden="1">
      <c r="A149" s="275"/>
      <c r="B149" s="283"/>
      <c r="C149" s="300"/>
      <c r="D149" s="210"/>
      <c r="E149" s="329"/>
      <c r="F149" s="300"/>
      <c r="G149" s="21"/>
      <c r="H149" s="57" t="s">
        <v>15</v>
      </c>
      <c r="I149" s="172"/>
      <c r="J149" s="172"/>
      <c r="K149" s="172"/>
      <c r="L149" s="171"/>
      <c r="M149" s="172"/>
      <c r="N149" s="172"/>
      <c r="O149" s="172"/>
      <c r="P149" s="171"/>
      <c r="Q149" s="171"/>
      <c r="R149" s="171"/>
      <c r="S149" s="171"/>
      <c r="T149" s="172"/>
      <c r="U149" s="172"/>
      <c r="V149" s="171"/>
      <c r="W149" s="172"/>
      <c r="X149" s="172"/>
      <c r="Y149" s="172"/>
      <c r="Z149" s="171"/>
      <c r="AA149" s="172"/>
      <c r="AB149" s="172"/>
      <c r="AC149" s="172"/>
      <c r="AD149" s="172"/>
      <c r="AE149" s="172"/>
      <c r="AF149" s="172"/>
      <c r="AG149" s="171"/>
      <c r="AH149" s="172"/>
      <c r="AI149" s="172"/>
      <c r="AJ149" s="172"/>
      <c r="AK149" s="172"/>
      <c r="AL149" s="210"/>
      <c r="AM149" s="190"/>
      <c r="AN149" s="190"/>
      <c r="AO149" s="190"/>
      <c r="AP149" s="190"/>
      <c r="AQ149" s="190"/>
      <c r="AR149" s="190"/>
      <c r="AS149" s="346"/>
      <c r="AT149" s="346"/>
      <c r="AU149" s="212"/>
      <c r="AV149" s="346"/>
    </row>
    <row r="150" spans="1:48" hidden="1">
      <c r="A150" s="275"/>
      <c r="B150" s="283"/>
      <c r="C150" s="300"/>
      <c r="D150" s="210"/>
      <c r="E150" s="329"/>
      <c r="F150" s="300"/>
      <c r="G150" s="154" t="s">
        <v>70</v>
      </c>
      <c r="H150" s="62" t="s">
        <v>19</v>
      </c>
      <c r="I150" s="170">
        <f>($N$186*2)/4</f>
        <v>6700</v>
      </c>
      <c r="J150" s="170">
        <f>($N$186*2)/4</f>
        <v>6700</v>
      </c>
      <c r="K150" s="170">
        <f>($N$186*2)/4</f>
        <v>6700</v>
      </c>
      <c r="L150" s="171"/>
      <c r="M150" s="170">
        <f>($N$186*2)/4</f>
        <v>6700</v>
      </c>
      <c r="N150" s="170">
        <f>($N$186*2)/4</f>
        <v>6700</v>
      </c>
      <c r="O150" s="170">
        <f>($N$186*2)/4</f>
        <v>6700</v>
      </c>
      <c r="P150" s="171"/>
      <c r="Q150" s="171"/>
      <c r="R150" s="171"/>
      <c r="S150" s="171"/>
      <c r="T150" s="170">
        <f>($N$186*2)/4</f>
        <v>6700</v>
      </c>
      <c r="U150" s="170">
        <f>($N$186*2)/4</f>
        <v>6700</v>
      </c>
      <c r="V150" s="171"/>
      <c r="W150" s="170">
        <f>($N$186*2)/4</f>
        <v>6700</v>
      </c>
      <c r="X150" s="170">
        <f>($N$186*2)/4</f>
        <v>6700</v>
      </c>
      <c r="Y150" s="170">
        <f>($N$186*2)/4</f>
        <v>6700</v>
      </c>
      <c r="Z150" s="171"/>
      <c r="AA150" s="170">
        <f t="shared" ref="AA150:AF150" si="23">($N$186*2)/4</f>
        <v>6700</v>
      </c>
      <c r="AB150" s="170">
        <f t="shared" si="23"/>
        <v>6700</v>
      </c>
      <c r="AC150" s="170">
        <f t="shared" si="23"/>
        <v>6700</v>
      </c>
      <c r="AD150" s="170">
        <f t="shared" si="23"/>
        <v>6700</v>
      </c>
      <c r="AE150" s="170">
        <f t="shared" si="23"/>
        <v>6700</v>
      </c>
      <c r="AF150" s="170">
        <f t="shared" si="23"/>
        <v>6700</v>
      </c>
      <c r="AG150" s="171"/>
      <c r="AH150" s="170">
        <f>($N$186*2)/4</f>
        <v>6700</v>
      </c>
      <c r="AI150" s="170">
        <f>($N$186*2)/4</f>
        <v>6700</v>
      </c>
      <c r="AJ150" s="170">
        <f>($N$186*2)/4</f>
        <v>6700</v>
      </c>
      <c r="AK150" s="170">
        <f>($N$186*2)/4</f>
        <v>6700</v>
      </c>
      <c r="AL150" s="211">
        <f>SUM(I150:AK150)</f>
        <v>140700</v>
      </c>
      <c r="AM150" s="190"/>
      <c r="AN150" s="190"/>
      <c r="AO150" s="190"/>
      <c r="AP150" s="190"/>
      <c r="AQ150" s="190"/>
      <c r="AR150" s="190"/>
      <c r="AS150" s="346"/>
      <c r="AT150" s="346"/>
      <c r="AU150" s="212"/>
      <c r="AV150" s="346"/>
    </row>
    <row r="151" spans="1:48" hidden="1">
      <c r="A151" s="275"/>
      <c r="B151" s="283"/>
      <c r="C151" s="300"/>
      <c r="D151" s="210"/>
      <c r="E151" s="329"/>
      <c r="F151" s="300"/>
      <c r="G151" s="154"/>
      <c r="H151" s="62" t="s">
        <v>20</v>
      </c>
      <c r="I151" s="170">
        <v>1</v>
      </c>
      <c r="J151" s="170">
        <v>1</v>
      </c>
      <c r="K151" s="170">
        <v>1</v>
      </c>
      <c r="L151" s="171"/>
      <c r="M151" s="170">
        <v>1</v>
      </c>
      <c r="N151" s="170">
        <v>1</v>
      </c>
      <c r="O151" s="170">
        <v>1</v>
      </c>
      <c r="P151" s="171"/>
      <c r="Q151" s="171"/>
      <c r="R151" s="171"/>
      <c r="S151" s="171"/>
      <c r="T151" s="170">
        <v>1</v>
      </c>
      <c r="U151" s="170">
        <v>1</v>
      </c>
      <c r="V151" s="171"/>
      <c r="W151" s="170">
        <v>1</v>
      </c>
      <c r="X151" s="170">
        <v>1</v>
      </c>
      <c r="Y151" s="170">
        <v>1</v>
      </c>
      <c r="Z151" s="171"/>
      <c r="AA151" s="170">
        <v>1</v>
      </c>
      <c r="AB151" s="170">
        <v>1</v>
      </c>
      <c r="AC151" s="170">
        <v>1</v>
      </c>
      <c r="AD151" s="170">
        <v>1</v>
      </c>
      <c r="AE151" s="170">
        <v>1</v>
      </c>
      <c r="AF151" s="170">
        <v>1</v>
      </c>
      <c r="AG151" s="171"/>
      <c r="AH151" s="170">
        <v>1</v>
      </c>
      <c r="AI151" s="170">
        <v>1</v>
      </c>
      <c r="AJ151" s="170">
        <v>1</v>
      </c>
      <c r="AK151" s="170">
        <v>1</v>
      </c>
      <c r="AL151" s="211"/>
      <c r="AM151" s="190"/>
      <c r="AN151" s="190"/>
      <c r="AO151" s="190"/>
      <c r="AP151" s="190"/>
      <c r="AQ151" s="190"/>
      <c r="AR151" s="190"/>
      <c r="AS151" s="346"/>
      <c r="AT151" s="346"/>
      <c r="AU151" s="212"/>
      <c r="AV151" s="346"/>
    </row>
    <row r="152" spans="1:48" hidden="1">
      <c r="A152" s="275"/>
      <c r="B152" s="283"/>
      <c r="C152" s="300"/>
      <c r="D152" s="210"/>
      <c r="E152" s="329"/>
      <c r="F152" s="300"/>
      <c r="G152" s="154"/>
      <c r="H152" s="57" t="s">
        <v>15</v>
      </c>
      <c r="I152" s="172">
        <f>10352+2364</f>
        <v>12716</v>
      </c>
      <c r="J152" s="172"/>
      <c r="K152" s="172"/>
      <c r="L152" s="171"/>
      <c r="M152" s="172"/>
      <c r="N152" s="172"/>
      <c r="O152" s="172"/>
      <c r="P152" s="171"/>
      <c r="Q152" s="171"/>
      <c r="R152" s="171"/>
      <c r="S152" s="171"/>
      <c r="T152" s="172"/>
      <c r="U152" s="172"/>
      <c r="V152" s="171"/>
      <c r="W152" s="172"/>
      <c r="X152" s="172"/>
      <c r="Y152" s="172"/>
      <c r="Z152" s="171"/>
      <c r="AA152" s="172"/>
      <c r="AB152" s="172"/>
      <c r="AC152" s="172"/>
      <c r="AD152" s="172"/>
      <c r="AE152" s="172"/>
      <c r="AF152" s="172"/>
      <c r="AG152" s="171"/>
      <c r="AH152" s="172"/>
      <c r="AI152" s="172"/>
      <c r="AJ152" s="172"/>
      <c r="AK152" s="172"/>
      <c r="AL152" s="210">
        <f>SUM(I152:AK152)</f>
        <v>12716</v>
      </c>
      <c r="AM152" s="190"/>
      <c r="AN152" s="190"/>
      <c r="AO152" s="190"/>
      <c r="AP152" s="190"/>
      <c r="AQ152" s="190"/>
      <c r="AR152" s="190"/>
      <c r="AS152" s="346"/>
      <c r="AT152" s="346"/>
      <c r="AU152" s="212"/>
      <c r="AV152" s="346"/>
    </row>
    <row r="153" spans="1:48" hidden="1">
      <c r="A153" s="275"/>
      <c r="B153" s="283"/>
      <c r="C153" s="300"/>
      <c r="D153" s="210"/>
      <c r="E153" s="329"/>
      <c r="F153" s="300"/>
      <c r="G153" s="154" t="s">
        <v>71</v>
      </c>
      <c r="H153" s="62" t="s">
        <v>72</v>
      </c>
      <c r="I153" s="170">
        <f>(($N$186)/4)*2</f>
        <v>6700</v>
      </c>
      <c r="J153" s="170">
        <f t="shared" ref="J153:K153" si="24">(($N$186)/4)*2</f>
        <v>6700</v>
      </c>
      <c r="K153" s="170">
        <f t="shared" si="24"/>
        <v>6700</v>
      </c>
      <c r="L153" s="171"/>
      <c r="M153" s="170">
        <f t="shared" ref="M153:O153" si="25">(($N$186)/4)*2</f>
        <v>6700</v>
      </c>
      <c r="N153" s="170">
        <f t="shared" si="25"/>
        <v>6700</v>
      </c>
      <c r="O153" s="170">
        <f t="shared" si="25"/>
        <v>6700</v>
      </c>
      <c r="P153" s="171"/>
      <c r="Q153" s="171"/>
      <c r="R153" s="171"/>
      <c r="S153" s="171"/>
      <c r="T153" s="170">
        <f t="shared" ref="T153:U153" si="26">(($N$186)/4)*2</f>
        <v>6700</v>
      </c>
      <c r="U153" s="170">
        <f t="shared" si="26"/>
        <v>6700</v>
      </c>
      <c r="V153" s="171"/>
      <c r="W153" s="170">
        <f t="shared" ref="W153:Y153" si="27">(($N$186)/4)*2</f>
        <v>6700</v>
      </c>
      <c r="X153" s="170">
        <f t="shared" si="27"/>
        <v>6700</v>
      </c>
      <c r="Y153" s="170">
        <f t="shared" si="27"/>
        <v>6700</v>
      </c>
      <c r="Z153" s="171"/>
      <c r="AA153" s="170">
        <f t="shared" ref="AA153:AF153" si="28">(($N$186)/4)*2</f>
        <v>6700</v>
      </c>
      <c r="AB153" s="170">
        <f t="shared" si="28"/>
        <v>6700</v>
      </c>
      <c r="AC153" s="170">
        <f t="shared" si="28"/>
        <v>6700</v>
      </c>
      <c r="AD153" s="170">
        <f t="shared" si="28"/>
        <v>6700</v>
      </c>
      <c r="AE153" s="170">
        <f t="shared" si="28"/>
        <v>6700</v>
      </c>
      <c r="AF153" s="170">
        <f t="shared" si="28"/>
        <v>6700</v>
      </c>
      <c r="AG153" s="171"/>
      <c r="AH153" s="170">
        <f t="shared" ref="AH153:AK153" si="29">(($N$186)/4)*2</f>
        <v>6700</v>
      </c>
      <c r="AI153" s="170">
        <f t="shared" si="29"/>
        <v>6700</v>
      </c>
      <c r="AJ153" s="170">
        <f t="shared" si="29"/>
        <v>6700</v>
      </c>
      <c r="AK153" s="170">
        <f t="shared" si="29"/>
        <v>6700</v>
      </c>
      <c r="AL153" s="211">
        <f>SUM(I153:AK153)</f>
        <v>140700</v>
      </c>
      <c r="AM153" s="190"/>
      <c r="AN153" s="190"/>
      <c r="AO153" s="190"/>
      <c r="AP153" s="190"/>
      <c r="AQ153" s="190"/>
      <c r="AR153" s="190"/>
      <c r="AS153" s="346"/>
      <c r="AT153" s="346"/>
      <c r="AU153" s="212"/>
      <c r="AV153" s="346"/>
    </row>
    <row r="154" spans="1:48" hidden="1">
      <c r="A154" s="275"/>
      <c r="B154" s="283"/>
      <c r="C154" s="300"/>
      <c r="D154" s="210"/>
      <c r="E154" s="329"/>
      <c r="F154" s="300"/>
      <c r="G154" s="154"/>
      <c r="H154" s="62" t="s">
        <v>20</v>
      </c>
      <c r="I154" s="170">
        <v>1</v>
      </c>
      <c r="J154" s="170">
        <v>1</v>
      </c>
      <c r="K154" s="170">
        <v>1</v>
      </c>
      <c r="L154" s="171"/>
      <c r="M154" s="170">
        <v>1</v>
      </c>
      <c r="N154" s="170">
        <v>1</v>
      </c>
      <c r="O154" s="170">
        <v>1</v>
      </c>
      <c r="P154" s="171"/>
      <c r="Q154" s="171"/>
      <c r="R154" s="171"/>
      <c r="S154" s="171"/>
      <c r="T154" s="170">
        <v>1</v>
      </c>
      <c r="U154" s="170">
        <v>1</v>
      </c>
      <c r="V154" s="171"/>
      <c r="W154" s="170">
        <v>1</v>
      </c>
      <c r="X154" s="170">
        <v>1</v>
      </c>
      <c r="Y154" s="170">
        <v>1</v>
      </c>
      <c r="Z154" s="171"/>
      <c r="AA154" s="170">
        <v>1</v>
      </c>
      <c r="AB154" s="170">
        <v>1</v>
      </c>
      <c r="AC154" s="170">
        <v>1</v>
      </c>
      <c r="AD154" s="170">
        <v>1</v>
      </c>
      <c r="AE154" s="170">
        <v>1</v>
      </c>
      <c r="AF154" s="170">
        <v>1</v>
      </c>
      <c r="AG154" s="171"/>
      <c r="AH154" s="170">
        <v>1</v>
      </c>
      <c r="AI154" s="170">
        <v>1</v>
      </c>
      <c r="AJ154" s="170">
        <v>1</v>
      </c>
      <c r="AK154" s="170">
        <v>1</v>
      </c>
      <c r="AL154" s="211"/>
      <c r="AM154" s="190"/>
      <c r="AN154" s="190"/>
      <c r="AO154" s="190"/>
      <c r="AP154" s="190"/>
      <c r="AQ154" s="190"/>
      <c r="AR154" s="190"/>
      <c r="AS154" s="346"/>
      <c r="AT154" s="346"/>
      <c r="AU154" s="212"/>
      <c r="AV154" s="346"/>
    </row>
    <row r="155" spans="1:48" hidden="1">
      <c r="A155" s="275"/>
      <c r="B155" s="283"/>
      <c r="C155" s="300"/>
      <c r="D155" s="210"/>
      <c r="E155" s="329"/>
      <c r="F155" s="300"/>
      <c r="G155" s="154"/>
      <c r="H155" s="57" t="s">
        <v>15</v>
      </c>
      <c r="I155" s="172">
        <f>(9225+12431)/2</f>
        <v>10828</v>
      </c>
      <c r="J155" s="218">
        <f>(12156+9983)/2</f>
        <v>11069.5</v>
      </c>
      <c r="K155" s="172">
        <f>(4740+7096)/2</f>
        <v>5918</v>
      </c>
      <c r="L155" s="171"/>
      <c r="M155" s="218">
        <f>(12976+12485)/2</f>
        <v>12730.5</v>
      </c>
      <c r="N155" s="218">
        <f>(8246+11087)/2</f>
        <v>9666.5</v>
      </c>
      <c r="O155" s="172">
        <f>(11720+6616)/2</f>
        <v>9168</v>
      </c>
      <c r="P155" s="171"/>
      <c r="Q155" s="171"/>
      <c r="R155" s="171"/>
      <c r="S155" s="171"/>
      <c r="T155" s="172">
        <f>(11079+12219)/2</f>
        <v>11649</v>
      </c>
      <c r="U155" s="218">
        <f>(14978+14315)/2</f>
        <v>14646.5</v>
      </c>
      <c r="V155" s="171"/>
      <c r="W155" s="172">
        <f>6602+9064</f>
        <v>15666</v>
      </c>
      <c r="X155" s="172">
        <f>12850+4845</f>
        <v>17695</v>
      </c>
      <c r="Y155" s="172"/>
      <c r="Z155" s="171"/>
      <c r="AA155" s="172"/>
      <c r="AB155" s="172"/>
      <c r="AC155" s="172"/>
      <c r="AD155" s="172"/>
      <c r="AE155" s="172"/>
      <c r="AF155" s="172"/>
      <c r="AG155" s="171"/>
      <c r="AH155" s="172"/>
      <c r="AI155" s="172"/>
      <c r="AJ155" s="172"/>
      <c r="AK155" s="172"/>
      <c r="AL155" s="210">
        <f>SUM(I155:AK155)</f>
        <v>119037</v>
      </c>
      <c r="AM155" s="190"/>
      <c r="AN155" s="190"/>
      <c r="AO155" s="190"/>
      <c r="AP155" s="190"/>
      <c r="AQ155" s="190"/>
      <c r="AR155" s="190"/>
      <c r="AS155" s="346"/>
      <c r="AT155" s="346"/>
      <c r="AU155" s="212"/>
      <c r="AV155" s="346"/>
    </row>
    <row r="156" spans="1:48" hidden="1">
      <c r="A156" s="275"/>
      <c r="B156" s="283"/>
      <c r="C156" s="300"/>
      <c r="D156" s="210"/>
      <c r="E156" s="329"/>
      <c r="F156" s="300"/>
      <c r="G156" s="154" t="s">
        <v>73</v>
      </c>
      <c r="H156" s="62" t="s">
        <v>74</v>
      </c>
      <c r="I156" s="170">
        <f>(($N$186*2)/4)+$N$189</f>
        <v>20100</v>
      </c>
      <c r="J156" s="170">
        <f t="shared" ref="J156:K156" si="30">(($N$186*2)/4)+$N$189</f>
        <v>20100</v>
      </c>
      <c r="K156" s="170">
        <f t="shared" si="30"/>
        <v>20100</v>
      </c>
      <c r="L156" s="171"/>
      <c r="M156" s="170">
        <f t="shared" ref="M156:O156" si="31">(($N$186*2)/4)+$N$189</f>
        <v>20100</v>
      </c>
      <c r="N156" s="170">
        <f t="shared" si="31"/>
        <v>20100</v>
      </c>
      <c r="O156" s="170">
        <f t="shared" si="31"/>
        <v>20100</v>
      </c>
      <c r="P156" s="171"/>
      <c r="Q156" s="171"/>
      <c r="R156" s="171"/>
      <c r="S156" s="171"/>
      <c r="T156" s="170">
        <f t="shared" ref="T156:U156" si="32">(($N$186*2)/4)+$N$189</f>
        <v>20100</v>
      </c>
      <c r="U156" s="170">
        <f t="shared" si="32"/>
        <v>20100</v>
      </c>
      <c r="V156" s="171"/>
      <c r="W156" s="170">
        <f t="shared" ref="W156:Y156" si="33">(($N$186*2)/4)+$N$189</f>
        <v>20100</v>
      </c>
      <c r="X156" s="170">
        <f t="shared" si="33"/>
        <v>20100</v>
      </c>
      <c r="Y156" s="170">
        <f t="shared" si="33"/>
        <v>20100</v>
      </c>
      <c r="Z156" s="171"/>
      <c r="AA156" s="170">
        <f t="shared" ref="AA156:AF156" si="34">(($N$186*2)/4)+$N$189</f>
        <v>20100</v>
      </c>
      <c r="AB156" s="170">
        <f t="shared" si="34"/>
        <v>20100</v>
      </c>
      <c r="AC156" s="170">
        <f t="shared" si="34"/>
        <v>20100</v>
      </c>
      <c r="AD156" s="170">
        <f t="shared" si="34"/>
        <v>20100</v>
      </c>
      <c r="AE156" s="170">
        <f t="shared" si="34"/>
        <v>20100</v>
      </c>
      <c r="AF156" s="170">
        <f t="shared" si="34"/>
        <v>20100</v>
      </c>
      <c r="AG156" s="171"/>
      <c r="AH156" s="170">
        <f t="shared" ref="AH156:AK156" si="35">(($N$186*2)/4)+$N$189</f>
        <v>20100</v>
      </c>
      <c r="AI156" s="170">
        <f t="shared" si="35"/>
        <v>20100</v>
      </c>
      <c r="AJ156" s="170">
        <f t="shared" si="35"/>
        <v>20100</v>
      </c>
      <c r="AK156" s="170">
        <f t="shared" si="35"/>
        <v>20100</v>
      </c>
      <c r="AL156" s="211">
        <f>SUM(I156:AK156)</f>
        <v>422100</v>
      </c>
      <c r="AM156" s="190"/>
      <c r="AN156" s="190"/>
      <c r="AO156" s="190"/>
      <c r="AP156" s="190"/>
      <c r="AQ156" s="190"/>
      <c r="AR156" s="190"/>
      <c r="AS156" s="346"/>
      <c r="AT156" s="346"/>
      <c r="AU156" s="212"/>
      <c r="AV156" s="346"/>
    </row>
    <row r="157" spans="1:48" hidden="1">
      <c r="A157" s="275"/>
      <c r="B157" s="283"/>
      <c r="C157" s="300"/>
      <c r="D157" s="210"/>
      <c r="E157" s="329"/>
      <c r="F157" s="300"/>
      <c r="G157" s="154"/>
      <c r="H157" s="62" t="s">
        <v>20</v>
      </c>
      <c r="I157" s="170">
        <v>2</v>
      </c>
      <c r="J157" s="170">
        <v>2</v>
      </c>
      <c r="K157" s="170">
        <v>2</v>
      </c>
      <c r="L157" s="171"/>
      <c r="M157" s="170">
        <v>2</v>
      </c>
      <c r="N157" s="170">
        <v>2</v>
      </c>
      <c r="O157" s="170">
        <v>2</v>
      </c>
      <c r="P157" s="171"/>
      <c r="Q157" s="171"/>
      <c r="R157" s="171"/>
      <c r="S157" s="171"/>
      <c r="T157" s="170">
        <v>2</v>
      </c>
      <c r="U157" s="170">
        <v>2</v>
      </c>
      <c r="V157" s="171"/>
      <c r="W157" s="170">
        <v>2</v>
      </c>
      <c r="X157" s="170">
        <v>2</v>
      </c>
      <c r="Y157" s="170">
        <v>2</v>
      </c>
      <c r="Z157" s="171"/>
      <c r="AA157" s="170">
        <v>2</v>
      </c>
      <c r="AB157" s="170">
        <v>2</v>
      </c>
      <c r="AC157" s="170">
        <v>2</v>
      </c>
      <c r="AD157" s="170">
        <v>2</v>
      </c>
      <c r="AE157" s="170">
        <v>2</v>
      </c>
      <c r="AF157" s="170">
        <v>2</v>
      </c>
      <c r="AG157" s="171"/>
      <c r="AH157" s="170">
        <v>2</v>
      </c>
      <c r="AI157" s="170">
        <v>2</v>
      </c>
      <c r="AJ157" s="170">
        <v>2</v>
      </c>
      <c r="AK157" s="170">
        <v>2</v>
      </c>
      <c r="AL157" s="211"/>
      <c r="AM157" s="190"/>
      <c r="AN157" s="190"/>
      <c r="AO157" s="190"/>
      <c r="AP157" s="190"/>
      <c r="AQ157" s="190"/>
      <c r="AR157" s="190"/>
      <c r="AS157" s="346"/>
      <c r="AT157" s="346"/>
      <c r="AU157" s="212"/>
      <c r="AV157" s="346"/>
    </row>
    <row r="158" spans="1:48" hidden="1">
      <c r="A158" s="275"/>
      <c r="B158" s="283"/>
      <c r="C158" s="300"/>
      <c r="D158" s="210"/>
      <c r="E158" s="329"/>
      <c r="F158" s="300"/>
      <c r="G158" s="154"/>
      <c r="H158" s="57" t="s">
        <v>15</v>
      </c>
      <c r="I158" s="172">
        <f>6051+6461</f>
        <v>12512</v>
      </c>
      <c r="J158" s="172">
        <f>8004+5720</f>
        <v>13724</v>
      </c>
      <c r="K158" s="172">
        <f>1674</f>
        <v>1674</v>
      </c>
      <c r="L158" s="171"/>
      <c r="M158" s="172"/>
      <c r="N158" s="172"/>
      <c r="O158" s="172"/>
      <c r="P158" s="171"/>
      <c r="Q158" s="171"/>
      <c r="R158" s="171"/>
      <c r="S158" s="171"/>
      <c r="T158" s="172"/>
      <c r="U158" s="172">
        <f>1391+6000</f>
        <v>7391</v>
      </c>
      <c r="V158" s="171"/>
      <c r="W158" s="172">
        <f>9064+8790</f>
        <v>17854</v>
      </c>
      <c r="X158" s="172"/>
      <c r="Y158" s="172"/>
      <c r="Z158" s="171"/>
      <c r="AA158" s="172"/>
      <c r="AB158" s="172"/>
      <c r="AC158" s="172"/>
      <c r="AD158" s="172"/>
      <c r="AE158" s="172"/>
      <c r="AF158" s="172"/>
      <c r="AG158" s="171"/>
      <c r="AH158" s="172"/>
      <c r="AI158" s="172"/>
      <c r="AJ158" s="172"/>
      <c r="AK158" s="172"/>
      <c r="AL158" s="210">
        <f>SUM(I158:AK158)</f>
        <v>53155</v>
      </c>
      <c r="AM158" s="190"/>
      <c r="AN158" s="190"/>
      <c r="AO158" s="190"/>
      <c r="AP158" s="190"/>
      <c r="AQ158" s="190"/>
      <c r="AR158" s="190"/>
      <c r="AS158" s="346"/>
      <c r="AT158" s="346"/>
      <c r="AU158" s="212"/>
      <c r="AV158" s="346"/>
    </row>
    <row r="159" spans="1:48" hidden="1">
      <c r="A159" s="275"/>
      <c r="B159" s="283"/>
      <c r="C159" s="300"/>
      <c r="D159" s="210"/>
      <c r="E159" s="329"/>
      <c r="F159" s="300"/>
      <c r="G159" s="156" t="s">
        <v>23</v>
      </c>
      <c r="H159" s="62" t="s">
        <v>75</v>
      </c>
      <c r="I159" s="170"/>
      <c r="J159" s="170">
        <f>$N$186</f>
        <v>13400</v>
      </c>
      <c r="K159" s="170"/>
      <c r="L159" s="171"/>
      <c r="M159" s="170"/>
      <c r="N159" s="170"/>
      <c r="O159" s="170">
        <f>$N$186</f>
        <v>13400</v>
      </c>
      <c r="P159" s="171"/>
      <c r="Q159" s="171"/>
      <c r="R159" s="171"/>
      <c r="S159" s="171"/>
      <c r="T159" s="170"/>
      <c r="U159" s="170"/>
      <c r="V159" s="171"/>
      <c r="W159" s="170"/>
      <c r="X159" s="170">
        <f>$N$186</f>
        <v>13400</v>
      </c>
      <c r="Y159" s="170"/>
      <c r="Z159" s="171"/>
      <c r="AA159" s="170"/>
      <c r="AB159" s="170"/>
      <c r="AC159" s="170">
        <f>$N$186</f>
        <v>13400</v>
      </c>
      <c r="AD159" s="170"/>
      <c r="AE159" s="170"/>
      <c r="AF159" s="170"/>
      <c r="AG159" s="171"/>
      <c r="AH159" s="170">
        <f>$N$186</f>
        <v>13400</v>
      </c>
      <c r="AI159" s="170"/>
      <c r="AJ159" s="170"/>
      <c r="AK159" s="170"/>
      <c r="AL159" s="211">
        <f>SUM(I159:AK159)</f>
        <v>67000</v>
      </c>
      <c r="AM159" s="190"/>
      <c r="AN159" s="190"/>
      <c r="AO159" s="190"/>
      <c r="AP159" s="190"/>
      <c r="AQ159" s="190"/>
      <c r="AR159" s="190"/>
      <c r="AS159" s="346"/>
      <c r="AT159" s="346"/>
      <c r="AU159" s="212"/>
      <c r="AV159" s="346"/>
    </row>
    <row r="160" spans="1:48" hidden="1">
      <c r="A160" s="275"/>
      <c r="B160" s="283"/>
      <c r="C160" s="300"/>
      <c r="D160" s="210"/>
      <c r="E160" s="329"/>
      <c r="F160" s="300"/>
      <c r="G160" s="154"/>
      <c r="H160" s="57" t="s">
        <v>15</v>
      </c>
      <c r="I160" s="172"/>
      <c r="J160" s="172"/>
      <c r="K160" s="172"/>
      <c r="L160" s="171"/>
      <c r="M160" s="172"/>
      <c r="N160" s="172"/>
      <c r="O160" s="172"/>
      <c r="P160" s="171"/>
      <c r="Q160" s="171"/>
      <c r="R160" s="171"/>
      <c r="S160" s="171"/>
      <c r="T160" s="172">
        <f>29800</f>
        <v>29800</v>
      </c>
      <c r="U160" s="172"/>
      <c r="V160" s="171"/>
      <c r="W160" s="172"/>
      <c r="X160" s="172"/>
      <c r="Y160" s="172"/>
      <c r="Z160" s="171"/>
      <c r="AA160" s="172"/>
      <c r="AB160" s="172"/>
      <c r="AC160" s="172"/>
      <c r="AD160" s="172"/>
      <c r="AE160" s="172"/>
      <c r="AF160" s="172"/>
      <c r="AG160" s="171"/>
      <c r="AH160" s="172"/>
      <c r="AI160" s="172"/>
      <c r="AJ160" s="172"/>
      <c r="AK160" s="172"/>
      <c r="AL160" s="210"/>
      <c r="AM160" s="190"/>
      <c r="AN160" s="190"/>
      <c r="AO160" s="190"/>
      <c r="AP160" s="190"/>
      <c r="AQ160" s="190"/>
      <c r="AR160" s="190"/>
      <c r="AS160" s="346"/>
      <c r="AT160" s="346"/>
      <c r="AU160" s="212"/>
      <c r="AV160" s="346"/>
    </row>
    <row r="161" spans="1:48" hidden="1">
      <c r="A161" s="275"/>
      <c r="B161" s="283"/>
      <c r="C161" s="300"/>
      <c r="D161" s="210"/>
      <c r="E161" s="329"/>
      <c r="F161" s="300"/>
      <c r="G161" s="156" t="s">
        <v>25</v>
      </c>
      <c r="H161" s="62" t="s">
        <v>76</v>
      </c>
      <c r="I161" s="170"/>
      <c r="J161" s="170">
        <f>$N$186</f>
        <v>13400</v>
      </c>
      <c r="K161" s="170"/>
      <c r="L161" s="171"/>
      <c r="M161" s="170"/>
      <c r="N161" s="170"/>
      <c r="O161" s="170">
        <f>$N$186</f>
        <v>13400</v>
      </c>
      <c r="P161" s="171"/>
      <c r="Q161" s="171"/>
      <c r="R161" s="171"/>
      <c r="S161" s="171"/>
      <c r="T161" s="170"/>
      <c r="U161" s="170"/>
      <c r="V161" s="171"/>
      <c r="W161" s="170"/>
      <c r="X161" s="170">
        <f>$N$186</f>
        <v>13400</v>
      </c>
      <c r="Y161" s="170"/>
      <c r="Z161" s="171"/>
      <c r="AA161" s="170"/>
      <c r="AB161" s="170"/>
      <c r="AC161" s="170">
        <f>$N$186</f>
        <v>13400</v>
      </c>
      <c r="AD161" s="170"/>
      <c r="AE161" s="170"/>
      <c r="AF161" s="170"/>
      <c r="AG161" s="171"/>
      <c r="AH161" s="170">
        <f>$N$186</f>
        <v>13400</v>
      </c>
      <c r="AI161" s="170"/>
      <c r="AJ161" s="170"/>
      <c r="AK161" s="170"/>
      <c r="AL161" s="211">
        <f>SUM(I161:AK161)</f>
        <v>67000</v>
      </c>
      <c r="AM161" s="190"/>
      <c r="AN161" s="190"/>
      <c r="AO161" s="190"/>
      <c r="AP161" s="190"/>
      <c r="AQ161" s="190"/>
      <c r="AR161" s="190"/>
      <c r="AS161" s="346"/>
      <c r="AT161" s="346"/>
      <c r="AU161" s="212"/>
      <c r="AV161" s="346"/>
    </row>
    <row r="162" spans="1:48" hidden="1">
      <c r="A162" s="275"/>
      <c r="B162" s="283"/>
      <c r="C162" s="300"/>
      <c r="D162" s="210"/>
      <c r="E162" s="329"/>
      <c r="F162" s="300"/>
      <c r="G162" s="156"/>
      <c r="H162" s="62" t="s">
        <v>27</v>
      </c>
      <c r="I162" s="170"/>
      <c r="J162" s="170">
        <v>1</v>
      </c>
      <c r="K162" s="170"/>
      <c r="L162" s="171"/>
      <c r="M162" s="170"/>
      <c r="N162" s="170"/>
      <c r="O162" s="170">
        <v>1</v>
      </c>
      <c r="P162" s="171"/>
      <c r="Q162" s="171"/>
      <c r="R162" s="171"/>
      <c r="S162" s="171"/>
      <c r="T162" s="170"/>
      <c r="U162" s="170"/>
      <c r="V162" s="171"/>
      <c r="W162" s="170"/>
      <c r="X162" s="170">
        <v>1</v>
      </c>
      <c r="Y162" s="170"/>
      <c r="Z162" s="171"/>
      <c r="AA162" s="170"/>
      <c r="AB162" s="170"/>
      <c r="AC162" s="170">
        <v>1</v>
      </c>
      <c r="AD162" s="170"/>
      <c r="AE162" s="170"/>
      <c r="AF162" s="170"/>
      <c r="AG162" s="171"/>
      <c r="AH162" s="170">
        <v>1</v>
      </c>
      <c r="AI162" s="170"/>
      <c r="AJ162" s="170"/>
      <c r="AK162" s="170"/>
      <c r="AL162" s="211"/>
      <c r="AM162" s="190"/>
      <c r="AN162" s="190"/>
      <c r="AO162" s="190"/>
      <c r="AP162" s="190"/>
      <c r="AQ162" s="190"/>
      <c r="AR162" s="190"/>
      <c r="AS162" s="346"/>
      <c r="AT162" s="346"/>
      <c r="AU162" s="212"/>
      <c r="AV162" s="346"/>
    </row>
    <row r="163" spans="1:48" hidden="1">
      <c r="A163" s="275"/>
      <c r="B163" s="283"/>
      <c r="C163" s="300"/>
      <c r="D163" s="210"/>
      <c r="E163" s="329"/>
      <c r="F163" s="300"/>
      <c r="G163" s="154"/>
      <c r="H163" s="57" t="s">
        <v>15</v>
      </c>
      <c r="I163" s="172"/>
      <c r="J163" s="172"/>
      <c r="K163" s="172"/>
      <c r="L163" s="171"/>
      <c r="M163" s="172"/>
      <c r="N163" s="172"/>
      <c r="O163" s="172">
        <f>11488</f>
        <v>11488</v>
      </c>
      <c r="P163" s="171"/>
      <c r="Q163" s="171"/>
      <c r="R163" s="171"/>
      <c r="S163" s="171"/>
      <c r="T163" s="172"/>
      <c r="U163" s="172"/>
      <c r="V163" s="171"/>
      <c r="W163" s="172"/>
      <c r="X163" s="172"/>
      <c r="Y163" s="172"/>
      <c r="Z163" s="171"/>
      <c r="AA163" s="172"/>
      <c r="AB163" s="172"/>
      <c r="AC163" s="172"/>
      <c r="AD163" s="172"/>
      <c r="AE163" s="172"/>
      <c r="AF163" s="172"/>
      <c r="AG163" s="171"/>
      <c r="AH163" s="172"/>
      <c r="AI163" s="172"/>
      <c r="AJ163" s="172"/>
      <c r="AK163" s="172"/>
      <c r="AL163" s="210">
        <f>SUM(I163:AK163)</f>
        <v>11488</v>
      </c>
      <c r="AM163" s="190"/>
      <c r="AN163" s="190"/>
      <c r="AO163" s="190"/>
      <c r="AP163" s="190"/>
      <c r="AQ163" s="190"/>
      <c r="AR163" s="190"/>
      <c r="AS163" s="346"/>
      <c r="AT163" s="346"/>
      <c r="AU163" s="212"/>
      <c r="AV163" s="346"/>
    </row>
    <row r="164" spans="1:48" hidden="1">
      <c r="A164" s="275"/>
      <c r="B164" s="283"/>
      <c r="C164" s="300"/>
      <c r="D164" s="210"/>
      <c r="E164" s="329"/>
      <c r="F164" s="300"/>
      <c r="G164" s="156" t="s">
        <v>23</v>
      </c>
      <c r="H164" s="62" t="s">
        <v>77</v>
      </c>
      <c r="I164" s="170"/>
      <c r="J164" s="170">
        <f>$N$186+$N$189</f>
        <v>26800</v>
      </c>
      <c r="K164" s="170"/>
      <c r="L164" s="171"/>
      <c r="M164" s="170"/>
      <c r="N164" s="170"/>
      <c r="O164" s="170">
        <f>$N$186+$N$189</f>
        <v>26800</v>
      </c>
      <c r="P164" s="171"/>
      <c r="Q164" s="171"/>
      <c r="R164" s="171"/>
      <c r="S164" s="171"/>
      <c r="T164" s="170"/>
      <c r="U164" s="170"/>
      <c r="V164" s="171"/>
      <c r="W164" s="170"/>
      <c r="X164" s="170">
        <f>$N$186+$N$189</f>
        <v>26800</v>
      </c>
      <c r="Y164" s="170"/>
      <c r="Z164" s="171"/>
      <c r="AA164" s="170"/>
      <c r="AB164" s="170"/>
      <c r="AC164" s="170">
        <f>$N$186+$N$189</f>
        <v>26800</v>
      </c>
      <c r="AD164" s="170"/>
      <c r="AE164" s="170"/>
      <c r="AF164" s="170"/>
      <c r="AG164" s="171"/>
      <c r="AH164" s="170">
        <f>$N$186+$N$189</f>
        <v>26800</v>
      </c>
      <c r="AI164" s="170"/>
      <c r="AJ164" s="170"/>
      <c r="AK164" s="170"/>
      <c r="AL164" s="211">
        <f>SUM(I164:AK164)</f>
        <v>134000</v>
      </c>
      <c r="AM164" s="190"/>
      <c r="AN164" s="190"/>
      <c r="AO164" s="190"/>
      <c r="AP164" s="190"/>
      <c r="AQ164" s="190"/>
      <c r="AR164" s="190"/>
      <c r="AS164" s="346"/>
      <c r="AT164" s="346"/>
      <c r="AU164" s="212"/>
      <c r="AV164" s="346"/>
    </row>
    <row r="165" spans="1:48" hidden="1">
      <c r="A165" s="275"/>
      <c r="B165" s="283"/>
      <c r="C165" s="300"/>
      <c r="D165" s="210"/>
      <c r="E165" s="329"/>
      <c r="F165" s="300"/>
      <c r="G165" s="154"/>
      <c r="H165" s="57" t="s">
        <v>15</v>
      </c>
      <c r="I165" s="172"/>
      <c r="J165" s="172"/>
      <c r="K165" s="172"/>
      <c r="L165" s="171"/>
      <c r="M165" s="172"/>
      <c r="N165" s="172"/>
      <c r="O165" s="172"/>
      <c r="P165" s="171"/>
      <c r="Q165" s="171"/>
      <c r="R165" s="171"/>
      <c r="S165" s="171"/>
      <c r="T165" s="172">
        <f>29800</f>
        <v>29800</v>
      </c>
      <c r="U165" s="172"/>
      <c r="V165" s="171"/>
      <c r="W165" s="172"/>
      <c r="X165" s="172"/>
      <c r="Y165" s="172"/>
      <c r="Z165" s="171"/>
      <c r="AA165" s="172"/>
      <c r="AB165" s="172"/>
      <c r="AC165" s="172"/>
      <c r="AD165" s="172"/>
      <c r="AE165" s="172"/>
      <c r="AF165" s="172"/>
      <c r="AG165" s="171"/>
      <c r="AH165" s="172"/>
      <c r="AI165" s="172"/>
      <c r="AJ165" s="172"/>
      <c r="AK165" s="172"/>
      <c r="AL165" s="210"/>
      <c r="AM165" s="190"/>
      <c r="AN165" s="190"/>
      <c r="AO165" s="190"/>
      <c r="AP165" s="190"/>
      <c r="AQ165" s="190"/>
      <c r="AR165" s="190"/>
      <c r="AS165" s="346"/>
      <c r="AT165" s="346"/>
      <c r="AU165" s="212"/>
      <c r="AV165" s="346"/>
    </row>
    <row r="166" spans="1:48" hidden="1">
      <c r="A166" s="275"/>
      <c r="B166" s="283"/>
      <c r="C166" s="300"/>
      <c r="D166" s="210"/>
      <c r="E166" s="329"/>
      <c r="F166" s="300"/>
      <c r="G166" s="156" t="s">
        <v>25</v>
      </c>
      <c r="H166" s="62" t="s">
        <v>78</v>
      </c>
      <c r="I166" s="170"/>
      <c r="J166" s="170">
        <f>$N$189</f>
        <v>13400</v>
      </c>
      <c r="K166" s="170"/>
      <c r="L166" s="171"/>
      <c r="M166" s="170"/>
      <c r="N166" s="170"/>
      <c r="O166" s="170">
        <f>$N$189</f>
        <v>13400</v>
      </c>
      <c r="P166" s="171"/>
      <c r="Q166" s="171"/>
      <c r="R166" s="171"/>
      <c r="S166" s="171"/>
      <c r="T166" s="170"/>
      <c r="U166" s="170"/>
      <c r="V166" s="171"/>
      <c r="W166" s="170"/>
      <c r="X166" s="170">
        <f>$N$189</f>
        <v>13400</v>
      </c>
      <c r="Y166" s="170"/>
      <c r="Z166" s="171"/>
      <c r="AA166" s="170"/>
      <c r="AB166" s="170"/>
      <c r="AC166" s="170">
        <f>$N$189</f>
        <v>13400</v>
      </c>
      <c r="AD166" s="170"/>
      <c r="AE166" s="170"/>
      <c r="AF166" s="170"/>
      <c r="AG166" s="171"/>
      <c r="AH166" s="170">
        <f>$N$189</f>
        <v>13400</v>
      </c>
      <c r="AI166" s="170"/>
      <c r="AJ166" s="170"/>
      <c r="AK166" s="170"/>
      <c r="AL166" s="211">
        <f>SUM(I166:AK166)</f>
        <v>67000</v>
      </c>
      <c r="AM166" s="190"/>
      <c r="AN166" s="190"/>
      <c r="AO166" s="190"/>
      <c r="AP166" s="190"/>
      <c r="AQ166" s="190"/>
      <c r="AR166" s="190"/>
      <c r="AS166" s="346"/>
      <c r="AT166" s="346"/>
      <c r="AU166" s="212"/>
      <c r="AV166" s="346"/>
    </row>
    <row r="167" spans="1:48" hidden="1">
      <c r="A167" s="275"/>
      <c r="B167" s="283"/>
      <c r="C167" s="300"/>
      <c r="D167" s="210"/>
      <c r="E167" s="329"/>
      <c r="F167" s="300"/>
      <c r="G167" s="156"/>
      <c r="H167" s="62" t="s">
        <v>27</v>
      </c>
      <c r="I167" s="170"/>
      <c r="J167" s="170">
        <v>1</v>
      </c>
      <c r="K167" s="170"/>
      <c r="L167" s="171"/>
      <c r="M167" s="170"/>
      <c r="N167" s="170"/>
      <c r="O167" s="170">
        <v>1</v>
      </c>
      <c r="P167" s="171"/>
      <c r="Q167" s="171"/>
      <c r="R167" s="171"/>
      <c r="S167" s="171"/>
      <c r="T167" s="170"/>
      <c r="U167" s="170"/>
      <c r="V167" s="171"/>
      <c r="W167" s="170"/>
      <c r="X167" s="170">
        <v>1</v>
      </c>
      <c r="Y167" s="170"/>
      <c r="Z167" s="171"/>
      <c r="AA167" s="170"/>
      <c r="AB167" s="170"/>
      <c r="AC167" s="170">
        <v>1</v>
      </c>
      <c r="AD167" s="170"/>
      <c r="AE167" s="170"/>
      <c r="AF167" s="170"/>
      <c r="AG167" s="171"/>
      <c r="AH167" s="170">
        <v>1</v>
      </c>
      <c r="AI167" s="170"/>
      <c r="AJ167" s="170"/>
      <c r="AK167" s="170"/>
      <c r="AL167" s="211"/>
      <c r="AM167" s="190"/>
      <c r="AN167" s="190"/>
      <c r="AO167" s="190"/>
      <c r="AP167" s="190"/>
      <c r="AQ167" s="190"/>
      <c r="AR167" s="190"/>
      <c r="AS167" s="346"/>
      <c r="AT167" s="346"/>
      <c r="AU167" s="212"/>
      <c r="AV167" s="346"/>
    </row>
    <row r="168" spans="1:48" hidden="1">
      <c r="A168" s="275"/>
      <c r="B168" s="283"/>
      <c r="C168" s="300"/>
      <c r="D168" s="210"/>
      <c r="E168" s="329"/>
      <c r="F168" s="300"/>
      <c r="G168" s="154"/>
      <c r="H168" s="57" t="s">
        <v>15</v>
      </c>
      <c r="I168" s="172"/>
      <c r="J168" s="172"/>
      <c r="K168" s="172"/>
      <c r="L168" s="171"/>
      <c r="M168" s="172"/>
      <c r="N168" s="172"/>
      <c r="O168" s="172">
        <f>11488</f>
        <v>11488</v>
      </c>
      <c r="P168" s="171"/>
      <c r="Q168" s="171"/>
      <c r="R168" s="171"/>
      <c r="S168" s="171"/>
      <c r="T168" s="172"/>
      <c r="U168" s="172"/>
      <c r="V168" s="171"/>
      <c r="W168" s="172"/>
      <c r="X168" s="172"/>
      <c r="Y168" s="172"/>
      <c r="Z168" s="171"/>
      <c r="AA168" s="172"/>
      <c r="AB168" s="172"/>
      <c r="AC168" s="172"/>
      <c r="AD168" s="172"/>
      <c r="AE168" s="172"/>
      <c r="AF168" s="172"/>
      <c r="AG168" s="171"/>
      <c r="AH168" s="172"/>
      <c r="AI168" s="172"/>
      <c r="AJ168" s="172"/>
      <c r="AK168" s="172"/>
      <c r="AL168" s="210">
        <f>SUM(I168:AK168)</f>
        <v>11488</v>
      </c>
      <c r="AM168" s="190"/>
      <c r="AN168" s="190"/>
      <c r="AO168" s="190"/>
      <c r="AP168" s="190"/>
      <c r="AQ168" s="190"/>
      <c r="AR168" s="190"/>
      <c r="AS168" s="346"/>
      <c r="AT168" s="346"/>
      <c r="AU168" s="212"/>
      <c r="AV168" s="346"/>
    </row>
    <row r="169" spans="1:48" hidden="1">
      <c r="A169" s="275"/>
      <c r="B169" s="283"/>
      <c r="C169" s="300"/>
      <c r="D169" s="210"/>
      <c r="E169" s="329"/>
      <c r="F169" s="300"/>
      <c r="G169" s="156" t="s">
        <v>28</v>
      </c>
      <c r="H169" s="62" t="s">
        <v>29</v>
      </c>
      <c r="I169" s="170"/>
      <c r="J169" s="170">
        <f>$N$189</f>
        <v>13400</v>
      </c>
      <c r="K169" s="170"/>
      <c r="L169" s="171"/>
      <c r="M169" s="170"/>
      <c r="N169" s="170"/>
      <c r="O169" s="170">
        <f>$N$189</f>
        <v>13400</v>
      </c>
      <c r="P169" s="171"/>
      <c r="Q169" s="171"/>
      <c r="R169" s="171"/>
      <c r="S169" s="171"/>
      <c r="T169" s="170"/>
      <c r="U169" s="170"/>
      <c r="V169" s="171"/>
      <c r="W169" s="170"/>
      <c r="X169" s="170">
        <f>$N$189</f>
        <v>13400</v>
      </c>
      <c r="Y169" s="170"/>
      <c r="Z169" s="171"/>
      <c r="AA169" s="170"/>
      <c r="AB169" s="170"/>
      <c r="AC169" s="170">
        <f>$N$189</f>
        <v>13400</v>
      </c>
      <c r="AD169" s="170"/>
      <c r="AE169" s="170"/>
      <c r="AF169" s="170"/>
      <c r="AG169" s="171"/>
      <c r="AH169" s="170">
        <f>$N$189</f>
        <v>13400</v>
      </c>
      <c r="AI169" s="170"/>
      <c r="AJ169" s="170"/>
      <c r="AK169" s="170"/>
      <c r="AL169" s="211">
        <f>SUM(I169:AK169)</f>
        <v>67000</v>
      </c>
      <c r="AM169" s="190"/>
      <c r="AN169" s="190"/>
      <c r="AO169" s="190"/>
      <c r="AP169" s="190"/>
      <c r="AQ169" s="190"/>
      <c r="AR169" s="190"/>
      <c r="AS169" s="346"/>
      <c r="AT169" s="346"/>
      <c r="AU169" s="212"/>
      <c r="AV169" s="346"/>
    </row>
    <row r="170" spans="1:48" hidden="1">
      <c r="A170" s="275"/>
      <c r="B170" s="283"/>
      <c r="C170" s="300"/>
      <c r="D170" s="210"/>
      <c r="E170" s="329"/>
      <c r="F170" s="300"/>
      <c r="G170" s="154"/>
      <c r="H170" s="57" t="s">
        <v>15</v>
      </c>
      <c r="I170" s="172">
        <f>27437</f>
        <v>27437</v>
      </c>
      <c r="J170" s="172"/>
      <c r="K170" s="172"/>
      <c r="L170" s="171"/>
      <c r="M170" s="172"/>
      <c r="N170" s="172"/>
      <c r="O170" s="172"/>
      <c r="P170" s="171"/>
      <c r="Q170" s="171"/>
      <c r="R170" s="171"/>
      <c r="S170" s="171"/>
      <c r="T170" s="172"/>
      <c r="U170" s="172"/>
      <c r="V170" s="171"/>
      <c r="W170" s="172">
        <f>17984</f>
        <v>17984</v>
      </c>
      <c r="X170" s="172"/>
      <c r="Y170" s="172"/>
      <c r="Z170" s="171"/>
      <c r="AA170" s="172"/>
      <c r="AB170" s="172"/>
      <c r="AC170" s="172"/>
      <c r="AD170" s="172"/>
      <c r="AE170" s="172"/>
      <c r="AF170" s="172"/>
      <c r="AG170" s="171"/>
      <c r="AH170" s="172"/>
      <c r="AI170" s="172"/>
      <c r="AJ170" s="172"/>
      <c r="AK170" s="172"/>
      <c r="AL170" s="210">
        <f>SUM(I170:AK170)</f>
        <v>45421</v>
      </c>
      <c r="AM170" s="190"/>
      <c r="AN170" s="190"/>
      <c r="AO170" s="190"/>
      <c r="AP170" s="190"/>
      <c r="AQ170" s="190"/>
      <c r="AR170" s="190"/>
      <c r="AS170" s="346"/>
      <c r="AT170" s="346"/>
      <c r="AU170" s="212"/>
      <c r="AV170" s="346"/>
    </row>
    <row r="171" spans="1:48" hidden="1">
      <c r="A171" s="275"/>
      <c r="B171" s="283"/>
      <c r="C171" s="300"/>
      <c r="D171" s="210"/>
      <c r="E171" s="329"/>
      <c r="F171" s="300"/>
      <c r="G171" s="156" t="s">
        <v>79</v>
      </c>
      <c r="H171" s="62" t="s">
        <v>80</v>
      </c>
      <c r="I171" s="170"/>
      <c r="J171" s="170">
        <f>$N$186+$N$189</f>
        <v>26800</v>
      </c>
      <c r="K171" s="170"/>
      <c r="L171" s="171"/>
      <c r="M171" s="170"/>
      <c r="N171" s="170"/>
      <c r="O171" s="170">
        <f>$N$186+$N$189</f>
        <v>26800</v>
      </c>
      <c r="P171" s="171"/>
      <c r="Q171" s="171"/>
      <c r="R171" s="171"/>
      <c r="S171" s="171"/>
      <c r="T171" s="170"/>
      <c r="U171" s="170"/>
      <c r="V171" s="171"/>
      <c r="W171" s="170"/>
      <c r="X171" s="170">
        <f>$N$186+$N$189</f>
        <v>26800</v>
      </c>
      <c r="Y171" s="170"/>
      <c r="Z171" s="171"/>
      <c r="AA171" s="170"/>
      <c r="AB171" s="170"/>
      <c r="AC171" s="170">
        <f>$N$186+$N$189</f>
        <v>26800</v>
      </c>
      <c r="AD171" s="170"/>
      <c r="AE171" s="170"/>
      <c r="AF171" s="170"/>
      <c r="AG171" s="171"/>
      <c r="AH171" s="170">
        <f>$N$186+$N$189</f>
        <v>26800</v>
      </c>
      <c r="AI171" s="170"/>
      <c r="AJ171" s="170"/>
      <c r="AK171" s="170"/>
      <c r="AL171" s="211">
        <f>SUM(I171:AK171)</f>
        <v>134000</v>
      </c>
      <c r="AM171" s="190"/>
      <c r="AN171" s="190"/>
      <c r="AO171" s="190"/>
      <c r="AP171" s="190"/>
      <c r="AQ171" s="190"/>
      <c r="AR171" s="190"/>
      <c r="AS171" s="346"/>
      <c r="AT171" s="346"/>
      <c r="AU171" s="212"/>
      <c r="AV171" s="346"/>
    </row>
    <row r="172" spans="1:48" hidden="1">
      <c r="A172" s="275"/>
      <c r="B172" s="283"/>
      <c r="C172" s="300"/>
      <c r="D172" s="210"/>
      <c r="E172" s="329"/>
      <c r="F172" s="300"/>
      <c r="G172" s="156"/>
      <c r="H172" s="62" t="s">
        <v>27</v>
      </c>
      <c r="I172" s="170"/>
      <c r="J172" s="170">
        <v>1</v>
      </c>
      <c r="K172" s="170"/>
      <c r="L172" s="171"/>
      <c r="M172" s="170"/>
      <c r="N172" s="170"/>
      <c r="O172" s="170">
        <v>1</v>
      </c>
      <c r="P172" s="171"/>
      <c r="Q172" s="171"/>
      <c r="R172" s="171"/>
      <c r="S172" s="171"/>
      <c r="T172" s="170"/>
      <c r="U172" s="170"/>
      <c r="V172" s="171"/>
      <c r="W172" s="170"/>
      <c r="X172" s="170">
        <v>1</v>
      </c>
      <c r="Y172" s="170"/>
      <c r="Z172" s="171"/>
      <c r="AA172" s="170"/>
      <c r="AB172" s="170"/>
      <c r="AC172" s="170">
        <v>1</v>
      </c>
      <c r="AD172" s="170"/>
      <c r="AE172" s="170"/>
      <c r="AF172" s="170"/>
      <c r="AG172" s="171"/>
      <c r="AH172" s="170">
        <v>1</v>
      </c>
      <c r="AI172" s="170"/>
      <c r="AJ172" s="170"/>
      <c r="AK172" s="170"/>
      <c r="AL172" s="211"/>
      <c r="AM172" s="190"/>
      <c r="AN172" s="190"/>
      <c r="AO172" s="190"/>
      <c r="AP172" s="190"/>
      <c r="AQ172" s="190"/>
      <c r="AR172" s="190"/>
      <c r="AS172" s="346"/>
      <c r="AT172" s="346"/>
      <c r="AU172" s="212"/>
      <c r="AV172" s="346"/>
    </row>
    <row r="173" spans="1:48" hidden="1">
      <c r="A173" s="275"/>
      <c r="B173" s="283"/>
      <c r="C173" s="300"/>
      <c r="D173" s="210"/>
      <c r="E173" s="329"/>
      <c r="F173" s="300"/>
      <c r="G173" s="154"/>
      <c r="H173" s="57" t="s">
        <v>15</v>
      </c>
      <c r="I173" s="172">
        <f>32608</f>
        <v>32608</v>
      </c>
      <c r="J173" s="172"/>
      <c r="K173" s="172"/>
      <c r="L173" s="171"/>
      <c r="M173" s="172"/>
      <c r="N173" s="172"/>
      <c r="O173" s="172">
        <f>18894</f>
        <v>18894</v>
      </c>
      <c r="P173" s="171"/>
      <c r="Q173" s="171"/>
      <c r="R173" s="171"/>
      <c r="S173" s="171"/>
      <c r="T173" s="172"/>
      <c r="U173" s="172"/>
      <c r="V173" s="171"/>
      <c r="W173" s="172"/>
      <c r="X173" s="172"/>
      <c r="Y173" s="172"/>
      <c r="Z173" s="171"/>
      <c r="AA173" s="172"/>
      <c r="AB173" s="172"/>
      <c r="AC173" s="172"/>
      <c r="AD173" s="172"/>
      <c r="AE173" s="172"/>
      <c r="AF173" s="172"/>
      <c r="AG173" s="171"/>
      <c r="AH173" s="172"/>
      <c r="AI173" s="172"/>
      <c r="AJ173" s="172"/>
      <c r="AK173" s="172"/>
      <c r="AL173" s="210">
        <f>SUM(I173:AK173)</f>
        <v>51502</v>
      </c>
      <c r="AM173" s="190"/>
      <c r="AN173" s="190"/>
      <c r="AO173" s="190"/>
      <c r="AP173" s="190"/>
      <c r="AQ173" s="190"/>
      <c r="AR173" s="190"/>
      <c r="AS173" s="346"/>
      <c r="AT173" s="346"/>
      <c r="AU173" s="212"/>
      <c r="AV173" s="346"/>
    </row>
    <row r="174" spans="1:48" hidden="1">
      <c r="A174" s="275"/>
      <c r="B174" s="283"/>
      <c r="C174" s="300"/>
      <c r="D174" s="210"/>
      <c r="E174" s="329"/>
      <c r="F174" s="300"/>
      <c r="G174" s="154"/>
      <c r="H174" s="62" t="s">
        <v>81</v>
      </c>
      <c r="I174" s="183"/>
      <c r="J174" s="183">
        <f>$N$186/2</f>
        <v>6700</v>
      </c>
      <c r="K174" s="183">
        <f>$N$186/2</f>
        <v>6700</v>
      </c>
      <c r="L174" s="171"/>
      <c r="M174" s="170"/>
      <c r="N174" s="170"/>
      <c r="O174" s="170">
        <f>$N$186/2</f>
        <v>6700</v>
      </c>
      <c r="P174" s="171"/>
      <c r="Q174" s="171"/>
      <c r="R174" s="171"/>
      <c r="S174" s="171"/>
      <c r="T174" s="170">
        <f>$N$186/2</f>
        <v>6700</v>
      </c>
      <c r="U174" s="170"/>
      <c r="V174" s="171"/>
      <c r="W174" s="170"/>
      <c r="X174" s="170">
        <f>$N$186/2</f>
        <v>6700</v>
      </c>
      <c r="Y174" s="170">
        <f>$N$186/2</f>
        <v>6700</v>
      </c>
      <c r="Z174" s="171"/>
      <c r="AA174" s="170"/>
      <c r="AB174" s="170"/>
      <c r="AC174" s="170">
        <f>$N$186/2</f>
        <v>6700</v>
      </c>
      <c r="AD174" s="170">
        <f>$N$186/2</f>
        <v>6700</v>
      </c>
      <c r="AE174" s="170"/>
      <c r="AF174" s="170">
        <f>$N$186/2</f>
        <v>6700</v>
      </c>
      <c r="AG174" s="171"/>
      <c r="AH174" s="170"/>
      <c r="AI174" s="170">
        <f>$N$186/2</f>
        <v>6700</v>
      </c>
      <c r="AJ174" s="170"/>
      <c r="AK174" s="170"/>
      <c r="AL174" s="211">
        <f>SUM(I174:AK174)</f>
        <v>67000</v>
      </c>
      <c r="AM174" s="190"/>
      <c r="AN174" s="190"/>
      <c r="AO174" s="190"/>
      <c r="AP174" s="190"/>
      <c r="AQ174" s="190"/>
      <c r="AR174" s="190"/>
      <c r="AS174" s="346"/>
      <c r="AT174" s="346"/>
      <c r="AU174" s="212"/>
      <c r="AV174" s="346"/>
    </row>
    <row r="175" spans="1:48" hidden="1">
      <c r="A175" s="275"/>
      <c r="B175" s="283"/>
      <c r="C175" s="300"/>
      <c r="D175" s="210"/>
      <c r="E175" s="329"/>
      <c r="F175" s="300"/>
      <c r="G175" s="154"/>
      <c r="H175" s="62" t="s">
        <v>31</v>
      </c>
      <c r="I175" s="170"/>
      <c r="J175" s="170">
        <v>1</v>
      </c>
      <c r="K175" s="170">
        <v>1</v>
      </c>
      <c r="L175" s="171"/>
      <c r="M175" s="170"/>
      <c r="N175" s="170"/>
      <c r="O175" s="170">
        <v>1</v>
      </c>
      <c r="P175" s="171"/>
      <c r="Q175" s="171"/>
      <c r="R175" s="171"/>
      <c r="S175" s="171"/>
      <c r="T175" s="170">
        <v>1</v>
      </c>
      <c r="U175" s="170"/>
      <c r="V175" s="171"/>
      <c r="W175" s="170"/>
      <c r="X175" s="170">
        <v>1</v>
      </c>
      <c r="Y175" s="170">
        <v>1</v>
      </c>
      <c r="Z175" s="171"/>
      <c r="AA175" s="170"/>
      <c r="AB175" s="170"/>
      <c r="AC175" s="170">
        <v>1</v>
      </c>
      <c r="AD175" s="170">
        <v>1</v>
      </c>
      <c r="AE175" s="170"/>
      <c r="AF175" s="170">
        <v>1</v>
      </c>
      <c r="AG175" s="171"/>
      <c r="AH175" s="170"/>
      <c r="AI175" s="170">
        <v>1</v>
      </c>
      <c r="AJ175" s="170"/>
      <c r="AK175" s="170"/>
      <c r="AL175" s="211"/>
      <c r="AM175" s="190"/>
      <c r="AN175" s="190"/>
      <c r="AO175" s="190"/>
      <c r="AP175" s="190"/>
      <c r="AQ175" s="190"/>
      <c r="AR175" s="190"/>
      <c r="AS175" s="346"/>
      <c r="AT175" s="346"/>
      <c r="AU175" s="212"/>
      <c r="AV175" s="346"/>
    </row>
    <row r="176" spans="1:48" hidden="1">
      <c r="A176" s="275"/>
      <c r="B176" s="283"/>
      <c r="C176" s="300"/>
      <c r="D176" s="210"/>
      <c r="E176" s="329"/>
      <c r="F176" s="300"/>
      <c r="G176" s="154"/>
      <c r="H176" s="57" t="s">
        <v>15</v>
      </c>
      <c r="I176" s="172"/>
      <c r="J176" s="172"/>
      <c r="K176" s="172"/>
      <c r="L176" s="171"/>
      <c r="M176" s="172"/>
      <c r="N176" s="172"/>
      <c r="O176" s="172">
        <f>3733</f>
        <v>3733</v>
      </c>
      <c r="P176" s="171"/>
      <c r="Q176" s="171"/>
      <c r="R176" s="171"/>
      <c r="S176" s="171"/>
      <c r="T176" s="172"/>
      <c r="U176" s="172"/>
      <c r="V176" s="171"/>
      <c r="W176" s="172"/>
      <c r="X176" s="172"/>
      <c r="Y176" s="172"/>
      <c r="Z176" s="171"/>
      <c r="AA176" s="172"/>
      <c r="AB176" s="172"/>
      <c r="AC176" s="172"/>
      <c r="AD176" s="172"/>
      <c r="AE176" s="172"/>
      <c r="AF176" s="172"/>
      <c r="AG176" s="171"/>
      <c r="AH176" s="172"/>
      <c r="AI176" s="172"/>
      <c r="AJ176" s="172"/>
      <c r="AK176" s="172"/>
      <c r="AL176" s="210">
        <f>SUM(I176:AK176)</f>
        <v>3733</v>
      </c>
      <c r="AM176" s="190"/>
      <c r="AN176" s="190"/>
      <c r="AO176" s="190"/>
      <c r="AP176" s="190"/>
      <c r="AQ176" s="190"/>
      <c r="AR176" s="190"/>
      <c r="AS176" s="346"/>
      <c r="AT176" s="346"/>
      <c r="AU176" s="212"/>
      <c r="AV176" s="346"/>
    </row>
    <row r="177" spans="1:48" hidden="1">
      <c r="A177" s="275"/>
      <c r="B177" s="283"/>
      <c r="C177" s="300"/>
      <c r="D177" s="210"/>
      <c r="E177" s="329"/>
      <c r="F177" s="300"/>
      <c r="G177" s="154"/>
      <c r="H177" s="62" t="s">
        <v>82</v>
      </c>
      <c r="I177" s="170"/>
      <c r="J177" s="170">
        <f>$N$189/2</f>
        <v>6700</v>
      </c>
      <c r="K177" s="170">
        <f>$N$189/2</f>
        <v>6700</v>
      </c>
      <c r="L177" s="171"/>
      <c r="M177" s="170"/>
      <c r="N177" s="170"/>
      <c r="O177" s="170">
        <f>$N$189/2</f>
        <v>6700</v>
      </c>
      <c r="P177" s="171"/>
      <c r="Q177" s="171"/>
      <c r="R177" s="171"/>
      <c r="S177" s="171"/>
      <c r="T177" s="170">
        <f>$N$189/2</f>
        <v>6700</v>
      </c>
      <c r="U177" s="170"/>
      <c r="V177" s="171"/>
      <c r="W177" s="170"/>
      <c r="X177" s="170">
        <f>$N$189/2</f>
        <v>6700</v>
      </c>
      <c r="Y177" s="170">
        <f>$N$189/2</f>
        <v>6700</v>
      </c>
      <c r="Z177" s="171"/>
      <c r="AA177" s="170"/>
      <c r="AB177" s="170"/>
      <c r="AC177" s="170">
        <f>$N$189/2</f>
        <v>6700</v>
      </c>
      <c r="AD177" s="170">
        <f>$N$189/2</f>
        <v>6700</v>
      </c>
      <c r="AE177" s="170"/>
      <c r="AF177" s="170"/>
      <c r="AG177" s="171"/>
      <c r="AH177" s="170">
        <f>$N$189/2</f>
        <v>6700</v>
      </c>
      <c r="AI177" s="170">
        <f>$N$189/2</f>
        <v>6700</v>
      </c>
      <c r="AJ177" s="170"/>
      <c r="AK177" s="195"/>
      <c r="AL177" s="211">
        <f>SUM(I177:AK177)</f>
        <v>67000</v>
      </c>
      <c r="AM177" s="190"/>
      <c r="AN177" s="190"/>
      <c r="AO177" s="190"/>
      <c r="AP177" s="190"/>
      <c r="AQ177" s="190"/>
      <c r="AR177" s="190"/>
      <c r="AS177" s="346"/>
      <c r="AT177" s="346"/>
      <c r="AU177" s="212"/>
      <c r="AV177" s="346"/>
    </row>
    <row r="178" spans="1:48" hidden="1">
      <c r="A178" s="275"/>
      <c r="B178" s="283"/>
      <c r="C178" s="300"/>
      <c r="D178" s="210"/>
      <c r="E178" s="329"/>
      <c r="F178" s="300"/>
      <c r="G178" s="154"/>
      <c r="H178" s="62" t="s">
        <v>31</v>
      </c>
      <c r="I178" s="170"/>
      <c r="J178" s="170">
        <v>1</v>
      </c>
      <c r="K178" s="170">
        <v>1</v>
      </c>
      <c r="L178" s="171"/>
      <c r="M178" s="170"/>
      <c r="N178" s="170"/>
      <c r="O178" s="170">
        <v>1</v>
      </c>
      <c r="P178" s="171"/>
      <c r="Q178" s="171"/>
      <c r="R178" s="171"/>
      <c r="S178" s="171"/>
      <c r="T178" s="170">
        <v>1</v>
      </c>
      <c r="U178" s="170"/>
      <c r="V178" s="171"/>
      <c r="W178" s="170"/>
      <c r="X178" s="170">
        <v>1</v>
      </c>
      <c r="Y178" s="170">
        <v>1</v>
      </c>
      <c r="Z178" s="171"/>
      <c r="AA178" s="170"/>
      <c r="AB178" s="170"/>
      <c r="AC178" s="170">
        <v>1</v>
      </c>
      <c r="AD178" s="170">
        <v>1</v>
      </c>
      <c r="AE178" s="170"/>
      <c r="AF178" s="170"/>
      <c r="AG178" s="171"/>
      <c r="AH178" s="170">
        <v>1</v>
      </c>
      <c r="AI178" s="170">
        <v>1</v>
      </c>
      <c r="AJ178" s="170"/>
      <c r="AK178" s="195"/>
      <c r="AL178" s="211"/>
      <c r="AM178" s="190"/>
      <c r="AN178" s="190"/>
      <c r="AO178" s="190"/>
      <c r="AP178" s="190"/>
      <c r="AQ178" s="190"/>
      <c r="AR178" s="190"/>
      <c r="AS178" s="346"/>
      <c r="AT178" s="346"/>
      <c r="AU178" s="212"/>
      <c r="AV178" s="346"/>
    </row>
    <row r="179" spans="1:48" hidden="1">
      <c r="A179" s="275"/>
      <c r="B179" s="283"/>
      <c r="C179" s="300"/>
      <c r="D179" s="210"/>
      <c r="E179" s="329"/>
      <c r="F179" s="300"/>
      <c r="G179" s="154"/>
      <c r="H179" s="57" t="s">
        <v>15</v>
      </c>
      <c r="I179" s="172"/>
      <c r="J179" s="172">
        <f>4020+3800+667+4461+2637</f>
        <v>15585</v>
      </c>
      <c r="K179" s="172">
        <f>2033+3400+1268+3367</f>
        <v>10068</v>
      </c>
      <c r="L179" s="171"/>
      <c r="M179" s="172">
        <f>750+4660+3310+1299+4565+3908</f>
        <v>18492</v>
      </c>
      <c r="N179" s="172">
        <f>1358+4669+1112+2778</f>
        <v>9917</v>
      </c>
      <c r="O179" s="172">
        <f>4020+1434+4667+649</f>
        <v>10770</v>
      </c>
      <c r="P179" s="171"/>
      <c r="Q179" s="171"/>
      <c r="R179" s="171"/>
      <c r="S179" s="171"/>
      <c r="T179" s="172"/>
      <c r="U179" s="172"/>
      <c r="V179" s="171"/>
      <c r="W179" s="172"/>
      <c r="X179" s="172"/>
      <c r="Y179" s="172"/>
      <c r="Z179" s="171"/>
      <c r="AA179" s="172"/>
      <c r="AB179" s="172"/>
      <c r="AC179" s="172"/>
      <c r="AD179" s="172"/>
      <c r="AE179" s="172"/>
      <c r="AF179" s="172"/>
      <c r="AG179" s="171"/>
      <c r="AH179" s="172"/>
      <c r="AI179" s="172"/>
      <c r="AJ179" s="172"/>
      <c r="AK179" s="197"/>
      <c r="AL179" s="210">
        <f>SUM(I179:AK179)</f>
        <v>64832</v>
      </c>
      <c r="AM179" s="190"/>
      <c r="AN179" s="190"/>
      <c r="AO179" s="190"/>
      <c r="AP179" s="190"/>
      <c r="AQ179" s="190"/>
      <c r="AR179" s="190"/>
      <c r="AS179" s="346"/>
      <c r="AT179" s="346"/>
      <c r="AU179" s="212"/>
      <c r="AV179" s="346"/>
    </row>
    <row r="180" spans="1:48" hidden="1">
      <c r="A180" s="275"/>
      <c r="B180" s="283"/>
      <c r="C180" s="300"/>
      <c r="D180" s="210"/>
      <c r="E180" s="329"/>
      <c r="F180" s="300"/>
      <c r="G180" s="154"/>
      <c r="H180" s="62" t="s">
        <v>83</v>
      </c>
      <c r="I180" s="170">
        <f>$N$186/4</f>
        <v>3350</v>
      </c>
      <c r="J180" s="170">
        <f>$N$186/4</f>
        <v>3350</v>
      </c>
      <c r="K180" s="170">
        <f>$N$186/4</f>
        <v>3350</v>
      </c>
      <c r="L180" s="171"/>
      <c r="M180" s="170">
        <f>$N$186/4</f>
        <v>3350</v>
      </c>
      <c r="N180" s="170">
        <f>$N$186/4</f>
        <v>3350</v>
      </c>
      <c r="O180" s="170">
        <f>$N$186/4</f>
        <v>3350</v>
      </c>
      <c r="P180" s="171"/>
      <c r="Q180" s="171"/>
      <c r="R180" s="171"/>
      <c r="S180" s="171"/>
      <c r="T180" s="170">
        <f>$N$186/4</f>
        <v>3350</v>
      </c>
      <c r="U180" s="170">
        <f>$N$186/4</f>
        <v>3350</v>
      </c>
      <c r="V180" s="171"/>
      <c r="W180" s="170">
        <f>$N$186/4</f>
        <v>3350</v>
      </c>
      <c r="X180" s="170">
        <f>$N$186/4</f>
        <v>3350</v>
      </c>
      <c r="Y180" s="170">
        <f>$N$186/4</f>
        <v>3350</v>
      </c>
      <c r="Z180" s="171"/>
      <c r="AA180" s="170">
        <f t="shared" ref="AA180:AF180" si="36">$N$186/4</f>
        <v>3350</v>
      </c>
      <c r="AB180" s="170">
        <f t="shared" si="36"/>
        <v>3350</v>
      </c>
      <c r="AC180" s="170">
        <f t="shared" si="36"/>
        <v>3350</v>
      </c>
      <c r="AD180" s="170">
        <f t="shared" si="36"/>
        <v>3350</v>
      </c>
      <c r="AE180" s="170">
        <f t="shared" si="36"/>
        <v>3350</v>
      </c>
      <c r="AF180" s="170">
        <f t="shared" si="36"/>
        <v>3350</v>
      </c>
      <c r="AG180" s="171"/>
      <c r="AH180" s="170">
        <f>$N$186/4</f>
        <v>3350</v>
      </c>
      <c r="AI180" s="170">
        <f>$N$186/4</f>
        <v>3350</v>
      </c>
      <c r="AJ180" s="170">
        <f>$N$186/4</f>
        <v>3350</v>
      </c>
      <c r="AK180" s="170">
        <f>$N$186/4</f>
        <v>3350</v>
      </c>
      <c r="AL180" s="211">
        <f>SUM(I180:AK180)</f>
        <v>70350</v>
      </c>
      <c r="AM180" s="190"/>
      <c r="AN180" s="190"/>
      <c r="AO180" s="190"/>
      <c r="AP180" s="190"/>
      <c r="AQ180" s="190"/>
      <c r="AR180" s="190"/>
      <c r="AS180" s="346"/>
      <c r="AT180" s="346"/>
      <c r="AU180" s="212"/>
      <c r="AV180" s="346"/>
    </row>
    <row r="181" spans="1:48" hidden="1">
      <c r="A181" s="275"/>
      <c r="B181" s="283"/>
      <c r="C181" s="300"/>
      <c r="D181" s="210"/>
      <c r="E181" s="329"/>
      <c r="F181" s="300"/>
      <c r="G181" s="154"/>
      <c r="H181" s="62" t="s">
        <v>84</v>
      </c>
      <c r="I181" s="170">
        <v>3</v>
      </c>
      <c r="J181" s="170">
        <v>3</v>
      </c>
      <c r="K181" s="170">
        <v>3</v>
      </c>
      <c r="L181" s="171"/>
      <c r="M181" s="170">
        <v>3</v>
      </c>
      <c r="N181" s="170">
        <v>3</v>
      </c>
      <c r="O181" s="170">
        <v>3</v>
      </c>
      <c r="P181" s="171"/>
      <c r="Q181" s="171"/>
      <c r="R181" s="171"/>
      <c r="S181" s="171"/>
      <c r="T181" s="170">
        <v>3</v>
      </c>
      <c r="U181" s="170">
        <v>3</v>
      </c>
      <c r="V181" s="171"/>
      <c r="W181" s="170">
        <v>3</v>
      </c>
      <c r="X181" s="170">
        <v>3</v>
      </c>
      <c r="Y181" s="170">
        <v>3</v>
      </c>
      <c r="Z181" s="171"/>
      <c r="AA181" s="170">
        <v>3</v>
      </c>
      <c r="AB181" s="170">
        <v>3</v>
      </c>
      <c r="AC181" s="170">
        <v>3</v>
      </c>
      <c r="AD181" s="170">
        <v>3</v>
      </c>
      <c r="AE181" s="170">
        <v>3</v>
      </c>
      <c r="AF181" s="170">
        <v>3</v>
      </c>
      <c r="AG181" s="171"/>
      <c r="AH181" s="170">
        <v>3</v>
      </c>
      <c r="AI181" s="170">
        <v>3</v>
      </c>
      <c r="AJ181" s="170">
        <v>3</v>
      </c>
      <c r="AK181" s="170">
        <v>3</v>
      </c>
      <c r="AL181" s="211"/>
      <c r="AM181" s="190"/>
      <c r="AN181" s="190"/>
      <c r="AO181" s="190"/>
      <c r="AP181" s="190"/>
      <c r="AQ181" s="190"/>
      <c r="AR181" s="190"/>
      <c r="AS181" s="346"/>
      <c r="AT181" s="346"/>
      <c r="AU181" s="212"/>
      <c r="AV181" s="346"/>
    </row>
    <row r="182" spans="1:48" hidden="1">
      <c r="A182" s="275"/>
      <c r="B182" s="283"/>
      <c r="C182" s="300"/>
      <c r="D182" s="210"/>
      <c r="E182" s="329"/>
      <c r="F182" s="300"/>
      <c r="G182" s="154"/>
      <c r="H182" s="57" t="s">
        <v>15</v>
      </c>
      <c r="I182" s="172"/>
      <c r="J182" s="172"/>
      <c r="K182" s="172"/>
      <c r="L182" s="171"/>
      <c r="M182" s="172"/>
      <c r="N182" s="172"/>
      <c r="O182" s="172">
        <v>4018</v>
      </c>
      <c r="P182" s="171"/>
      <c r="Q182" s="171"/>
      <c r="R182" s="171"/>
      <c r="S182" s="171"/>
      <c r="T182" s="172">
        <f>1642+1377+1291+977+1326</f>
        <v>6613</v>
      </c>
      <c r="U182" s="172">
        <f>1502+862</f>
        <v>2364</v>
      </c>
      <c r="V182" s="171"/>
      <c r="W182" s="172"/>
      <c r="X182" s="172">
        <v>1637</v>
      </c>
      <c r="Y182" s="172"/>
      <c r="Z182" s="171"/>
      <c r="AA182" s="172"/>
      <c r="AB182" s="172"/>
      <c r="AC182" s="172"/>
      <c r="AD182" s="172"/>
      <c r="AE182" s="172"/>
      <c r="AF182" s="172"/>
      <c r="AG182" s="171"/>
      <c r="AH182" s="172"/>
      <c r="AI182" s="172"/>
      <c r="AJ182" s="172"/>
      <c r="AK182" s="172"/>
      <c r="AL182" s="210">
        <f>SUM(I182:AK182)</f>
        <v>14632</v>
      </c>
      <c r="AM182" s="190"/>
      <c r="AN182" s="190"/>
      <c r="AO182" s="190"/>
      <c r="AP182" s="346"/>
      <c r="AQ182" s="190"/>
      <c r="AR182" s="190"/>
      <c r="AS182" s="346"/>
      <c r="AT182" s="346"/>
      <c r="AU182" s="212"/>
      <c r="AV182" s="346"/>
    </row>
    <row r="183" spans="1:48" hidden="1">
      <c r="A183" s="275"/>
      <c r="B183" s="283"/>
      <c r="C183" s="300"/>
      <c r="D183" s="210"/>
      <c r="E183" s="329"/>
      <c r="F183" s="300"/>
      <c r="G183" s="154"/>
      <c r="H183" s="62" t="s">
        <v>85</v>
      </c>
      <c r="I183" s="170">
        <f>$N$189/4</f>
        <v>3350</v>
      </c>
      <c r="J183" s="170">
        <f>$N$189/4</f>
        <v>3350</v>
      </c>
      <c r="K183" s="170">
        <f>$N$189/4</f>
        <v>3350</v>
      </c>
      <c r="L183" s="171"/>
      <c r="M183" s="170">
        <f>$N$189/4</f>
        <v>3350</v>
      </c>
      <c r="N183" s="170">
        <f>$N$189/4</f>
        <v>3350</v>
      </c>
      <c r="O183" s="170">
        <f>$N$189/4</f>
        <v>3350</v>
      </c>
      <c r="P183" s="171"/>
      <c r="Q183" s="171"/>
      <c r="R183" s="171"/>
      <c r="S183" s="171"/>
      <c r="T183" s="170">
        <f>$N$189/4</f>
        <v>3350</v>
      </c>
      <c r="U183" s="170">
        <f>$N$189/4</f>
        <v>3350</v>
      </c>
      <c r="V183" s="171"/>
      <c r="W183" s="170">
        <f>$N$189/4</f>
        <v>3350</v>
      </c>
      <c r="X183" s="170">
        <f>$N$189/4</f>
        <v>3350</v>
      </c>
      <c r="Y183" s="170">
        <f>$N$189/4</f>
        <v>3350</v>
      </c>
      <c r="Z183" s="171"/>
      <c r="AA183" s="170">
        <f t="shared" ref="AA183:AF183" si="37">$N$189/4</f>
        <v>3350</v>
      </c>
      <c r="AB183" s="170">
        <f t="shared" si="37"/>
        <v>3350</v>
      </c>
      <c r="AC183" s="170">
        <f t="shared" si="37"/>
        <v>3350</v>
      </c>
      <c r="AD183" s="170">
        <f t="shared" si="37"/>
        <v>3350</v>
      </c>
      <c r="AE183" s="170">
        <f t="shared" si="37"/>
        <v>3350</v>
      </c>
      <c r="AF183" s="170">
        <f t="shared" si="37"/>
        <v>3350</v>
      </c>
      <c r="AG183" s="171"/>
      <c r="AH183" s="170">
        <f>$N$189/4</f>
        <v>3350</v>
      </c>
      <c r="AI183" s="170">
        <f>$N$189/4</f>
        <v>3350</v>
      </c>
      <c r="AJ183" s="170">
        <f>$N$189/4</f>
        <v>3350</v>
      </c>
      <c r="AK183" s="195">
        <f>$N$189/4</f>
        <v>3350</v>
      </c>
      <c r="AL183" s="211">
        <f>SUM(I183:AK183)</f>
        <v>70350</v>
      </c>
      <c r="AM183" s="190"/>
      <c r="AN183" s="190"/>
      <c r="AO183" s="190"/>
      <c r="AP183" s="346"/>
      <c r="AQ183" s="190"/>
      <c r="AR183" s="190"/>
      <c r="AS183" s="346"/>
      <c r="AT183" s="346"/>
      <c r="AU183" s="212"/>
      <c r="AV183" s="346"/>
    </row>
    <row r="184" spans="1:48" hidden="1">
      <c r="A184" s="275"/>
      <c r="B184" s="283"/>
      <c r="C184" s="300"/>
      <c r="D184" s="210"/>
      <c r="E184" s="329"/>
      <c r="F184" s="300"/>
      <c r="G184" s="154"/>
      <c r="H184" s="62" t="s">
        <v>84</v>
      </c>
      <c r="I184" s="170">
        <v>3</v>
      </c>
      <c r="J184" s="170">
        <v>3</v>
      </c>
      <c r="K184" s="170">
        <v>3</v>
      </c>
      <c r="L184" s="171"/>
      <c r="M184" s="170">
        <v>3</v>
      </c>
      <c r="N184" s="170">
        <v>3</v>
      </c>
      <c r="O184" s="170">
        <v>3</v>
      </c>
      <c r="P184" s="171"/>
      <c r="Q184" s="171"/>
      <c r="R184" s="171"/>
      <c r="S184" s="171"/>
      <c r="T184" s="170">
        <v>3</v>
      </c>
      <c r="U184" s="170">
        <v>3</v>
      </c>
      <c r="V184" s="171"/>
      <c r="W184" s="170">
        <v>3</v>
      </c>
      <c r="X184" s="170">
        <v>3</v>
      </c>
      <c r="Y184" s="170">
        <v>3</v>
      </c>
      <c r="Z184" s="171"/>
      <c r="AA184" s="170">
        <v>3</v>
      </c>
      <c r="AB184" s="170">
        <v>3</v>
      </c>
      <c r="AC184" s="170">
        <v>3</v>
      </c>
      <c r="AD184" s="170">
        <v>3</v>
      </c>
      <c r="AE184" s="170">
        <v>3</v>
      </c>
      <c r="AF184" s="170">
        <v>3</v>
      </c>
      <c r="AG184" s="171"/>
      <c r="AH184" s="170">
        <v>3</v>
      </c>
      <c r="AI184" s="170">
        <v>3</v>
      </c>
      <c r="AJ184" s="170">
        <v>3</v>
      </c>
      <c r="AK184" s="195">
        <v>3</v>
      </c>
      <c r="AL184" s="211"/>
      <c r="AM184" s="190"/>
      <c r="AN184" s="190"/>
      <c r="AO184" s="190"/>
      <c r="AP184" s="346"/>
      <c r="AQ184" s="190"/>
      <c r="AR184" s="190"/>
      <c r="AS184" s="346"/>
      <c r="AT184" s="346"/>
      <c r="AU184" s="212"/>
      <c r="AV184" s="346"/>
    </row>
    <row r="185" spans="1:48" hidden="1">
      <c r="A185" s="275"/>
      <c r="B185" s="283"/>
      <c r="C185" s="300"/>
      <c r="D185" s="210"/>
      <c r="E185" s="329"/>
      <c r="F185" s="300"/>
      <c r="G185" s="154"/>
      <c r="H185" s="57" t="s">
        <v>15</v>
      </c>
      <c r="I185" s="172">
        <v>4456</v>
      </c>
      <c r="J185" s="172">
        <v>4536</v>
      </c>
      <c r="K185" s="172">
        <v>7057</v>
      </c>
      <c r="L185" s="171"/>
      <c r="M185" s="172">
        <v>5034</v>
      </c>
      <c r="N185" s="172">
        <v>8037</v>
      </c>
      <c r="O185" s="172">
        <v>6729</v>
      </c>
      <c r="P185" s="171"/>
      <c r="Q185" s="171"/>
      <c r="R185" s="171"/>
      <c r="S185" s="171"/>
      <c r="T185" s="172">
        <v>7188</v>
      </c>
      <c r="U185" s="172">
        <v>7441</v>
      </c>
      <c r="V185" s="171"/>
      <c r="W185" s="172">
        <f>1323+479+1189+1447+1464+1414</f>
        <v>7316</v>
      </c>
      <c r="X185" s="172">
        <v>573</v>
      </c>
      <c r="Y185" s="172"/>
      <c r="Z185" s="171"/>
      <c r="AA185" s="172"/>
      <c r="AB185" s="172"/>
      <c r="AC185" s="172"/>
      <c r="AD185" s="172"/>
      <c r="AE185" s="172"/>
      <c r="AF185" s="172"/>
      <c r="AG185" s="171"/>
      <c r="AH185" s="172"/>
      <c r="AI185" s="172"/>
      <c r="AJ185" s="172"/>
      <c r="AK185" s="197"/>
      <c r="AL185" s="210">
        <f>SUM(I185:AK185)</f>
        <v>58367</v>
      </c>
      <c r="AM185" s="190"/>
      <c r="AN185" s="190"/>
      <c r="AO185" s="190"/>
      <c r="AP185" s="346"/>
      <c r="AQ185" s="190"/>
      <c r="AR185" s="190"/>
      <c r="AS185" s="346"/>
      <c r="AT185" s="346"/>
      <c r="AU185" s="212"/>
      <c r="AV185" s="346"/>
    </row>
    <row r="186" spans="1:48" hidden="1">
      <c r="A186" s="275"/>
      <c r="B186" s="283"/>
      <c r="C186" s="300"/>
      <c r="D186" s="210"/>
      <c r="E186" s="329"/>
      <c r="F186" s="300"/>
      <c r="G186" s="154" t="s">
        <v>86</v>
      </c>
      <c r="H186" s="62" t="s">
        <v>32</v>
      </c>
      <c r="I186" s="170"/>
      <c r="J186" s="170"/>
      <c r="K186" s="170"/>
      <c r="L186" s="171"/>
      <c r="M186" s="170"/>
      <c r="N186" s="170">
        <f>3350*4</f>
        <v>13400</v>
      </c>
      <c r="O186" s="170"/>
      <c r="P186" s="171"/>
      <c r="Q186" s="171"/>
      <c r="R186" s="171"/>
      <c r="S186" s="171"/>
      <c r="T186" s="170"/>
      <c r="U186" s="170"/>
      <c r="V186" s="171"/>
      <c r="W186" s="170">
        <f>3350*4</f>
        <v>13400</v>
      </c>
      <c r="X186" s="170"/>
      <c r="Y186" s="170"/>
      <c r="Z186" s="171"/>
      <c r="AA186" s="170"/>
      <c r="AB186" s="170">
        <f>3350*4</f>
        <v>13400</v>
      </c>
      <c r="AC186" s="170"/>
      <c r="AD186" s="170"/>
      <c r="AE186" s="170"/>
      <c r="AF186" s="170">
        <f>3350*4</f>
        <v>13400</v>
      </c>
      <c r="AG186" s="171"/>
      <c r="AH186" s="170"/>
      <c r="AI186" s="170"/>
      <c r="AJ186" s="170"/>
      <c r="AK186" s="170">
        <f>3350*4</f>
        <v>13400</v>
      </c>
      <c r="AL186" s="211">
        <f>SUM(I186:AK186)</f>
        <v>67000</v>
      </c>
      <c r="AM186" s="190"/>
      <c r="AN186" s="190"/>
      <c r="AO186" s="190"/>
      <c r="AP186" s="346"/>
      <c r="AQ186" s="190"/>
      <c r="AR186" s="190"/>
      <c r="AS186" s="346"/>
      <c r="AT186" s="346"/>
      <c r="AU186" s="212"/>
      <c r="AV186" s="346"/>
    </row>
    <row r="187" spans="1:48" hidden="1">
      <c r="A187" s="275"/>
      <c r="B187" s="283"/>
      <c r="C187" s="300"/>
      <c r="D187" s="210"/>
      <c r="E187" s="329"/>
      <c r="F187" s="300"/>
      <c r="G187" s="154"/>
      <c r="H187" s="62" t="s">
        <v>51</v>
      </c>
      <c r="I187" s="170"/>
      <c r="J187" s="170"/>
      <c r="K187" s="170"/>
      <c r="L187" s="171"/>
      <c r="M187" s="170"/>
      <c r="N187" s="170">
        <v>1</v>
      </c>
      <c r="O187" s="170"/>
      <c r="P187" s="171"/>
      <c r="Q187" s="171"/>
      <c r="R187" s="171"/>
      <c r="S187" s="171"/>
      <c r="T187" s="170"/>
      <c r="U187" s="170"/>
      <c r="V187" s="171"/>
      <c r="W187" s="170">
        <v>1</v>
      </c>
      <c r="X187" s="170"/>
      <c r="Y187" s="170"/>
      <c r="Z187" s="171"/>
      <c r="AA187" s="170"/>
      <c r="AB187" s="170">
        <v>1</v>
      </c>
      <c r="AC187" s="170"/>
      <c r="AD187" s="170"/>
      <c r="AE187" s="170"/>
      <c r="AF187" s="170">
        <v>1</v>
      </c>
      <c r="AG187" s="171"/>
      <c r="AH187" s="170"/>
      <c r="AI187" s="170"/>
      <c r="AJ187" s="170"/>
      <c r="AK187" s="170">
        <v>1</v>
      </c>
      <c r="AL187" s="211"/>
      <c r="AM187" s="190"/>
      <c r="AN187" s="190"/>
      <c r="AO187" s="190"/>
      <c r="AP187" s="346"/>
      <c r="AQ187" s="190"/>
      <c r="AR187" s="190"/>
      <c r="AS187" s="346"/>
      <c r="AT187" s="346"/>
      <c r="AU187" s="212"/>
      <c r="AV187" s="346"/>
    </row>
    <row r="188" spans="1:48" hidden="1">
      <c r="A188" s="275"/>
      <c r="B188" s="283"/>
      <c r="C188" s="300"/>
      <c r="D188" s="210"/>
      <c r="E188" s="329"/>
      <c r="F188" s="300"/>
      <c r="G188" s="154"/>
      <c r="H188" s="57" t="s">
        <v>15</v>
      </c>
      <c r="I188" s="172"/>
      <c r="J188" s="172"/>
      <c r="K188" s="172"/>
      <c r="L188" s="171"/>
      <c r="M188" s="172"/>
      <c r="N188" s="172"/>
      <c r="O188" s="172"/>
      <c r="P188" s="171"/>
      <c r="Q188" s="171"/>
      <c r="R188" s="171"/>
      <c r="S188" s="171"/>
      <c r="T188" s="172"/>
      <c r="U188" s="172"/>
      <c r="V188" s="171"/>
      <c r="W188" s="172"/>
      <c r="X188" s="172"/>
      <c r="Y188" s="172"/>
      <c r="Z188" s="171"/>
      <c r="AA188" s="172"/>
      <c r="AB188" s="172"/>
      <c r="AC188" s="172"/>
      <c r="AD188" s="172"/>
      <c r="AE188" s="172"/>
      <c r="AF188" s="172"/>
      <c r="AG188" s="171"/>
      <c r="AH188" s="172"/>
      <c r="AI188" s="172"/>
      <c r="AJ188" s="172"/>
      <c r="AK188" s="172"/>
      <c r="AL188" s="210">
        <f>SUM(I188:AK188)</f>
        <v>0</v>
      </c>
      <c r="AM188" s="190"/>
      <c r="AN188" s="190"/>
      <c r="AO188" s="190"/>
      <c r="AP188" s="346"/>
      <c r="AQ188" s="190"/>
      <c r="AR188" s="190"/>
      <c r="AS188" s="346"/>
      <c r="AT188" s="346"/>
      <c r="AU188" s="212"/>
      <c r="AV188" s="346"/>
    </row>
    <row r="189" spans="1:48" hidden="1">
      <c r="A189" s="275"/>
      <c r="B189" s="283"/>
      <c r="C189" s="300"/>
      <c r="D189" s="210"/>
      <c r="E189" s="210"/>
      <c r="F189" s="300"/>
      <c r="G189" s="154" t="s">
        <v>87</v>
      </c>
      <c r="H189" s="62" t="s">
        <v>32</v>
      </c>
      <c r="I189" s="170"/>
      <c r="J189" s="170"/>
      <c r="K189" s="170"/>
      <c r="L189" s="171"/>
      <c r="M189" s="170"/>
      <c r="N189" s="170">
        <f>3350*4</f>
        <v>13400</v>
      </c>
      <c r="O189" s="170"/>
      <c r="P189" s="171"/>
      <c r="Q189" s="171"/>
      <c r="R189" s="171"/>
      <c r="S189" s="171"/>
      <c r="T189" s="170"/>
      <c r="U189" s="170"/>
      <c r="V189" s="171"/>
      <c r="W189" s="170">
        <f>3350*4</f>
        <v>13400</v>
      </c>
      <c r="X189" s="170"/>
      <c r="Y189" s="170"/>
      <c r="Z189" s="171"/>
      <c r="AA189" s="170"/>
      <c r="AB189" s="170">
        <f>3350*4</f>
        <v>13400</v>
      </c>
      <c r="AC189" s="170"/>
      <c r="AD189" s="170"/>
      <c r="AE189" s="170"/>
      <c r="AF189" s="170">
        <f>3350*4</f>
        <v>13400</v>
      </c>
      <c r="AG189" s="171"/>
      <c r="AH189" s="170"/>
      <c r="AI189" s="170"/>
      <c r="AJ189" s="170"/>
      <c r="AK189" s="195">
        <f>3350*4</f>
        <v>13400</v>
      </c>
      <c r="AL189" s="196">
        <f>SUM(I189:AK189)</f>
        <v>67000</v>
      </c>
      <c r="AM189" s="190"/>
      <c r="AN189" s="190"/>
      <c r="AO189" s="190"/>
      <c r="AP189" s="190"/>
      <c r="AQ189" s="190"/>
      <c r="AR189" s="190"/>
      <c r="AS189" s="190"/>
      <c r="AT189" s="190"/>
      <c r="AU189" s="212"/>
      <c r="AV189" s="190"/>
    </row>
    <row r="190" spans="1:48" hidden="1">
      <c r="A190" s="275"/>
      <c r="B190" s="283"/>
      <c r="C190" s="300"/>
      <c r="D190" s="210"/>
      <c r="E190" s="210"/>
      <c r="F190" s="300"/>
      <c r="G190" s="154"/>
      <c r="H190" s="62" t="s">
        <v>51</v>
      </c>
      <c r="I190" s="170"/>
      <c r="J190" s="170"/>
      <c r="K190" s="170"/>
      <c r="L190" s="171"/>
      <c r="M190" s="170"/>
      <c r="N190" s="170">
        <v>1</v>
      </c>
      <c r="O190" s="170"/>
      <c r="P190" s="171"/>
      <c r="Q190" s="171"/>
      <c r="R190" s="171"/>
      <c r="S190" s="171"/>
      <c r="T190" s="170"/>
      <c r="U190" s="170"/>
      <c r="V190" s="171"/>
      <c r="W190" s="170"/>
      <c r="X190" s="170"/>
      <c r="Y190" s="170"/>
      <c r="Z190" s="171"/>
      <c r="AA190" s="170"/>
      <c r="AB190" s="170"/>
      <c r="AC190" s="170"/>
      <c r="AD190" s="170"/>
      <c r="AE190" s="170"/>
      <c r="AF190" s="170"/>
      <c r="AG190" s="171"/>
      <c r="AH190" s="170"/>
      <c r="AI190" s="170"/>
      <c r="AJ190" s="170"/>
      <c r="AK190" s="195"/>
      <c r="AL190" s="196"/>
      <c r="AM190" s="190"/>
      <c r="AN190" s="190"/>
      <c r="AO190" s="190"/>
      <c r="AP190" s="190"/>
      <c r="AQ190" s="190"/>
      <c r="AR190" s="190"/>
      <c r="AS190" s="190"/>
      <c r="AT190" s="190"/>
      <c r="AU190" s="212"/>
      <c r="AV190" s="190"/>
    </row>
    <row r="191" spans="1:48" hidden="1">
      <c r="A191" s="276"/>
      <c r="B191" s="290"/>
      <c r="C191" s="301"/>
      <c r="D191" s="234"/>
      <c r="E191" s="233"/>
      <c r="F191" s="301"/>
      <c r="G191" s="158"/>
      <c r="H191" s="159" t="s">
        <v>15</v>
      </c>
      <c r="I191" s="176"/>
      <c r="J191" s="176"/>
      <c r="K191" s="176"/>
      <c r="L191" s="219"/>
      <c r="M191" s="176"/>
      <c r="N191" s="176"/>
      <c r="O191" s="176"/>
      <c r="P191" s="219"/>
      <c r="Q191" s="219"/>
      <c r="R191" s="219"/>
      <c r="S191" s="219"/>
      <c r="T191" s="176"/>
      <c r="U191" s="176"/>
      <c r="V191" s="219"/>
      <c r="W191" s="176"/>
      <c r="X191" s="176"/>
      <c r="Y191" s="176"/>
      <c r="Z191" s="219"/>
      <c r="AA191" s="176"/>
      <c r="AB191" s="176"/>
      <c r="AC191" s="176"/>
      <c r="AD191" s="176"/>
      <c r="AE191" s="176"/>
      <c r="AF191" s="176"/>
      <c r="AG191" s="219"/>
      <c r="AH191" s="176"/>
      <c r="AI191" s="176"/>
      <c r="AJ191" s="176"/>
      <c r="AK191" s="229"/>
      <c r="AL191" s="192">
        <f>SUM(I191:AK191)</f>
        <v>0</v>
      </c>
      <c r="AM191" s="190"/>
      <c r="AN191" s="190"/>
      <c r="AO191" s="190"/>
      <c r="AP191" s="190"/>
      <c r="AQ191" s="190"/>
      <c r="AR191" s="190"/>
      <c r="AS191" s="190"/>
      <c r="AT191" s="190"/>
      <c r="AU191" s="212"/>
      <c r="AV191" s="190"/>
    </row>
    <row r="192" spans="1:48" hidden="1">
      <c r="A192" s="277" t="s">
        <v>88</v>
      </c>
      <c r="B192" s="282" t="s">
        <v>89</v>
      </c>
      <c r="C192" s="302">
        <v>3350</v>
      </c>
      <c r="D192" s="308">
        <v>1.4750000000000001</v>
      </c>
      <c r="E192" s="214"/>
      <c r="F192" s="336" t="s">
        <v>90</v>
      </c>
      <c r="G192" s="215">
        <v>0.08</v>
      </c>
      <c r="H192" s="53" t="s">
        <v>12</v>
      </c>
      <c r="I192" s="223"/>
      <c r="J192" s="223"/>
      <c r="K192" s="223"/>
      <c r="L192" s="179"/>
      <c r="M192" s="223"/>
      <c r="N192" s="223"/>
      <c r="O192" s="223"/>
      <c r="P192" s="179"/>
      <c r="Q192" s="179"/>
      <c r="R192" s="179"/>
      <c r="S192" s="179"/>
      <c r="T192" s="223"/>
      <c r="U192" s="223"/>
      <c r="V192" s="179"/>
      <c r="W192" s="223">
        <f>24*3</f>
        <v>72</v>
      </c>
      <c r="X192" s="235"/>
      <c r="Y192" s="223"/>
      <c r="Z192" s="179"/>
      <c r="AA192" s="223">
        <f>24*3</f>
        <v>72</v>
      </c>
      <c r="AB192" s="235"/>
      <c r="AC192" s="223"/>
      <c r="AD192" s="223">
        <f>24*3</f>
        <v>72</v>
      </c>
      <c r="AE192" s="235"/>
      <c r="AF192" s="223"/>
      <c r="AG192" s="179"/>
      <c r="AH192" s="223">
        <f>24*3</f>
        <v>72</v>
      </c>
      <c r="AI192" s="235"/>
      <c r="AJ192" s="223"/>
      <c r="AK192" s="230"/>
      <c r="AL192" s="192"/>
      <c r="AM192" s="190"/>
      <c r="AN192" s="190"/>
      <c r="AO192" s="190"/>
      <c r="AP192" s="190"/>
      <c r="AQ192" s="190"/>
      <c r="AR192" s="190"/>
      <c r="AS192" s="346"/>
      <c r="AT192" s="346"/>
      <c r="AU192" s="212"/>
      <c r="AV192" s="346"/>
    </row>
    <row r="193" spans="1:48" hidden="1">
      <c r="A193" s="273"/>
      <c r="B193" s="283"/>
      <c r="C193" s="303"/>
      <c r="D193" s="309"/>
      <c r="E193" s="216"/>
      <c r="F193" s="335"/>
      <c r="G193" s="155"/>
      <c r="H193" s="62" t="s">
        <v>14</v>
      </c>
      <c r="I193" s="181"/>
      <c r="J193" s="181"/>
      <c r="K193" s="181"/>
      <c r="L193" s="221"/>
      <c r="M193" s="181"/>
      <c r="N193" s="181"/>
      <c r="O193" s="181"/>
      <c r="P193" s="221"/>
      <c r="Q193" s="221"/>
      <c r="R193" s="221"/>
      <c r="S193" s="221"/>
      <c r="T193" s="181"/>
      <c r="U193" s="181"/>
      <c r="V193" s="221"/>
      <c r="W193" s="181">
        <v>1</v>
      </c>
      <c r="X193" s="156"/>
      <c r="Y193" s="181"/>
      <c r="Z193" s="221"/>
      <c r="AA193" s="181">
        <v>1</v>
      </c>
      <c r="AB193" s="156"/>
      <c r="AC193" s="181"/>
      <c r="AD193" s="181">
        <v>1</v>
      </c>
      <c r="AE193" s="156"/>
      <c r="AF193" s="181"/>
      <c r="AG193" s="221"/>
      <c r="AH193" s="181">
        <v>1</v>
      </c>
      <c r="AI193" s="156"/>
      <c r="AJ193" s="181"/>
      <c r="AK193" s="207"/>
      <c r="AL193" s="192"/>
      <c r="AM193" s="190"/>
      <c r="AN193" s="190"/>
      <c r="AO193" s="190"/>
      <c r="AP193" s="190"/>
      <c r="AQ193" s="190"/>
      <c r="AR193" s="190"/>
      <c r="AS193" s="346"/>
      <c r="AT193" s="346"/>
      <c r="AU193" s="212"/>
      <c r="AV193" s="346"/>
    </row>
    <row r="194" spans="1:48" hidden="1">
      <c r="A194" s="273"/>
      <c r="B194" s="283"/>
      <c r="C194" s="303"/>
      <c r="D194" s="309"/>
      <c r="E194" s="216"/>
      <c r="F194" s="335"/>
      <c r="G194" s="155"/>
      <c r="H194" s="57" t="s">
        <v>15</v>
      </c>
      <c r="I194" s="224"/>
      <c r="J194" s="224"/>
      <c r="K194" s="224"/>
      <c r="L194" s="221"/>
      <c r="M194" s="224"/>
      <c r="N194" s="224"/>
      <c r="O194" s="224"/>
      <c r="P194" s="221"/>
      <c r="Q194" s="221"/>
      <c r="R194" s="221"/>
      <c r="S194" s="221"/>
      <c r="T194" s="224"/>
      <c r="U194" s="224"/>
      <c r="V194" s="221"/>
      <c r="W194" s="224"/>
      <c r="X194" s="172"/>
      <c r="Y194" s="224"/>
      <c r="Z194" s="221"/>
      <c r="AA194" s="224"/>
      <c r="AB194" s="172"/>
      <c r="AC194" s="224"/>
      <c r="AD194" s="224"/>
      <c r="AE194" s="172"/>
      <c r="AF194" s="224"/>
      <c r="AG194" s="221"/>
      <c r="AH194" s="224"/>
      <c r="AI194" s="172"/>
      <c r="AJ194" s="224"/>
      <c r="AK194" s="231"/>
      <c r="AL194" s="192"/>
      <c r="AM194" s="190"/>
      <c r="AN194" s="190"/>
      <c r="AO194" s="190"/>
      <c r="AP194" s="190"/>
      <c r="AQ194" s="190"/>
      <c r="AR194" s="190"/>
      <c r="AS194" s="346"/>
      <c r="AT194" s="346"/>
      <c r="AU194" s="212"/>
      <c r="AV194" s="346"/>
    </row>
    <row r="195" spans="1:48" hidden="1">
      <c r="A195" s="273"/>
      <c r="B195" s="283"/>
      <c r="C195" s="303"/>
      <c r="D195" s="309"/>
      <c r="E195" s="216"/>
      <c r="F195" s="335"/>
      <c r="G195" s="155">
        <v>0.254</v>
      </c>
      <c r="H195" s="81" t="s">
        <v>12</v>
      </c>
      <c r="I195" s="156"/>
      <c r="J195" s="181"/>
      <c r="K195" s="181"/>
      <c r="L195" s="221"/>
      <c r="M195" s="181"/>
      <c r="N195" s="181"/>
      <c r="O195" s="181"/>
      <c r="P195" s="221"/>
      <c r="Q195" s="221"/>
      <c r="R195" s="221"/>
      <c r="S195" s="221"/>
      <c r="T195" s="181"/>
      <c r="U195" s="181"/>
      <c r="V195" s="221"/>
      <c r="W195" s="181">
        <v>240</v>
      </c>
      <c r="X195" s="181"/>
      <c r="Y195" s="181"/>
      <c r="Z195" s="221"/>
      <c r="AA195" s="181"/>
      <c r="AB195" s="181"/>
      <c r="AC195" s="181"/>
      <c r="AD195" s="181"/>
      <c r="AE195" s="181"/>
      <c r="AF195" s="181"/>
      <c r="AG195" s="221"/>
      <c r="AH195" s="181"/>
      <c r="AI195" s="181"/>
      <c r="AJ195" s="181"/>
      <c r="AK195" s="207"/>
      <c r="AL195" s="192"/>
      <c r="AM195" s="190"/>
      <c r="AN195" s="190"/>
      <c r="AO195" s="190"/>
      <c r="AP195" s="190"/>
      <c r="AQ195" s="190"/>
      <c r="AR195" s="190"/>
      <c r="AS195" s="346"/>
      <c r="AT195" s="346"/>
      <c r="AU195" s="212"/>
      <c r="AV195" s="346"/>
    </row>
    <row r="196" spans="1:48" hidden="1">
      <c r="A196" s="273"/>
      <c r="B196" s="283"/>
      <c r="C196" s="303"/>
      <c r="D196" s="309"/>
      <c r="E196" s="216"/>
      <c r="F196" s="335"/>
      <c r="G196" s="155"/>
      <c r="H196" s="62" t="s">
        <v>14</v>
      </c>
      <c r="I196" s="156"/>
      <c r="J196" s="181"/>
      <c r="K196" s="181"/>
      <c r="L196" s="221"/>
      <c r="M196" s="181"/>
      <c r="N196" s="181"/>
      <c r="O196" s="181"/>
      <c r="P196" s="221"/>
      <c r="Q196" s="221"/>
      <c r="R196" s="221"/>
      <c r="S196" s="221"/>
      <c r="T196" s="181"/>
      <c r="U196" s="181"/>
      <c r="V196" s="221"/>
      <c r="W196" s="181">
        <v>1</v>
      </c>
      <c r="X196" s="181"/>
      <c r="Y196" s="181"/>
      <c r="Z196" s="221"/>
      <c r="AA196" s="181"/>
      <c r="AB196" s="181"/>
      <c r="AC196" s="181"/>
      <c r="AD196" s="181"/>
      <c r="AE196" s="181"/>
      <c r="AF196" s="181"/>
      <c r="AG196" s="221"/>
      <c r="AH196" s="181"/>
      <c r="AI196" s="181"/>
      <c r="AJ196" s="181"/>
      <c r="AK196" s="207"/>
      <c r="AL196" s="192"/>
      <c r="AM196" s="190"/>
      <c r="AN196" s="190"/>
      <c r="AO196" s="190"/>
      <c r="AP196" s="190"/>
      <c r="AQ196" s="190"/>
      <c r="AR196" s="190"/>
      <c r="AS196" s="346"/>
      <c r="AT196" s="346"/>
      <c r="AU196" s="212"/>
      <c r="AV196" s="346"/>
    </row>
    <row r="197" spans="1:48" hidden="1">
      <c r="A197" s="273"/>
      <c r="B197" s="283"/>
      <c r="C197" s="303"/>
      <c r="D197" s="309"/>
      <c r="E197" s="216"/>
      <c r="F197" s="335"/>
      <c r="G197" s="155"/>
      <c r="H197" s="57" t="s">
        <v>15</v>
      </c>
      <c r="I197" s="172"/>
      <c r="J197" s="224"/>
      <c r="K197" s="224"/>
      <c r="L197" s="221"/>
      <c r="M197" s="224"/>
      <c r="N197" s="224"/>
      <c r="O197" s="224"/>
      <c r="P197" s="221"/>
      <c r="Q197" s="221"/>
      <c r="R197" s="221"/>
      <c r="S197" s="221"/>
      <c r="T197" s="224"/>
      <c r="U197" s="224"/>
      <c r="V197" s="221"/>
      <c r="W197" s="224"/>
      <c r="X197" s="224"/>
      <c r="Y197" s="224"/>
      <c r="Z197" s="221"/>
      <c r="AA197" s="224"/>
      <c r="AB197" s="224"/>
      <c r="AC197" s="224"/>
      <c r="AD197" s="224"/>
      <c r="AE197" s="224"/>
      <c r="AF197" s="224"/>
      <c r="AG197" s="221"/>
      <c r="AH197" s="224"/>
      <c r="AI197" s="224"/>
      <c r="AJ197" s="224"/>
      <c r="AK197" s="231"/>
      <c r="AL197" s="192"/>
      <c r="AM197" s="190"/>
      <c r="AN197" s="190"/>
      <c r="AO197" s="190"/>
      <c r="AP197" s="190"/>
      <c r="AQ197" s="190"/>
      <c r="AR197" s="190"/>
      <c r="AS197" s="346"/>
      <c r="AT197" s="346"/>
      <c r="AU197" s="212"/>
      <c r="AV197" s="346"/>
    </row>
    <row r="198" spans="1:48" hidden="1">
      <c r="A198" s="273"/>
      <c r="B198" s="283"/>
      <c r="C198" s="303"/>
      <c r="D198" s="309"/>
      <c r="E198" s="216"/>
      <c r="F198" s="335"/>
      <c r="G198" s="155" t="s">
        <v>91</v>
      </c>
      <c r="H198" s="81" t="s">
        <v>92</v>
      </c>
      <c r="I198" s="181"/>
      <c r="J198" s="181"/>
      <c r="K198" s="181"/>
      <c r="L198" s="221"/>
      <c r="M198" s="181"/>
      <c r="N198" s="181"/>
      <c r="O198" s="156"/>
      <c r="P198" s="221"/>
      <c r="Q198" s="221"/>
      <c r="R198" s="221"/>
      <c r="S198" s="221"/>
      <c r="T198" s="181"/>
      <c r="U198" s="181"/>
      <c r="V198" s="221"/>
      <c r="W198" s="181">
        <v>60</v>
      </c>
      <c r="X198" s="181"/>
      <c r="Y198" s="181"/>
      <c r="Z198" s="221"/>
      <c r="AA198" s="181">
        <v>60</v>
      </c>
      <c r="AB198" s="181"/>
      <c r="AC198" s="181"/>
      <c r="AD198" s="181"/>
      <c r="AE198" s="181"/>
      <c r="AF198" s="181"/>
      <c r="AG198" s="221"/>
      <c r="AH198" s="181"/>
      <c r="AI198" s="181"/>
      <c r="AJ198" s="181"/>
      <c r="AK198" s="207"/>
      <c r="AL198" s="192"/>
      <c r="AM198" s="190"/>
      <c r="AN198" s="190"/>
      <c r="AO198" s="190"/>
      <c r="AP198" s="190"/>
      <c r="AQ198" s="190"/>
      <c r="AR198" s="190"/>
      <c r="AS198" s="346"/>
      <c r="AT198" s="346"/>
      <c r="AU198" s="212"/>
      <c r="AV198" s="346"/>
    </row>
    <row r="199" spans="1:48" hidden="1">
      <c r="A199" s="273"/>
      <c r="B199" s="283"/>
      <c r="C199" s="303"/>
      <c r="D199" s="309"/>
      <c r="E199" s="216"/>
      <c r="F199" s="335"/>
      <c r="G199" s="155"/>
      <c r="H199" s="62" t="s">
        <v>14</v>
      </c>
      <c r="I199" s="181"/>
      <c r="J199" s="181"/>
      <c r="K199" s="181"/>
      <c r="L199" s="221"/>
      <c r="M199" s="181"/>
      <c r="N199" s="181"/>
      <c r="O199" s="156"/>
      <c r="P199" s="221"/>
      <c r="Q199" s="221"/>
      <c r="R199" s="221"/>
      <c r="S199" s="221"/>
      <c r="T199" s="181"/>
      <c r="U199" s="181"/>
      <c r="V199" s="221"/>
      <c r="W199" s="181">
        <v>0.25</v>
      </c>
      <c r="X199" s="181"/>
      <c r="Y199" s="181"/>
      <c r="Z199" s="221"/>
      <c r="AA199" s="181">
        <v>0.25</v>
      </c>
      <c r="AB199" s="181"/>
      <c r="AC199" s="181"/>
      <c r="AD199" s="181"/>
      <c r="AE199" s="181"/>
      <c r="AF199" s="181"/>
      <c r="AG199" s="221"/>
      <c r="AH199" s="181"/>
      <c r="AI199" s="181"/>
      <c r="AJ199" s="181"/>
      <c r="AK199" s="207"/>
      <c r="AL199" s="192"/>
      <c r="AM199" s="190"/>
      <c r="AN199" s="190"/>
      <c r="AO199" s="190"/>
      <c r="AP199" s="190"/>
      <c r="AQ199" s="190"/>
      <c r="AR199" s="190"/>
      <c r="AS199" s="346"/>
      <c r="AT199" s="346"/>
      <c r="AU199" s="212"/>
      <c r="AV199" s="346"/>
    </row>
    <row r="200" spans="1:48" hidden="1">
      <c r="A200" s="273"/>
      <c r="B200" s="283"/>
      <c r="C200" s="303"/>
      <c r="D200" s="309"/>
      <c r="E200" s="216"/>
      <c r="F200" s="335"/>
      <c r="G200" s="155"/>
      <c r="H200" s="57" t="s">
        <v>15</v>
      </c>
      <c r="I200" s="224"/>
      <c r="J200" s="224"/>
      <c r="K200" s="224"/>
      <c r="L200" s="221"/>
      <c r="M200" s="224"/>
      <c r="N200" s="224"/>
      <c r="O200" s="172"/>
      <c r="P200" s="221"/>
      <c r="Q200" s="221"/>
      <c r="R200" s="221"/>
      <c r="S200" s="221"/>
      <c r="T200" s="224"/>
      <c r="U200" s="224"/>
      <c r="V200" s="221"/>
      <c r="W200" s="224"/>
      <c r="X200" s="224"/>
      <c r="Y200" s="224"/>
      <c r="Z200" s="221"/>
      <c r="AA200" s="224"/>
      <c r="AB200" s="224"/>
      <c r="AC200" s="224"/>
      <c r="AD200" s="224"/>
      <c r="AE200" s="224"/>
      <c r="AF200" s="224"/>
      <c r="AG200" s="221"/>
      <c r="AH200" s="224"/>
      <c r="AI200" s="224"/>
      <c r="AJ200" s="224"/>
      <c r="AK200" s="231"/>
      <c r="AL200" s="192"/>
      <c r="AM200" s="190"/>
      <c r="AN200" s="190"/>
      <c r="AO200" s="190"/>
      <c r="AP200" s="190"/>
      <c r="AQ200" s="190"/>
      <c r="AR200" s="190"/>
      <c r="AS200" s="346"/>
      <c r="AT200" s="346"/>
      <c r="AU200" s="212"/>
      <c r="AV200" s="346"/>
    </row>
    <row r="201" spans="1:48" hidden="1">
      <c r="A201" s="273"/>
      <c r="B201" s="283"/>
      <c r="C201" s="303"/>
      <c r="D201" s="309"/>
      <c r="E201" s="216"/>
      <c r="F201" s="335"/>
      <c r="G201" s="155" t="s">
        <v>93</v>
      </c>
      <c r="H201" s="81" t="s">
        <v>92</v>
      </c>
      <c r="I201" s="181"/>
      <c r="J201" s="181"/>
      <c r="K201" s="181"/>
      <c r="L201" s="221"/>
      <c r="M201" s="181"/>
      <c r="N201" s="181"/>
      <c r="O201" s="156"/>
      <c r="P201" s="221"/>
      <c r="Q201" s="221"/>
      <c r="R201" s="221"/>
      <c r="S201" s="221"/>
      <c r="T201" s="156"/>
      <c r="U201" s="156"/>
      <c r="V201" s="221"/>
      <c r="W201" s="181">
        <v>80</v>
      </c>
      <c r="X201" s="181">
        <v>80</v>
      </c>
      <c r="Y201" s="181">
        <v>80</v>
      </c>
      <c r="Z201" s="221"/>
      <c r="AA201" s="181"/>
      <c r="AB201" s="181"/>
      <c r="AC201" s="181"/>
      <c r="AD201" s="181"/>
      <c r="AE201" s="181"/>
      <c r="AF201" s="181"/>
      <c r="AG201" s="221"/>
      <c r="AH201" s="181"/>
      <c r="AI201" s="181"/>
      <c r="AJ201" s="181"/>
      <c r="AK201" s="207"/>
      <c r="AL201" s="192"/>
      <c r="AM201" s="190"/>
      <c r="AN201" s="190"/>
      <c r="AO201" s="190"/>
      <c r="AP201" s="190"/>
      <c r="AQ201" s="190"/>
      <c r="AR201" s="190"/>
      <c r="AS201" s="346"/>
      <c r="AT201" s="346"/>
      <c r="AU201" s="212"/>
      <c r="AV201" s="346"/>
    </row>
    <row r="202" spans="1:48" hidden="1">
      <c r="A202" s="273"/>
      <c r="B202" s="283"/>
      <c r="C202" s="303"/>
      <c r="D202" s="309"/>
      <c r="E202" s="216"/>
      <c r="F202" s="335"/>
      <c r="G202" s="155"/>
      <c r="H202" s="62" t="s">
        <v>14</v>
      </c>
      <c r="I202" s="181"/>
      <c r="J202" s="181"/>
      <c r="K202" s="181"/>
      <c r="L202" s="221"/>
      <c r="M202" s="181"/>
      <c r="N202" s="181"/>
      <c r="O202" s="156"/>
      <c r="P202" s="221"/>
      <c r="Q202" s="221"/>
      <c r="R202" s="221"/>
      <c r="S202" s="221"/>
      <c r="T202" s="156"/>
      <c r="U202" s="156"/>
      <c r="V202" s="221"/>
      <c r="W202" s="181">
        <v>0.25</v>
      </c>
      <c r="X202" s="181">
        <v>0.25</v>
      </c>
      <c r="Y202" s="181">
        <v>0.25</v>
      </c>
      <c r="Z202" s="221"/>
      <c r="AA202" s="181"/>
      <c r="AB202" s="181"/>
      <c r="AC202" s="181"/>
      <c r="AD202" s="181"/>
      <c r="AE202" s="181"/>
      <c r="AF202" s="181"/>
      <c r="AG202" s="221"/>
      <c r="AH202" s="181"/>
      <c r="AI202" s="181"/>
      <c r="AJ202" s="181"/>
      <c r="AK202" s="207"/>
      <c r="AL202" s="192"/>
      <c r="AM202" s="190"/>
      <c r="AN202" s="190"/>
      <c r="AO202" s="190"/>
      <c r="AP202" s="190"/>
      <c r="AQ202" s="190"/>
      <c r="AR202" s="190"/>
      <c r="AS202" s="346"/>
      <c r="AT202" s="346"/>
      <c r="AU202" s="212"/>
      <c r="AV202" s="346"/>
    </row>
    <row r="203" spans="1:48" hidden="1">
      <c r="A203" s="273"/>
      <c r="B203" s="283"/>
      <c r="C203" s="303"/>
      <c r="D203" s="309"/>
      <c r="E203" s="216"/>
      <c r="F203" s="335"/>
      <c r="G203" s="155"/>
      <c r="H203" s="57" t="s">
        <v>15</v>
      </c>
      <c r="I203" s="224"/>
      <c r="J203" s="224"/>
      <c r="K203" s="224"/>
      <c r="L203" s="221"/>
      <c r="M203" s="224"/>
      <c r="N203" s="224"/>
      <c r="O203" s="172"/>
      <c r="P203" s="221"/>
      <c r="Q203" s="221"/>
      <c r="R203" s="221"/>
      <c r="S203" s="221"/>
      <c r="T203" s="224"/>
      <c r="U203" s="224"/>
      <c r="V203" s="221"/>
      <c r="W203" s="224"/>
      <c r="X203" s="224"/>
      <c r="Y203" s="224"/>
      <c r="Z203" s="221"/>
      <c r="AA203" s="224"/>
      <c r="AB203" s="224"/>
      <c r="AC203" s="224"/>
      <c r="AD203" s="224"/>
      <c r="AE203" s="224"/>
      <c r="AF203" s="224"/>
      <c r="AG203" s="221"/>
      <c r="AH203" s="224"/>
      <c r="AI203" s="224"/>
      <c r="AJ203" s="224"/>
      <c r="AK203" s="231"/>
      <c r="AL203" s="192"/>
      <c r="AM203" s="190"/>
      <c r="AN203" s="190"/>
      <c r="AO203" s="190"/>
      <c r="AP203" s="190"/>
      <c r="AQ203" s="190"/>
      <c r="AR203" s="190"/>
      <c r="AS203" s="346"/>
      <c r="AT203" s="346"/>
      <c r="AU203" s="212"/>
      <c r="AV203" s="346"/>
    </row>
    <row r="204" spans="1:48" hidden="1">
      <c r="A204" s="273"/>
      <c r="B204" s="283"/>
      <c r="C204" s="303"/>
      <c r="D204" s="309"/>
      <c r="E204" s="216"/>
      <c r="F204" s="335"/>
      <c r="G204" s="155" t="s">
        <v>94</v>
      </c>
      <c r="H204" s="62" t="s">
        <v>95</v>
      </c>
      <c r="I204" s="236"/>
      <c r="J204" s="236"/>
      <c r="K204" s="236"/>
      <c r="L204" s="221"/>
      <c r="M204" s="236"/>
      <c r="N204" s="236"/>
      <c r="O204" s="236"/>
      <c r="P204" s="221"/>
      <c r="Q204" s="221"/>
      <c r="R204" s="221"/>
      <c r="S204" s="221"/>
      <c r="T204" s="236">
        <f>($AK$233*$D$192/5)*7</f>
        <v>38047.625</v>
      </c>
      <c r="U204" s="236">
        <f>($AK$233*$D$192/5)*7</f>
        <v>38047.625</v>
      </c>
      <c r="V204" s="221"/>
      <c r="W204" s="236">
        <f>($AK$233*$D$192/5)*7</f>
        <v>38047.625</v>
      </c>
      <c r="X204" s="236">
        <f>($AK$233*$D$192/5)*7</f>
        <v>38047.625</v>
      </c>
      <c r="Y204" s="236">
        <f>($AK$233*$D$192/5)*14</f>
        <v>76095.25</v>
      </c>
      <c r="Z204" s="221"/>
      <c r="AA204" s="236">
        <f t="shared" ref="AA204:AF204" si="38">($AK$233*$D$192/5)*14</f>
        <v>76095.25</v>
      </c>
      <c r="AB204" s="236">
        <f t="shared" si="38"/>
        <v>76095.25</v>
      </c>
      <c r="AC204" s="236">
        <f t="shared" si="38"/>
        <v>76095.25</v>
      </c>
      <c r="AD204" s="236">
        <f t="shared" si="38"/>
        <v>76095.25</v>
      </c>
      <c r="AE204" s="236">
        <f t="shared" si="38"/>
        <v>76095.25</v>
      </c>
      <c r="AF204" s="236">
        <f t="shared" si="38"/>
        <v>76095.25</v>
      </c>
      <c r="AG204" s="221"/>
      <c r="AH204" s="236">
        <f>($AK$233*$D$192/5)*14</f>
        <v>76095.25</v>
      </c>
      <c r="AI204" s="236">
        <f>($AK$233*$D$192/5)*14</f>
        <v>76095.25</v>
      </c>
      <c r="AJ204" s="236">
        <f>($AK$233*$D$192/5)*14</f>
        <v>76095.25</v>
      </c>
      <c r="AK204" s="240">
        <f>($AK$233*$D$192/5)*14</f>
        <v>76095.25</v>
      </c>
      <c r="AL204" s="196">
        <f>SUM(I204:AK204)</f>
        <v>989238.25</v>
      </c>
      <c r="AM204" s="190"/>
      <c r="AN204" s="190"/>
      <c r="AO204" s="190"/>
      <c r="AP204" s="190"/>
      <c r="AQ204" s="190"/>
      <c r="AR204" s="190"/>
      <c r="AS204" s="346"/>
      <c r="AT204" s="346"/>
      <c r="AU204" s="212"/>
      <c r="AV204" s="346"/>
    </row>
    <row r="205" spans="1:48" hidden="1">
      <c r="A205" s="273"/>
      <c r="B205" s="283"/>
      <c r="C205" s="303"/>
      <c r="D205" s="309"/>
      <c r="E205" s="216"/>
      <c r="F205" s="335"/>
      <c r="G205" s="155"/>
      <c r="H205" s="62" t="s">
        <v>96</v>
      </c>
      <c r="I205" s="181"/>
      <c r="J205" s="181"/>
      <c r="K205" s="181"/>
      <c r="L205" s="221"/>
      <c r="M205" s="181"/>
      <c r="N205" s="181"/>
      <c r="O205" s="181"/>
      <c r="P205" s="221"/>
      <c r="Q205" s="221"/>
      <c r="R205" s="221"/>
      <c r="S205" s="221"/>
      <c r="T205" s="181">
        <v>2</v>
      </c>
      <c r="U205" s="181">
        <v>2</v>
      </c>
      <c r="V205" s="221"/>
      <c r="W205" s="181">
        <v>2</v>
      </c>
      <c r="X205" s="181">
        <v>2</v>
      </c>
      <c r="Y205" s="181">
        <v>4</v>
      </c>
      <c r="Z205" s="221"/>
      <c r="AA205" s="181">
        <v>4</v>
      </c>
      <c r="AB205" s="181">
        <v>4</v>
      </c>
      <c r="AC205" s="181">
        <v>4</v>
      </c>
      <c r="AD205" s="181">
        <v>4</v>
      </c>
      <c r="AE205" s="181">
        <v>4</v>
      </c>
      <c r="AF205" s="181">
        <v>4</v>
      </c>
      <c r="AG205" s="221"/>
      <c r="AH205" s="181">
        <v>4</v>
      </c>
      <c r="AI205" s="181">
        <v>4</v>
      </c>
      <c r="AJ205" s="181">
        <v>4</v>
      </c>
      <c r="AK205" s="207">
        <v>4</v>
      </c>
      <c r="AL205" s="196"/>
      <c r="AM205" s="190"/>
      <c r="AN205" s="190"/>
      <c r="AO205" s="190"/>
      <c r="AP205" s="190"/>
      <c r="AQ205" s="190"/>
      <c r="AR205" s="190"/>
      <c r="AS205" s="346"/>
      <c r="AT205" s="346"/>
      <c r="AU205" s="212"/>
      <c r="AV205" s="346"/>
    </row>
    <row r="206" spans="1:48" hidden="1">
      <c r="A206" s="273"/>
      <c r="B206" s="283"/>
      <c r="C206" s="303"/>
      <c r="D206" s="309"/>
      <c r="E206" s="216"/>
      <c r="F206" s="335"/>
      <c r="G206" s="155"/>
      <c r="H206" s="57" t="s">
        <v>15</v>
      </c>
      <c r="I206" s="224"/>
      <c r="J206" s="224"/>
      <c r="K206" s="224"/>
      <c r="L206" s="221"/>
      <c r="M206" s="224"/>
      <c r="N206" s="224"/>
      <c r="O206" s="224"/>
      <c r="P206" s="221"/>
      <c r="Q206" s="221"/>
      <c r="R206" s="221"/>
      <c r="S206" s="221"/>
      <c r="T206" s="224"/>
      <c r="U206" s="224"/>
      <c r="V206" s="221"/>
      <c r="W206" s="224"/>
      <c r="X206" s="224"/>
      <c r="Y206" s="224"/>
      <c r="Z206" s="221"/>
      <c r="AA206" s="224"/>
      <c r="AB206" s="224"/>
      <c r="AC206" s="224"/>
      <c r="AD206" s="224"/>
      <c r="AE206" s="224"/>
      <c r="AF206" s="224"/>
      <c r="AG206" s="221"/>
      <c r="AH206" s="224"/>
      <c r="AI206" s="224"/>
      <c r="AJ206" s="224"/>
      <c r="AK206" s="231"/>
      <c r="AL206" s="192">
        <f>SUM(I206:AK206)</f>
        <v>0</v>
      </c>
      <c r="AM206" s="190"/>
      <c r="AN206" s="190"/>
      <c r="AO206" s="190"/>
      <c r="AP206" s="190"/>
      <c r="AQ206" s="190"/>
      <c r="AR206" s="190"/>
      <c r="AS206" s="346"/>
      <c r="AT206" s="346"/>
      <c r="AU206" s="212"/>
      <c r="AV206" s="346"/>
    </row>
    <row r="207" spans="1:48" hidden="1">
      <c r="A207" s="273"/>
      <c r="B207" s="283"/>
      <c r="C207" s="303"/>
      <c r="D207" s="309"/>
      <c r="E207" s="216"/>
      <c r="F207" s="335"/>
      <c r="G207" s="154" t="s">
        <v>97</v>
      </c>
      <c r="H207" s="62" t="s">
        <v>98</v>
      </c>
      <c r="I207" s="183"/>
      <c r="J207" s="183"/>
      <c r="K207" s="183"/>
      <c r="L207" s="171"/>
      <c r="M207" s="183"/>
      <c r="N207" s="183"/>
      <c r="O207" s="183"/>
      <c r="P207" s="171"/>
      <c r="Q207" s="171"/>
      <c r="R207" s="171"/>
      <c r="S207" s="171"/>
      <c r="T207" s="183"/>
      <c r="U207" s="183"/>
      <c r="V207" s="171"/>
      <c r="W207" s="183"/>
      <c r="X207" s="183"/>
      <c r="Y207" s="183"/>
      <c r="Z207" s="171"/>
      <c r="AA207" s="183"/>
      <c r="AB207" s="183"/>
      <c r="AC207" s="183">
        <f>($AK$233*$D$192/5)*5</f>
        <v>27176.875</v>
      </c>
      <c r="AD207" s="183">
        <f>($AK$233*$D$192/5)*5</f>
        <v>27176.875</v>
      </c>
      <c r="AE207" s="183">
        <f>($AK$233*$D$192/5)*5</f>
        <v>27176.875</v>
      </c>
      <c r="AF207" s="183">
        <f>($AK$233*$D$192/5)*5</f>
        <v>27176.875</v>
      </c>
      <c r="AG207" s="171"/>
      <c r="AH207" s="183">
        <f>($AK$233*$D$192/5)*5</f>
        <v>27176.875</v>
      </c>
      <c r="AI207" s="183">
        <f>($AK$233*$D$192/5)*5</f>
        <v>27176.875</v>
      </c>
      <c r="AJ207" s="183">
        <f>($AK$233*$D$192/5)*5</f>
        <v>27176.875</v>
      </c>
      <c r="AK207" s="241">
        <f>($AK$233*$D$192/5)*5</f>
        <v>27176.875</v>
      </c>
      <c r="AL207" s="196">
        <f>SUM(I207:AK207)</f>
        <v>217415</v>
      </c>
      <c r="AM207" s="190"/>
      <c r="AN207" s="190"/>
      <c r="AO207" s="190"/>
      <c r="AP207" s="190"/>
      <c r="AQ207" s="346"/>
      <c r="AR207" s="346"/>
      <c r="AS207" s="346"/>
      <c r="AT207" s="346"/>
      <c r="AU207" s="212"/>
      <c r="AV207" s="346"/>
    </row>
    <row r="208" spans="1:48" hidden="1">
      <c r="A208" s="273"/>
      <c r="B208" s="283"/>
      <c r="C208" s="303"/>
      <c r="D208" s="309"/>
      <c r="E208" s="216"/>
      <c r="F208" s="335"/>
      <c r="G208" s="154"/>
      <c r="H208" s="57" t="s">
        <v>15</v>
      </c>
      <c r="I208" s="218"/>
      <c r="J208" s="218"/>
      <c r="K208" s="218"/>
      <c r="L208" s="171"/>
      <c r="M208" s="218"/>
      <c r="N208" s="218"/>
      <c r="O208" s="218"/>
      <c r="P208" s="171"/>
      <c r="Q208" s="171"/>
      <c r="R208" s="171"/>
      <c r="S208" s="171"/>
      <c r="T208" s="218"/>
      <c r="U208" s="218"/>
      <c r="V208" s="171"/>
      <c r="W208" s="218"/>
      <c r="X208" s="218"/>
      <c r="Y208" s="218"/>
      <c r="Z208" s="171"/>
      <c r="AA208" s="218"/>
      <c r="AB208" s="218"/>
      <c r="AC208" s="218"/>
      <c r="AD208" s="218"/>
      <c r="AE208" s="218"/>
      <c r="AF208" s="218"/>
      <c r="AG208" s="171"/>
      <c r="AH208" s="218"/>
      <c r="AI208" s="218"/>
      <c r="AJ208" s="218"/>
      <c r="AK208" s="242"/>
      <c r="AL208" s="192">
        <f>SUM(I208:AK208)</f>
        <v>0</v>
      </c>
      <c r="AM208" s="190"/>
      <c r="AN208" s="190"/>
      <c r="AO208" s="190"/>
      <c r="AP208" s="190"/>
      <c r="AQ208" s="346"/>
      <c r="AR208" s="346"/>
      <c r="AS208" s="346"/>
      <c r="AT208" s="346"/>
      <c r="AU208" s="212"/>
      <c r="AV208" s="346"/>
    </row>
    <row r="209" spans="1:48" hidden="1">
      <c r="A209" s="273"/>
      <c r="B209" s="283"/>
      <c r="C209" s="303"/>
      <c r="D209" s="309"/>
      <c r="E209" s="216"/>
      <c r="F209" s="335"/>
      <c r="G209" s="154" t="s">
        <v>99</v>
      </c>
      <c r="H209" s="62" t="s">
        <v>100</v>
      </c>
      <c r="I209" s="183"/>
      <c r="J209" s="183"/>
      <c r="K209" s="183"/>
      <c r="L209" s="171"/>
      <c r="M209" s="183"/>
      <c r="N209" s="183"/>
      <c r="O209" s="183"/>
      <c r="P209" s="171"/>
      <c r="Q209" s="171"/>
      <c r="R209" s="171"/>
      <c r="S209" s="171"/>
      <c r="T209" s="183"/>
      <c r="U209" s="183"/>
      <c r="V209" s="171"/>
      <c r="W209" s="183"/>
      <c r="X209" s="183"/>
      <c r="Y209" s="183"/>
      <c r="Z209" s="171"/>
      <c r="AA209" s="183"/>
      <c r="AB209" s="183"/>
      <c r="AC209" s="183">
        <f>($AK$233*$D$192/5)*5</f>
        <v>27176.875</v>
      </c>
      <c r="AD209" s="183">
        <f>($AK$233*$D$192/5)*5</f>
        <v>27176.875</v>
      </c>
      <c r="AE209" s="183">
        <f>($AK$233*$D$192/5)*5</f>
        <v>27176.875</v>
      </c>
      <c r="AF209" s="183">
        <f>($AK$233*$D$192/5)*5</f>
        <v>27176.875</v>
      </c>
      <c r="AG209" s="171"/>
      <c r="AH209" s="183">
        <f>($AK$233*$D$192/5)*5</f>
        <v>27176.875</v>
      </c>
      <c r="AI209" s="183">
        <f>($AK$233*$D$192/5)*5</f>
        <v>27176.875</v>
      </c>
      <c r="AJ209" s="183">
        <f>($AK$233*$D$192/5)*5</f>
        <v>27176.875</v>
      </c>
      <c r="AK209" s="241">
        <f>($AK$233*$D$192/5)*5</f>
        <v>27176.875</v>
      </c>
      <c r="AL209" s="196">
        <f>SUM(I209:AK209)</f>
        <v>217415</v>
      </c>
      <c r="AM209" s="190"/>
      <c r="AN209" s="190"/>
      <c r="AO209" s="190"/>
      <c r="AP209" s="190"/>
      <c r="AQ209" s="346"/>
      <c r="AR209" s="346"/>
      <c r="AS209" s="346"/>
      <c r="AT209" s="346"/>
      <c r="AU209" s="212"/>
      <c r="AV209" s="346"/>
    </row>
    <row r="210" spans="1:48" hidden="1">
      <c r="A210" s="273"/>
      <c r="B210" s="283"/>
      <c r="C210" s="303"/>
      <c r="D210" s="309"/>
      <c r="E210" s="216"/>
      <c r="F210" s="335"/>
      <c r="G210" s="154"/>
      <c r="H210" s="62" t="s">
        <v>101</v>
      </c>
      <c r="I210" s="170"/>
      <c r="J210" s="170"/>
      <c r="K210" s="170"/>
      <c r="L210" s="171"/>
      <c r="M210" s="170"/>
      <c r="N210" s="170"/>
      <c r="O210" s="170"/>
      <c r="P210" s="171"/>
      <c r="Q210" s="171"/>
      <c r="R210" s="171"/>
      <c r="S210" s="171"/>
      <c r="T210" s="170"/>
      <c r="U210" s="170"/>
      <c r="V210" s="171"/>
      <c r="W210" s="170"/>
      <c r="X210" s="170"/>
      <c r="Y210" s="170"/>
      <c r="Z210" s="171"/>
      <c r="AA210" s="170"/>
      <c r="AB210" s="170"/>
      <c r="AC210" s="170">
        <v>1</v>
      </c>
      <c r="AD210" s="170">
        <v>1</v>
      </c>
      <c r="AE210" s="170">
        <v>1</v>
      </c>
      <c r="AF210" s="170">
        <v>1</v>
      </c>
      <c r="AG210" s="171"/>
      <c r="AH210" s="170">
        <v>1</v>
      </c>
      <c r="AI210" s="170">
        <v>1</v>
      </c>
      <c r="AJ210" s="170">
        <v>1</v>
      </c>
      <c r="AK210" s="195">
        <v>1</v>
      </c>
      <c r="AL210" s="196"/>
      <c r="AM210" s="190"/>
      <c r="AN210" s="190"/>
      <c r="AO210" s="190"/>
      <c r="AP210" s="190"/>
      <c r="AQ210" s="346"/>
      <c r="AR210" s="346"/>
      <c r="AS210" s="346"/>
      <c r="AT210" s="346"/>
      <c r="AU210" s="212"/>
      <c r="AV210" s="346"/>
    </row>
    <row r="211" spans="1:48" hidden="1">
      <c r="A211" s="273"/>
      <c r="B211" s="283"/>
      <c r="C211" s="303"/>
      <c r="D211" s="309"/>
      <c r="E211" s="216"/>
      <c r="F211" s="335"/>
      <c r="G211" s="154"/>
      <c r="H211" s="57" t="s">
        <v>15</v>
      </c>
      <c r="I211" s="172"/>
      <c r="J211" s="172"/>
      <c r="K211" s="172"/>
      <c r="L211" s="171"/>
      <c r="M211" s="172"/>
      <c r="N211" s="172"/>
      <c r="O211" s="172"/>
      <c r="P211" s="171"/>
      <c r="Q211" s="171"/>
      <c r="R211" s="171"/>
      <c r="S211" s="171"/>
      <c r="T211" s="172"/>
      <c r="U211" s="172"/>
      <c r="V211" s="171"/>
      <c r="W211" s="172"/>
      <c r="X211" s="172"/>
      <c r="Y211" s="172"/>
      <c r="Z211" s="171"/>
      <c r="AA211" s="172"/>
      <c r="AB211" s="172"/>
      <c r="AC211" s="172"/>
      <c r="AD211" s="172"/>
      <c r="AE211" s="172"/>
      <c r="AF211" s="172"/>
      <c r="AG211" s="171"/>
      <c r="AH211" s="172"/>
      <c r="AI211" s="172"/>
      <c r="AJ211" s="172"/>
      <c r="AK211" s="197"/>
      <c r="AL211" s="192">
        <f t="shared" ref="AL211:AL218" si="39">SUM(I211:AK211)</f>
        <v>0</v>
      </c>
      <c r="AM211" s="190"/>
      <c r="AN211" s="190"/>
      <c r="AO211" s="190"/>
      <c r="AP211" s="346"/>
      <c r="AQ211" s="346"/>
      <c r="AR211" s="346"/>
      <c r="AS211" s="346"/>
      <c r="AT211" s="346"/>
      <c r="AU211" s="212"/>
      <c r="AV211" s="346"/>
    </row>
    <row r="212" spans="1:48" hidden="1">
      <c r="A212" s="273"/>
      <c r="B212" s="283"/>
      <c r="C212" s="303"/>
      <c r="D212" s="309"/>
      <c r="E212" s="216"/>
      <c r="F212" s="335"/>
      <c r="G212" s="154" t="s">
        <v>23</v>
      </c>
      <c r="H212" s="62" t="s">
        <v>24</v>
      </c>
      <c r="I212" s="183"/>
      <c r="J212" s="183"/>
      <c r="K212" s="183"/>
      <c r="L212" s="171"/>
      <c r="M212" s="183"/>
      <c r="N212" s="183"/>
      <c r="O212" s="183"/>
      <c r="P212" s="171"/>
      <c r="Q212" s="171"/>
      <c r="R212" s="171"/>
      <c r="S212" s="171"/>
      <c r="T212" s="183"/>
      <c r="U212" s="183"/>
      <c r="V212" s="171"/>
      <c r="W212" s="183"/>
      <c r="X212" s="183"/>
      <c r="Y212" s="183"/>
      <c r="Z212" s="171"/>
      <c r="AA212" s="183"/>
      <c r="AB212" s="183"/>
      <c r="AC212" s="183">
        <f>$AK$233*$D$192/5</f>
        <v>5435.375</v>
      </c>
      <c r="AD212" s="183">
        <f>$AK$233*$D$192/5</f>
        <v>5435.375</v>
      </c>
      <c r="AE212" s="183">
        <f>$AK$233*$D$192/5</f>
        <v>5435.375</v>
      </c>
      <c r="AF212" s="183">
        <f>$AK$233*$D$192/5</f>
        <v>5435.375</v>
      </c>
      <c r="AG212" s="171"/>
      <c r="AH212" s="183">
        <f>$AK$233*$D$192/5</f>
        <v>5435.375</v>
      </c>
      <c r="AI212" s="183">
        <f>$AK$233*$D$192/5</f>
        <v>5435.375</v>
      </c>
      <c r="AJ212" s="183">
        <f>$AK$233*$D$192/5</f>
        <v>5435.375</v>
      </c>
      <c r="AK212" s="241">
        <f>$AK$233*$D$192/5</f>
        <v>5435.375</v>
      </c>
      <c r="AL212" s="196">
        <f t="shared" si="39"/>
        <v>43483</v>
      </c>
      <c r="AM212" s="190"/>
      <c r="AN212" s="190"/>
      <c r="AO212" s="190"/>
      <c r="AP212" s="346"/>
      <c r="AQ212" s="346"/>
      <c r="AR212" s="346"/>
      <c r="AS212" s="346"/>
      <c r="AT212" s="346"/>
      <c r="AU212" s="212"/>
      <c r="AV212" s="346"/>
    </row>
    <row r="213" spans="1:48" hidden="1">
      <c r="A213" s="273"/>
      <c r="B213" s="283"/>
      <c r="C213" s="303"/>
      <c r="D213" s="309"/>
      <c r="E213" s="216"/>
      <c r="F213" s="335"/>
      <c r="G213" s="154"/>
      <c r="H213" s="57" t="s">
        <v>15</v>
      </c>
      <c r="I213" s="218"/>
      <c r="J213" s="218"/>
      <c r="K213" s="218"/>
      <c r="L213" s="171"/>
      <c r="M213" s="218"/>
      <c r="N213" s="218"/>
      <c r="O213" s="218"/>
      <c r="P213" s="171"/>
      <c r="Q213" s="171"/>
      <c r="R213" s="171"/>
      <c r="S213" s="171"/>
      <c r="T213" s="218"/>
      <c r="U213" s="218"/>
      <c r="V213" s="171"/>
      <c r="W213" s="218"/>
      <c r="X213" s="218"/>
      <c r="Y213" s="218"/>
      <c r="Z213" s="171"/>
      <c r="AA213" s="218"/>
      <c r="AB213" s="218"/>
      <c r="AC213" s="218"/>
      <c r="AD213" s="218"/>
      <c r="AE213" s="218"/>
      <c r="AF213" s="218"/>
      <c r="AG213" s="171"/>
      <c r="AH213" s="218"/>
      <c r="AI213" s="218"/>
      <c r="AJ213" s="218"/>
      <c r="AK213" s="242"/>
      <c r="AL213" s="192">
        <f t="shared" si="39"/>
        <v>0</v>
      </c>
      <c r="AM213" s="190"/>
      <c r="AN213" s="190"/>
      <c r="AO213" s="190"/>
      <c r="AP213" s="190"/>
      <c r="AQ213" s="190"/>
      <c r="AR213" s="190"/>
      <c r="AS213" s="346"/>
      <c r="AT213" s="346"/>
      <c r="AU213" s="212"/>
      <c r="AV213" s="346"/>
    </row>
    <row r="214" spans="1:48" hidden="1">
      <c r="A214" s="273"/>
      <c r="B214" s="283"/>
      <c r="C214" s="303"/>
      <c r="D214" s="309"/>
      <c r="E214" s="216"/>
      <c r="F214" s="335"/>
      <c r="G214" s="154" t="s">
        <v>39</v>
      </c>
      <c r="H214" s="62" t="s">
        <v>40</v>
      </c>
      <c r="I214" s="183"/>
      <c r="J214" s="183"/>
      <c r="K214" s="183"/>
      <c r="L214" s="171"/>
      <c r="M214" s="183"/>
      <c r="N214" s="183"/>
      <c r="O214" s="183"/>
      <c r="P214" s="171"/>
      <c r="Q214" s="171"/>
      <c r="R214" s="171"/>
      <c r="S214" s="171"/>
      <c r="T214" s="183"/>
      <c r="U214" s="183"/>
      <c r="V214" s="171"/>
      <c r="W214" s="183"/>
      <c r="X214" s="183"/>
      <c r="Y214" s="183"/>
      <c r="Z214" s="171"/>
      <c r="AA214" s="183"/>
      <c r="AB214" s="183"/>
      <c r="AC214" s="183">
        <f>$AK$233*$D$192/5</f>
        <v>5435.375</v>
      </c>
      <c r="AD214" s="183">
        <f>$AK$233*$D$192/5</f>
        <v>5435.375</v>
      </c>
      <c r="AE214" s="183">
        <f>$AK$233*$D$192/5</f>
        <v>5435.375</v>
      </c>
      <c r="AF214" s="183">
        <f>$AK$233*$D$192/5</f>
        <v>5435.375</v>
      </c>
      <c r="AG214" s="171"/>
      <c r="AH214" s="183">
        <f>$AK$233*$D$192/5</f>
        <v>5435.375</v>
      </c>
      <c r="AI214" s="183">
        <f>$AK$233*$D$192/5</f>
        <v>5435.375</v>
      </c>
      <c r="AJ214" s="183">
        <f>$AK$233*$D$192/5</f>
        <v>5435.375</v>
      </c>
      <c r="AK214" s="241">
        <f>$AK$233*$D$192/5</f>
        <v>5435.375</v>
      </c>
      <c r="AL214" s="196">
        <f t="shared" si="39"/>
        <v>43483</v>
      </c>
      <c r="AM214" s="190"/>
      <c r="AN214" s="190"/>
      <c r="AO214" s="190"/>
      <c r="AP214" s="346"/>
      <c r="AQ214" s="190"/>
      <c r="AR214" s="190"/>
      <c r="AS214" s="346"/>
      <c r="AT214" s="346"/>
      <c r="AU214" s="212"/>
      <c r="AV214" s="346"/>
    </row>
    <row r="215" spans="1:48" hidden="1">
      <c r="A215" s="273"/>
      <c r="B215" s="283"/>
      <c r="C215" s="303"/>
      <c r="D215" s="309"/>
      <c r="E215" s="216"/>
      <c r="F215" s="335"/>
      <c r="G215" s="154"/>
      <c r="H215" s="57" t="s">
        <v>15</v>
      </c>
      <c r="I215" s="218"/>
      <c r="J215" s="218"/>
      <c r="K215" s="218"/>
      <c r="L215" s="171"/>
      <c r="M215" s="218"/>
      <c r="N215" s="218"/>
      <c r="O215" s="218"/>
      <c r="P215" s="171"/>
      <c r="Q215" s="171"/>
      <c r="R215" s="171"/>
      <c r="S215" s="171"/>
      <c r="T215" s="218"/>
      <c r="U215" s="218"/>
      <c r="V215" s="171"/>
      <c r="W215" s="218"/>
      <c r="X215" s="218"/>
      <c r="Y215" s="218"/>
      <c r="Z215" s="171"/>
      <c r="AA215" s="218"/>
      <c r="AB215" s="218"/>
      <c r="AC215" s="218"/>
      <c r="AD215" s="218"/>
      <c r="AE215" s="218"/>
      <c r="AF215" s="218"/>
      <c r="AG215" s="171"/>
      <c r="AH215" s="218"/>
      <c r="AI215" s="218"/>
      <c r="AJ215" s="218"/>
      <c r="AK215" s="242"/>
      <c r="AL215" s="192">
        <f t="shared" si="39"/>
        <v>0</v>
      </c>
      <c r="AM215" s="190"/>
      <c r="AN215" s="190"/>
      <c r="AO215" s="190"/>
      <c r="AP215" s="346"/>
      <c r="AQ215" s="190"/>
      <c r="AR215" s="190"/>
      <c r="AS215" s="346"/>
      <c r="AT215" s="346"/>
      <c r="AU215" s="212"/>
      <c r="AV215" s="346"/>
    </row>
    <row r="216" spans="1:48" hidden="1">
      <c r="A216" s="273"/>
      <c r="B216" s="283"/>
      <c r="C216" s="303"/>
      <c r="D216" s="309"/>
      <c r="E216" s="216"/>
      <c r="F216" s="335"/>
      <c r="G216" s="154" t="s">
        <v>102</v>
      </c>
      <c r="H216" s="62" t="s">
        <v>103</v>
      </c>
      <c r="I216" s="183"/>
      <c r="J216" s="183"/>
      <c r="K216" s="183"/>
      <c r="L216" s="171"/>
      <c r="M216" s="183"/>
      <c r="N216" s="183"/>
      <c r="O216" s="183"/>
      <c r="P216" s="171"/>
      <c r="Q216" s="171"/>
      <c r="R216" s="171"/>
      <c r="S216" s="171"/>
      <c r="T216" s="183"/>
      <c r="U216" s="183"/>
      <c r="V216" s="171"/>
      <c r="W216" s="183"/>
      <c r="X216" s="183"/>
      <c r="Y216" s="183"/>
      <c r="Z216" s="171"/>
      <c r="AA216" s="183"/>
      <c r="AB216" s="183"/>
      <c r="AC216" s="183">
        <f>$AK$233*$D$192/5</f>
        <v>5435.375</v>
      </c>
      <c r="AD216" s="183">
        <f>$AK$233*$D$192/5</f>
        <v>5435.375</v>
      </c>
      <c r="AE216" s="183">
        <f>$AK$233*$D$192/5</f>
        <v>5435.375</v>
      </c>
      <c r="AF216" s="183">
        <f>$AK$233*$D$192/5</f>
        <v>5435.375</v>
      </c>
      <c r="AG216" s="171"/>
      <c r="AH216" s="183">
        <f>$AK$233*$D$192/5</f>
        <v>5435.375</v>
      </c>
      <c r="AI216" s="183">
        <f>$AK$233*$D$192/5</f>
        <v>5435.375</v>
      </c>
      <c r="AJ216" s="183">
        <f>$AK$233*$D$192/5</f>
        <v>5435.375</v>
      </c>
      <c r="AK216" s="241">
        <f>$AK$233*$D$192/5</f>
        <v>5435.375</v>
      </c>
      <c r="AL216" s="196">
        <f t="shared" si="39"/>
        <v>43483</v>
      </c>
      <c r="AM216" s="190"/>
      <c r="AN216" s="190"/>
      <c r="AO216" s="190"/>
      <c r="AP216" s="346"/>
      <c r="AQ216" s="190"/>
      <c r="AR216" s="190"/>
      <c r="AS216" s="346"/>
      <c r="AT216" s="346"/>
      <c r="AU216" s="212"/>
      <c r="AV216" s="346"/>
    </row>
    <row r="217" spans="1:48" hidden="1">
      <c r="A217" s="273"/>
      <c r="B217" s="283"/>
      <c r="C217" s="303"/>
      <c r="D217" s="309"/>
      <c r="E217" s="216"/>
      <c r="F217" s="335"/>
      <c r="G217" s="154"/>
      <c r="H217" s="57" t="s">
        <v>15</v>
      </c>
      <c r="I217" s="218"/>
      <c r="J217" s="218"/>
      <c r="K217" s="218"/>
      <c r="L217" s="171"/>
      <c r="M217" s="218"/>
      <c r="N217" s="218"/>
      <c r="O217" s="218"/>
      <c r="P217" s="171"/>
      <c r="Q217" s="171"/>
      <c r="R217" s="171"/>
      <c r="S217" s="171"/>
      <c r="T217" s="218"/>
      <c r="U217" s="218"/>
      <c r="V217" s="171"/>
      <c r="W217" s="218"/>
      <c r="X217" s="218"/>
      <c r="Y217" s="218"/>
      <c r="Z217" s="171"/>
      <c r="AA217" s="218"/>
      <c r="AB217" s="218"/>
      <c r="AC217" s="218"/>
      <c r="AD217" s="218"/>
      <c r="AE217" s="218"/>
      <c r="AF217" s="218"/>
      <c r="AG217" s="171"/>
      <c r="AH217" s="218"/>
      <c r="AI217" s="218"/>
      <c r="AJ217" s="218"/>
      <c r="AK217" s="242"/>
      <c r="AL217" s="192">
        <f t="shared" si="39"/>
        <v>0</v>
      </c>
      <c r="AM217" s="190"/>
      <c r="AN217" s="190"/>
      <c r="AO217" s="190"/>
      <c r="AP217" s="346"/>
      <c r="AQ217" s="190"/>
      <c r="AR217" s="190"/>
      <c r="AS217" s="346"/>
      <c r="AT217" s="346"/>
      <c r="AU217" s="212"/>
      <c r="AV217" s="346"/>
    </row>
    <row r="218" spans="1:48" hidden="1">
      <c r="A218" s="273"/>
      <c r="B218" s="283"/>
      <c r="C218" s="303"/>
      <c r="D218" s="309"/>
      <c r="E218" s="216"/>
      <c r="F218" s="335"/>
      <c r="G218" s="154" t="s">
        <v>28</v>
      </c>
      <c r="H218" s="62" t="s">
        <v>29</v>
      </c>
      <c r="I218" s="183"/>
      <c r="J218" s="183"/>
      <c r="K218" s="183"/>
      <c r="L218" s="171"/>
      <c r="M218" s="183"/>
      <c r="N218" s="183"/>
      <c r="O218" s="183"/>
      <c r="P218" s="171"/>
      <c r="Q218" s="171"/>
      <c r="R218" s="171"/>
      <c r="S218" s="171"/>
      <c r="T218" s="183"/>
      <c r="U218" s="183"/>
      <c r="V218" s="171"/>
      <c r="W218" s="183"/>
      <c r="X218" s="183"/>
      <c r="Y218" s="183"/>
      <c r="Z218" s="171"/>
      <c r="AA218" s="183"/>
      <c r="AB218" s="183"/>
      <c r="AC218" s="183">
        <f>$AK$233*$D$192/5</f>
        <v>5435.375</v>
      </c>
      <c r="AD218" s="183">
        <f>$AK$233*$D$192/5</f>
        <v>5435.375</v>
      </c>
      <c r="AE218" s="183">
        <f>$AK$233*$D$192/5</f>
        <v>5435.375</v>
      </c>
      <c r="AF218" s="183">
        <f>$AK$233*$D$192/5</f>
        <v>5435.375</v>
      </c>
      <c r="AG218" s="171"/>
      <c r="AH218" s="183">
        <f>$AK$233*$D$192/5</f>
        <v>5435.375</v>
      </c>
      <c r="AI218" s="183">
        <f>$AK$233*$D$192/5</f>
        <v>5435.375</v>
      </c>
      <c r="AJ218" s="183">
        <f>$AK$233*$D$192/5</f>
        <v>5435.375</v>
      </c>
      <c r="AK218" s="241">
        <f>$AK$233*$D$192/5</f>
        <v>5435.375</v>
      </c>
      <c r="AL218" s="196">
        <f t="shared" si="39"/>
        <v>43483</v>
      </c>
      <c r="AM218" s="190"/>
      <c r="AN218" s="190"/>
      <c r="AO218" s="190"/>
      <c r="AP218" s="346"/>
      <c r="AQ218" s="190"/>
      <c r="AR218" s="190"/>
      <c r="AS218" s="346"/>
      <c r="AT218" s="346"/>
      <c r="AU218" s="212"/>
      <c r="AV218" s="346"/>
    </row>
    <row r="219" spans="1:48" hidden="1">
      <c r="A219" s="273"/>
      <c r="B219" s="283"/>
      <c r="C219" s="303"/>
      <c r="D219" s="309"/>
      <c r="E219" s="216"/>
      <c r="F219" s="335"/>
      <c r="G219" s="154"/>
      <c r="H219" s="62" t="s">
        <v>27</v>
      </c>
      <c r="I219" s="237"/>
      <c r="J219" s="237"/>
      <c r="K219" s="237"/>
      <c r="L219" s="182"/>
      <c r="M219" s="237"/>
      <c r="N219" s="237"/>
      <c r="O219" s="237"/>
      <c r="P219" s="182"/>
      <c r="Q219" s="182"/>
      <c r="R219" s="182"/>
      <c r="S219" s="182"/>
      <c r="T219" s="237"/>
      <c r="U219" s="237"/>
      <c r="V219" s="182"/>
      <c r="W219" s="237"/>
      <c r="X219" s="237"/>
      <c r="Y219" s="237"/>
      <c r="Z219" s="182"/>
      <c r="AA219" s="237"/>
      <c r="AB219" s="237"/>
      <c r="AC219" s="237">
        <v>1</v>
      </c>
      <c r="AD219" s="237">
        <v>1</v>
      </c>
      <c r="AE219" s="237">
        <v>1</v>
      </c>
      <c r="AF219" s="237">
        <v>1</v>
      </c>
      <c r="AG219" s="182"/>
      <c r="AH219" s="237">
        <v>1</v>
      </c>
      <c r="AI219" s="237">
        <v>1</v>
      </c>
      <c r="AJ219" s="237">
        <v>1</v>
      </c>
      <c r="AK219" s="243">
        <v>1</v>
      </c>
      <c r="AL219" s="196"/>
      <c r="AM219" s="190"/>
      <c r="AN219" s="190"/>
      <c r="AO219" s="190"/>
      <c r="AP219" s="346"/>
      <c r="AQ219" s="190"/>
      <c r="AR219" s="190"/>
      <c r="AS219" s="346"/>
      <c r="AT219" s="346"/>
      <c r="AU219" s="212"/>
      <c r="AV219" s="346"/>
    </row>
    <row r="220" spans="1:48" hidden="1">
      <c r="A220" s="273"/>
      <c r="B220" s="283"/>
      <c r="C220" s="303"/>
      <c r="D220" s="309"/>
      <c r="E220" s="216"/>
      <c r="F220" s="335"/>
      <c r="G220" s="154"/>
      <c r="H220" s="57" t="s">
        <v>15</v>
      </c>
      <c r="I220" s="180"/>
      <c r="J220" s="180"/>
      <c r="K220" s="180"/>
      <c r="L220" s="182"/>
      <c r="M220" s="180"/>
      <c r="N220" s="180"/>
      <c r="O220" s="180"/>
      <c r="P220" s="182"/>
      <c r="Q220" s="182"/>
      <c r="R220" s="182"/>
      <c r="S220" s="182"/>
      <c r="T220" s="180"/>
      <c r="U220" s="180"/>
      <c r="V220" s="182"/>
      <c r="W220" s="180"/>
      <c r="X220" s="180"/>
      <c r="Y220" s="180"/>
      <c r="Z220" s="182"/>
      <c r="AA220" s="180"/>
      <c r="AB220" s="180"/>
      <c r="AC220" s="180"/>
      <c r="AD220" s="180"/>
      <c r="AE220" s="180"/>
      <c r="AF220" s="180"/>
      <c r="AG220" s="182"/>
      <c r="AH220" s="180"/>
      <c r="AI220" s="180"/>
      <c r="AJ220" s="180"/>
      <c r="AK220" s="208"/>
      <c r="AL220" s="192">
        <f>SUM(I220:AK220)</f>
        <v>0</v>
      </c>
      <c r="AM220" s="190"/>
      <c r="AN220" s="190"/>
      <c r="AO220" s="190"/>
      <c r="AP220" s="346"/>
      <c r="AQ220" s="190"/>
      <c r="AR220" s="190"/>
      <c r="AS220" s="346"/>
      <c r="AT220" s="346"/>
      <c r="AU220" s="212"/>
      <c r="AV220" s="346"/>
    </row>
    <row r="221" spans="1:48" hidden="1">
      <c r="A221" s="273"/>
      <c r="B221" s="283"/>
      <c r="C221" s="303"/>
      <c r="D221" s="309"/>
      <c r="E221" s="216"/>
      <c r="F221" s="335"/>
      <c r="G221" s="154"/>
      <c r="H221" s="62" t="s">
        <v>104</v>
      </c>
      <c r="I221" s="238"/>
      <c r="J221" s="238"/>
      <c r="K221" s="238"/>
      <c r="L221" s="182"/>
      <c r="M221" s="238"/>
      <c r="N221" s="238"/>
      <c r="O221" s="238"/>
      <c r="P221" s="182"/>
      <c r="Q221" s="182"/>
      <c r="R221" s="182"/>
      <c r="S221" s="182"/>
      <c r="T221" s="238"/>
      <c r="U221" s="238"/>
      <c r="V221" s="182"/>
      <c r="W221" s="238"/>
      <c r="X221" s="238"/>
      <c r="Y221" s="238"/>
      <c r="Z221" s="182"/>
      <c r="AA221" s="238"/>
      <c r="AB221" s="238"/>
      <c r="AC221" s="238">
        <f>($AK$233*$D$192/5)*5</f>
        <v>27176.875</v>
      </c>
      <c r="AD221" s="238">
        <f>($AK$233*$D$192/5)*5</f>
        <v>27176.875</v>
      </c>
      <c r="AE221" s="238">
        <f>($AK$233*$D$192/5)*5</f>
        <v>27176.875</v>
      </c>
      <c r="AF221" s="238">
        <f>($AK$233*$D$192/5)*5</f>
        <v>27176.875</v>
      </c>
      <c r="AG221" s="182"/>
      <c r="AH221" s="238">
        <f>($AK$233*$D$192/5)*5</f>
        <v>27176.875</v>
      </c>
      <c r="AI221" s="238">
        <f>($AK$233*$D$192/5)*5</f>
        <v>27176.875</v>
      </c>
      <c r="AJ221" s="238">
        <f>($AK$233*$D$192/5)*5</f>
        <v>27176.875</v>
      </c>
      <c r="AK221" s="244">
        <f>($AK$233*$D$192/5)*5</f>
        <v>27176.875</v>
      </c>
      <c r="AL221" s="196">
        <f>SUM(I221:AK221)</f>
        <v>217415</v>
      </c>
      <c r="AM221" s="190"/>
      <c r="AN221" s="190"/>
      <c r="AO221" s="190"/>
      <c r="AP221" s="346"/>
      <c r="AQ221" s="190"/>
      <c r="AR221" s="190"/>
      <c r="AS221" s="346"/>
      <c r="AT221" s="346"/>
      <c r="AU221" s="212"/>
      <c r="AV221" s="346"/>
    </row>
    <row r="222" spans="1:48" hidden="1">
      <c r="A222" s="273"/>
      <c r="B222" s="283"/>
      <c r="C222" s="303"/>
      <c r="D222" s="309"/>
      <c r="E222" s="216"/>
      <c r="F222" s="335"/>
      <c r="G222" s="163"/>
      <c r="H222" s="62" t="s">
        <v>105</v>
      </c>
      <c r="I222" s="237"/>
      <c r="J222" s="237"/>
      <c r="K222" s="237"/>
      <c r="L222" s="182"/>
      <c r="M222" s="237"/>
      <c r="N222" s="237"/>
      <c r="O222" s="237"/>
      <c r="P222" s="182"/>
      <c r="Q222" s="182"/>
      <c r="R222" s="182"/>
      <c r="S222" s="182"/>
      <c r="T222" s="237"/>
      <c r="U222" s="237"/>
      <c r="V222" s="182"/>
      <c r="W222" s="237"/>
      <c r="X222" s="237"/>
      <c r="Y222" s="237"/>
      <c r="Z222" s="182"/>
      <c r="AA222" s="237"/>
      <c r="AB222" s="237"/>
      <c r="AC222" s="237">
        <v>2</v>
      </c>
      <c r="AD222" s="237">
        <v>2</v>
      </c>
      <c r="AE222" s="237">
        <v>2</v>
      </c>
      <c r="AF222" s="237">
        <v>2</v>
      </c>
      <c r="AG222" s="182"/>
      <c r="AH222" s="237">
        <v>2</v>
      </c>
      <c r="AI222" s="237">
        <v>2</v>
      </c>
      <c r="AJ222" s="237">
        <v>2</v>
      </c>
      <c r="AK222" s="243">
        <v>2</v>
      </c>
      <c r="AL222" s="196"/>
      <c r="AM222" s="190"/>
      <c r="AN222" s="190"/>
      <c r="AO222" s="190"/>
      <c r="AP222" s="346"/>
      <c r="AQ222" s="190"/>
      <c r="AR222" s="190"/>
      <c r="AS222" s="346"/>
      <c r="AT222" s="346"/>
      <c r="AU222" s="212"/>
      <c r="AV222" s="346"/>
    </row>
    <row r="223" spans="1:48" hidden="1">
      <c r="A223" s="273"/>
      <c r="B223" s="283"/>
      <c r="C223" s="303"/>
      <c r="D223" s="309"/>
      <c r="E223" s="216"/>
      <c r="F223" s="335"/>
      <c r="G223" s="163"/>
      <c r="H223" s="57" t="s">
        <v>15</v>
      </c>
      <c r="I223" s="180"/>
      <c r="J223" s="180"/>
      <c r="K223" s="180"/>
      <c r="L223" s="182"/>
      <c r="M223" s="180"/>
      <c r="N223" s="180"/>
      <c r="O223" s="180"/>
      <c r="P223" s="182"/>
      <c r="Q223" s="182"/>
      <c r="R223" s="182"/>
      <c r="S223" s="182"/>
      <c r="T223" s="180"/>
      <c r="U223" s="180"/>
      <c r="V223" s="182"/>
      <c r="W223" s="180"/>
      <c r="X223" s="180"/>
      <c r="Y223" s="180"/>
      <c r="Z223" s="182"/>
      <c r="AA223" s="180"/>
      <c r="AB223" s="180"/>
      <c r="AC223" s="180"/>
      <c r="AD223" s="180"/>
      <c r="AE223" s="180"/>
      <c r="AF223" s="180"/>
      <c r="AG223" s="182"/>
      <c r="AH223" s="180"/>
      <c r="AI223" s="180"/>
      <c r="AJ223" s="180"/>
      <c r="AK223" s="208"/>
      <c r="AL223" s="192">
        <f>SUM(I223:AK223)</f>
        <v>0</v>
      </c>
      <c r="AM223" s="190"/>
      <c r="AN223" s="190"/>
      <c r="AO223" s="190"/>
      <c r="AP223" s="346"/>
      <c r="AQ223" s="190"/>
      <c r="AR223" s="190"/>
      <c r="AS223" s="346"/>
      <c r="AT223" s="346"/>
      <c r="AU223" s="212"/>
      <c r="AV223" s="346"/>
    </row>
    <row r="224" spans="1:48" hidden="1">
      <c r="A224" s="273"/>
      <c r="B224" s="283"/>
      <c r="C224" s="303"/>
      <c r="D224" s="309"/>
      <c r="E224" s="216"/>
      <c r="F224" s="335"/>
      <c r="G224" s="163"/>
      <c r="H224" s="62" t="s">
        <v>106</v>
      </c>
      <c r="I224" s="238"/>
      <c r="J224" s="238"/>
      <c r="K224" s="238"/>
      <c r="L224" s="182"/>
      <c r="M224" s="238"/>
      <c r="N224" s="238"/>
      <c r="O224" s="238"/>
      <c r="P224" s="182"/>
      <c r="Q224" s="182"/>
      <c r="R224" s="182"/>
      <c r="S224" s="182"/>
      <c r="T224" s="238"/>
      <c r="U224" s="238"/>
      <c r="V224" s="182"/>
      <c r="W224" s="238"/>
      <c r="X224" s="238"/>
      <c r="Y224" s="238"/>
      <c r="Z224" s="182"/>
      <c r="AA224" s="238"/>
      <c r="AB224" s="238"/>
      <c r="AC224" s="238">
        <f>($AK$233*$D$192/5)*5</f>
        <v>27176.875</v>
      </c>
      <c r="AD224" s="238">
        <f>($AK$233*$D$192/5)*5</f>
        <v>27176.875</v>
      </c>
      <c r="AE224" s="238">
        <f>($AK$233*$D$192/5)*5</f>
        <v>27176.875</v>
      </c>
      <c r="AF224" s="238">
        <f>($AK$233*$D$192/5)*5</f>
        <v>27176.875</v>
      </c>
      <c r="AG224" s="182"/>
      <c r="AH224" s="238">
        <f>($AK$233*$D$192/5)*5</f>
        <v>27176.875</v>
      </c>
      <c r="AI224" s="238">
        <f>($AK$233*$D$192/5)*5</f>
        <v>27176.875</v>
      </c>
      <c r="AJ224" s="238">
        <f>($AK$233*$D$192/5)*5</f>
        <v>27176.875</v>
      </c>
      <c r="AK224" s="244">
        <f>($AK$233*$D$192/5)*5</f>
        <v>27176.875</v>
      </c>
      <c r="AL224" s="196">
        <f>SUM(I224:AK224)</f>
        <v>217415</v>
      </c>
      <c r="AM224" s="190"/>
      <c r="AN224" s="190"/>
      <c r="AO224" s="190"/>
      <c r="AP224" s="346"/>
      <c r="AQ224" s="190"/>
      <c r="AR224" s="190"/>
      <c r="AS224" s="346"/>
      <c r="AT224" s="346"/>
      <c r="AU224" s="212"/>
      <c r="AV224" s="346"/>
    </row>
    <row r="225" spans="1:48" hidden="1">
      <c r="A225" s="273"/>
      <c r="B225" s="283"/>
      <c r="C225" s="303"/>
      <c r="D225" s="309"/>
      <c r="E225" s="216"/>
      <c r="F225" s="335"/>
      <c r="G225" s="163"/>
      <c r="H225" s="62" t="s">
        <v>107</v>
      </c>
      <c r="I225" s="237"/>
      <c r="J225" s="237"/>
      <c r="K225" s="237"/>
      <c r="L225" s="182"/>
      <c r="M225" s="237"/>
      <c r="N225" s="237"/>
      <c r="O225" s="237"/>
      <c r="P225" s="182"/>
      <c r="Q225" s="182"/>
      <c r="R225" s="182"/>
      <c r="S225" s="182"/>
      <c r="T225" s="237"/>
      <c r="U225" s="237"/>
      <c r="V225" s="182"/>
      <c r="W225" s="237"/>
      <c r="X225" s="237"/>
      <c r="Y225" s="237"/>
      <c r="Z225" s="182"/>
      <c r="AA225" s="237"/>
      <c r="AB225" s="237"/>
      <c r="AC225" s="237">
        <v>5</v>
      </c>
      <c r="AD225" s="237">
        <v>5</v>
      </c>
      <c r="AE225" s="237">
        <v>5</v>
      </c>
      <c r="AF225" s="237">
        <v>5</v>
      </c>
      <c r="AG225" s="182"/>
      <c r="AH225" s="237">
        <v>5</v>
      </c>
      <c r="AI225" s="237">
        <v>5</v>
      </c>
      <c r="AJ225" s="237">
        <v>5</v>
      </c>
      <c r="AK225" s="243">
        <v>5</v>
      </c>
      <c r="AL225" s="196"/>
      <c r="AM225" s="190"/>
      <c r="AN225" s="190"/>
      <c r="AO225" s="190"/>
      <c r="AP225" s="346"/>
      <c r="AQ225" s="190"/>
      <c r="AR225" s="190"/>
      <c r="AS225" s="346"/>
      <c r="AT225" s="346"/>
      <c r="AU225" s="212"/>
      <c r="AV225" s="346"/>
    </row>
    <row r="226" spans="1:48" hidden="1">
      <c r="A226" s="273"/>
      <c r="B226" s="283"/>
      <c r="C226" s="303"/>
      <c r="D226" s="309"/>
      <c r="E226" s="216"/>
      <c r="F226" s="335"/>
      <c r="G226" s="163"/>
      <c r="H226" s="57" t="s">
        <v>15</v>
      </c>
      <c r="I226" s="180"/>
      <c r="J226" s="180"/>
      <c r="K226" s="180"/>
      <c r="L226" s="182"/>
      <c r="M226" s="180"/>
      <c r="N226" s="180"/>
      <c r="O226" s="180"/>
      <c r="P226" s="182"/>
      <c r="Q226" s="182"/>
      <c r="R226" s="182"/>
      <c r="S226" s="182"/>
      <c r="T226" s="180"/>
      <c r="U226" s="180"/>
      <c r="V226" s="182"/>
      <c r="W226" s="180"/>
      <c r="X226" s="180"/>
      <c r="Y226" s="180"/>
      <c r="Z226" s="182"/>
      <c r="AA226" s="180"/>
      <c r="AB226" s="180"/>
      <c r="AC226" s="180"/>
      <c r="AD226" s="180"/>
      <c r="AE226" s="180"/>
      <c r="AF226" s="180"/>
      <c r="AG226" s="182"/>
      <c r="AH226" s="180"/>
      <c r="AI226" s="180"/>
      <c r="AJ226" s="180"/>
      <c r="AK226" s="208"/>
      <c r="AL226" s="192">
        <f>SUM(I226:AK226)</f>
        <v>0</v>
      </c>
      <c r="AM226" s="190"/>
      <c r="AN226" s="190"/>
      <c r="AO226" s="190"/>
      <c r="AP226" s="346"/>
      <c r="AQ226" s="190"/>
      <c r="AR226" s="190"/>
      <c r="AS226" s="346"/>
      <c r="AT226" s="346"/>
      <c r="AU226" s="212"/>
      <c r="AV226" s="346"/>
    </row>
    <row r="227" spans="1:48" hidden="1">
      <c r="A227" s="273"/>
      <c r="B227" s="283"/>
      <c r="C227" s="303"/>
      <c r="D227" s="309"/>
      <c r="E227" s="216"/>
      <c r="F227" s="335"/>
      <c r="G227" s="163"/>
      <c r="H227" s="62" t="s">
        <v>108</v>
      </c>
      <c r="I227" s="238"/>
      <c r="J227" s="238"/>
      <c r="K227" s="238"/>
      <c r="L227" s="182"/>
      <c r="M227" s="238"/>
      <c r="N227" s="238"/>
      <c r="O227" s="238"/>
      <c r="P227" s="182"/>
      <c r="Q227" s="182"/>
      <c r="R227" s="182"/>
      <c r="S227" s="182"/>
      <c r="T227" s="238"/>
      <c r="U227" s="238"/>
      <c r="V227" s="182"/>
      <c r="W227" s="238"/>
      <c r="X227" s="238"/>
      <c r="Y227" s="238"/>
      <c r="Z227" s="182"/>
      <c r="AA227" s="238"/>
      <c r="AB227" s="238"/>
      <c r="AC227" s="238">
        <f>$AK$233*$D$192/5</f>
        <v>5435.375</v>
      </c>
      <c r="AD227" s="238">
        <f>$AK$233*$D$192/5</f>
        <v>5435.375</v>
      </c>
      <c r="AE227" s="238">
        <f>$AK$233*$D$192/5</f>
        <v>5435.375</v>
      </c>
      <c r="AF227" s="238">
        <f>$AK$233*$D$192/5</f>
        <v>5435.375</v>
      </c>
      <c r="AG227" s="182"/>
      <c r="AH227" s="238">
        <f>$AK$233*$D$192/5</f>
        <v>5435.375</v>
      </c>
      <c r="AI227" s="238">
        <f>$AK$233*$D$192/5</f>
        <v>5435.375</v>
      </c>
      <c r="AJ227" s="238">
        <f>$AK$233*$D$192/5</f>
        <v>5435.375</v>
      </c>
      <c r="AK227" s="244">
        <f>$AK$233*$D$192/5</f>
        <v>5435.375</v>
      </c>
      <c r="AL227" s="196">
        <f>SUM(I227:AK227)</f>
        <v>43483</v>
      </c>
      <c r="AM227" s="190"/>
      <c r="AN227" s="190"/>
      <c r="AO227" s="190"/>
      <c r="AP227" s="346"/>
      <c r="AQ227" s="190"/>
      <c r="AR227" s="190"/>
      <c r="AS227" s="346"/>
      <c r="AT227" s="346"/>
      <c r="AU227" s="212"/>
      <c r="AV227" s="346"/>
    </row>
    <row r="228" spans="1:48" hidden="1">
      <c r="A228" s="273"/>
      <c r="B228" s="283"/>
      <c r="C228" s="303"/>
      <c r="D228" s="309"/>
      <c r="E228" s="216"/>
      <c r="F228" s="335"/>
      <c r="G228" s="163"/>
      <c r="H228" s="62" t="s">
        <v>31</v>
      </c>
      <c r="I228" s="237"/>
      <c r="J228" s="237"/>
      <c r="K228" s="237"/>
      <c r="L228" s="182"/>
      <c r="M228" s="237"/>
      <c r="N228" s="237"/>
      <c r="O228" s="237"/>
      <c r="P228" s="182"/>
      <c r="Q228" s="182"/>
      <c r="R228" s="182"/>
      <c r="S228" s="182"/>
      <c r="T228" s="237"/>
      <c r="U228" s="237"/>
      <c r="V228" s="182"/>
      <c r="W228" s="237"/>
      <c r="X228" s="237"/>
      <c r="Y228" s="237"/>
      <c r="Z228" s="182"/>
      <c r="AA228" s="237"/>
      <c r="AB228" s="237"/>
      <c r="AC228" s="237">
        <v>1</v>
      </c>
      <c r="AD228" s="237">
        <v>1</v>
      </c>
      <c r="AE228" s="237">
        <v>1</v>
      </c>
      <c r="AF228" s="237">
        <v>1</v>
      </c>
      <c r="AG228" s="182"/>
      <c r="AH228" s="237">
        <v>1</v>
      </c>
      <c r="AI228" s="237">
        <v>1</v>
      </c>
      <c r="AJ228" s="237">
        <v>1</v>
      </c>
      <c r="AK228" s="243">
        <v>1</v>
      </c>
      <c r="AL228" s="196"/>
      <c r="AM228" s="190"/>
      <c r="AN228" s="190"/>
      <c r="AO228" s="190"/>
      <c r="AP228" s="346"/>
      <c r="AQ228" s="190"/>
      <c r="AR228" s="190"/>
      <c r="AS228" s="346"/>
      <c r="AT228" s="346"/>
      <c r="AU228" s="212"/>
      <c r="AV228" s="346"/>
    </row>
    <row r="229" spans="1:48" hidden="1">
      <c r="A229" s="273"/>
      <c r="B229" s="283"/>
      <c r="C229" s="303"/>
      <c r="D229" s="309"/>
      <c r="E229" s="216"/>
      <c r="F229" s="335"/>
      <c r="G229" s="163"/>
      <c r="H229" s="57" t="s">
        <v>15</v>
      </c>
      <c r="I229" s="180"/>
      <c r="J229" s="180"/>
      <c r="K229" s="180"/>
      <c r="L229" s="182"/>
      <c r="M229" s="180"/>
      <c r="N229" s="180"/>
      <c r="O229" s="180"/>
      <c r="P229" s="182"/>
      <c r="Q229" s="182"/>
      <c r="R229" s="182"/>
      <c r="S229" s="182"/>
      <c r="T229" s="180"/>
      <c r="U229" s="180"/>
      <c r="V229" s="182"/>
      <c r="W229" s="180"/>
      <c r="X229" s="180"/>
      <c r="Y229" s="180"/>
      <c r="Z229" s="182"/>
      <c r="AA229" s="180"/>
      <c r="AB229" s="180"/>
      <c r="AC229" s="180"/>
      <c r="AD229" s="180"/>
      <c r="AE229" s="180"/>
      <c r="AF229" s="180"/>
      <c r="AG229" s="182"/>
      <c r="AH229" s="180"/>
      <c r="AI229" s="180"/>
      <c r="AJ229" s="180"/>
      <c r="AK229" s="208"/>
      <c r="AL229" s="192">
        <f>SUM(I229:AK229)</f>
        <v>0</v>
      </c>
      <c r="AM229" s="190"/>
      <c r="AN229" s="190"/>
      <c r="AO229" s="190"/>
      <c r="AP229" s="346"/>
      <c r="AQ229" s="190"/>
      <c r="AR229" s="190"/>
      <c r="AS229" s="346"/>
      <c r="AT229" s="346"/>
      <c r="AU229" s="212"/>
      <c r="AV229" s="346"/>
    </row>
    <row r="230" spans="1:48" hidden="1">
      <c r="A230" s="273"/>
      <c r="B230" s="283"/>
      <c r="C230" s="303"/>
      <c r="D230" s="309"/>
      <c r="E230" s="216"/>
      <c r="F230" s="335"/>
      <c r="G230" s="163"/>
      <c r="H230" s="62" t="s">
        <v>109</v>
      </c>
      <c r="I230" s="238"/>
      <c r="J230" s="238"/>
      <c r="K230" s="238"/>
      <c r="L230" s="182"/>
      <c r="M230" s="238"/>
      <c r="N230" s="238"/>
      <c r="O230" s="238"/>
      <c r="P230" s="182"/>
      <c r="Q230" s="182"/>
      <c r="R230" s="182"/>
      <c r="S230" s="182"/>
      <c r="T230" s="238"/>
      <c r="U230" s="238"/>
      <c r="V230" s="182"/>
      <c r="W230" s="238"/>
      <c r="X230" s="238"/>
      <c r="Y230" s="238"/>
      <c r="Z230" s="182"/>
      <c r="AA230" s="238"/>
      <c r="AB230" s="238"/>
      <c r="AC230" s="238">
        <f>$AK$233*$D$192/5</f>
        <v>5435.375</v>
      </c>
      <c r="AD230" s="238">
        <f>$AK$233*$D$192/5</f>
        <v>5435.375</v>
      </c>
      <c r="AE230" s="238">
        <f>$AK$233*$D$192/5</f>
        <v>5435.375</v>
      </c>
      <c r="AF230" s="238">
        <f>$AK$233*$D$192/5</f>
        <v>5435.375</v>
      </c>
      <c r="AG230" s="182"/>
      <c r="AH230" s="238">
        <f>$AK$233*$D$192/5</f>
        <v>5435.375</v>
      </c>
      <c r="AI230" s="238">
        <f>$AK$233*$D$192/5</f>
        <v>5435.375</v>
      </c>
      <c r="AJ230" s="238">
        <f>$AK$233*$D$192/5</f>
        <v>5435.375</v>
      </c>
      <c r="AK230" s="244">
        <f>$AK$233*$D$192/5</f>
        <v>5435.375</v>
      </c>
      <c r="AL230" s="196">
        <f>SUM(I230:AK230)</f>
        <v>43483</v>
      </c>
      <c r="AM230" s="190"/>
      <c r="AN230" s="190"/>
      <c r="AO230" s="190"/>
      <c r="AP230" s="346"/>
      <c r="AQ230" s="190"/>
      <c r="AR230" s="190"/>
      <c r="AS230" s="346"/>
      <c r="AT230" s="346"/>
      <c r="AU230" s="212"/>
      <c r="AV230" s="346"/>
    </row>
    <row r="231" spans="1:48" hidden="1">
      <c r="A231" s="273"/>
      <c r="B231" s="283"/>
      <c r="C231" s="303"/>
      <c r="D231" s="309"/>
      <c r="E231" s="216"/>
      <c r="F231" s="335"/>
      <c r="G231" s="163"/>
      <c r="H231" s="62" t="s">
        <v>84</v>
      </c>
      <c r="I231" s="237"/>
      <c r="J231" s="237"/>
      <c r="K231" s="237"/>
      <c r="L231" s="182"/>
      <c r="M231" s="237"/>
      <c r="N231" s="237"/>
      <c r="O231" s="237"/>
      <c r="P231" s="182"/>
      <c r="Q231" s="182"/>
      <c r="R231" s="182"/>
      <c r="S231" s="182"/>
      <c r="T231" s="237"/>
      <c r="U231" s="237"/>
      <c r="V231" s="182"/>
      <c r="W231" s="237"/>
      <c r="X231" s="237"/>
      <c r="Y231" s="237"/>
      <c r="Z231" s="182"/>
      <c r="AA231" s="237"/>
      <c r="AB231" s="237"/>
      <c r="AC231" s="237">
        <v>1</v>
      </c>
      <c r="AD231" s="237">
        <v>1</v>
      </c>
      <c r="AE231" s="237">
        <v>1</v>
      </c>
      <c r="AF231" s="237">
        <v>1</v>
      </c>
      <c r="AG231" s="182"/>
      <c r="AH231" s="237">
        <v>1</v>
      </c>
      <c r="AI231" s="237">
        <v>1</v>
      </c>
      <c r="AJ231" s="237">
        <v>1</v>
      </c>
      <c r="AK231" s="243">
        <v>1</v>
      </c>
      <c r="AL231" s="196"/>
      <c r="AM231" s="190"/>
      <c r="AN231" s="190"/>
      <c r="AO231" s="190"/>
      <c r="AP231" s="346"/>
      <c r="AQ231" s="190"/>
      <c r="AR231" s="190"/>
      <c r="AS231" s="346"/>
      <c r="AT231" s="346"/>
      <c r="AU231" s="212"/>
      <c r="AV231" s="346"/>
    </row>
    <row r="232" spans="1:48" hidden="1">
      <c r="A232" s="273"/>
      <c r="B232" s="283"/>
      <c r="C232" s="303"/>
      <c r="D232" s="309"/>
      <c r="E232" s="216"/>
      <c r="F232" s="335"/>
      <c r="G232" s="163"/>
      <c r="H232" s="57" t="s">
        <v>15</v>
      </c>
      <c r="I232" s="180"/>
      <c r="J232" s="180"/>
      <c r="K232" s="180"/>
      <c r="L232" s="182"/>
      <c r="M232" s="180"/>
      <c r="N232" s="180"/>
      <c r="O232" s="172"/>
      <c r="P232" s="182"/>
      <c r="Q232" s="182"/>
      <c r="R232" s="182"/>
      <c r="S232" s="182"/>
      <c r="T232" s="180"/>
      <c r="U232" s="180"/>
      <c r="V232" s="182"/>
      <c r="W232" s="180"/>
      <c r="X232" s="180"/>
      <c r="Y232" s="172"/>
      <c r="Z232" s="182"/>
      <c r="AA232" s="180"/>
      <c r="AB232" s="180"/>
      <c r="AC232" s="180"/>
      <c r="AD232" s="180"/>
      <c r="AE232" s="180"/>
      <c r="AF232" s="180"/>
      <c r="AG232" s="182"/>
      <c r="AH232" s="180"/>
      <c r="AI232" s="180"/>
      <c r="AJ232" s="180"/>
      <c r="AK232" s="208"/>
      <c r="AL232" s="192">
        <f>SUM(I232:AK232)</f>
        <v>0</v>
      </c>
      <c r="AM232" s="190"/>
      <c r="AN232" s="190"/>
      <c r="AO232" s="190"/>
      <c r="AP232" s="346"/>
      <c r="AQ232" s="190"/>
      <c r="AR232" s="190"/>
      <c r="AS232" s="346"/>
      <c r="AT232" s="346"/>
      <c r="AU232" s="212"/>
      <c r="AV232" s="346"/>
    </row>
    <row r="233" spans="1:48" hidden="1">
      <c r="A233" s="273"/>
      <c r="B233" s="283"/>
      <c r="C233" s="303"/>
      <c r="D233" s="309"/>
      <c r="E233" s="216"/>
      <c r="F233" s="335"/>
      <c r="G233" s="163"/>
      <c r="H233" s="62" t="s">
        <v>32</v>
      </c>
      <c r="I233" s="237"/>
      <c r="J233" s="237"/>
      <c r="K233" s="237"/>
      <c r="L233" s="182"/>
      <c r="M233" s="237"/>
      <c r="N233" s="237"/>
      <c r="O233" s="156"/>
      <c r="P233" s="182"/>
      <c r="Q233" s="182"/>
      <c r="R233" s="182"/>
      <c r="S233" s="182"/>
      <c r="T233" s="237"/>
      <c r="U233" s="237"/>
      <c r="V233" s="182"/>
      <c r="W233" s="237"/>
      <c r="X233" s="237"/>
      <c r="Y233" s="156"/>
      <c r="Z233" s="182"/>
      <c r="AA233" s="237"/>
      <c r="AB233" s="237"/>
      <c r="AC233" s="237"/>
      <c r="AD233" s="237"/>
      <c r="AE233" s="237"/>
      <c r="AF233" s="237"/>
      <c r="AG233" s="182"/>
      <c r="AH233" s="237"/>
      <c r="AI233" s="237"/>
      <c r="AJ233" s="237"/>
      <c r="AK233" s="243">
        <f>($C$192*5)+($C$192*5*10%)</f>
        <v>18425</v>
      </c>
      <c r="AL233" s="196">
        <f>SUM(I233:AK233)</f>
        <v>18425</v>
      </c>
      <c r="AM233" s="190"/>
      <c r="AN233" s="190"/>
      <c r="AO233" s="190"/>
      <c r="AP233" s="346"/>
      <c r="AQ233" s="190"/>
      <c r="AR233" s="190"/>
      <c r="AS233" s="346"/>
      <c r="AT233" s="346"/>
      <c r="AU233" s="212"/>
      <c r="AV233" s="346"/>
    </row>
    <row r="234" spans="1:48" hidden="1">
      <c r="A234" s="273"/>
      <c r="B234" s="283"/>
      <c r="C234" s="303"/>
      <c r="D234" s="309"/>
      <c r="E234" s="216"/>
      <c r="F234" s="335"/>
      <c r="G234" s="163"/>
      <c r="H234" s="62" t="s">
        <v>33</v>
      </c>
      <c r="I234" s="237"/>
      <c r="J234" s="237"/>
      <c r="K234" s="237"/>
      <c r="L234" s="182"/>
      <c r="M234" s="237"/>
      <c r="N234" s="237"/>
      <c r="O234" s="156"/>
      <c r="P234" s="182"/>
      <c r="Q234" s="182"/>
      <c r="R234" s="182"/>
      <c r="S234" s="182"/>
      <c r="T234" s="237"/>
      <c r="U234" s="237"/>
      <c r="V234" s="182"/>
      <c r="W234" s="237"/>
      <c r="X234" s="237"/>
      <c r="Y234" s="156"/>
      <c r="Z234" s="182"/>
      <c r="AA234" s="237"/>
      <c r="AB234" s="237"/>
      <c r="AC234" s="237"/>
      <c r="AD234" s="237"/>
      <c r="AE234" s="237"/>
      <c r="AF234" s="237"/>
      <c r="AG234" s="182"/>
      <c r="AH234" s="237"/>
      <c r="AI234" s="237"/>
      <c r="AJ234" s="237"/>
      <c r="AK234" s="243">
        <v>1</v>
      </c>
      <c r="AL234" s="196"/>
      <c r="AM234" s="190"/>
      <c r="AN234" s="190"/>
      <c r="AO234" s="190"/>
      <c r="AP234" s="346"/>
      <c r="AQ234" s="190"/>
      <c r="AR234" s="190"/>
      <c r="AS234" s="346"/>
      <c r="AT234" s="346"/>
      <c r="AU234" s="212"/>
      <c r="AV234" s="346"/>
    </row>
    <row r="235" spans="1:48" hidden="1">
      <c r="A235" s="278"/>
      <c r="B235" s="290"/>
      <c r="C235" s="304"/>
      <c r="D235" s="321"/>
      <c r="E235" s="217"/>
      <c r="F235" s="337"/>
      <c r="G235" s="158"/>
      <c r="H235" s="159" t="s">
        <v>15</v>
      </c>
      <c r="I235" s="176"/>
      <c r="J235" s="176"/>
      <c r="K235" s="176"/>
      <c r="L235" s="219"/>
      <c r="M235" s="176"/>
      <c r="N235" s="176"/>
      <c r="O235" s="176"/>
      <c r="P235" s="219"/>
      <c r="Q235" s="219"/>
      <c r="R235" s="219"/>
      <c r="S235" s="219"/>
      <c r="T235" s="176"/>
      <c r="U235" s="176"/>
      <c r="V235" s="219"/>
      <c r="W235" s="176"/>
      <c r="X235" s="176"/>
      <c r="Y235" s="176"/>
      <c r="Z235" s="219"/>
      <c r="AA235" s="176"/>
      <c r="AB235" s="176"/>
      <c r="AC235" s="176"/>
      <c r="AD235" s="176"/>
      <c r="AE235" s="176"/>
      <c r="AF235" s="176"/>
      <c r="AG235" s="219"/>
      <c r="AH235" s="176"/>
      <c r="AI235" s="176"/>
      <c r="AJ235" s="176"/>
      <c r="AK235" s="229"/>
      <c r="AL235" s="245">
        <f>SUM(I235:AK235)</f>
        <v>0</v>
      </c>
      <c r="AM235" s="190"/>
      <c r="AN235" s="190"/>
      <c r="AO235" s="190"/>
      <c r="AP235" s="346"/>
      <c r="AQ235" s="190"/>
      <c r="AR235" s="190"/>
      <c r="AS235" s="346"/>
      <c r="AT235" s="346"/>
      <c r="AU235" s="212"/>
      <c r="AV235" s="346"/>
    </row>
    <row r="236" spans="1:48" hidden="1">
      <c r="C236" s="29"/>
      <c r="D236" s="29"/>
      <c r="E236" s="29"/>
      <c r="F236" s="29"/>
      <c r="AM236" s="94"/>
      <c r="AN236" s="125"/>
      <c r="AO236" s="94"/>
      <c r="AP236" s="94"/>
      <c r="AQ236" s="94"/>
      <c r="AR236" s="94"/>
      <c r="AS236" s="94"/>
      <c r="AT236" s="94"/>
      <c r="AU236" s="94"/>
      <c r="AV236" s="94"/>
    </row>
    <row r="237" spans="1:48" ht="30" customHeight="1">
      <c r="C237" s="29"/>
      <c r="D237" s="29"/>
      <c r="E237" s="29"/>
      <c r="F237" s="29"/>
      <c r="G237" s="48" t="s">
        <v>7</v>
      </c>
      <c r="H237" s="49" t="s">
        <v>8</v>
      </c>
      <c r="I237" s="124">
        <v>1</v>
      </c>
      <c r="J237" s="124">
        <v>2</v>
      </c>
      <c r="K237" s="124">
        <v>3</v>
      </c>
      <c r="L237" s="166">
        <v>4</v>
      </c>
      <c r="M237" s="124">
        <v>5</v>
      </c>
      <c r="N237" s="124">
        <v>6</v>
      </c>
      <c r="O237" s="124">
        <v>7</v>
      </c>
      <c r="P237" s="166">
        <v>8</v>
      </c>
      <c r="Q237" s="166">
        <v>9</v>
      </c>
      <c r="R237" s="166">
        <v>10</v>
      </c>
      <c r="S237" s="166">
        <v>11</v>
      </c>
      <c r="T237" s="124">
        <v>12</v>
      </c>
      <c r="U237" s="124">
        <v>13</v>
      </c>
      <c r="V237" s="166">
        <v>14</v>
      </c>
      <c r="W237" s="124">
        <v>15</v>
      </c>
      <c r="X237" s="124">
        <v>16</v>
      </c>
      <c r="Y237" s="124">
        <v>17</v>
      </c>
      <c r="Z237" s="166">
        <v>18</v>
      </c>
      <c r="AA237" s="124">
        <v>19</v>
      </c>
      <c r="AB237" s="124">
        <v>20</v>
      </c>
      <c r="AC237" s="124">
        <v>21</v>
      </c>
      <c r="AD237" s="124">
        <v>22</v>
      </c>
      <c r="AE237" s="124">
        <v>23</v>
      </c>
      <c r="AF237" s="124">
        <v>24</v>
      </c>
      <c r="AG237" s="166">
        <v>25</v>
      </c>
      <c r="AH237" s="124">
        <v>26</v>
      </c>
      <c r="AI237" s="124">
        <v>27</v>
      </c>
      <c r="AJ237" s="124">
        <v>28</v>
      </c>
      <c r="AK237" s="124">
        <v>29</v>
      </c>
      <c r="AL237" s="124" t="s">
        <v>9</v>
      </c>
      <c r="AM237" s="94"/>
      <c r="AN237" s="125"/>
      <c r="AO237" s="94"/>
      <c r="AP237" s="94"/>
      <c r="AQ237" s="94"/>
      <c r="AR237" s="94"/>
      <c r="AS237" s="94"/>
      <c r="AT237" s="94"/>
      <c r="AU237" s="94"/>
      <c r="AV237" s="94"/>
    </row>
    <row r="238" spans="1:48">
      <c r="C238" s="29"/>
      <c r="D238" s="29"/>
      <c r="E238" s="29"/>
      <c r="F238" s="29"/>
      <c r="G238" s="338">
        <v>0.08</v>
      </c>
      <c r="H238" s="53" t="s">
        <v>12</v>
      </c>
      <c r="I238" s="54">
        <v>0</v>
      </c>
      <c r="J238" s="54">
        <v>0</v>
      </c>
      <c r="K238" s="54">
        <v>75</v>
      </c>
      <c r="L238" s="179"/>
      <c r="M238" s="54">
        <f t="shared" ref="M238:O238" si="40">7100/20</f>
        <v>355</v>
      </c>
      <c r="N238" s="54">
        <f t="shared" si="40"/>
        <v>355</v>
      </c>
      <c r="O238" s="54">
        <f t="shared" si="40"/>
        <v>355</v>
      </c>
      <c r="P238" s="179"/>
      <c r="Q238" s="179"/>
      <c r="R238" s="179"/>
      <c r="S238" s="179"/>
      <c r="T238" s="54">
        <f t="shared" ref="T238:U238" si="41">7100/20</f>
        <v>355</v>
      </c>
      <c r="U238" s="54">
        <f t="shared" si="41"/>
        <v>355</v>
      </c>
      <c r="V238" s="179"/>
      <c r="W238" s="54">
        <f t="shared" ref="W238:Y238" si="42">7100/20</f>
        <v>355</v>
      </c>
      <c r="X238" s="54">
        <f t="shared" si="42"/>
        <v>355</v>
      </c>
      <c r="Y238" s="54">
        <f t="shared" si="42"/>
        <v>355</v>
      </c>
      <c r="Z238" s="179"/>
      <c r="AA238" s="54">
        <f t="shared" ref="AA238" si="43">7100/20</f>
        <v>355</v>
      </c>
      <c r="AB238" s="54">
        <v>325</v>
      </c>
      <c r="AC238" s="54">
        <f>6500/20</f>
        <v>325</v>
      </c>
      <c r="AD238" s="54">
        <f t="shared" ref="AD238:AH238" si="44">6500/20</f>
        <v>325</v>
      </c>
      <c r="AE238" s="54">
        <f t="shared" si="44"/>
        <v>325</v>
      </c>
      <c r="AF238" s="54">
        <v>216</v>
      </c>
      <c r="AG238" s="179"/>
      <c r="AH238" s="54">
        <f t="shared" si="44"/>
        <v>325</v>
      </c>
      <c r="AI238" s="54">
        <v>325</v>
      </c>
      <c r="AJ238" s="54">
        <v>325</v>
      </c>
      <c r="AK238" s="54">
        <v>325</v>
      </c>
      <c r="AL238" s="126">
        <f t="shared" ref="AL238:AL260" si="45">SUM(I238:AK238)</f>
        <v>6086</v>
      </c>
      <c r="AM238" s="94"/>
      <c r="AN238" s="125"/>
      <c r="AO238" s="94"/>
      <c r="AP238" s="94"/>
      <c r="AQ238" s="94"/>
      <c r="AR238" s="94"/>
      <c r="AS238" s="94"/>
      <c r="AT238" s="94"/>
      <c r="AU238" s="94"/>
      <c r="AV238" s="94"/>
    </row>
    <row r="239" spans="1:48">
      <c r="C239" s="29"/>
      <c r="D239" s="29"/>
      <c r="E239" s="29"/>
      <c r="F239" s="29"/>
      <c r="G239" s="339"/>
      <c r="H239" s="57" t="s">
        <v>15</v>
      </c>
      <c r="I239" s="58"/>
      <c r="J239" s="58"/>
      <c r="K239" s="58">
        <v>53.92</v>
      </c>
      <c r="L239" s="171"/>
      <c r="M239" s="58">
        <v>304.70999999999998</v>
      </c>
      <c r="N239" s="58">
        <v>376.65</v>
      </c>
      <c r="O239" s="58">
        <v>413.78</v>
      </c>
      <c r="P239" s="171"/>
      <c r="Q239" s="171"/>
      <c r="R239" s="171"/>
      <c r="S239" s="171"/>
      <c r="T239" s="58">
        <v>370.48</v>
      </c>
      <c r="U239" s="58">
        <v>342.84</v>
      </c>
      <c r="V239" s="171"/>
      <c r="W239" s="58">
        <v>375.36</v>
      </c>
      <c r="X239" s="58">
        <v>426.07</v>
      </c>
      <c r="Y239" s="58">
        <v>439.51</v>
      </c>
      <c r="Z239" s="171"/>
      <c r="AA239" s="58">
        <v>434.44</v>
      </c>
      <c r="AB239" s="58">
        <v>354.01</v>
      </c>
      <c r="AC239" s="58">
        <v>347.46</v>
      </c>
      <c r="AD239" s="58">
        <v>375.12</v>
      </c>
      <c r="AE239" s="58">
        <v>412.02</v>
      </c>
      <c r="AF239" s="58">
        <v>232.77</v>
      </c>
      <c r="AG239" s="171"/>
      <c r="AH239" s="58">
        <v>419.25</v>
      </c>
      <c r="AI239" s="58">
        <v>434.46</v>
      </c>
      <c r="AJ239" s="58">
        <v>466.36</v>
      </c>
      <c r="AK239" s="193">
        <v>466.05</v>
      </c>
      <c r="AL239" s="127">
        <f t="shared" si="45"/>
        <v>7045.26</v>
      </c>
      <c r="AM239" s="94"/>
      <c r="AN239" s="125"/>
      <c r="AO239" s="94"/>
      <c r="AP239" s="94"/>
      <c r="AQ239" s="94"/>
      <c r="AR239" s="94"/>
      <c r="AS239" s="94"/>
      <c r="AT239" s="94"/>
      <c r="AU239" s="94"/>
      <c r="AV239" s="94"/>
    </row>
    <row r="240" spans="1:48">
      <c r="C240" s="29"/>
      <c r="D240" s="29"/>
      <c r="E240" s="29"/>
      <c r="F240" s="29"/>
      <c r="G240" s="340"/>
      <c r="H240" s="57" t="s">
        <v>110</v>
      </c>
      <c r="I240" s="58">
        <f>I239-I238</f>
        <v>0</v>
      </c>
      <c r="J240" s="58">
        <f>I240+(J239-J238)</f>
        <v>0</v>
      </c>
      <c r="K240" s="58">
        <f>J240+(K239-K238)</f>
        <v>-21.08</v>
      </c>
      <c r="L240" s="171"/>
      <c r="M240" s="58">
        <f>K240+(M239-M238)</f>
        <v>-71.37</v>
      </c>
      <c r="N240" s="58">
        <f>M240+(N239-N238)</f>
        <v>-49.72</v>
      </c>
      <c r="O240" s="58">
        <f>N240+(O239-O238)</f>
        <v>9.0599999999999294</v>
      </c>
      <c r="P240" s="171"/>
      <c r="Q240" s="171"/>
      <c r="R240" s="171"/>
      <c r="S240" s="171"/>
      <c r="T240" s="58">
        <f>O240+(T239-T238)</f>
        <v>24.5399999999999</v>
      </c>
      <c r="U240" s="58">
        <f>T240+(U239-U238)</f>
        <v>12.3799999999999</v>
      </c>
      <c r="V240" s="171"/>
      <c r="W240" s="58">
        <f>U240+(W239-W238)</f>
        <v>32.739999999999903</v>
      </c>
      <c r="X240" s="58">
        <f>W240+(X239-X238)</f>
        <v>103.81</v>
      </c>
      <c r="Y240" s="58">
        <f>X240+(Y239-Y238)</f>
        <v>188.32</v>
      </c>
      <c r="Z240" s="171"/>
      <c r="AA240" s="58">
        <f>Y240+(AA239-AA238)</f>
        <v>267.76</v>
      </c>
      <c r="AB240" s="58">
        <f>AA240+(AB239-AB238)</f>
        <v>296.77</v>
      </c>
      <c r="AC240" s="58">
        <f>AB240+(AC239-AC238)</f>
        <v>319.23</v>
      </c>
      <c r="AD240" s="58">
        <f>AC240+(AD239-AD238)</f>
        <v>369.35</v>
      </c>
      <c r="AE240" s="58">
        <f>AD240+(AE239-AE238)</f>
        <v>456.37</v>
      </c>
      <c r="AF240" s="58">
        <f>AE240+(AF239-AF238)</f>
        <v>473.14</v>
      </c>
      <c r="AG240" s="171"/>
      <c r="AH240" s="58">
        <f>AF240+(AH239-AH238)</f>
        <v>567.39</v>
      </c>
      <c r="AI240" s="58">
        <f>AH240+(AI239-AI238)</f>
        <v>676.85</v>
      </c>
      <c r="AJ240" s="58">
        <f>AI240+(AJ239-AJ238)</f>
        <v>818.21</v>
      </c>
      <c r="AK240" s="58">
        <f>AJ240+(AK239-AK238)</f>
        <v>959.26</v>
      </c>
      <c r="AL240" s="127"/>
      <c r="AM240" s="94"/>
      <c r="AN240" s="125"/>
      <c r="AO240" s="94"/>
      <c r="AP240" s="94"/>
      <c r="AQ240" s="94"/>
      <c r="AR240" s="94"/>
      <c r="AS240" s="94"/>
      <c r="AT240" s="94"/>
      <c r="AU240" s="94"/>
      <c r="AV240" s="94"/>
    </row>
    <row r="241" spans="3:48">
      <c r="C241" s="29"/>
      <c r="D241" s="29"/>
      <c r="E241" s="29"/>
      <c r="F241" s="29"/>
      <c r="G241" s="341">
        <v>0.16</v>
      </c>
      <c r="H241" s="62" t="s">
        <v>12</v>
      </c>
      <c r="I241" s="63">
        <v>0</v>
      </c>
      <c r="J241" s="63">
        <v>0</v>
      </c>
      <c r="K241" s="63">
        <v>0</v>
      </c>
      <c r="L241" s="171"/>
      <c r="M241" s="63">
        <v>0</v>
      </c>
      <c r="N241" s="63">
        <v>0</v>
      </c>
      <c r="O241" s="63">
        <v>0</v>
      </c>
      <c r="P241" s="171"/>
      <c r="Q241" s="171"/>
      <c r="R241" s="171"/>
      <c r="S241" s="171"/>
      <c r="T241" s="63">
        <v>0</v>
      </c>
      <c r="U241" s="63">
        <v>0</v>
      </c>
      <c r="V241" s="171"/>
      <c r="W241" s="63">
        <v>0</v>
      </c>
      <c r="X241" s="63">
        <v>0</v>
      </c>
      <c r="Y241" s="63">
        <v>0</v>
      </c>
      <c r="Z241" s="171"/>
      <c r="AA241" s="63">
        <v>0</v>
      </c>
      <c r="AB241" s="63">
        <v>0</v>
      </c>
      <c r="AC241" s="63">
        <v>0</v>
      </c>
      <c r="AD241" s="63">
        <v>60</v>
      </c>
      <c r="AE241" s="63">
        <f t="shared" ref="AE241:AH241" si="46">1000/5</f>
        <v>200</v>
      </c>
      <c r="AF241" s="63">
        <f t="shared" si="46"/>
        <v>200</v>
      </c>
      <c r="AG241" s="171"/>
      <c r="AH241" s="63">
        <f t="shared" si="46"/>
        <v>200</v>
      </c>
      <c r="AI241" s="63">
        <v>140</v>
      </c>
      <c r="AJ241" s="63">
        <v>200</v>
      </c>
      <c r="AK241" s="194">
        <v>20</v>
      </c>
      <c r="AL241" s="128">
        <f t="shared" si="45"/>
        <v>1020</v>
      </c>
      <c r="AM241" s="94"/>
      <c r="AN241" s="125"/>
      <c r="AO241" s="94"/>
      <c r="AP241" s="94"/>
      <c r="AQ241" s="94"/>
      <c r="AR241" s="94"/>
      <c r="AS241" s="94"/>
      <c r="AT241" s="94"/>
      <c r="AU241" s="94"/>
      <c r="AV241" s="94"/>
    </row>
    <row r="242" spans="3:48">
      <c r="C242" s="29"/>
      <c r="D242" s="29"/>
      <c r="E242" s="29"/>
      <c r="F242" s="29"/>
      <c r="G242" s="339"/>
      <c r="H242" s="57" t="s">
        <v>15</v>
      </c>
      <c r="I242" s="58"/>
      <c r="J242" s="58"/>
      <c r="K242" s="58"/>
      <c r="L242" s="171"/>
      <c r="M242" s="58"/>
      <c r="N242" s="58"/>
      <c r="O242" s="58"/>
      <c r="P242" s="171"/>
      <c r="Q242" s="171"/>
      <c r="R242" s="171"/>
      <c r="S242" s="171"/>
      <c r="T242" s="58"/>
      <c r="U242" s="58"/>
      <c r="V242" s="171"/>
      <c r="W242" s="58"/>
      <c r="X242" s="58"/>
      <c r="Y242" s="58"/>
      <c r="Z242" s="171"/>
      <c r="AA242" s="58"/>
      <c r="AB242" s="58"/>
      <c r="AC242" s="58"/>
      <c r="AD242" s="58">
        <v>61.41</v>
      </c>
      <c r="AE242" s="58">
        <v>239.27</v>
      </c>
      <c r="AF242" s="58">
        <v>132.66999999999999</v>
      </c>
      <c r="AG242" s="171"/>
      <c r="AH242" s="58">
        <v>243.19</v>
      </c>
      <c r="AI242" s="58">
        <v>109.49</v>
      </c>
      <c r="AJ242" s="58">
        <v>200.11</v>
      </c>
      <c r="AK242" s="193">
        <v>41.8</v>
      </c>
      <c r="AL242" s="127">
        <f t="shared" si="45"/>
        <v>1027.94</v>
      </c>
      <c r="AM242" s="94"/>
      <c r="AN242" s="125"/>
      <c r="AO242" s="94"/>
      <c r="AP242" s="94"/>
      <c r="AQ242" s="94"/>
      <c r="AR242" s="94"/>
      <c r="AS242" s="94"/>
      <c r="AT242" s="94"/>
      <c r="AU242" s="94"/>
      <c r="AV242" s="94"/>
    </row>
    <row r="243" spans="3:48">
      <c r="C243" s="29"/>
      <c r="D243" s="29"/>
      <c r="E243" s="29"/>
      <c r="F243" s="29"/>
      <c r="G243" s="340"/>
      <c r="H243" s="57" t="s">
        <v>110</v>
      </c>
      <c r="I243" s="58">
        <f>I242-I241</f>
        <v>0</v>
      </c>
      <c r="J243" s="58">
        <f>I243+(J242-J241)</f>
        <v>0</v>
      </c>
      <c r="K243" s="58">
        <f>J243+(K242-K241)</f>
        <v>0</v>
      </c>
      <c r="L243" s="171"/>
      <c r="M243" s="58">
        <f>K243+(M242-M241)</f>
        <v>0</v>
      </c>
      <c r="N243" s="58">
        <f>M243+(N242-N241)</f>
        <v>0</v>
      </c>
      <c r="O243" s="58">
        <f>N243+(O242-O241)</f>
        <v>0</v>
      </c>
      <c r="P243" s="171"/>
      <c r="Q243" s="171"/>
      <c r="R243" s="171"/>
      <c r="S243" s="171"/>
      <c r="T243" s="58">
        <f>O243+(T242-T241)</f>
        <v>0</v>
      </c>
      <c r="U243" s="58">
        <f>T243+(U242-U241)</f>
        <v>0</v>
      </c>
      <c r="V243" s="171"/>
      <c r="W243" s="58">
        <f>U243+(W242-W241)</f>
        <v>0</v>
      </c>
      <c r="X243" s="58">
        <f>W243+(X242-X241)</f>
        <v>0</v>
      </c>
      <c r="Y243" s="58">
        <f>X243+(Y242-Y241)</f>
        <v>0</v>
      </c>
      <c r="Z243" s="171"/>
      <c r="AA243" s="58">
        <f>Y243+(AA242-AA241)</f>
        <v>0</v>
      </c>
      <c r="AB243" s="58">
        <f>AA243+(AB242-AB241)</f>
        <v>0</v>
      </c>
      <c r="AC243" s="58">
        <f>AB243+(AC242-AC241)</f>
        <v>0</v>
      </c>
      <c r="AD243" s="58">
        <f>AC243+(AD242-AD241)</f>
        <v>1.41</v>
      </c>
      <c r="AE243" s="58">
        <f>AD243+(AE242-AE241)</f>
        <v>40.68</v>
      </c>
      <c r="AF243" s="58">
        <f>AE243+(AF242-AF241)</f>
        <v>-26.65</v>
      </c>
      <c r="AG243" s="171"/>
      <c r="AH243" s="58">
        <f>AF243+(AH242-AH241)</f>
        <v>16.54</v>
      </c>
      <c r="AI243" s="58">
        <f>AH243+(AI242-AI241)</f>
        <v>-13.97</v>
      </c>
      <c r="AJ243" s="58">
        <f>AI243+(AJ242-AJ241)</f>
        <v>-13.86</v>
      </c>
      <c r="AK243" s="58">
        <f>AJ243+(AK242-AK241)</f>
        <v>7.94</v>
      </c>
      <c r="AL243" s="127"/>
      <c r="AM243" s="94"/>
      <c r="AN243" s="125"/>
      <c r="AO243" s="94"/>
      <c r="AP243" s="94"/>
      <c r="AQ243" s="94"/>
      <c r="AR243" s="94"/>
      <c r="AS243" s="94"/>
      <c r="AT243" s="94"/>
      <c r="AU243" s="94"/>
      <c r="AV243" s="94"/>
    </row>
    <row r="244" spans="3:48">
      <c r="C244" s="29"/>
      <c r="D244" s="29"/>
      <c r="E244" s="29"/>
      <c r="F244" s="29"/>
      <c r="G244" s="341">
        <v>0.127</v>
      </c>
      <c r="H244" s="62" t="s">
        <v>12</v>
      </c>
      <c r="I244" s="64">
        <v>0</v>
      </c>
      <c r="J244" s="64">
        <v>0</v>
      </c>
      <c r="K244" s="64">
        <v>0</v>
      </c>
      <c r="L244" s="239"/>
      <c r="M244" s="64">
        <v>0</v>
      </c>
      <c r="N244" s="64">
        <v>0</v>
      </c>
      <c r="O244" s="64">
        <v>0</v>
      </c>
      <c r="P244" s="239"/>
      <c r="Q244" s="239"/>
      <c r="R244" s="239"/>
      <c r="S244" s="239"/>
      <c r="T244" s="64">
        <v>0</v>
      </c>
      <c r="U244" s="64">
        <v>0</v>
      </c>
      <c r="V244" s="239"/>
      <c r="W244" s="64">
        <v>0</v>
      </c>
      <c r="X244" s="64">
        <v>0</v>
      </c>
      <c r="Y244" s="64">
        <v>0</v>
      </c>
      <c r="Z244" s="239"/>
      <c r="AA244" s="64">
        <v>0</v>
      </c>
      <c r="AB244" s="64">
        <v>0</v>
      </c>
      <c r="AC244" s="64">
        <v>0</v>
      </c>
      <c r="AD244" s="64">
        <v>0</v>
      </c>
      <c r="AE244" s="64">
        <f>200/2</f>
        <v>100</v>
      </c>
      <c r="AF244" s="64">
        <v>50</v>
      </c>
      <c r="AG244" s="239"/>
      <c r="AH244" s="64">
        <v>0</v>
      </c>
      <c r="AI244" s="64">
        <v>0</v>
      </c>
      <c r="AJ244" s="64">
        <v>0</v>
      </c>
      <c r="AK244" s="205">
        <v>0</v>
      </c>
      <c r="AL244" s="128">
        <f t="shared" si="45"/>
        <v>150</v>
      </c>
      <c r="AM244" s="94"/>
      <c r="AN244" s="125"/>
      <c r="AO244" s="94"/>
      <c r="AP244" s="94"/>
      <c r="AQ244" s="94"/>
      <c r="AR244" s="94"/>
      <c r="AS244" s="94"/>
      <c r="AT244" s="94"/>
      <c r="AU244" s="94"/>
      <c r="AV244" s="94"/>
    </row>
    <row r="245" spans="3:48">
      <c r="C245" s="29"/>
      <c r="D245" s="29"/>
      <c r="E245" s="29"/>
      <c r="F245" s="29"/>
      <c r="G245" s="339"/>
      <c r="H245" s="57" t="s">
        <v>15</v>
      </c>
      <c r="I245" s="58"/>
      <c r="J245" s="58"/>
      <c r="K245" s="58"/>
      <c r="L245" s="171"/>
      <c r="M245" s="58"/>
      <c r="N245" s="58"/>
      <c r="O245" s="58"/>
      <c r="P245" s="171"/>
      <c r="Q245" s="171"/>
      <c r="R245" s="171"/>
      <c r="S245" s="171"/>
      <c r="T245" s="58"/>
      <c r="U245" s="58"/>
      <c r="V245" s="171"/>
      <c r="W245" s="58"/>
      <c r="X245" s="58"/>
      <c r="Y245" s="58"/>
      <c r="Z245" s="171"/>
      <c r="AA245" s="58"/>
      <c r="AB245" s="58"/>
      <c r="AC245" s="58"/>
      <c r="AD245" s="58"/>
      <c r="AE245" s="58">
        <v>121.4</v>
      </c>
      <c r="AF245" s="58">
        <v>34.18</v>
      </c>
      <c r="AG245" s="171"/>
      <c r="AH245" s="58"/>
      <c r="AI245" s="58"/>
      <c r="AJ245" s="58"/>
      <c r="AK245" s="193"/>
      <c r="AL245" s="127">
        <f t="shared" si="45"/>
        <v>155.58000000000001</v>
      </c>
      <c r="AM245" s="94"/>
      <c r="AN245" s="125"/>
      <c r="AO245" s="94"/>
      <c r="AP245" s="94"/>
      <c r="AQ245" s="94"/>
      <c r="AR245" s="94"/>
      <c r="AS245" s="94"/>
      <c r="AT245" s="94"/>
      <c r="AU245" s="94"/>
      <c r="AV245" s="94"/>
    </row>
    <row r="246" spans="3:48">
      <c r="C246" s="29"/>
      <c r="D246" s="29"/>
      <c r="E246" s="29"/>
      <c r="F246" s="29"/>
      <c r="G246" s="340"/>
      <c r="H246" s="57" t="s">
        <v>110</v>
      </c>
      <c r="I246" s="58">
        <f>I245-I244</f>
        <v>0</v>
      </c>
      <c r="J246" s="58">
        <f>I246+(J245-J244)</f>
        <v>0</v>
      </c>
      <c r="K246" s="58">
        <f>J246+(K245-K244)</f>
        <v>0</v>
      </c>
      <c r="L246" s="171"/>
      <c r="M246" s="58">
        <f>K246+(M245-M244)</f>
        <v>0</v>
      </c>
      <c r="N246" s="58">
        <f>M246+(N245-N244)</f>
        <v>0</v>
      </c>
      <c r="O246" s="58">
        <f>N246+(O245-O244)</f>
        <v>0</v>
      </c>
      <c r="P246" s="171"/>
      <c r="Q246" s="171"/>
      <c r="R246" s="171"/>
      <c r="S246" s="171"/>
      <c r="T246" s="58">
        <f>O246+(T245-T244)</f>
        <v>0</v>
      </c>
      <c r="U246" s="58">
        <f>T246+(U245-U244)</f>
        <v>0</v>
      </c>
      <c r="V246" s="171"/>
      <c r="W246" s="58">
        <f>U246+(W245-W244)</f>
        <v>0</v>
      </c>
      <c r="X246" s="58">
        <f>W246+(X245-X244)</f>
        <v>0</v>
      </c>
      <c r="Y246" s="58">
        <f>X246+(Y245-Y244)</f>
        <v>0</v>
      </c>
      <c r="Z246" s="171"/>
      <c r="AA246" s="58">
        <f>Y246+(AA245-AA244)</f>
        <v>0</v>
      </c>
      <c r="AB246" s="58">
        <f>AA246+(AB245-AB244)</f>
        <v>0</v>
      </c>
      <c r="AC246" s="58">
        <f>AB246+(AC245-AC244)</f>
        <v>0</v>
      </c>
      <c r="AD246" s="58">
        <f>AC246+(AD245-AD244)</f>
        <v>0</v>
      </c>
      <c r="AE246" s="58">
        <f>AD246+(AE245-AE244)</f>
        <v>21.4</v>
      </c>
      <c r="AF246" s="58">
        <f>AE246+(AF245-AF244)</f>
        <v>5.5800000000000098</v>
      </c>
      <c r="AG246" s="171"/>
      <c r="AH246" s="58">
        <f>AF246+(AH245-AH244)</f>
        <v>5.5800000000000098</v>
      </c>
      <c r="AI246" s="58"/>
      <c r="AJ246" s="58"/>
      <c r="AK246" s="193"/>
      <c r="AL246" s="127"/>
      <c r="AM246" s="94"/>
      <c r="AN246" s="125"/>
      <c r="AO246" s="94"/>
      <c r="AP246" s="94"/>
      <c r="AQ246" s="94"/>
      <c r="AR246" s="94"/>
      <c r="AS246" s="94"/>
      <c r="AT246" s="94"/>
      <c r="AU246" s="94"/>
      <c r="AV246" s="94"/>
    </row>
    <row r="247" spans="3:48">
      <c r="C247" s="29"/>
      <c r="D247" s="29"/>
      <c r="E247" s="29"/>
      <c r="F247" s="29"/>
      <c r="G247" s="341">
        <v>0.12</v>
      </c>
      <c r="H247" s="62" t="s">
        <v>12</v>
      </c>
      <c r="I247" s="64">
        <v>0</v>
      </c>
      <c r="J247" s="64">
        <v>0</v>
      </c>
      <c r="K247" s="64">
        <v>0</v>
      </c>
      <c r="L247" s="239"/>
      <c r="M247" s="64">
        <v>0</v>
      </c>
      <c r="N247" s="64">
        <v>0</v>
      </c>
      <c r="O247" s="64">
        <v>0</v>
      </c>
      <c r="P247" s="239"/>
      <c r="Q247" s="239"/>
      <c r="R247" s="239"/>
      <c r="S247" s="239"/>
      <c r="T247" s="64">
        <v>0</v>
      </c>
      <c r="U247" s="64">
        <v>0</v>
      </c>
      <c r="V247" s="239"/>
      <c r="W247" s="64">
        <v>0</v>
      </c>
      <c r="X247" s="64">
        <v>0</v>
      </c>
      <c r="Y247" s="64">
        <v>0</v>
      </c>
      <c r="Z247" s="239"/>
      <c r="AA247" s="64">
        <v>0</v>
      </c>
      <c r="AB247" s="64">
        <v>0</v>
      </c>
      <c r="AC247" s="64">
        <v>0</v>
      </c>
      <c r="AD247" s="64">
        <v>0</v>
      </c>
      <c r="AE247" s="64">
        <v>0</v>
      </c>
      <c r="AF247" s="64">
        <v>0</v>
      </c>
      <c r="AG247" s="239"/>
      <c r="AH247" s="64">
        <v>0</v>
      </c>
      <c r="AI247" s="64">
        <v>0</v>
      </c>
      <c r="AJ247" s="64">
        <v>0</v>
      </c>
      <c r="AK247" s="205">
        <v>0</v>
      </c>
      <c r="AL247" s="128">
        <f t="shared" si="45"/>
        <v>0</v>
      </c>
      <c r="AM247" s="94"/>
      <c r="AN247" s="125"/>
      <c r="AO247" s="94"/>
      <c r="AP247" s="94"/>
      <c r="AQ247" s="94"/>
      <c r="AR247" s="94"/>
      <c r="AS247" s="94"/>
      <c r="AT247" s="94"/>
      <c r="AU247" s="94"/>
      <c r="AV247" s="94"/>
    </row>
    <row r="248" spans="3:48">
      <c r="C248" s="29"/>
      <c r="D248" s="29"/>
      <c r="E248" s="29"/>
      <c r="F248" s="29"/>
      <c r="G248" s="339"/>
      <c r="H248" s="57" t="s">
        <v>15</v>
      </c>
      <c r="I248" s="58"/>
      <c r="J248" s="58"/>
      <c r="K248" s="58"/>
      <c r="L248" s="171"/>
      <c r="M248" s="58"/>
      <c r="N248" s="58"/>
      <c r="O248" s="58"/>
      <c r="P248" s="171"/>
      <c r="Q248" s="171"/>
      <c r="R248" s="171"/>
      <c r="S248" s="171"/>
      <c r="T248" s="58"/>
      <c r="U248" s="58"/>
      <c r="V248" s="171"/>
      <c r="W248" s="58"/>
      <c r="X248" s="58"/>
      <c r="Y248" s="58"/>
      <c r="Z248" s="171"/>
      <c r="AA248" s="58"/>
      <c r="AB248" s="58"/>
      <c r="AC248" s="58"/>
      <c r="AD248" s="58"/>
      <c r="AE248" s="58"/>
      <c r="AF248" s="58"/>
      <c r="AG248" s="171"/>
      <c r="AH248" s="58"/>
      <c r="AI248" s="58"/>
      <c r="AJ248" s="58"/>
      <c r="AK248" s="193"/>
      <c r="AL248" s="127">
        <f t="shared" si="45"/>
        <v>0</v>
      </c>
      <c r="AM248" s="94"/>
      <c r="AN248" s="125"/>
      <c r="AO248" s="94"/>
      <c r="AP248" s="94"/>
      <c r="AQ248" s="94"/>
      <c r="AR248" s="94"/>
      <c r="AS248" s="94"/>
      <c r="AT248" s="94"/>
      <c r="AU248" s="94"/>
      <c r="AV248" s="94"/>
    </row>
    <row r="249" spans="3:48">
      <c r="C249" s="29"/>
      <c r="D249" s="29"/>
      <c r="E249" s="29"/>
      <c r="F249" s="29"/>
      <c r="G249" s="340"/>
      <c r="H249" s="57" t="s">
        <v>110</v>
      </c>
      <c r="I249" s="58">
        <f>I248-I247</f>
        <v>0</v>
      </c>
      <c r="J249" s="58">
        <f>I249+(J248-J247)</f>
        <v>0</v>
      </c>
      <c r="K249" s="58">
        <f>J249+(K248-K247)</f>
        <v>0</v>
      </c>
      <c r="L249" s="171"/>
      <c r="M249" s="58">
        <f>K249+(M248-M247)</f>
        <v>0</v>
      </c>
      <c r="N249" s="58">
        <f>M249+(N248-N247)</f>
        <v>0</v>
      </c>
      <c r="O249" s="58">
        <f>N249+(O248-O247)</f>
        <v>0</v>
      </c>
      <c r="P249" s="171"/>
      <c r="Q249" s="171"/>
      <c r="R249" s="171"/>
      <c r="S249" s="171"/>
      <c r="T249" s="58">
        <f>O249+(T248-T247)</f>
        <v>0</v>
      </c>
      <c r="U249" s="58">
        <f>T249+(U248-U247)</f>
        <v>0</v>
      </c>
      <c r="V249" s="171"/>
      <c r="W249" s="58">
        <f>U249+(W248-W247)</f>
        <v>0</v>
      </c>
      <c r="X249" s="58">
        <f>W249+(X248-X247)</f>
        <v>0</v>
      </c>
      <c r="Y249" s="58">
        <f>X249+(Y248-Y247)</f>
        <v>0</v>
      </c>
      <c r="Z249" s="171"/>
      <c r="AA249" s="58">
        <f>Y249+(AA248-AA247)</f>
        <v>0</v>
      </c>
      <c r="AB249" s="58">
        <f>AA249+(AB248-AB247)</f>
        <v>0</v>
      </c>
      <c r="AC249" s="58">
        <f>AB249+(AC248-AC247)</f>
        <v>0</v>
      </c>
      <c r="AD249" s="58">
        <f>AC249+(AD248-AD247)</f>
        <v>0</v>
      </c>
      <c r="AE249" s="58"/>
      <c r="AF249" s="58"/>
      <c r="AG249" s="171"/>
      <c r="AH249" s="58"/>
      <c r="AI249" s="58"/>
      <c r="AJ249" s="58"/>
      <c r="AK249" s="193"/>
      <c r="AL249" s="127"/>
      <c r="AM249" s="94"/>
      <c r="AN249" s="125"/>
      <c r="AO249" s="94"/>
      <c r="AP249" s="94"/>
      <c r="AQ249" s="94"/>
      <c r="AR249" s="94"/>
      <c r="AS249" s="94"/>
      <c r="AT249" s="94"/>
      <c r="AU249" s="94"/>
      <c r="AV249" s="94"/>
    </row>
    <row r="250" spans="3:48">
      <c r="C250" s="29"/>
      <c r="D250" s="29"/>
      <c r="E250" s="29"/>
      <c r="F250" s="29"/>
      <c r="G250" s="341">
        <v>0.1</v>
      </c>
      <c r="H250" s="62" t="s">
        <v>12</v>
      </c>
      <c r="I250" s="64">
        <v>0</v>
      </c>
      <c r="J250" s="64">
        <v>0</v>
      </c>
      <c r="K250" s="64">
        <v>0</v>
      </c>
      <c r="L250" s="239"/>
      <c r="M250" s="64">
        <v>0</v>
      </c>
      <c r="N250" s="64">
        <v>0</v>
      </c>
      <c r="O250" s="64">
        <v>0</v>
      </c>
      <c r="P250" s="239"/>
      <c r="Q250" s="239"/>
      <c r="R250" s="239"/>
      <c r="S250" s="239"/>
      <c r="T250" s="64">
        <v>0</v>
      </c>
      <c r="U250" s="64">
        <v>0</v>
      </c>
      <c r="V250" s="239"/>
      <c r="W250" s="64">
        <v>0</v>
      </c>
      <c r="X250" s="64">
        <v>0</v>
      </c>
      <c r="Y250" s="64">
        <v>0</v>
      </c>
      <c r="Z250" s="239"/>
      <c r="AA250" s="64">
        <v>0</v>
      </c>
      <c r="AB250" s="64">
        <v>0</v>
      </c>
      <c r="AC250" s="63">
        <f>(300/20)*7</f>
        <v>105</v>
      </c>
      <c r="AD250" s="63">
        <f>(300/20)*7</f>
        <v>105</v>
      </c>
      <c r="AE250" s="64">
        <v>0</v>
      </c>
      <c r="AF250" s="64">
        <v>0</v>
      </c>
      <c r="AG250" s="239"/>
      <c r="AH250" s="63">
        <v>0</v>
      </c>
      <c r="AI250" s="63">
        <v>0</v>
      </c>
      <c r="AJ250" s="63">
        <v>0</v>
      </c>
      <c r="AK250" s="205">
        <v>0</v>
      </c>
      <c r="AL250" s="128">
        <f t="shared" si="45"/>
        <v>210</v>
      </c>
      <c r="AM250" s="94"/>
      <c r="AN250" s="125"/>
      <c r="AO250" s="94"/>
      <c r="AP250" s="94"/>
      <c r="AQ250" s="94"/>
      <c r="AR250" s="94"/>
      <c r="AS250" s="94"/>
      <c r="AT250" s="94"/>
      <c r="AU250" s="94"/>
      <c r="AV250" s="94"/>
    </row>
    <row r="251" spans="3:48">
      <c r="C251" s="29"/>
      <c r="D251" s="29"/>
      <c r="E251" s="29"/>
      <c r="F251" s="29"/>
      <c r="G251" s="339"/>
      <c r="H251" s="57" t="s">
        <v>15</v>
      </c>
      <c r="I251" s="58"/>
      <c r="J251" s="58"/>
      <c r="K251" s="58"/>
      <c r="L251" s="171"/>
      <c r="M251" s="58"/>
      <c r="N251" s="58"/>
      <c r="O251" s="58"/>
      <c r="P251" s="171"/>
      <c r="Q251" s="171"/>
      <c r="R251" s="171"/>
      <c r="S251" s="171"/>
      <c r="T251" s="58"/>
      <c r="U251" s="58"/>
      <c r="V251" s="171"/>
      <c r="W251" s="58"/>
      <c r="X251" s="58"/>
      <c r="Y251" s="58"/>
      <c r="Z251" s="171"/>
      <c r="AA251" s="58"/>
      <c r="AB251" s="58"/>
      <c r="AC251" s="58">
        <v>110.65</v>
      </c>
      <c r="AD251" s="58">
        <v>111.85</v>
      </c>
      <c r="AE251" s="58">
        <v>24.19</v>
      </c>
      <c r="AF251" s="58"/>
      <c r="AG251" s="171"/>
      <c r="AH251" s="58"/>
      <c r="AI251" s="58"/>
      <c r="AJ251" s="58"/>
      <c r="AK251" s="193"/>
      <c r="AL251" s="127">
        <f t="shared" si="45"/>
        <v>246.69</v>
      </c>
      <c r="AM251" s="94"/>
      <c r="AN251" s="125"/>
      <c r="AO251" s="94"/>
      <c r="AP251" s="94"/>
      <c r="AQ251" s="94"/>
      <c r="AR251" s="94"/>
      <c r="AS251" s="94"/>
      <c r="AT251" s="94"/>
      <c r="AU251" s="94"/>
      <c r="AV251" s="94"/>
    </row>
    <row r="252" spans="3:48">
      <c r="C252" s="29"/>
      <c r="D252" s="29"/>
      <c r="E252" s="29"/>
      <c r="F252" s="29"/>
      <c r="G252" s="340"/>
      <c r="H252" s="57" t="s">
        <v>110</v>
      </c>
      <c r="I252" s="58">
        <f>I251-I250</f>
        <v>0</v>
      </c>
      <c r="J252" s="58">
        <f>I252+(J251-J250)</f>
        <v>0</v>
      </c>
      <c r="K252" s="58">
        <f>J252+(K251-K250)</f>
        <v>0</v>
      </c>
      <c r="L252" s="171"/>
      <c r="M252" s="58">
        <f>K252+(M251-M250)</f>
        <v>0</v>
      </c>
      <c r="N252" s="58">
        <f>M252+(N251-N250)</f>
        <v>0</v>
      </c>
      <c r="O252" s="58">
        <f>N252+(O251-O250)</f>
        <v>0</v>
      </c>
      <c r="P252" s="171"/>
      <c r="Q252" s="171"/>
      <c r="R252" s="171"/>
      <c r="S252" s="171"/>
      <c r="T252" s="58">
        <f>O252+(T251-T250)</f>
        <v>0</v>
      </c>
      <c r="U252" s="58">
        <f>T252+(U251-U250)</f>
        <v>0</v>
      </c>
      <c r="V252" s="171"/>
      <c r="W252" s="58">
        <f>U252+(W251-W250)</f>
        <v>0</v>
      </c>
      <c r="X252" s="58">
        <f>W252+(X251-X250)</f>
        <v>0</v>
      </c>
      <c r="Y252" s="58">
        <f>X252+(Y251-Y250)</f>
        <v>0</v>
      </c>
      <c r="Z252" s="171"/>
      <c r="AA252" s="58">
        <f>Y252+(AA251-AA250)</f>
        <v>0</v>
      </c>
      <c r="AB252" s="58">
        <f>AA252+(AB251-AB250)</f>
        <v>0</v>
      </c>
      <c r="AC252" s="58">
        <f>AB252+(AC251-AC250)</f>
        <v>5.6500000000000101</v>
      </c>
      <c r="AD252" s="58">
        <f>AC252+(AD251-AD250)</f>
        <v>12.5</v>
      </c>
      <c r="AE252" s="58">
        <f>AD252+(AE251-AE250)</f>
        <v>36.69</v>
      </c>
      <c r="AF252" s="58"/>
      <c r="AG252" s="171"/>
      <c r="AH252" s="58"/>
      <c r="AI252" s="58"/>
      <c r="AJ252" s="58"/>
      <c r="AK252" s="193"/>
      <c r="AL252" s="127"/>
      <c r="AM252" s="94"/>
      <c r="AN252" s="125"/>
      <c r="AO252" s="94"/>
      <c r="AP252" s="94"/>
      <c r="AQ252" s="94"/>
      <c r="AR252" s="94"/>
      <c r="AS252" s="94"/>
      <c r="AT252" s="94"/>
      <c r="AU252" s="94"/>
      <c r="AV252" s="94"/>
    </row>
    <row r="253" spans="3:48">
      <c r="C253" s="29"/>
      <c r="D253" s="29"/>
      <c r="E253" s="29"/>
      <c r="F253" s="29"/>
      <c r="G253" s="341">
        <v>0.2</v>
      </c>
      <c r="H253" s="62" t="s">
        <v>12</v>
      </c>
      <c r="I253" s="64">
        <v>0</v>
      </c>
      <c r="J253" s="64">
        <v>0</v>
      </c>
      <c r="K253" s="64">
        <v>0</v>
      </c>
      <c r="L253" s="171"/>
      <c r="M253" s="64">
        <v>0</v>
      </c>
      <c r="N253" s="63">
        <f>(1300/20)*2</f>
        <v>130</v>
      </c>
      <c r="O253" s="63">
        <f>(1300/20)*3</f>
        <v>195</v>
      </c>
      <c r="P253" s="171"/>
      <c r="Q253" s="171"/>
      <c r="R253" s="171"/>
      <c r="S253" s="171"/>
      <c r="T253" s="63">
        <f>(1300/20)*2</f>
        <v>130</v>
      </c>
      <c r="U253" s="63">
        <f t="shared" ref="U253" si="47">1300/20</f>
        <v>65</v>
      </c>
      <c r="V253" s="171"/>
      <c r="W253" s="64">
        <v>0</v>
      </c>
      <c r="X253" s="64">
        <v>0</v>
      </c>
      <c r="Y253" s="64">
        <v>0</v>
      </c>
      <c r="Z253" s="171"/>
      <c r="AA253" s="64">
        <v>0</v>
      </c>
      <c r="AB253" s="64">
        <v>0</v>
      </c>
      <c r="AC253" s="64">
        <v>0</v>
      </c>
      <c r="AD253" s="64">
        <v>0</v>
      </c>
      <c r="AE253" s="64">
        <v>0</v>
      </c>
      <c r="AF253" s="64">
        <v>0</v>
      </c>
      <c r="AG253" s="171"/>
      <c r="AH253" s="63">
        <v>0</v>
      </c>
      <c r="AI253" s="63">
        <v>0</v>
      </c>
      <c r="AJ253" s="63">
        <v>0</v>
      </c>
      <c r="AK253" s="194">
        <v>0</v>
      </c>
      <c r="AL253" s="128">
        <f t="shared" si="45"/>
        <v>520</v>
      </c>
      <c r="AM253" s="94"/>
      <c r="AN253" s="125"/>
      <c r="AO253" s="94"/>
      <c r="AP253" s="94"/>
      <c r="AQ253" s="94"/>
      <c r="AR253" s="94"/>
      <c r="AS253" s="94"/>
      <c r="AT253" s="94"/>
      <c r="AU253" s="94"/>
      <c r="AV253" s="94"/>
    </row>
    <row r="254" spans="3:48">
      <c r="C254" s="29"/>
      <c r="D254" s="29"/>
      <c r="E254" s="29"/>
      <c r="F254" s="29"/>
      <c r="G254" s="339"/>
      <c r="H254" s="57" t="s">
        <v>15</v>
      </c>
      <c r="I254" s="58"/>
      <c r="J254" s="58"/>
      <c r="K254" s="58"/>
      <c r="L254" s="171"/>
      <c r="M254" s="58"/>
      <c r="N254" s="172">
        <v>148.75</v>
      </c>
      <c r="O254" s="172">
        <v>312.32</v>
      </c>
      <c r="P254" s="171"/>
      <c r="Q254" s="171"/>
      <c r="R254" s="171"/>
      <c r="S254" s="171"/>
      <c r="T254" s="172">
        <v>286.31</v>
      </c>
      <c r="U254" s="172">
        <v>133.27000000000001</v>
      </c>
      <c r="V254" s="171"/>
      <c r="W254" s="58"/>
      <c r="X254" s="58"/>
      <c r="Y254" s="58"/>
      <c r="Z254" s="171"/>
      <c r="AA254" s="58"/>
      <c r="AB254" s="58"/>
      <c r="AC254" s="58"/>
      <c r="AD254" s="58"/>
      <c r="AE254" s="58"/>
      <c r="AF254" s="58"/>
      <c r="AG254" s="171"/>
      <c r="AH254" s="58"/>
      <c r="AI254" s="58"/>
      <c r="AJ254" s="58"/>
      <c r="AK254" s="193"/>
      <c r="AL254" s="127">
        <f t="shared" si="45"/>
        <v>880.65</v>
      </c>
      <c r="AM254" s="94"/>
      <c r="AN254" s="125"/>
      <c r="AO254" s="94"/>
      <c r="AP254" s="94"/>
      <c r="AQ254" s="94"/>
      <c r="AR254" s="94"/>
      <c r="AS254" s="94"/>
      <c r="AT254" s="94"/>
      <c r="AU254" s="94"/>
      <c r="AV254" s="94"/>
    </row>
    <row r="255" spans="3:48">
      <c r="C255" s="29"/>
      <c r="D255" s="29"/>
      <c r="E255" s="29"/>
      <c r="F255" s="29"/>
      <c r="G255" s="340"/>
      <c r="H255" s="57" t="s">
        <v>110</v>
      </c>
      <c r="I255" s="58">
        <f>I254-I253</f>
        <v>0</v>
      </c>
      <c r="J255" s="58">
        <f>I255+(J254-J253)</f>
        <v>0</v>
      </c>
      <c r="K255" s="58">
        <f>J255+(K254-K253)</f>
        <v>0</v>
      </c>
      <c r="L255" s="171"/>
      <c r="M255" s="58">
        <f>K255+(M254-M253)</f>
        <v>0</v>
      </c>
      <c r="N255" s="58">
        <f>M255+(N254-N253)</f>
        <v>18.75</v>
      </c>
      <c r="O255" s="58">
        <f>N255+(O254-O253)</f>
        <v>136.07</v>
      </c>
      <c r="P255" s="171"/>
      <c r="Q255" s="171"/>
      <c r="R255" s="171"/>
      <c r="S255" s="171"/>
      <c r="T255" s="58">
        <f>O255+(T254-T253)</f>
        <v>292.38</v>
      </c>
      <c r="U255" s="58">
        <f>T255+(U254-U253)</f>
        <v>360.65</v>
      </c>
      <c r="V255" s="171"/>
      <c r="W255" s="58">
        <f>U255+(W254-W253)</f>
        <v>360.65</v>
      </c>
      <c r="X255" s="58"/>
      <c r="Y255" s="58"/>
      <c r="Z255" s="171"/>
      <c r="AA255" s="58"/>
      <c r="AB255" s="58"/>
      <c r="AC255" s="58"/>
      <c r="AD255" s="58"/>
      <c r="AE255" s="58"/>
      <c r="AF255" s="58"/>
      <c r="AG255" s="171"/>
      <c r="AH255" s="58"/>
      <c r="AI255" s="58"/>
      <c r="AJ255" s="58"/>
      <c r="AK255" s="193"/>
      <c r="AL255" s="127"/>
      <c r="AM255" s="94"/>
      <c r="AN255" s="125"/>
      <c r="AO255" s="94"/>
      <c r="AP255" s="94"/>
      <c r="AQ255" s="94"/>
      <c r="AR255" s="94"/>
      <c r="AS255" s="94"/>
      <c r="AT255" s="94"/>
      <c r="AU255" s="94"/>
      <c r="AV255" s="94"/>
    </row>
    <row r="256" spans="3:48">
      <c r="C256" s="29"/>
      <c r="D256" s="29"/>
      <c r="E256" s="29"/>
      <c r="F256" s="29"/>
      <c r="G256" s="341">
        <v>0.254</v>
      </c>
      <c r="H256" s="62" t="s">
        <v>12</v>
      </c>
      <c r="I256" s="64">
        <v>0</v>
      </c>
      <c r="J256" s="64">
        <v>0</v>
      </c>
      <c r="K256" s="64">
        <v>0</v>
      </c>
      <c r="L256" s="171"/>
      <c r="M256" s="64">
        <v>0</v>
      </c>
      <c r="N256" s="64">
        <v>0</v>
      </c>
      <c r="O256" s="64">
        <v>0</v>
      </c>
      <c r="P256" s="171"/>
      <c r="Q256" s="171"/>
      <c r="R256" s="171"/>
      <c r="S256" s="171"/>
      <c r="T256" s="64">
        <v>0</v>
      </c>
      <c r="U256" s="64">
        <v>0</v>
      </c>
      <c r="V256" s="171"/>
      <c r="W256" s="64">
        <v>0</v>
      </c>
      <c r="X256" s="64">
        <v>0</v>
      </c>
      <c r="Y256" s="64">
        <v>0</v>
      </c>
      <c r="Z256" s="171"/>
      <c r="AA256" s="64">
        <v>0</v>
      </c>
      <c r="AB256" s="64">
        <v>0</v>
      </c>
      <c r="AC256" s="64">
        <v>0</v>
      </c>
      <c r="AD256" s="64">
        <v>0</v>
      </c>
      <c r="AE256" s="64">
        <v>0</v>
      </c>
      <c r="AF256" s="64">
        <v>0</v>
      </c>
      <c r="AG256" s="171"/>
      <c r="AH256" s="63">
        <v>0</v>
      </c>
      <c r="AI256" s="63">
        <v>0</v>
      </c>
      <c r="AJ256" s="63">
        <v>0</v>
      </c>
      <c r="AK256" s="194">
        <v>0</v>
      </c>
      <c r="AL256" s="128">
        <f t="shared" si="45"/>
        <v>0</v>
      </c>
      <c r="AM256" s="94"/>
      <c r="AN256" s="125"/>
      <c r="AO256" s="94"/>
      <c r="AP256" s="94"/>
      <c r="AQ256" s="94"/>
      <c r="AR256" s="94"/>
      <c r="AS256" s="94"/>
      <c r="AT256" s="94"/>
      <c r="AU256" s="94"/>
      <c r="AV256" s="94"/>
    </row>
    <row r="257" spans="3:48">
      <c r="C257" s="29"/>
      <c r="D257" s="29"/>
      <c r="E257" s="29"/>
      <c r="F257" s="29"/>
      <c r="G257" s="339"/>
      <c r="H257" s="57" t="s">
        <v>15</v>
      </c>
      <c r="I257" s="58"/>
      <c r="J257" s="58"/>
      <c r="K257" s="58"/>
      <c r="L257" s="171"/>
      <c r="M257" s="58"/>
      <c r="N257" s="58"/>
      <c r="O257" s="58"/>
      <c r="P257" s="171"/>
      <c r="Q257" s="171"/>
      <c r="R257" s="171"/>
      <c r="S257" s="171"/>
      <c r="T257" s="58"/>
      <c r="U257" s="58"/>
      <c r="V257" s="171"/>
      <c r="W257" s="58"/>
      <c r="X257" s="58"/>
      <c r="Y257" s="58"/>
      <c r="Z257" s="171"/>
      <c r="AA257" s="58"/>
      <c r="AB257" s="58"/>
      <c r="AC257" s="58"/>
      <c r="AD257" s="58"/>
      <c r="AE257" s="58"/>
      <c r="AF257" s="58"/>
      <c r="AG257" s="171"/>
      <c r="AH257" s="58"/>
      <c r="AI257" s="58"/>
      <c r="AJ257" s="58"/>
      <c r="AK257" s="193"/>
      <c r="AL257" s="127">
        <f t="shared" si="45"/>
        <v>0</v>
      </c>
      <c r="AM257" s="94"/>
      <c r="AN257" s="125"/>
      <c r="AO257" s="94"/>
      <c r="AP257" s="94"/>
      <c r="AQ257" s="94"/>
      <c r="AR257" s="94"/>
      <c r="AS257" s="94"/>
      <c r="AT257" s="94"/>
      <c r="AU257" s="94"/>
      <c r="AV257" s="94"/>
    </row>
    <row r="258" spans="3:48">
      <c r="C258" s="29"/>
      <c r="D258" s="29"/>
      <c r="E258" s="29"/>
      <c r="F258" s="29"/>
      <c r="G258" s="342"/>
      <c r="H258" s="67" t="s">
        <v>110</v>
      </c>
      <c r="I258" s="169">
        <f>I257-I256</f>
        <v>0</v>
      </c>
      <c r="J258" s="169">
        <f>I258+(J257-J256)</f>
        <v>0</v>
      </c>
      <c r="K258" s="169">
        <f>J258+(K257-K256)</f>
        <v>0</v>
      </c>
      <c r="L258" s="182"/>
      <c r="M258" s="169">
        <f>K258+(M257-M256)</f>
        <v>0</v>
      </c>
      <c r="N258" s="169">
        <f>M258+(N257-N256)</f>
        <v>0</v>
      </c>
      <c r="O258" s="169">
        <f>N258+(O257-O256)</f>
        <v>0</v>
      </c>
      <c r="P258" s="182"/>
      <c r="Q258" s="182"/>
      <c r="R258" s="182"/>
      <c r="S258" s="182"/>
      <c r="T258" s="169">
        <f>O258+(T257-T256)</f>
        <v>0</v>
      </c>
      <c r="U258" s="169">
        <f>T258+(U257-U256)</f>
        <v>0</v>
      </c>
      <c r="V258" s="182"/>
      <c r="W258" s="169">
        <f>U258+(W257-W256)</f>
        <v>0</v>
      </c>
      <c r="X258" s="169">
        <f>W258+(X257-X256)</f>
        <v>0</v>
      </c>
      <c r="Y258" s="169">
        <f>X258+(Y257-Y256)</f>
        <v>0</v>
      </c>
      <c r="Z258" s="182"/>
      <c r="AA258" s="169">
        <f>Y258+(AA257-AA256)</f>
        <v>0</v>
      </c>
      <c r="AB258" s="169">
        <f>AA258+(AB257-AB256)</f>
        <v>0</v>
      </c>
      <c r="AC258" s="169">
        <f>AB258+(AC257-AC256)</f>
        <v>0</v>
      </c>
      <c r="AD258" s="169">
        <f>AC258+(AD257-AD256)</f>
        <v>0</v>
      </c>
      <c r="AE258" s="254"/>
      <c r="AF258" s="254"/>
      <c r="AG258" s="226"/>
      <c r="AH258" s="254"/>
      <c r="AI258" s="254"/>
      <c r="AJ258" s="254"/>
      <c r="AK258" s="255"/>
      <c r="AL258" s="129"/>
      <c r="AM258" s="94"/>
      <c r="AN258" s="125"/>
      <c r="AO258" s="94"/>
      <c r="AP258" s="94"/>
      <c r="AQ258" s="94"/>
      <c r="AR258" s="94"/>
      <c r="AS258" s="94"/>
      <c r="AT258" s="94"/>
      <c r="AU258" s="94"/>
      <c r="AV258" s="94"/>
    </row>
    <row r="259" spans="3:48">
      <c r="C259" s="29"/>
      <c r="D259" s="29"/>
      <c r="E259" s="29"/>
      <c r="F259" s="29"/>
      <c r="G259" s="68"/>
      <c r="H259" s="69" t="s">
        <v>111</v>
      </c>
      <c r="I259" s="70">
        <f>I238+I241+I244+I247+I250+I253+I256</f>
        <v>0</v>
      </c>
      <c r="J259" s="73">
        <f t="shared" ref="J259:K259" si="48">J238+J241+J244+J247+J250+J253+J256</f>
        <v>0</v>
      </c>
      <c r="K259" s="73">
        <f t="shared" si="48"/>
        <v>75</v>
      </c>
      <c r="L259" s="249"/>
      <c r="M259" s="73">
        <f t="shared" ref="M259:O259" si="49">M238+M241+M244+M247+M250+M253+M256</f>
        <v>355</v>
      </c>
      <c r="N259" s="73">
        <f t="shared" si="49"/>
        <v>485</v>
      </c>
      <c r="O259" s="73">
        <f t="shared" si="49"/>
        <v>550</v>
      </c>
      <c r="P259" s="249"/>
      <c r="Q259" s="249"/>
      <c r="R259" s="249"/>
      <c r="S259" s="249"/>
      <c r="T259" s="73">
        <f t="shared" ref="T259:U259" si="50">T238+T241+T244+T247+T250+T253+T256</f>
        <v>485</v>
      </c>
      <c r="U259" s="73">
        <f t="shared" si="50"/>
        <v>420</v>
      </c>
      <c r="V259" s="249"/>
      <c r="W259" s="73">
        <f t="shared" ref="W259:Y259" si="51">W238+W241+W244+W247+W250+W253+W256</f>
        <v>355</v>
      </c>
      <c r="X259" s="73">
        <f t="shared" si="51"/>
        <v>355</v>
      </c>
      <c r="Y259" s="73">
        <f t="shared" si="51"/>
        <v>355</v>
      </c>
      <c r="Z259" s="249"/>
      <c r="AA259" s="73">
        <f t="shared" ref="AA259:AF259" si="52">AA238+AA241+AA244+AA247+AA250+AA253+AA256</f>
        <v>355</v>
      </c>
      <c r="AB259" s="73">
        <f t="shared" si="52"/>
        <v>325</v>
      </c>
      <c r="AC259" s="73">
        <f t="shared" si="52"/>
        <v>430</v>
      </c>
      <c r="AD259" s="73">
        <f t="shared" si="52"/>
        <v>490</v>
      </c>
      <c r="AE259" s="73">
        <f t="shared" si="52"/>
        <v>625</v>
      </c>
      <c r="AF259" s="73">
        <f t="shared" si="52"/>
        <v>466</v>
      </c>
      <c r="AG259" s="249"/>
      <c r="AH259" s="73">
        <f t="shared" ref="AH259:AK259" si="53">AH238+AH241+AH244+AH247+AH250+AH253+AH256</f>
        <v>525</v>
      </c>
      <c r="AI259" s="73">
        <f t="shared" si="53"/>
        <v>465</v>
      </c>
      <c r="AJ259" s="73">
        <f t="shared" si="53"/>
        <v>525</v>
      </c>
      <c r="AK259" s="256">
        <f t="shared" si="53"/>
        <v>345</v>
      </c>
      <c r="AL259" s="126">
        <f t="shared" si="45"/>
        <v>7986</v>
      </c>
      <c r="AM259" s="94"/>
      <c r="AN259" s="125"/>
      <c r="AO259" s="94"/>
      <c r="AP259" s="94"/>
      <c r="AQ259" s="94"/>
      <c r="AR259" s="94"/>
      <c r="AS259" s="94"/>
      <c r="AT259" s="94"/>
      <c r="AU259" s="94"/>
      <c r="AV259" s="94"/>
    </row>
    <row r="260" spans="3:48">
      <c r="C260" s="29"/>
      <c r="D260" s="29"/>
      <c r="E260" s="29"/>
      <c r="F260" s="29"/>
      <c r="G260" s="68"/>
      <c r="H260" s="74" t="s">
        <v>112</v>
      </c>
      <c r="I260" s="75">
        <f>I239+I242+I245+I248+I251+I254+I257</f>
        <v>0</v>
      </c>
      <c r="J260" s="78">
        <f t="shared" ref="J260:K260" si="54">J239+J242+J245+J248+J251+J254+J257</f>
        <v>0</v>
      </c>
      <c r="K260" s="78">
        <f t="shared" si="54"/>
        <v>53.92</v>
      </c>
      <c r="L260" s="250"/>
      <c r="M260" s="78">
        <f t="shared" ref="M260:O260" si="55">M239+M242+M245+M248+M251+M254+M257</f>
        <v>304.70999999999998</v>
      </c>
      <c r="N260" s="78">
        <f t="shared" si="55"/>
        <v>525.4</v>
      </c>
      <c r="O260" s="78">
        <f t="shared" si="55"/>
        <v>726.1</v>
      </c>
      <c r="P260" s="250"/>
      <c r="Q260" s="250"/>
      <c r="R260" s="250"/>
      <c r="S260" s="250"/>
      <c r="T260" s="78">
        <f t="shared" ref="T260:U260" si="56">T239+T242+T245+T248+T251+T254+T257</f>
        <v>656.79</v>
      </c>
      <c r="U260" s="78">
        <f t="shared" si="56"/>
        <v>476.11</v>
      </c>
      <c r="V260" s="250"/>
      <c r="W260" s="78">
        <f t="shared" ref="W260:Y260" si="57">W239+W242+W245+W248+W251+W254+W257</f>
        <v>375.36</v>
      </c>
      <c r="X260" s="78">
        <f t="shared" si="57"/>
        <v>426.07</v>
      </c>
      <c r="Y260" s="78">
        <f t="shared" si="57"/>
        <v>439.51</v>
      </c>
      <c r="Z260" s="250"/>
      <c r="AA260" s="78">
        <f t="shared" ref="AA260:AF260" si="58">AA239+AA242+AA245+AA248+AA251+AA254+AA257</f>
        <v>434.44</v>
      </c>
      <c r="AB260" s="78">
        <f t="shared" si="58"/>
        <v>354.01</v>
      </c>
      <c r="AC260" s="78">
        <f t="shared" si="58"/>
        <v>458.11</v>
      </c>
      <c r="AD260" s="78">
        <f t="shared" si="58"/>
        <v>548.38</v>
      </c>
      <c r="AE260" s="78">
        <f t="shared" si="58"/>
        <v>796.88</v>
      </c>
      <c r="AF260" s="78">
        <f t="shared" si="58"/>
        <v>399.62</v>
      </c>
      <c r="AG260" s="250"/>
      <c r="AH260" s="78">
        <f t="shared" ref="AH260:AK260" si="59">AH239+AH242+AH245+AH248+AH251+AH254+AH257</f>
        <v>662.44</v>
      </c>
      <c r="AI260" s="78">
        <f t="shared" si="59"/>
        <v>543.95000000000005</v>
      </c>
      <c r="AJ260" s="78">
        <f t="shared" si="59"/>
        <v>666.47</v>
      </c>
      <c r="AK260" s="257">
        <f t="shared" si="59"/>
        <v>507.85</v>
      </c>
      <c r="AL260" s="130">
        <f t="shared" si="45"/>
        <v>9356.1200000000008</v>
      </c>
      <c r="AM260" s="94"/>
      <c r="AN260" s="125"/>
      <c r="AO260" s="94"/>
      <c r="AP260" s="94"/>
      <c r="AQ260" s="94"/>
      <c r="AR260" s="94"/>
      <c r="AS260" s="94"/>
      <c r="AT260" s="94"/>
      <c r="AU260" s="94"/>
      <c r="AV260" s="94"/>
    </row>
    <row r="261" spans="3:48">
      <c r="C261" s="29"/>
      <c r="D261" s="29"/>
      <c r="E261" s="29"/>
      <c r="F261" s="29"/>
      <c r="AM261" s="94"/>
      <c r="AN261" s="125"/>
      <c r="AO261" s="94"/>
      <c r="AP261" s="94"/>
      <c r="AQ261" s="94"/>
      <c r="AR261" s="94"/>
      <c r="AS261" s="94"/>
      <c r="AT261" s="94"/>
      <c r="AU261" s="94"/>
      <c r="AV261" s="94"/>
    </row>
    <row r="262" spans="3:48">
      <c r="C262" s="29"/>
      <c r="D262" s="29"/>
      <c r="E262" s="29"/>
      <c r="F262" s="29"/>
      <c r="AM262" s="94"/>
      <c r="AN262" s="125"/>
      <c r="AO262" s="94"/>
      <c r="AP262" s="94"/>
      <c r="AQ262" s="94"/>
      <c r="AR262" s="94"/>
      <c r="AS262" s="94"/>
      <c r="AT262" s="94"/>
      <c r="AU262" s="94"/>
      <c r="AV262" s="94"/>
    </row>
    <row r="263" spans="3:48">
      <c r="C263" s="29"/>
      <c r="D263" s="29"/>
      <c r="E263" s="29"/>
      <c r="F263" s="29"/>
      <c r="AM263" s="94"/>
      <c r="AN263" s="125"/>
      <c r="AO263" s="94"/>
      <c r="AP263" s="94"/>
      <c r="AQ263" s="94"/>
      <c r="AR263" s="94"/>
      <c r="AS263" s="94"/>
      <c r="AT263" s="94"/>
      <c r="AU263" s="94"/>
      <c r="AV263" s="94"/>
    </row>
    <row r="264" spans="3:48">
      <c r="C264" s="29"/>
      <c r="D264" s="29"/>
      <c r="E264" s="29"/>
      <c r="F264" s="29"/>
      <c r="AM264" s="94"/>
      <c r="AN264" s="125"/>
      <c r="AO264" s="94"/>
      <c r="AP264" s="94"/>
      <c r="AQ264" s="94"/>
      <c r="AR264" s="94"/>
      <c r="AS264" s="94"/>
      <c r="AT264" s="94"/>
      <c r="AU264" s="94"/>
      <c r="AV264" s="94"/>
    </row>
    <row r="265" spans="3:48" ht="30" customHeight="1">
      <c r="C265" s="29"/>
      <c r="D265" s="29"/>
      <c r="E265" s="29"/>
      <c r="F265" s="29"/>
      <c r="G265" s="79" t="s">
        <v>7</v>
      </c>
      <c r="H265" s="80" t="s">
        <v>8</v>
      </c>
      <c r="I265" s="124">
        <v>1</v>
      </c>
      <c r="J265" s="124">
        <v>2</v>
      </c>
      <c r="K265" s="124">
        <v>3</v>
      </c>
      <c r="L265" s="166">
        <v>4</v>
      </c>
      <c r="M265" s="124">
        <v>5</v>
      </c>
      <c r="N265" s="124">
        <v>6</v>
      </c>
      <c r="O265" s="124">
        <v>7</v>
      </c>
      <c r="P265" s="166">
        <v>8</v>
      </c>
      <c r="Q265" s="166">
        <v>9</v>
      </c>
      <c r="R265" s="166">
        <v>10</v>
      </c>
      <c r="S265" s="166">
        <v>11</v>
      </c>
      <c r="T265" s="124">
        <v>12</v>
      </c>
      <c r="U265" s="124">
        <v>13</v>
      </c>
      <c r="V265" s="166">
        <v>14</v>
      </c>
      <c r="W265" s="124">
        <v>15</v>
      </c>
      <c r="X265" s="124">
        <v>16</v>
      </c>
      <c r="Y265" s="124">
        <v>17</v>
      </c>
      <c r="Z265" s="166">
        <v>18</v>
      </c>
      <c r="AA265" s="124">
        <v>19</v>
      </c>
      <c r="AB265" s="124">
        <v>20</v>
      </c>
      <c r="AC265" s="124">
        <v>21</v>
      </c>
      <c r="AD265" s="124">
        <v>22</v>
      </c>
      <c r="AE265" s="124">
        <v>23</v>
      </c>
      <c r="AF265" s="124">
        <v>24</v>
      </c>
      <c r="AG265" s="166">
        <v>25</v>
      </c>
      <c r="AH265" s="124">
        <v>26</v>
      </c>
      <c r="AI265" s="124">
        <v>27</v>
      </c>
      <c r="AJ265" s="124">
        <v>28</v>
      </c>
      <c r="AK265" s="124">
        <v>29</v>
      </c>
      <c r="AL265" s="124" t="s">
        <v>9</v>
      </c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</row>
    <row r="266" spans="3:48">
      <c r="G266" s="343" t="s">
        <v>113</v>
      </c>
      <c r="H266" s="81" t="s">
        <v>17</v>
      </c>
      <c r="I266" s="63">
        <v>180</v>
      </c>
      <c r="J266" s="63">
        <v>100</v>
      </c>
      <c r="K266" s="63">
        <v>60</v>
      </c>
      <c r="L266" s="171"/>
      <c r="M266" s="63">
        <v>60</v>
      </c>
      <c r="N266" s="63">
        <f t="shared" ref="N266:O266" si="60">5500/20</f>
        <v>275</v>
      </c>
      <c r="O266" s="63">
        <f t="shared" si="60"/>
        <v>275</v>
      </c>
      <c r="P266" s="171"/>
      <c r="Q266" s="171"/>
      <c r="R266" s="171"/>
      <c r="S266" s="171"/>
      <c r="T266" s="63">
        <f>5500/20</f>
        <v>275</v>
      </c>
      <c r="U266" s="63">
        <f>5500/20</f>
        <v>275</v>
      </c>
      <c r="V266" s="171"/>
      <c r="W266" s="63">
        <f t="shared" ref="W266:Y266" si="61">5500/20</f>
        <v>275</v>
      </c>
      <c r="X266" s="63">
        <f t="shared" si="61"/>
        <v>275</v>
      </c>
      <c r="Y266" s="63">
        <f t="shared" si="61"/>
        <v>275</v>
      </c>
      <c r="Z266" s="171"/>
      <c r="AA266" s="63">
        <f t="shared" ref="AA266:AE266" si="62">5500/20</f>
        <v>275</v>
      </c>
      <c r="AB266" s="63">
        <f t="shared" si="62"/>
        <v>275</v>
      </c>
      <c r="AC266" s="63">
        <f t="shared" si="62"/>
        <v>275</v>
      </c>
      <c r="AD266" s="63">
        <f t="shared" si="62"/>
        <v>275</v>
      </c>
      <c r="AE266" s="63">
        <f t="shared" si="62"/>
        <v>275</v>
      </c>
      <c r="AF266" s="63">
        <v>216</v>
      </c>
      <c r="AG266" s="171"/>
      <c r="AH266" s="63">
        <v>0</v>
      </c>
      <c r="AI266" s="63">
        <v>0</v>
      </c>
      <c r="AJ266" s="63">
        <v>0</v>
      </c>
      <c r="AK266" s="63">
        <v>0</v>
      </c>
      <c r="AL266" s="128">
        <f t="shared" ref="AL266:AL294" si="63">SUM(I266:AK266)</f>
        <v>3916</v>
      </c>
    </row>
    <row r="267" spans="3:48">
      <c r="G267" s="344"/>
      <c r="H267" s="57" t="s">
        <v>15</v>
      </c>
      <c r="I267" s="58">
        <v>178.82</v>
      </c>
      <c r="J267" s="58">
        <v>98.4</v>
      </c>
      <c r="K267" s="58">
        <v>60.52</v>
      </c>
      <c r="L267" s="171"/>
      <c r="M267" s="58">
        <v>64.739999999999995</v>
      </c>
      <c r="N267" s="58">
        <v>217.72</v>
      </c>
      <c r="O267" s="58">
        <v>325.8</v>
      </c>
      <c r="P267" s="171"/>
      <c r="Q267" s="171"/>
      <c r="R267" s="171"/>
      <c r="S267" s="171"/>
      <c r="T267" s="58">
        <v>319.92</v>
      </c>
      <c r="U267" s="58">
        <v>395.42</v>
      </c>
      <c r="V267" s="171"/>
      <c r="W267" s="58">
        <v>342.4</v>
      </c>
      <c r="X267" s="58">
        <v>549.5</v>
      </c>
      <c r="Y267" s="58">
        <v>312.86</v>
      </c>
      <c r="Z267" s="171"/>
      <c r="AA267" s="58">
        <v>249.2</v>
      </c>
      <c r="AB267" s="58">
        <v>384.74</v>
      </c>
      <c r="AC267" s="58">
        <v>331.14</v>
      </c>
      <c r="AD267" s="58">
        <v>354.44</v>
      </c>
      <c r="AE267" s="58">
        <v>327.26</v>
      </c>
      <c r="AF267" s="58">
        <v>226.26</v>
      </c>
      <c r="AG267" s="171"/>
      <c r="AH267" s="58">
        <v>30.36</v>
      </c>
      <c r="AI267" s="58"/>
      <c r="AJ267" s="58"/>
      <c r="AK267" s="193"/>
      <c r="AL267" s="127">
        <f t="shared" si="63"/>
        <v>4769.5</v>
      </c>
    </row>
    <row r="268" spans="3:48">
      <c r="C268" s="29"/>
      <c r="D268" s="29"/>
      <c r="E268" s="29"/>
      <c r="F268" s="29"/>
      <c r="G268" s="345"/>
      <c r="H268" s="57" t="s">
        <v>114</v>
      </c>
      <c r="I268" s="58">
        <f>I267-I266</f>
        <v>-1.1800000000000099</v>
      </c>
      <c r="J268" s="58">
        <f>I268+(J267-J266)</f>
        <v>-2.78</v>
      </c>
      <c r="K268" s="58">
        <f>J268+(K267-K266)</f>
        <v>-2.2599999999999998</v>
      </c>
      <c r="L268" s="171"/>
      <c r="M268" s="58">
        <f>K268+(M267-M266)</f>
        <v>2.48</v>
      </c>
      <c r="N268" s="58">
        <f>M268+(N267-N266)</f>
        <v>-54.8</v>
      </c>
      <c r="O268" s="58">
        <f>N268+(O267-O266)</f>
        <v>-3.9999999999999898</v>
      </c>
      <c r="P268" s="171"/>
      <c r="Q268" s="171"/>
      <c r="R268" s="171"/>
      <c r="S268" s="171"/>
      <c r="T268" s="58">
        <f>O268+(T267-T266)</f>
        <v>40.92</v>
      </c>
      <c r="U268" s="58">
        <f>T268+(U267-U266)</f>
        <v>161.34</v>
      </c>
      <c r="V268" s="171"/>
      <c r="W268" s="58">
        <f>U268+(W267-W266)</f>
        <v>228.74</v>
      </c>
      <c r="X268" s="58">
        <f>W268+(X267-X266)</f>
        <v>503.24</v>
      </c>
      <c r="Y268" s="58">
        <f>X268+(Y267-Y266)</f>
        <v>541.1</v>
      </c>
      <c r="Z268" s="171"/>
      <c r="AA268" s="58">
        <f>Y268+(AA267-AA266)</f>
        <v>515.29999999999995</v>
      </c>
      <c r="AB268" s="58">
        <f>AA268+(AB267-AB266)</f>
        <v>625.04</v>
      </c>
      <c r="AC268" s="58">
        <f>AB268+(AC267-AC266)</f>
        <v>681.18</v>
      </c>
      <c r="AD268" s="58">
        <f>AC268+(AD267-AD266)</f>
        <v>760.62</v>
      </c>
      <c r="AE268" s="58">
        <f>AD268+(AE267-AE266)</f>
        <v>812.88</v>
      </c>
      <c r="AF268" s="58">
        <f>AE268+(AF267-AF266)</f>
        <v>823.14</v>
      </c>
      <c r="AG268" s="171"/>
      <c r="AH268" s="58">
        <f>AF268+(AH267-AH266)</f>
        <v>853.5</v>
      </c>
      <c r="AI268" s="58"/>
      <c r="AJ268" s="58"/>
      <c r="AK268" s="193"/>
      <c r="AL268" s="127"/>
      <c r="AM268" s="94"/>
      <c r="AN268" s="125"/>
      <c r="AO268" s="94"/>
      <c r="AP268" s="94"/>
      <c r="AQ268" s="94"/>
      <c r="AR268" s="94"/>
      <c r="AS268" s="94"/>
      <c r="AT268" s="94"/>
      <c r="AU268" s="94"/>
      <c r="AV268" s="94"/>
    </row>
    <row r="269" spans="3:48">
      <c r="G269" s="343" t="s">
        <v>115</v>
      </c>
      <c r="H269" s="81" t="s">
        <v>17</v>
      </c>
      <c r="I269" s="63">
        <f>IFERROR(SUMIF($G$1:$G$235,$G269,I$1:I$235),0)</f>
        <v>0</v>
      </c>
      <c r="J269" s="63">
        <f>IFERROR(SUMIF($G$1:$G$235,$G269,J$1:J$235),0)</f>
        <v>0</v>
      </c>
      <c r="K269" s="63">
        <f>IFERROR(SUMIF($G$1:$G$235,$G269,K$1:K$235),0)</f>
        <v>0</v>
      </c>
      <c r="L269" s="171"/>
      <c r="M269" s="63">
        <f>IFERROR(SUMIF($G$1:$G$235,$G269,M$1:M$235),0)</f>
        <v>0</v>
      </c>
      <c r="N269" s="63">
        <f>IFERROR(SUMIF($G$1:$G$235,$G269,N$1:N$235),0)</f>
        <v>0</v>
      </c>
      <c r="O269" s="63">
        <f>IFERROR(SUMIF($G$1:$G$235,$G269,O$1:O$235),0)</f>
        <v>0</v>
      </c>
      <c r="P269" s="171"/>
      <c r="Q269" s="171"/>
      <c r="R269" s="171"/>
      <c r="S269" s="171"/>
      <c r="T269" s="63">
        <f>IFERROR(SUMIF($G$1:$G$235,$G269,T$1:T$235),0)</f>
        <v>0</v>
      </c>
      <c r="U269" s="63">
        <f>IFERROR(SUMIF($G$1:$G$235,$G269,U$1:U$235),0)</f>
        <v>0</v>
      </c>
      <c r="V269" s="171"/>
      <c r="W269" s="63">
        <f>IFERROR(SUMIF($G$1:$G$235,$G269,W$1:W$235),0)</f>
        <v>0</v>
      </c>
      <c r="X269" s="63">
        <f>IFERROR(SUMIF($G$1:$G$235,$G269,X$1:X$235),0)</f>
        <v>0</v>
      </c>
      <c r="Y269" s="63">
        <f>IFERROR(SUMIF($G$1:$G$235,$G269,Y$1:Y$235),0)</f>
        <v>0</v>
      </c>
      <c r="Z269" s="171"/>
      <c r="AA269" s="63">
        <f t="shared" ref="AA269:AE269" si="64">IFERROR(SUMIF($G$1:$G$235,$G269,AA$1:AA$235),0)</f>
        <v>0</v>
      </c>
      <c r="AB269" s="63">
        <f t="shared" si="64"/>
        <v>0</v>
      </c>
      <c r="AC269" s="63">
        <f t="shared" si="64"/>
        <v>0</v>
      </c>
      <c r="AD269" s="63">
        <f t="shared" si="64"/>
        <v>0</v>
      </c>
      <c r="AE269" s="63">
        <f t="shared" si="64"/>
        <v>0</v>
      </c>
      <c r="AF269" s="63">
        <v>0</v>
      </c>
      <c r="AG269" s="171"/>
      <c r="AH269" s="63">
        <f>(1000/5)*3</f>
        <v>600</v>
      </c>
      <c r="AI269" s="63">
        <v>100</v>
      </c>
      <c r="AJ269" s="63">
        <v>150</v>
      </c>
      <c r="AK269" s="194">
        <v>150</v>
      </c>
      <c r="AL269" s="128">
        <f t="shared" si="63"/>
        <v>1000</v>
      </c>
      <c r="AM269" s="94"/>
    </row>
    <row r="270" spans="3:48">
      <c r="G270" s="344"/>
      <c r="H270" s="57" t="s">
        <v>15</v>
      </c>
      <c r="I270" s="58"/>
      <c r="J270" s="58"/>
      <c r="K270" s="58"/>
      <c r="L270" s="171"/>
      <c r="M270" s="58"/>
      <c r="N270" s="58"/>
      <c r="O270" s="58"/>
      <c r="P270" s="171"/>
      <c r="Q270" s="171"/>
      <c r="R270" s="171"/>
      <c r="S270" s="171"/>
      <c r="T270" s="58"/>
      <c r="U270" s="58"/>
      <c r="V270" s="171"/>
      <c r="W270" s="58"/>
      <c r="X270" s="58"/>
      <c r="Y270" s="58"/>
      <c r="Z270" s="171"/>
      <c r="AA270" s="58"/>
      <c r="AB270" s="58"/>
      <c r="AC270" s="58"/>
      <c r="AD270" s="58"/>
      <c r="AE270" s="58"/>
      <c r="AF270" s="58"/>
      <c r="AG270" s="171"/>
      <c r="AH270" s="58">
        <v>707.12</v>
      </c>
      <c r="AI270" s="58">
        <v>42.62</v>
      </c>
      <c r="AJ270" s="58">
        <v>195.6</v>
      </c>
      <c r="AK270" s="193">
        <v>104.82</v>
      </c>
      <c r="AL270" s="127">
        <f t="shared" si="63"/>
        <v>1050.1600000000001</v>
      </c>
      <c r="AM270" s="94"/>
    </row>
    <row r="271" spans="3:48">
      <c r="C271" s="29"/>
      <c r="D271" s="29"/>
      <c r="E271" s="29"/>
      <c r="F271" s="29"/>
      <c r="G271" s="345"/>
      <c r="H271" s="57" t="s">
        <v>114</v>
      </c>
      <c r="I271" s="58">
        <f>I270-I269</f>
        <v>0</v>
      </c>
      <c r="J271" s="58">
        <f>I271+(J270-J269)</f>
        <v>0</v>
      </c>
      <c r="K271" s="58">
        <f>J271+(K270-K269)</f>
        <v>0</v>
      </c>
      <c r="L271" s="171"/>
      <c r="M271" s="58">
        <f>K271+(M270-M269)</f>
        <v>0</v>
      </c>
      <c r="N271" s="58">
        <f>M271+(N270-N269)</f>
        <v>0</v>
      </c>
      <c r="O271" s="58">
        <f>N271+(O270-O269)</f>
        <v>0</v>
      </c>
      <c r="P271" s="171"/>
      <c r="Q271" s="171"/>
      <c r="R271" s="171"/>
      <c r="S271" s="171"/>
      <c r="T271" s="58">
        <f>O271+(T270-T269)</f>
        <v>0</v>
      </c>
      <c r="U271" s="58">
        <f>T271+(U270-U269)</f>
        <v>0</v>
      </c>
      <c r="V271" s="171"/>
      <c r="W271" s="58">
        <f>U271+(W270-W269)</f>
        <v>0</v>
      </c>
      <c r="X271" s="58">
        <f>W271+(X270-X269)</f>
        <v>0</v>
      </c>
      <c r="Y271" s="58">
        <f>X271+(Y270-Y269)</f>
        <v>0</v>
      </c>
      <c r="Z271" s="171"/>
      <c r="AA271" s="58">
        <f>Y271+(AA270-AA269)</f>
        <v>0</v>
      </c>
      <c r="AB271" s="58">
        <f>AA271+(AB270-AB269)</f>
        <v>0</v>
      </c>
      <c r="AC271" s="58">
        <f>AB271+(AC270-AC269)</f>
        <v>0</v>
      </c>
      <c r="AD271" s="58">
        <f>AC271+(AD270-AD269)</f>
        <v>0</v>
      </c>
      <c r="AE271" s="58">
        <f>AD271+(AE270-AE269)</f>
        <v>0</v>
      </c>
      <c r="AF271" s="58">
        <f>AE271+(AF270-AF269)</f>
        <v>0</v>
      </c>
      <c r="AG271" s="171"/>
      <c r="AH271" s="58">
        <f>AF271+(AH270-AH269)</f>
        <v>107.12</v>
      </c>
      <c r="AI271" s="58">
        <f>AH271+(AI270-AI269)</f>
        <v>49.74</v>
      </c>
      <c r="AJ271" s="58">
        <f>AI271+(AJ270-AJ269)</f>
        <v>95.34</v>
      </c>
      <c r="AK271" s="58">
        <f>AJ271+(AK270-AK269)</f>
        <v>50.16</v>
      </c>
      <c r="AL271" s="127"/>
      <c r="AM271" s="94"/>
      <c r="AN271" s="125"/>
      <c r="AO271" s="94"/>
      <c r="AP271" s="94"/>
      <c r="AQ271" s="94"/>
      <c r="AR271" s="94"/>
      <c r="AS271" s="94"/>
      <c r="AT271" s="94"/>
      <c r="AU271" s="94"/>
      <c r="AV271" s="94"/>
    </row>
    <row r="272" spans="3:48">
      <c r="G272" s="343" t="s">
        <v>116</v>
      </c>
      <c r="H272" s="81" t="s">
        <v>17</v>
      </c>
      <c r="I272" s="63">
        <f>IFERROR(SUMIF($G$1:$G$235,$G272,I$1:I$235),0)</f>
        <v>0</v>
      </c>
      <c r="J272" s="63">
        <f>IFERROR(SUMIF($G$1:$G$235,$G272,J$1:J$235),0)</f>
        <v>0</v>
      </c>
      <c r="K272" s="63">
        <f>IFERROR(SUMIF($G$1:$G$235,$G272,K$1:K$235),0)</f>
        <v>0</v>
      </c>
      <c r="L272" s="171"/>
      <c r="M272" s="63">
        <v>120</v>
      </c>
      <c r="N272" s="63">
        <v>120</v>
      </c>
      <c r="O272" s="63">
        <f>IFERROR(SUMIF($G$1:$G$235,$G272,O$1:O$235),0)</f>
        <v>0</v>
      </c>
      <c r="P272" s="171"/>
      <c r="Q272" s="171"/>
      <c r="R272" s="171"/>
      <c r="S272" s="171"/>
      <c r="T272" s="63">
        <f>IFERROR(SUMIF($G$1:$G$235,$G272,T$1:T$235),0)</f>
        <v>0</v>
      </c>
      <c r="U272" s="63">
        <f>IFERROR(SUMIF($G$1:$G$235,$G272,U$1:U$235),0)</f>
        <v>0</v>
      </c>
      <c r="V272" s="171"/>
      <c r="W272" s="63">
        <f>IFERROR(SUMIF($G$1:$G$235,$G272,W$1:W$235),0)</f>
        <v>0</v>
      </c>
      <c r="X272" s="63">
        <f>IFERROR(SUMIF($G$1:$G$235,$G272,X$1:X$235),0)</f>
        <v>0</v>
      </c>
      <c r="Y272" s="63">
        <f>IFERROR(SUMIF($G$1:$G$235,$G272,Y$1:Y$235),0)</f>
        <v>0</v>
      </c>
      <c r="Z272" s="171"/>
      <c r="AA272" s="63">
        <f t="shared" ref="AA272:AF272" si="65">IFERROR(SUMIF($G$1:$G$235,$G272,AA$1:AA$235),0)</f>
        <v>0</v>
      </c>
      <c r="AB272" s="63">
        <f t="shared" si="65"/>
        <v>0</v>
      </c>
      <c r="AC272" s="63">
        <f t="shared" si="65"/>
        <v>0</v>
      </c>
      <c r="AD272" s="63">
        <f t="shared" si="65"/>
        <v>0</v>
      </c>
      <c r="AE272" s="63">
        <f t="shared" si="65"/>
        <v>0</v>
      </c>
      <c r="AF272" s="63">
        <f t="shared" si="65"/>
        <v>0</v>
      </c>
      <c r="AG272" s="171"/>
      <c r="AH272" s="63">
        <f>IFERROR(SUMIF($G$1:$G$235,$G272,AH$1:AH$235),0)</f>
        <v>0</v>
      </c>
      <c r="AI272" s="63">
        <f>IFERROR(SUMIF($G$1:$G$235,$G272,AI$1:AI$235),0)</f>
        <v>0</v>
      </c>
      <c r="AJ272" s="63">
        <f>IFERROR(SUMIF($G$1:$G$235,$G272,AJ$1:AJ$235),0)</f>
        <v>0</v>
      </c>
      <c r="AK272" s="194">
        <f>IFERROR(SUMIF($G$1:$G$235,$G272,AK$1:AK$235),0)</f>
        <v>0</v>
      </c>
      <c r="AL272" s="128">
        <f t="shared" si="63"/>
        <v>240</v>
      </c>
      <c r="AO272" s="131"/>
    </row>
    <row r="273" spans="3:48">
      <c r="G273" s="344"/>
      <c r="H273" s="57" t="s">
        <v>15</v>
      </c>
      <c r="I273" s="58"/>
      <c r="J273" s="58"/>
      <c r="K273" s="58"/>
      <c r="L273" s="171"/>
      <c r="M273" s="58">
        <v>146.62</v>
      </c>
      <c r="N273" s="58">
        <v>118.28</v>
      </c>
      <c r="O273" s="58"/>
      <c r="P273" s="171"/>
      <c r="Q273" s="171"/>
      <c r="R273" s="171"/>
      <c r="S273" s="171"/>
      <c r="T273" s="58"/>
      <c r="U273" s="58"/>
      <c r="V273" s="171"/>
      <c r="W273" s="58"/>
      <c r="X273" s="58"/>
      <c r="Z273" s="171"/>
      <c r="AA273" s="58"/>
      <c r="AB273" s="58"/>
      <c r="AC273" s="58"/>
      <c r="AD273" s="58"/>
      <c r="AE273" s="58"/>
      <c r="AF273" s="58"/>
      <c r="AG273" s="171"/>
      <c r="AH273" s="58"/>
      <c r="AI273" s="58"/>
      <c r="AJ273" s="58"/>
      <c r="AK273" s="193"/>
      <c r="AL273" s="127">
        <f t="shared" si="63"/>
        <v>264.89999999999998</v>
      </c>
      <c r="AO273" s="131"/>
    </row>
    <row r="274" spans="3:48">
      <c r="C274" s="29"/>
      <c r="D274" s="29"/>
      <c r="E274" s="29"/>
      <c r="F274" s="29"/>
      <c r="G274" s="345"/>
      <c r="H274" s="57" t="s">
        <v>114</v>
      </c>
      <c r="I274" s="58">
        <f>I273-I272</f>
        <v>0</v>
      </c>
      <c r="J274" s="58">
        <f>I274+(J273-J272)</f>
        <v>0</v>
      </c>
      <c r="K274" s="58">
        <f>J274+(K273-K272)</f>
        <v>0</v>
      </c>
      <c r="L274" s="171"/>
      <c r="M274" s="58">
        <f>K274+(M273-M272)</f>
        <v>26.62</v>
      </c>
      <c r="N274" s="58">
        <f>M274+(N273-N272)</f>
        <v>24.9</v>
      </c>
      <c r="O274" s="58">
        <f>N274+(O273-O272)</f>
        <v>24.9</v>
      </c>
      <c r="P274" s="171"/>
      <c r="Q274" s="171"/>
      <c r="R274" s="171"/>
      <c r="S274" s="171"/>
      <c r="T274" s="58"/>
      <c r="U274" s="58"/>
      <c r="V274" s="171"/>
      <c r="W274" s="58"/>
      <c r="X274" s="58"/>
      <c r="Y274" s="58"/>
      <c r="Z274" s="171"/>
      <c r="AA274" s="58"/>
      <c r="AB274" s="58"/>
      <c r="AC274" s="58"/>
      <c r="AD274" s="58"/>
      <c r="AE274" s="58"/>
      <c r="AF274" s="58"/>
      <c r="AG274" s="171"/>
      <c r="AH274" s="58"/>
      <c r="AI274" s="58"/>
      <c r="AJ274" s="58"/>
      <c r="AK274" s="193"/>
      <c r="AL274" s="127"/>
      <c r="AM274" s="94"/>
      <c r="AN274" s="125"/>
      <c r="AO274" s="94"/>
      <c r="AP274" s="94"/>
      <c r="AQ274" s="94"/>
      <c r="AR274" s="94"/>
      <c r="AS274" s="94"/>
      <c r="AT274" s="94"/>
      <c r="AU274" s="94"/>
      <c r="AV274" s="94"/>
    </row>
    <row r="275" spans="3:48">
      <c r="G275" s="343" t="s">
        <v>117</v>
      </c>
      <c r="H275" s="81" t="s">
        <v>17</v>
      </c>
      <c r="I275" s="63">
        <f>IFERROR(SUMIF($G$1:$G$235,$G275,I$1:I$235),0)</f>
        <v>0</v>
      </c>
      <c r="J275" s="63">
        <f>IFERROR(SUMIF($G$1:$G$235,$G275,J$1:J$235),0)</f>
        <v>0</v>
      </c>
      <c r="K275" s="63">
        <f>IFERROR(SUMIF($G$1:$G$235,$G275,K$1:K$235),0)</f>
        <v>0</v>
      </c>
      <c r="L275" s="171"/>
      <c r="M275" s="63">
        <f>IFERROR(SUMIF($G$1:$G$235,$G275,M$1:M$235),0)</f>
        <v>0</v>
      </c>
      <c r="N275" s="63">
        <f>IFERROR(SUMIF($G$1:$G$235,$G275,N$1:N$235),0)</f>
        <v>0</v>
      </c>
      <c r="O275" s="63">
        <f>IFERROR(SUMIF($G$1:$G$235,$G275,O$1:O$235),0)</f>
        <v>0</v>
      </c>
      <c r="P275" s="171"/>
      <c r="Q275" s="171"/>
      <c r="R275" s="171"/>
      <c r="S275" s="171"/>
      <c r="T275" s="63">
        <f>IFERROR(SUMIF($G$1:$G$235,$G275,T$1:T$235),0)</f>
        <v>0</v>
      </c>
      <c r="U275" s="63">
        <f>IFERROR(SUMIF($G$1:$G$235,$G275,U$1:U$235),0)</f>
        <v>0</v>
      </c>
      <c r="V275" s="171"/>
      <c r="W275" s="63">
        <f>IFERROR(SUMIF($G$1:$G$235,$G275,W$1:W$235),0)</f>
        <v>0</v>
      </c>
      <c r="X275" s="63">
        <f>IFERROR(SUMIF($G$1:$G$235,$G275,X$1:X$235),0)</f>
        <v>0</v>
      </c>
      <c r="Y275" s="63">
        <f>IFERROR(SUMIF($G$1:$G$235,$G275,Y$1:Y$235),0)</f>
        <v>0</v>
      </c>
      <c r="Z275" s="171"/>
      <c r="AA275" s="63">
        <f t="shared" ref="AA275:AF275" si="66">IFERROR(SUMIF($G$1:$G$235,$G275,AA$1:AA$235),0)</f>
        <v>0</v>
      </c>
      <c r="AB275" s="63">
        <f t="shared" si="66"/>
        <v>0</v>
      </c>
      <c r="AC275" s="63">
        <f t="shared" si="66"/>
        <v>0</v>
      </c>
      <c r="AD275" s="63">
        <f t="shared" si="66"/>
        <v>0</v>
      </c>
      <c r="AE275" s="63">
        <f t="shared" si="66"/>
        <v>0</v>
      </c>
      <c r="AF275" s="63">
        <f t="shared" si="66"/>
        <v>0</v>
      </c>
      <c r="AG275" s="171"/>
      <c r="AH275" s="63">
        <f>IFERROR(SUMIF($G$1:$G$235,$G275,AH$1:AH$235),0)</f>
        <v>0</v>
      </c>
      <c r="AI275" s="63">
        <f>IFERROR(SUMIF($G$1:$G$235,$G275,AI$1:AI$235),0)</f>
        <v>0</v>
      </c>
      <c r="AJ275" s="63">
        <f>IFERROR(SUMIF($G$1:$G$235,$G275,AJ$1:AJ$235),0)</f>
        <v>0</v>
      </c>
      <c r="AK275" s="194">
        <f>IFERROR(SUMIF($G$1:$G$235,$G275,AK$1:AK$235),0)</f>
        <v>0</v>
      </c>
      <c r="AL275" s="128">
        <f t="shared" si="63"/>
        <v>0</v>
      </c>
      <c r="AO275" s="131"/>
    </row>
    <row r="276" spans="3:48">
      <c r="G276" s="344"/>
      <c r="H276" s="57" t="s">
        <v>15</v>
      </c>
      <c r="I276" s="58"/>
      <c r="J276" s="58"/>
      <c r="K276" s="58"/>
      <c r="L276" s="171"/>
      <c r="M276" s="58"/>
      <c r="N276" s="58"/>
      <c r="O276" s="58"/>
      <c r="P276" s="171"/>
      <c r="Q276" s="171"/>
      <c r="R276" s="171"/>
      <c r="S276" s="171"/>
      <c r="T276" s="58"/>
      <c r="U276" s="58"/>
      <c r="V276" s="171"/>
      <c r="W276" s="58"/>
      <c r="X276" s="58"/>
      <c r="Y276" s="58"/>
      <c r="Z276" s="171"/>
      <c r="AA276" s="58"/>
      <c r="AB276" s="58"/>
      <c r="AC276" s="58"/>
      <c r="AD276" s="58"/>
      <c r="AE276" s="58"/>
      <c r="AF276" s="58"/>
      <c r="AG276" s="171"/>
      <c r="AH276" s="58"/>
      <c r="AI276" s="58"/>
      <c r="AJ276" s="58"/>
      <c r="AK276" s="193"/>
      <c r="AL276" s="127">
        <f t="shared" si="63"/>
        <v>0</v>
      </c>
      <c r="AO276" s="131"/>
    </row>
    <row r="277" spans="3:48">
      <c r="C277" s="29"/>
      <c r="D277" s="29"/>
      <c r="E277" s="29"/>
      <c r="F277" s="29"/>
      <c r="G277" s="345"/>
      <c r="H277" s="57" t="s">
        <v>114</v>
      </c>
      <c r="I277" s="58">
        <f>I276-I275</f>
        <v>0</v>
      </c>
      <c r="J277" s="58">
        <f>I277+(J276-J275)</f>
        <v>0</v>
      </c>
      <c r="K277" s="58">
        <f>J277+(K276-K275)</f>
        <v>0</v>
      </c>
      <c r="L277" s="171"/>
      <c r="M277" s="58">
        <f>K277+(M276-M275)</f>
        <v>0</v>
      </c>
      <c r="N277" s="58">
        <f>M277+(N276-N275)</f>
        <v>0</v>
      </c>
      <c r="O277" s="58">
        <f>N277+(O276-O275)</f>
        <v>0</v>
      </c>
      <c r="P277" s="171"/>
      <c r="Q277" s="171"/>
      <c r="R277" s="171"/>
      <c r="S277" s="171"/>
      <c r="T277" s="58">
        <f>O277+(T276-T275)</f>
        <v>0</v>
      </c>
      <c r="U277" s="58">
        <f>T277+(U276-U275)</f>
        <v>0</v>
      </c>
      <c r="V277" s="171"/>
      <c r="W277" s="58">
        <f>U277+(W276-W275)</f>
        <v>0</v>
      </c>
      <c r="X277" s="58">
        <f>W277+(X276-X275)</f>
        <v>0</v>
      </c>
      <c r="Y277" s="58">
        <f>X277+(Y276-Y275)</f>
        <v>0</v>
      </c>
      <c r="Z277" s="171"/>
      <c r="AA277" s="58">
        <f>Y277+(AA276-AA275)</f>
        <v>0</v>
      </c>
      <c r="AB277" s="58">
        <f>AA277+(AB276-AB275)</f>
        <v>0</v>
      </c>
      <c r="AC277" s="58">
        <f>AB277+(AC276-AC275)</f>
        <v>0</v>
      </c>
      <c r="AD277" s="58">
        <f>AC277+(AD276-AD275)</f>
        <v>0</v>
      </c>
      <c r="AE277" s="58">
        <f>AD277+(AE276-AE275)</f>
        <v>0</v>
      </c>
      <c r="AF277" s="58"/>
      <c r="AG277" s="171"/>
      <c r="AH277" s="58"/>
      <c r="AI277" s="58"/>
      <c r="AJ277" s="58"/>
      <c r="AK277" s="193"/>
      <c r="AL277" s="127"/>
      <c r="AM277" s="94"/>
      <c r="AN277" s="125"/>
      <c r="AO277" s="94"/>
      <c r="AP277" s="94"/>
      <c r="AQ277" s="94"/>
      <c r="AR277" s="94"/>
      <c r="AS277" s="94"/>
      <c r="AT277" s="94"/>
      <c r="AU277" s="94"/>
      <c r="AV277" s="94"/>
    </row>
    <row r="278" spans="3:48">
      <c r="G278" s="343" t="s">
        <v>118</v>
      </c>
      <c r="H278" s="81" t="s">
        <v>17</v>
      </c>
      <c r="I278" s="63">
        <v>0</v>
      </c>
      <c r="J278" s="63">
        <v>380</v>
      </c>
      <c r="K278" s="63">
        <v>101</v>
      </c>
      <c r="L278" s="171"/>
      <c r="M278" s="63">
        <v>0</v>
      </c>
      <c r="N278" s="63">
        <v>0</v>
      </c>
      <c r="O278" s="63">
        <v>0</v>
      </c>
      <c r="P278" s="171"/>
      <c r="Q278" s="171"/>
      <c r="R278" s="171"/>
      <c r="S278" s="171"/>
      <c r="T278" s="63">
        <v>0</v>
      </c>
      <c r="U278" s="63">
        <v>0</v>
      </c>
      <c r="V278" s="171"/>
      <c r="W278" s="63">
        <v>0</v>
      </c>
      <c r="X278" s="63">
        <v>0</v>
      </c>
      <c r="Y278" s="63">
        <f>(1300/20)*6</f>
        <v>390</v>
      </c>
      <c r="Z278" s="171"/>
      <c r="AA278" s="63">
        <v>380</v>
      </c>
      <c r="AB278" s="63">
        <v>0</v>
      </c>
      <c r="AC278" s="63">
        <v>0</v>
      </c>
      <c r="AD278" s="63">
        <v>0</v>
      </c>
      <c r="AE278" s="63">
        <v>0</v>
      </c>
      <c r="AF278" s="63">
        <v>0</v>
      </c>
      <c r="AG278" s="171"/>
      <c r="AH278" s="63">
        <v>0</v>
      </c>
      <c r="AI278" s="63">
        <v>0</v>
      </c>
      <c r="AJ278" s="63">
        <v>0</v>
      </c>
      <c r="AK278" s="63">
        <v>0</v>
      </c>
      <c r="AL278" s="128">
        <f t="shared" si="63"/>
        <v>1251</v>
      </c>
      <c r="AO278" s="131"/>
    </row>
    <row r="279" spans="3:48">
      <c r="G279" s="344"/>
      <c r="H279" s="57" t="s">
        <v>15</v>
      </c>
      <c r="I279" s="58"/>
      <c r="J279" s="58">
        <v>438.26</v>
      </c>
      <c r="K279" s="58">
        <v>101.86</v>
      </c>
      <c r="L279" s="171"/>
      <c r="M279" s="58">
        <v>4</v>
      </c>
      <c r="N279" s="58"/>
      <c r="O279" s="58"/>
      <c r="P279" s="171"/>
      <c r="Q279" s="171"/>
      <c r="R279" s="171"/>
      <c r="S279" s="171"/>
      <c r="T279" s="58"/>
      <c r="U279" s="58"/>
      <c r="V279" s="171"/>
      <c r="W279" s="58"/>
      <c r="X279" s="58"/>
      <c r="Y279" s="58">
        <v>491.7</v>
      </c>
      <c r="Z279" s="171"/>
      <c r="AA279" s="58">
        <v>380.12</v>
      </c>
      <c r="AB279" s="58">
        <v>10.88</v>
      </c>
      <c r="AC279" s="58"/>
      <c r="AD279" s="58"/>
      <c r="AE279" s="58"/>
      <c r="AF279" s="58"/>
      <c r="AG279" s="171"/>
      <c r="AH279" s="58"/>
      <c r="AI279" s="58"/>
      <c r="AJ279" s="58"/>
      <c r="AK279" s="193"/>
      <c r="AL279" s="127">
        <f t="shared" si="63"/>
        <v>1426.82</v>
      </c>
      <c r="AO279" s="131"/>
    </row>
    <row r="280" spans="3:48">
      <c r="C280" s="29"/>
      <c r="D280" s="29"/>
      <c r="E280" s="29"/>
      <c r="F280" s="29"/>
      <c r="G280" s="345"/>
      <c r="H280" s="57" t="s">
        <v>114</v>
      </c>
      <c r="I280" s="58">
        <f>I279-I278</f>
        <v>0</v>
      </c>
      <c r="J280" s="58">
        <f>I280+(J279-J278)</f>
        <v>58.26</v>
      </c>
      <c r="K280" s="58">
        <f>J280+(K279-K278)</f>
        <v>59.12</v>
      </c>
      <c r="L280" s="171"/>
      <c r="M280" s="58">
        <f>K280+(M279-M278)</f>
        <v>63.12</v>
      </c>
      <c r="N280" s="58">
        <f>M280+(N279-N278)</f>
        <v>63.12</v>
      </c>
      <c r="O280" s="58">
        <f>N280+(O279-O278)</f>
        <v>63.12</v>
      </c>
      <c r="P280" s="171"/>
      <c r="Q280" s="171"/>
      <c r="R280" s="171"/>
      <c r="S280" s="171"/>
      <c r="T280" s="58">
        <f>O280+(T279-T278)</f>
        <v>63.12</v>
      </c>
      <c r="U280" s="58">
        <f>T280+(U279-U278)</f>
        <v>63.12</v>
      </c>
      <c r="V280" s="171"/>
      <c r="W280" s="58">
        <f>U280+(W279-W278)</f>
        <v>63.12</v>
      </c>
      <c r="X280" s="58">
        <f>W280+(X279-X278)</f>
        <v>63.12</v>
      </c>
      <c r="Y280" s="58">
        <f>X280+(Y279-Y278)</f>
        <v>164.82</v>
      </c>
      <c r="Z280" s="171"/>
      <c r="AA280" s="58">
        <f>Y280+(AA279-AA278)</f>
        <v>164.94</v>
      </c>
      <c r="AB280" s="58">
        <f>AA280+(AB279-AB278)</f>
        <v>175.82</v>
      </c>
      <c r="AC280" s="58">
        <f>AB280+(AC279-AC278)</f>
        <v>175.82</v>
      </c>
      <c r="AD280" s="58"/>
      <c r="AE280" s="58"/>
      <c r="AF280" s="58"/>
      <c r="AG280" s="171"/>
      <c r="AH280" s="58"/>
      <c r="AI280" s="58"/>
      <c r="AJ280" s="58"/>
      <c r="AK280" s="193"/>
      <c r="AL280" s="127"/>
      <c r="AM280" s="94"/>
      <c r="AN280" s="125"/>
      <c r="AO280" s="94"/>
      <c r="AP280" s="94"/>
      <c r="AQ280" s="94"/>
      <c r="AR280" s="94"/>
      <c r="AS280" s="94"/>
      <c r="AT280" s="94"/>
      <c r="AU280" s="94"/>
      <c r="AV280" s="94"/>
    </row>
    <row r="281" spans="3:48">
      <c r="G281" s="343" t="s">
        <v>119</v>
      </c>
      <c r="H281" s="81" t="s">
        <v>120</v>
      </c>
      <c r="I281" s="63">
        <v>0</v>
      </c>
      <c r="J281" s="63">
        <v>0</v>
      </c>
      <c r="K281" s="63">
        <v>0</v>
      </c>
      <c r="L281" s="171"/>
      <c r="M281" s="63">
        <v>0</v>
      </c>
      <c r="N281" s="63">
        <v>0</v>
      </c>
      <c r="O281" s="63">
        <v>0</v>
      </c>
      <c r="P281" s="171"/>
      <c r="Q281" s="171"/>
      <c r="R281" s="171"/>
      <c r="S281" s="171"/>
      <c r="T281" s="63">
        <v>0</v>
      </c>
      <c r="U281" s="63">
        <v>0</v>
      </c>
      <c r="V281" s="171"/>
      <c r="W281" s="63">
        <v>0</v>
      </c>
      <c r="X281" s="63">
        <v>0</v>
      </c>
      <c r="Y281" s="63">
        <v>0</v>
      </c>
      <c r="Z281" s="171"/>
      <c r="AA281" s="63">
        <v>0</v>
      </c>
      <c r="AB281" s="63">
        <v>0</v>
      </c>
      <c r="AC281" s="63">
        <v>25</v>
      </c>
      <c r="AD281" s="63">
        <v>25</v>
      </c>
      <c r="AE281" s="63">
        <v>25</v>
      </c>
      <c r="AF281" s="63">
        <v>0</v>
      </c>
      <c r="AG281" s="171"/>
      <c r="AH281" s="63">
        <v>0</v>
      </c>
      <c r="AI281" s="63">
        <v>0</v>
      </c>
      <c r="AJ281" s="63">
        <v>0</v>
      </c>
      <c r="AK281" s="63">
        <v>0</v>
      </c>
      <c r="AL281" s="132">
        <f t="shared" si="63"/>
        <v>75</v>
      </c>
      <c r="AO281" s="131"/>
    </row>
    <row r="282" spans="3:48">
      <c r="G282" s="344"/>
      <c r="H282" s="57" t="s">
        <v>15</v>
      </c>
      <c r="I282" s="58">
        <v>6.26</v>
      </c>
      <c r="J282" s="58"/>
      <c r="K282" s="58"/>
      <c r="L282" s="171"/>
      <c r="M282" s="58"/>
      <c r="N282" s="58"/>
      <c r="O282" s="58"/>
      <c r="P282" s="171"/>
      <c r="Q282" s="171"/>
      <c r="R282" s="171"/>
      <c r="S282" s="171"/>
      <c r="T282" s="58"/>
      <c r="U282" s="58"/>
      <c r="V282" s="171"/>
      <c r="W282" s="58"/>
      <c r="X282" s="58"/>
      <c r="Y282" s="58"/>
      <c r="Z282" s="171"/>
      <c r="AA282" s="58"/>
      <c r="AB282" s="58"/>
      <c r="AC282" s="58">
        <v>20.100000000000001</v>
      </c>
      <c r="AD282" s="58">
        <v>23.36</v>
      </c>
      <c r="AE282" s="58">
        <v>22.64</v>
      </c>
      <c r="AF282" s="58"/>
      <c r="AG282" s="171"/>
      <c r="AH282" s="58"/>
      <c r="AI282" s="58"/>
      <c r="AJ282" s="58"/>
      <c r="AK282" s="193"/>
      <c r="AL282" s="127">
        <f t="shared" si="63"/>
        <v>72.36</v>
      </c>
      <c r="AO282" s="131"/>
    </row>
    <row r="283" spans="3:48">
      <c r="C283" s="29"/>
      <c r="D283" s="29"/>
      <c r="E283" s="29"/>
      <c r="F283" s="29"/>
      <c r="G283" s="345"/>
      <c r="H283" s="57" t="s">
        <v>114</v>
      </c>
      <c r="I283" s="58">
        <f>I282-I281</f>
        <v>6.26</v>
      </c>
      <c r="J283" s="58">
        <f>I283+(J282-J281)</f>
        <v>6.26</v>
      </c>
      <c r="K283" s="58">
        <f>J283+(K282-K281)</f>
        <v>6.26</v>
      </c>
      <c r="L283" s="171"/>
      <c r="M283" s="58">
        <f>K283+(M282-M281)</f>
        <v>6.26</v>
      </c>
      <c r="N283" s="58">
        <f>M283+(N282-N281)</f>
        <v>6.26</v>
      </c>
      <c r="O283" s="58">
        <f>N283+(O282-O281)</f>
        <v>6.26</v>
      </c>
      <c r="P283" s="171"/>
      <c r="Q283" s="171"/>
      <c r="R283" s="171"/>
      <c r="S283" s="171"/>
      <c r="T283" s="58">
        <f>O283+(T282-T281)</f>
        <v>6.26</v>
      </c>
      <c r="U283" s="58">
        <f>T283+(U282-U281)</f>
        <v>6.26</v>
      </c>
      <c r="V283" s="171"/>
      <c r="W283" s="58">
        <f>U283+(W282-W281)</f>
        <v>6.26</v>
      </c>
      <c r="X283" s="58">
        <f>W283+(X282-X281)</f>
        <v>6.26</v>
      </c>
      <c r="Y283" s="58">
        <f>X283+(Y282-Y281)</f>
        <v>6.26</v>
      </c>
      <c r="Z283" s="171"/>
      <c r="AA283" s="58">
        <f>Y283+(AA282-AA281)</f>
        <v>6.26</v>
      </c>
      <c r="AB283" s="58">
        <f>AA283+(AB282-AB281)</f>
        <v>6.26</v>
      </c>
      <c r="AC283" s="58">
        <f>AB283+(AC282-AC281)</f>
        <v>1.36</v>
      </c>
      <c r="AD283" s="58">
        <f>AC283+(AD282-AD281)</f>
        <v>-0.27999999999999903</v>
      </c>
      <c r="AE283" s="58">
        <f>AD283+(AE282-AE281)</f>
        <v>-2.64</v>
      </c>
      <c r="AF283" s="58">
        <f>AE283+(AF282-AF281)</f>
        <v>-2.64</v>
      </c>
      <c r="AG283" s="171"/>
      <c r="AH283" s="58"/>
      <c r="AI283" s="58"/>
      <c r="AJ283" s="58"/>
      <c r="AK283" s="193"/>
      <c r="AL283" s="127"/>
      <c r="AM283" s="94"/>
      <c r="AN283" s="125"/>
      <c r="AO283" s="94"/>
      <c r="AP283" s="94"/>
      <c r="AQ283" s="94"/>
      <c r="AR283" s="94"/>
      <c r="AS283" s="94"/>
      <c r="AT283" s="94"/>
      <c r="AU283" s="94"/>
      <c r="AV283" s="94"/>
    </row>
    <row r="284" spans="3:48">
      <c r="G284" s="343" t="s">
        <v>121</v>
      </c>
      <c r="H284" s="81" t="s">
        <v>122</v>
      </c>
      <c r="I284" s="63">
        <v>0</v>
      </c>
      <c r="J284" s="63">
        <v>0</v>
      </c>
      <c r="K284" s="63">
        <v>0</v>
      </c>
      <c r="L284" s="171"/>
      <c r="M284" s="63">
        <v>0</v>
      </c>
      <c r="N284" s="63">
        <v>0</v>
      </c>
      <c r="O284" s="63">
        <v>0</v>
      </c>
      <c r="P284" s="171"/>
      <c r="Q284" s="171"/>
      <c r="R284" s="171"/>
      <c r="S284" s="171"/>
      <c r="T284" s="63">
        <v>0</v>
      </c>
      <c r="U284" s="63">
        <v>0</v>
      </c>
      <c r="V284" s="171"/>
      <c r="W284" s="63">
        <v>0</v>
      </c>
      <c r="X284" s="63">
        <v>0</v>
      </c>
      <c r="Y284" s="63">
        <v>0</v>
      </c>
      <c r="Z284" s="171"/>
      <c r="AA284" s="63">
        <v>0</v>
      </c>
      <c r="AB284" s="63">
        <v>0</v>
      </c>
      <c r="AC284" s="63">
        <f>(300/20)*2</f>
        <v>30</v>
      </c>
      <c r="AD284" s="63">
        <f t="shared" ref="AD284:AF284" si="67">(300/20)*3</f>
        <v>45</v>
      </c>
      <c r="AE284" s="63">
        <f t="shared" si="67"/>
        <v>45</v>
      </c>
      <c r="AF284" s="63">
        <f t="shared" si="67"/>
        <v>45</v>
      </c>
      <c r="AG284" s="171"/>
      <c r="AH284" s="63">
        <v>0</v>
      </c>
      <c r="AI284" s="63">
        <v>0</v>
      </c>
      <c r="AJ284" s="63">
        <v>0</v>
      </c>
      <c r="AK284" s="194">
        <v>0</v>
      </c>
      <c r="AL284" s="132">
        <f t="shared" ref="AL284:AL285" si="68">SUM(I284:AK284)</f>
        <v>165</v>
      </c>
      <c r="AO284" s="131"/>
    </row>
    <row r="285" spans="3:48">
      <c r="G285" s="344"/>
      <c r="H285" s="57" t="s">
        <v>15</v>
      </c>
      <c r="I285" s="58"/>
      <c r="J285" s="58"/>
      <c r="K285" s="58"/>
      <c r="L285" s="171"/>
      <c r="M285" s="58"/>
      <c r="N285" s="58"/>
      <c r="O285" s="58"/>
      <c r="P285" s="171"/>
      <c r="Q285" s="171"/>
      <c r="R285" s="171"/>
      <c r="S285" s="171"/>
      <c r="T285" s="58"/>
      <c r="U285" s="58"/>
      <c r="V285" s="171"/>
      <c r="W285" s="58"/>
      <c r="X285" s="58"/>
      <c r="Y285" s="58"/>
      <c r="Z285" s="171"/>
      <c r="AA285" s="58"/>
      <c r="AB285" s="58"/>
      <c r="AC285" s="58">
        <v>39.82</v>
      </c>
      <c r="AD285" s="58">
        <v>69.92</v>
      </c>
      <c r="AE285" s="58">
        <v>57.28</v>
      </c>
      <c r="AF285" s="58"/>
      <c r="AG285" s="171"/>
      <c r="AH285" s="58"/>
      <c r="AI285" s="58"/>
      <c r="AJ285" s="58"/>
      <c r="AK285" s="193"/>
      <c r="AL285" s="127">
        <f t="shared" si="68"/>
        <v>167.02</v>
      </c>
      <c r="AO285" s="131"/>
    </row>
    <row r="286" spans="3:48">
      <c r="C286" s="29"/>
      <c r="D286" s="29"/>
      <c r="E286" s="29"/>
      <c r="F286" s="29"/>
      <c r="G286" s="345"/>
      <c r="H286" s="57" t="s">
        <v>114</v>
      </c>
      <c r="I286" s="58">
        <f>I285-I284</f>
        <v>0</v>
      </c>
      <c r="J286" s="58">
        <f>I286+(J285-J284)</f>
        <v>0</v>
      </c>
      <c r="K286" s="58">
        <f>J286+(K285-K284)</f>
        <v>0</v>
      </c>
      <c r="L286" s="171"/>
      <c r="M286" s="58">
        <f>K286+(M285-M284)</f>
        <v>0</v>
      </c>
      <c r="N286" s="58">
        <f>M286+(N285-N284)</f>
        <v>0</v>
      </c>
      <c r="O286" s="58">
        <f>N286+(O285-O284)</f>
        <v>0</v>
      </c>
      <c r="P286" s="171"/>
      <c r="Q286" s="171"/>
      <c r="R286" s="171"/>
      <c r="S286" s="171"/>
      <c r="T286" s="58">
        <f>O286+(T285-T284)</f>
        <v>0</v>
      </c>
      <c r="U286" s="58">
        <f>T286+(U285-U284)</f>
        <v>0</v>
      </c>
      <c r="V286" s="171"/>
      <c r="W286" s="58">
        <f>U286+(W285-W284)</f>
        <v>0</v>
      </c>
      <c r="X286" s="58">
        <f>W286+(X285-X284)</f>
        <v>0</v>
      </c>
      <c r="Y286" s="58">
        <f>X286+(Y285-Y284)</f>
        <v>0</v>
      </c>
      <c r="Z286" s="171"/>
      <c r="AA286" s="58">
        <f>Y286+(AA285-AA284)</f>
        <v>0</v>
      </c>
      <c r="AB286" s="58">
        <f>AA286+(AB285-AB284)</f>
        <v>0</v>
      </c>
      <c r="AC286" s="58">
        <f>AB286+(AC285-AC284)</f>
        <v>9.82</v>
      </c>
      <c r="AD286" s="58">
        <f>AC286+(AD285-AD284)</f>
        <v>34.74</v>
      </c>
      <c r="AE286" s="58">
        <f>AD286+(AE285-AE284)</f>
        <v>47.02</v>
      </c>
      <c r="AF286" s="58">
        <f>AE286+(AF285-AF284)</f>
        <v>2.02</v>
      </c>
      <c r="AG286" s="171"/>
      <c r="AH286" s="58"/>
      <c r="AI286" s="58"/>
      <c r="AJ286" s="58"/>
      <c r="AK286" s="193"/>
      <c r="AL286" s="127"/>
      <c r="AM286" s="94"/>
      <c r="AN286" s="125"/>
      <c r="AO286" s="94"/>
      <c r="AP286" s="94"/>
      <c r="AQ286" s="94"/>
      <c r="AR286" s="94"/>
      <c r="AS286" s="94"/>
      <c r="AT286" s="94"/>
      <c r="AU286" s="94"/>
      <c r="AV286" s="94"/>
    </row>
    <row r="287" spans="3:48">
      <c r="G287" s="343" t="s">
        <v>123</v>
      </c>
      <c r="H287" s="81" t="s">
        <v>122</v>
      </c>
      <c r="I287" s="63">
        <v>0</v>
      </c>
      <c r="J287" s="63">
        <v>0</v>
      </c>
      <c r="K287" s="63">
        <v>0</v>
      </c>
      <c r="L287" s="171"/>
      <c r="M287" s="63">
        <v>0</v>
      </c>
      <c r="N287" s="63">
        <v>0</v>
      </c>
      <c r="O287" s="63">
        <v>0</v>
      </c>
      <c r="P287" s="171"/>
      <c r="Q287" s="171"/>
      <c r="R287" s="171"/>
      <c r="S287" s="171"/>
      <c r="T287" s="63">
        <v>0</v>
      </c>
      <c r="U287" s="63">
        <v>0</v>
      </c>
      <c r="V287" s="171"/>
      <c r="W287" s="63">
        <v>0</v>
      </c>
      <c r="X287" s="63">
        <v>0</v>
      </c>
      <c r="Y287" s="63">
        <v>0</v>
      </c>
      <c r="Z287" s="171"/>
      <c r="AA287" s="63">
        <v>0</v>
      </c>
      <c r="AB287" s="63">
        <v>0</v>
      </c>
      <c r="AC287" s="63">
        <v>0</v>
      </c>
      <c r="AD287" s="63">
        <v>0</v>
      </c>
      <c r="AE287" s="63">
        <v>0</v>
      </c>
      <c r="AF287" s="63">
        <v>0</v>
      </c>
      <c r="AG287" s="171"/>
      <c r="AH287" s="63">
        <v>0</v>
      </c>
      <c r="AI287" s="63">
        <v>0</v>
      </c>
      <c r="AJ287" s="63">
        <v>0</v>
      </c>
      <c r="AK287" s="63">
        <v>0</v>
      </c>
      <c r="AL287" s="132"/>
      <c r="AO287" s="131"/>
    </row>
    <row r="288" spans="3:48">
      <c r="G288" s="344"/>
      <c r="H288" s="57" t="s">
        <v>15</v>
      </c>
      <c r="I288" s="58"/>
      <c r="J288" s="58"/>
      <c r="K288" s="58"/>
      <c r="L288" s="171"/>
      <c r="M288" s="58"/>
      <c r="N288" s="58"/>
      <c r="O288" s="58"/>
      <c r="P288" s="171"/>
      <c r="Q288" s="171"/>
      <c r="R288" s="171"/>
      <c r="S288" s="171"/>
      <c r="T288" s="58"/>
      <c r="U288" s="58"/>
      <c r="V288" s="171"/>
      <c r="W288" s="58"/>
      <c r="X288" s="58"/>
      <c r="Y288" s="58"/>
      <c r="Z288" s="171"/>
      <c r="AA288" s="58"/>
      <c r="AB288" s="58"/>
      <c r="AC288" s="58"/>
      <c r="AD288" s="58"/>
      <c r="AE288" s="58"/>
      <c r="AF288" s="58"/>
      <c r="AG288" s="171"/>
      <c r="AH288" s="58"/>
      <c r="AI288" s="58"/>
      <c r="AJ288" s="58"/>
      <c r="AK288" s="193"/>
      <c r="AL288" s="127"/>
      <c r="AO288" s="131"/>
    </row>
    <row r="289" spans="2:48">
      <c r="C289" s="29"/>
      <c r="D289" s="29"/>
      <c r="E289" s="29"/>
      <c r="F289" s="29"/>
      <c r="G289" s="345"/>
      <c r="H289" s="57" t="s">
        <v>114</v>
      </c>
      <c r="I289" s="58">
        <f>I288-I287</f>
        <v>0</v>
      </c>
      <c r="J289" s="58">
        <f>I289+(J288-J287)</f>
        <v>0</v>
      </c>
      <c r="K289" s="58">
        <f>J289+(K288-K287)</f>
        <v>0</v>
      </c>
      <c r="L289" s="171"/>
      <c r="M289" s="58">
        <f>K289+(M288-M287)</f>
        <v>0</v>
      </c>
      <c r="N289" s="58">
        <f>M289+(N288-N287)</f>
        <v>0</v>
      </c>
      <c r="O289" s="58">
        <f>N289+(O288-O287)</f>
        <v>0</v>
      </c>
      <c r="P289" s="171"/>
      <c r="Q289" s="171"/>
      <c r="R289" s="171"/>
      <c r="S289" s="171"/>
      <c r="T289" s="58">
        <f>O289+(T288-T287)</f>
        <v>0</v>
      </c>
      <c r="U289" s="58">
        <f>T289+(U288-U287)</f>
        <v>0</v>
      </c>
      <c r="V289" s="171"/>
      <c r="W289" s="58">
        <f>U289+(W288-W287)</f>
        <v>0</v>
      </c>
      <c r="X289" s="58">
        <f>W289+(X288-X287)</f>
        <v>0</v>
      </c>
      <c r="Y289" s="58">
        <f>X289+(Y288-Y287)</f>
        <v>0</v>
      </c>
      <c r="Z289" s="171"/>
      <c r="AA289" s="58">
        <f>Y289+(AA288-AA287)</f>
        <v>0</v>
      </c>
      <c r="AB289" s="58">
        <f>AA289+(AB288-AB287)</f>
        <v>0</v>
      </c>
      <c r="AC289" s="58">
        <f>AB289+(AC288-AC287)</f>
        <v>0</v>
      </c>
      <c r="AD289" s="58">
        <f>AC289+(AD288-AD287)</f>
        <v>0</v>
      </c>
      <c r="AE289" s="58">
        <f>AD289+(AE288-AE287)</f>
        <v>0</v>
      </c>
      <c r="AF289" s="58"/>
      <c r="AG289" s="171"/>
      <c r="AH289" s="58"/>
      <c r="AI289" s="58"/>
      <c r="AJ289" s="58"/>
      <c r="AK289" s="193"/>
      <c r="AL289" s="127"/>
      <c r="AM289" s="94"/>
      <c r="AN289" s="125"/>
      <c r="AO289" s="94"/>
      <c r="AP289" s="94"/>
      <c r="AQ289" s="94"/>
      <c r="AR289" s="94"/>
      <c r="AS289" s="94"/>
      <c r="AT289" s="94"/>
      <c r="AU289" s="94"/>
      <c r="AV289" s="94"/>
    </row>
    <row r="290" spans="2:48">
      <c r="G290" s="343" t="s">
        <v>124</v>
      </c>
      <c r="H290" s="81" t="s">
        <v>125</v>
      </c>
      <c r="I290" s="63">
        <f t="shared" ref="I290:K290" si="69">300/20</f>
        <v>15</v>
      </c>
      <c r="J290" s="63">
        <f t="shared" si="69"/>
        <v>15</v>
      </c>
      <c r="K290" s="63">
        <f t="shared" si="69"/>
        <v>15</v>
      </c>
      <c r="L290" s="171"/>
      <c r="M290" s="63">
        <f t="shared" ref="M290:O290" si="70">300/20</f>
        <v>15</v>
      </c>
      <c r="N290" s="63">
        <f t="shared" si="70"/>
        <v>15</v>
      </c>
      <c r="O290" s="63">
        <f t="shared" si="70"/>
        <v>15</v>
      </c>
      <c r="P290" s="171"/>
      <c r="Q290" s="171"/>
      <c r="R290" s="171"/>
      <c r="S290" s="171"/>
      <c r="T290" s="63">
        <v>0</v>
      </c>
      <c r="U290" s="63">
        <v>0</v>
      </c>
      <c r="V290" s="171"/>
      <c r="W290" s="63">
        <v>0</v>
      </c>
      <c r="X290" s="63">
        <v>0</v>
      </c>
      <c r="Y290" s="63">
        <v>0</v>
      </c>
      <c r="Z290" s="171"/>
      <c r="AA290" s="63">
        <v>0</v>
      </c>
      <c r="AB290" s="63">
        <v>0</v>
      </c>
      <c r="AC290" s="63">
        <v>0</v>
      </c>
      <c r="AD290" s="63">
        <v>0</v>
      </c>
      <c r="AE290" s="63">
        <v>0</v>
      </c>
      <c r="AF290" s="63">
        <v>0</v>
      </c>
      <c r="AG290" s="171"/>
      <c r="AH290" s="63">
        <v>0</v>
      </c>
      <c r="AI290" s="63">
        <v>0</v>
      </c>
      <c r="AJ290" s="63">
        <v>0</v>
      </c>
      <c r="AK290" s="194">
        <v>0</v>
      </c>
      <c r="AL290" s="132"/>
      <c r="AO290" s="131"/>
    </row>
    <row r="291" spans="2:48">
      <c r="G291" s="344"/>
      <c r="H291" s="57" t="s">
        <v>15</v>
      </c>
      <c r="I291" s="58"/>
      <c r="J291" s="58"/>
      <c r="K291" s="58"/>
      <c r="L291" s="171"/>
      <c r="M291" s="58"/>
      <c r="N291" s="58"/>
      <c r="O291" s="58"/>
      <c r="P291" s="171"/>
      <c r="Q291" s="171"/>
      <c r="R291" s="171"/>
      <c r="S291" s="171"/>
      <c r="T291" s="58"/>
      <c r="U291" s="58"/>
      <c r="V291" s="171"/>
      <c r="W291" s="58"/>
      <c r="X291" s="58"/>
      <c r="Y291" s="58"/>
      <c r="Z291" s="171"/>
      <c r="AA291" s="58"/>
      <c r="AB291" s="58"/>
      <c r="AC291" s="58"/>
      <c r="AD291" s="58"/>
      <c r="AE291" s="58"/>
      <c r="AF291" s="58"/>
      <c r="AG291" s="171"/>
      <c r="AH291" s="58"/>
      <c r="AI291" s="58"/>
      <c r="AJ291" s="58"/>
      <c r="AK291" s="193"/>
      <c r="AL291" s="127"/>
      <c r="AO291" s="131"/>
    </row>
    <row r="292" spans="2:48">
      <c r="C292" s="29"/>
      <c r="D292" s="29"/>
      <c r="E292" s="29"/>
      <c r="F292" s="29"/>
      <c r="G292" s="345"/>
      <c r="H292" s="57" t="s">
        <v>114</v>
      </c>
      <c r="I292" s="58">
        <f>I291-I290</f>
        <v>-15</v>
      </c>
      <c r="J292" s="58">
        <f>I292+(J291-J290)</f>
        <v>-30</v>
      </c>
      <c r="K292" s="58">
        <f>J292+(K291-K290)</f>
        <v>-45</v>
      </c>
      <c r="L292" s="171"/>
      <c r="M292" s="58">
        <f>K292+(M291-M290)</f>
        <v>-60</v>
      </c>
      <c r="N292" s="58">
        <f>M292+(N291-N290)</f>
        <v>-75</v>
      </c>
      <c r="O292" s="58">
        <f>N292+(O291-O290)</f>
        <v>-90</v>
      </c>
      <c r="P292" s="171"/>
      <c r="Q292" s="171"/>
      <c r="R292" s="171"/>
      <c r="S292" s="171"/>
      <c r="T292" s="58"/>
      <c r="U292" s="58"/>
      <c r="V292" s="171"/>
      <c r="W292" s="58"/>
      <c r="X292" s="58"/>
      <c r="Y292" s="58"/>
      <c r="Z292" s="171"/>
      <c r="AA292" s="58"/>
      <c r="AB292" s="58"/>
      <c r="AC292" s="58"/>
      <c r="AD292" s="58"/>
      <c r="AE292" s="58"/>
      <c r="AF292" s="58"/>
      <c r="AG292" s="171"/>
      <c r="AH292" s="58"/>
      <c r="AI292" s="58"/>
      <c r="AJ292" s="58"/>
      <c r="AK292" s="193"/>
      <c r="AL292" s="127"/>
      <c r="AM292" s="94"/>
      <c r="AN292" s="125"/>
      <c r="AO292" s="94"/>
      <c r="AP292" s="94"/>
      <c r="AQ292" s="94"/>
      <c r="AR292" s="94"/>
      <c r="AS292" s="94"/>
      <c r="AT292" s="94"/>
      <c r="AU292" s="94"/>
      <c r="AV292" s="94"/>
    </row>
    <row r="293" spans="2:48">
      <c r="G293" s="343" t="s">
        <v>126</v>
      </c>
      <c r="H293" s="81" t="s">
        <v>127</v>
      </c>
      <c r="I293" s="63">
        <v>0</v>
      </c>
      <c r="J293" s="63">
        <v>0</v>
      </c>
      <c r="K293" s="63">
        <v>0</v>
      </c>
      <c r="L293" s="171"/>
      <c r="M293" s="63">
        <v>0</v>
      </c>
      <c r="N293" s="63">
        <v>0</v>
      </c>
      <c r="O293" s="63">
        <v>0</v>
      </c>
      <c r="P293" s="171"/>
      <c r="Q293" s="171"/>
      <c r="R293" s="171"/>
      <c r="S293" s="171"/>
      <c r="T293" s="63">
        <v>0</v>
      </c>
      <c r="U293" s="63">
        <v>0</v>
      </c>
      <c r="V293" s="171"/>
      <c r="W293" s="63">
        <v>0</v>
      </c>
      <c r="X293" s="63">
        <v>0</v>
      </c>
      <c r="Y293" s="63">
        <v>0</v>
      </c>
      <c r="Z293" s="171"/>
      <c r="AA293" s="63">
        <v>0</v>
      </c>
      <c r="AB293" s="63">
        <v>0</v>
      </c>
      <c r="AC293" s="63">
        <v>0</v>
      </c>
      <c r="AD293" s="63">
        <v>0</v>
      </c>
      <c r="AE293" s="63">
        <v>0</v>
      </c>
      <c r="AF293" s="63">
        <v>0</v>
      </c>
      <c r="AG293" s="171"/>
      <c r="AH293" s="63">
        <v>120</v>
      </c>
      <c r="AI293" s="63">
        <v>250</v>
      </c>
      <c r="AJ293" s="63">
        <v>250</v>
      </c>
      <c r="AK293" s="63">
        <v>250</v>
      </c>
      <c r="AL293" s="132">
        <f t="shared" si="63"/>
        <v>870</v>
      </c>
      <c r="AO293" s="131"/>
    </row>
    <row r="294" spans="2:48">
      <c r="G294" s="344"/>
      <c r="H294" s="57" t="s">
        <v>15</v>
      </c>
      <c r="I294" s="169"/>
      <c r="J294" s="169"/>
      <c r="K294" s="169"/>
      <c r="L294" s="182"/>
      <c r="M294" s="169"/>
      <c r="N294" s="169"/>
      <c r="O294" s="169"/>
      <c r="P294" s="182"/>
      <c r="Q294" s="182"/>
      <c r="R294" s="182"/>
      <c r="S294" s="182"/>
      <c r="T294" s="169"/>
      <c r="U294" s="169"/>
      <c r="V294" s="182"/>
      <c r="W294" s="169"/>
      <c r="X294" s="169"/>
      <c r="Y294" s="169"/>
      <c r="Z294" s="182"/>
      <c r="AA294" s="169"/>
      <c r="AB294" s="169"/>
      <c r="AC294" s="169"/>
      <c r="AD294" s="169"/>
      <c r="AE294" s="169"/>
      <c r="AF294" s="169"/>
      <c r="AG294" s="182"/>
      <c r="AH294" s="169">
        <v>120.76</v>
      </c>
      <c r="AI294" s="169">
        <v>246.4</v>
      </c>
      <c r="AJ294" s="169">
        <v>218.06</v>
      </c>
      <c r="AK294" s="258">
        <v>265.22000000000003</v>
      </c>
      <c r="AL294" s="127">
        <f t="shared" si="63"/>
        <v>850.44</v>
      </c>
      <c r="AO294" s="131"/>
    </row>
    <row r="295" spans="2:48">
      <c r="C295" s="29"/>
      <c r="D295" s="29"/>
      <c r="E295" s="29"/>
      <c r="F295" s="29"/>
      <c r="G295" s="345"/>
      <c r="H295" s="67" t="s">
        <v>114</v>
      </c>
      <c r="I295" s="169">
        <f>I294-I293</f>
        <v>0</v>
      </c>
      <c r="J295" s="169">
        <f>I295+(J294-J293)</f>
        <v>0</v>
      </c>
      <c r="K295" s="169">
        <f>J295+(K294-K293)</f>
        <v>0</v>
      </c>
      <c r="L295" s="182"/>
      <c r="M295" s="169">
        <f>K295+(M294-M293)</f>
        <v>0</v>
      </c>
      <c r="N295" s="169">
        <f>M295+(N294-N293)</f>
        <v>0</v>
      </c>
      <c r="O295" s="169">
        <f>N295+(O294-O293)</f>
        <v>0</v>
      </c>
      <c r="P295" s="182"/>
      <c r="Q295" s="182"/>
      <c r="R295" s="182"/>
      <c r="S295" s="182"/>
      <c r="T295" s="169">
        <f>O295+(T294-T293)</f>
        <v>0</v>
      </c>
      <c r="U295" s="169">
        <f>T295+(U294-U293)</f>
        <v>0</v>
      </c>
      <c r="V295" s="182"/>
      <c r="W295" s="169">
        <f>U295+(W294-W293)</f>
        <v>0</v>
      </c>
      <c r="X295" s="169">
        <f>W295+(X294-X293)</f>
        <v>0</v>
      </c>
      <c r="Y295" s="169">
        <f>X295+(Y294-Y293)</f>
        <v>0</v>
      </c>
      <c r="Z295" s="182"/>
      <c r="AA295" s="169">
        <f>Y295+(AA294-AA293)</f>
        <v>0</v>
      </c>
      <c r="AB295" s="169">
        <f>AA295+(AB294-AB293)</f>
        <v>0</v>
      </c>
      <c r="AC295" s="169">
        <f>AB295+(AC294-AC293)</f>
        <v>0</v>
      </c>
      <c r="AD295" s="169">
        <f>AC295+(AD294-AD293)</f>
        <v>0</v>
      </c>
      <c r="AE295" s="169">
        <f>AD295+(AE294-AE293)</f>
        <v>0</v>
      </c>
      <c r="AF295" s="169">
        <f>AE295+(AF294-AF293)</f>
        <v>0</v>
      </c>
      <c r="AG295" s="182"/>
      <c r="AH295" s="169">
        <f>AF295+(AH294-AH293)</f>
        <v>0.760000000000005</v>
      </c>
      <c r="AI295" s="169">
        <f>AH295+(AI294-AI293)</f>
        <v>-2.8399999999999901</v>
      </c>
      <c r="AJ295" s="169">
        <f>AI295+(AJ294-AJ293)</f>
        <v>-34.78</v>
      </c>
      <c r="AK295" s="169">
        <f>AJ295+(AK294-AK293)</f>
        <v>-19.559999999999999</v>
      </c>
      <c r="AL295" s="133"/>
      <c r="AM295" s="94"/>
      <c r="AN295" s="125"/>
      <c r="AO295" s="94"/>
      <c r="AP295" s="94"/>
      <c r="AQ295" s="94"/>
      <c r="AR295" s="94"/>
      <c r="AS295" s="94"/>
      <c r="AT295" s="94"/>
      <c r="AU295" s="94"/>
      <c r="AV295" s="94"/>
    </row>
    <row r="296" spans="2:48">
      <c r="H296" s="69" t="s">
        <v>111</v>
      </c>
      <c r="I296" s="86">
        <f>SUM(I266,I269,I272,I275,I278,I281,I284,I287,I290,I293)</f>
        <v>195</v>
      </c>
      <c r="J296" s="89">
        <f t="shared" ref="J296:K296" si="71">SUM(J266,J269,J272,J275,J278,J281,J284,J287,J290,J293)</f>
        <v>495</v>
      </c>
      <c r="K296" s="89">
        <f t="shared" si="71"/>
        <v>176</v>
      </c>
      <c r="L296" s="249"/>
      <c r="M296" s="89">
        <f t="shared" ref="M296:O296" si="72">SUM(M266,M269,M272,M275,M278,M281,M284,M287,M290,M293)</f>
        <v>195</v>
      </c>
      <c r="N296" s="89">
        <f t="shared" si="72"/>
        <v>410</v>
      </c>
      <c r="O296" s="89">
        <f t="shared" si="72"/>
        <v>290</v>
      </c>
      <c r="P296" s="249"/>
      <c r="Q296" s="249"/>
      <c r="R296" s="249"/>
      <c r="S296" s="249"/>
      <c r="T296" s="89">
        <f t="shared" ref="T296:U296" si="73">SUM(T266,T269,T272,T275,T278,T281,T284,T287,T290,T293)</f>
        <v>275</v>
      </c>
      <c r="U296" s="89">
        <f t="shared" si="73"/>
        <v>275</v>
      </c>
      <c r="V296" s="249"/>
      <c r="W296" s="89">
        <f t="shared" ref="W296:Y296" si="74">SUM(W266,W269,W272,W275,W278,W281,W284,W287,W290,W293)</f>
        <v>275</v>
      </c>
      <c r="X296" s="89">
        <f t="shared" si="74"/>
        <v>275</v>
      </c>
      <c r="Y296" s="89">
        <f t="shared" si="74"/>
        <v>665</v>
      </c>
      <c r="Z296" s="249"/>
      <c r="AA296" s="89">
        <f t="shared" ref="AA296:AF296" si="75">SUM(AA266,AA269,AA272,AA275,AA278,AA281,AA284,AA287,AA290,AA293)</f>
        <v>655</v>
      </c>
      <c r="AB296" s="89">
        <f t="shared" si="75"/>
        <v>275</v>
      </c>
      <c r="AC296" s="89">
        <f t="shared" si="75"/>
        <v>330</v>
      </c>
      <c r="AD296" s="89">
        <f t="shared" si="75"/>
        <v>345</v>
      </c>
      <c r="AE296" s="89">
        <f t="shared" si="75"/>
        <v>345</v>
      </c>
      <c r="AF296" s="89">
        <f t="shared" si="75"/>
        <v>261</v>
      </c>
      <c r="AG296" s="249"/>
      <c r="AH296" s="89">
        <f t="shared" ref="AH296:AK296" si="76">SUM(AH266,AH269,AH272,AH275,AH278,AH281,AH284,AH287,AH290,AH293)</f>
        <v>720</v>
      </c>
      <c r="AI296" s="89">
        <f t="shared" si="76"/>
        <v>350</v>
      </c>
      <c r="AJ296" s="89">
        <f t="shared" si="76"/>
        <v>400</v>
      </c>
      <c r="AK296" s="259">
        <f t="shared" si="76"/>
        <v>400</v>
      </c>
      <c r="AL296" s="134">
        <f t="shared" ref="AL296" si="77">SUM(AL266,AL269,AL272,AL275,AL278,AL281,AL290,AL293)</f>
        <v>7352</v>
      </c>
      <c r="AO296" s="131"/>
    </row>
    <row r="297" spans="2:48">
      <c r="H297" s="74" t="s">
        <v>112</v>
      </c>
      <c r="I297" s="90">
        <f>SUM(I267,I270,I273,I276,I279,I282,I285,I288,I291,I294)</f>
        <v>185.08</v>
      </c>
      <c r="J297" s="93">
        <f t="shared" ref="J297:K297" si="78">SUM(J267,J270,J273,J276,J279,J282,J285,J288,J291,J294)</f>
        <v>536.66</v>
      </c>
      <c r="K297" s="93">
        <f t="shared" si="78"/>
        <v>162.38</v>
      </c>
      <c r="L297" s="219"/>
      <c r="M297" s="93">
        <f t="shared" ref="M297:O297" si="79">SUM(M267,M270,M273,M276,M279,M282,M285,M288,M291,M294)</f>
        <v>215.36</v>
      </c>
      <c r="N297" s="93">
        <f t="shared" si="79"/>
        <v>336</v>
      </c>
      <c r="O297" s="93">
        <f t="shared" si="79"/>
        <v>325.8</v>
      </c>
      <c r="P297" s="219"/>
      <c r="Q297" s="219"/>
      <c r="R297" s="219"/>
      <c r="S297" s="219"/>
      <c r="T297" s="93">
        <f t="shared" ref="T297:U297" si="80">SUM(T267,T270,T273,T276,T279,T282,T285,T288,T291,T294)</f>
        <v>319.92</v>
      </c>
      <c r="U297" s="93">
        <f t="shared" si="80"/>
        <v>395.42</v>
      </c>
      <c r="V297" s="219"/>
      <c r="W297" s="93">
        <f t="shared" ref="W297:Y297" si="81">SUM(W267,W270,W273,W276,W279,W282,W285,W288,W291,W294)</f>
        <v>342.4</v>
      </c>
      <c r="X297" s="93">
        <f t="shared" si="81"/>
        <v>549.5</v>
      </c>
      <c r="Y297" s="93">
        <f t="shared" si="81"/>
        <v>804.56</v>
      </c>
      <c r="Z297" s="219"/>
      <c r="AA297" s="93">
        <f t="shared" ref="AA297:AF297" si="82">SUM(AA267,AA270,AA273,AA276,AA279,AA282,AA285,AA288,AA291,AA294)</f>
        <v>629.32000000000005</v>
      </c>
      <c r="AB297" s="93">
        <f t="shared" si="82"/>
        <v>395.62</v>
      </c>
      <c r="AC297" s="93">
        <f t="shared" si="82"/>
        <v>391.06</v>
      </c>
      <c r="AD297" s="93">
        <f t="shared" si="82"/>
        <v>447.72</v>
      </c>
      <c r="AE297" s="93">
        <f t="shared" si="82"/>
        <v>407.18</v>
      </c>
      <c r="AF297" s="93">
        <f t="shared" si="82"/>
        <v>226.26</v>
      </c>
      <c r="AG297" s="219"/>
      <c r="AH297" s="93">
        <f t="shared" ref="AH297:AK297" si="83">SUM(AH267,AH270,AH273,AH276,AH279,AH282,AH285,AH288,AH291,AH294)</f>
        <v>858.24</v>
      </c>
      <c r="AI297" s="93">
        <f t="shared" si="83"/>
        <v>289.02</v>
      </c>
      <c r="AJ297" s="93">
        <f t="shared" si="83"/>
        <v>413.66</v>
      </c>
      <c r="AK297" s="260">
        <f t="shared" si="83"/>
        <v>370.04</v>
      </c>
      <c r="AL297" s="130">
        <f t="shared" ref="AL297" si="84">SUM(AL267,AL270,AL273,AL276,AL279,AL282,AL291,AL294)</f>
        <v>8434.18</v>
      </c>
      <c r="AO297" s="131"/>
    </row>
    <row r="298" spans="2:48">
      <c r="B298" s="94"/>
      <c r="C298" s="263"/>
      <c r="D298" s="263"/>
      <c r="E298" s="263"/>
      <c r="F298" s="263"/>
      <c r="G298" s="263"/>
      <c r="J298" s="94"/>
      <c r="K298" s="94"/>
      <c r="L298" s="251"/>
      <c r="M298" s="94"/>
      <c r="N298" s="94"/>
      <c r="O298" s="94"/>
      <c r="P298" s="251"/>
      <c r="Q298" s="251"/>
      <c r="R298" s="251"/>
      <c r="S298" s="251"/>
      <c r="T298" s="94"/>
      <c r="U298" s="94"/>
      <c r="V298" s="251"/>
      <c r="W298" s="94"/>
      <c r="X298" s="94"/>
      <c r="Y298" s="94"/>
      <c r="Z298" s="251"/>
      <c r="AA298" s="94"/>
      <c r="AB298" s="94"/>
      <c r="AC298" s="94"/>
      <c r="AD298" s="94"/>
      <c r="AE298" s="94"/>
      <c r="AF298" s="94"/>
      <c r="AG298" s="261"/>
      <c r="AH298" s="94"/>
      <c r="AI298" s="94"/>
      <c r="AJ298" s="94"/>
      <c r="AK298" s="94"/>
      <c r="AM298" s="264"/>
      <c r="AN298" s="264"/>
      <c r="AO298" s="94"/>
    </row>
    <row r="299" spans="2:48">
      <c r="B299" s="45"/>
      <c r="C299" s="246"/>
      <c r="D299" s="246"/>
      <c r="E299" s="246"/>
      <c r="F299" s="246"/>
      <c r="AM299" s="264"/>
      <c r="AN299" s="264"/>
      <c r="AO299" s="94"/>
    </row>
    <row r="300" spans="2:48">
      <c r="B300" s="45"/>
      <c r="C300" s="246"/>
      <c r="D300" s="246"/>
      <c r="E300" s="246"/>
      <c r="F300" s="246"/>
      <c r="AM300" s="264"/>
      <c r="AN300" s="264"/>
      <c r="AO300" s="94"/>
    </row>
    <row r="301" spans="2:48">
      <c r="B301" s="45"/>
      <c r="C301" s="246"/>
      <c r="D301" s="246"/>
      <c r="E301" s="246"/>
      <c r="F301" s="246"/>
      <c r="AM301" s="264"/>
      <c r="AN301" s="264"/>
      <c r="AO301" s="94"/>
    </row>
    <row r="302" spans="2:48">
      <c r="B302" s="45"/>
      <c r="C302" s="246"/>
      <c r="D302" s="246"/>
      <c r="E302" s="246"/>
      <c r="F302" s="246"/>
      <c r="AM302" s="264"/>
      <c r="AN302" s="264"/>
      <c r="AO302" s="94"/>
    </row>
    <row r="303" spans="2:48">
      <c r="B303" s="45"/>
      <c r="C303" s="246"/>
      <c r="D303" s="246"/>
      <c r="E303" s="246"/>
      <c r="F303" s="246"/>
      <c r="AM303" s="264"/>
      <c r="AN303" s="264"/>
      <c r="AO303" s="94"/>
    </row>
    <row r="304" spans="2:48">
      <c r="B304" s="45"/>
      <c r="C304" s="246"/>
      <c r="D304" s="246"/>
      <c r="E304" s="246"/>
      <c r="F304" s="246"/>
      <c r="AM304" s="264"/>
      <c r="AN304" s="264"/>
      <c r="AO304" s="135"/>
    </row>
    <row r="305" spans="2:48">
      <c r="B305" s="247"/>
      <c r="C305" s="248"/>
      <c r="D305" s="248"/>
      <c r="E305" s="248"/>
      <c r="F305" s="248"/>
      <c r="G305" s="136"/>
      <c r="H305" s="136"/>
      <c r="I305" s="136"/>
      <c r="J305" s="136"/>
      <c r="K305" s="136"/>
      <c r="L305" s="252"/>
      <c r="M305" s="136"/>
      <c r="N305" s="136"/>
      <c r="O305" s="136"/>
      <c r="P305" s="252"/>
      <c r="Q305" s="252"/>
      <c r="R305" s="252"/>
      <c r="S305" s="252"/>
      <c r="T305" s="136"/>
      <c r="U305" s="136"/>
      <c r="V305" s="252"/>
      <c r="W305" s="136"/>
      <c r="X305" s="136"/>
      <c r="Y305" s="136"/>
      <c r="Z305" s="252"/>
      <c r="AA305" s="136"/>
      <c r="AB305" s="136"/>
      <c r="AC305" s="136"/>
      <c r="AD305" s="136"/>
      <c r="AE305" s="136"/>
      <c r="AF305" s="136"/>
      <c r="AG305" s="262"/>
      <c r="AH305" s="136"/>
      <c r="AI305" s="136"/>
      <c r="AJ305" s="136"/>
      <c r="AK305" s="136"/>
      <c r="AM305" s="264"/>
      <c r="AN305" s="264"/>
      <c r="AO305" s="94"/>
    </row>
    <row r="307" spans="2:48">
      <c r="B307" s="94"/>
      <c r="C307" s="263"/>
      <c r="D307" s="263"/>
      <c r="E307" s="263"/>
      <c r="F307" s="263"/>
      <c r="G307" s="263"/>
      <c r="H307" s="94"/>
      <c r="I307" s="94"/>
      <c r="J307" s="94"/>
      <c r="K307" s="94"/>
      <c r="L307" s="251"/>
      <c r="M307" s="94"/>
      <c r="N307" s="94"/>
      <c r="O307" s="94"/>
      <c r="P307" s="251"/>
      <c r="Q307" s="251"/>
      <c r="R307" s="251"/>
      <c r="S307" s="251"/>
      <c r="T307" s="94"/>
      <c r="U307" s="94"/>
      <c r="V307" s="251"/>
      <c r="W307" s="94"/>
      <c r="X307" s="94"/>
      <c r="Y307" s="94"/>
      <c r="Z307" s="251"/>
      <c r="AA307" s="94"/>
      <c r="AB307" s="94"/>
      <c r="AC307" s="94"/>
      <c r="AD307" s="94"/>
      <c r="AE307" s="94"/>
      <c r="AF307" s="94"/>
      <c r="AG307" s="261"/>
      <c r="AH307" s="94"/>
      <c r="AI307" s="94"/>
      <c r="AJ307" s="94"/>
      <c r="AK307" s="94"/>
    </row>
    <row r="308" spans="2:48">
      <c r="C308" s="246"/>
      <c r="D308" s="246"/>
      <c r="E308" s="246"/>
      <c r="F308" s="246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</row>
    <row r="309" spans="2:48">
      <c r="C309" s="246"/>
      <c r="D309" s="246"/>
      <c r="E309" s="246"/>
      <c r="F309" s="246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</row>
    <row r="310" spans="2:48">
      <c r="C310" s="246"/>
      <c r="D310" s="246"/>
      <c r="E310" s="246"/>
      <c r="F310" s="246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</row>
    <row r="311" spans="2:48">
      <c r="C311" s="246"/>
      <c r="D311" s="246"/>
      <c r="E311" s="246"/>
      <c r="F311" s="246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</row>
    <row r="312" spans="2:48">
      <c r="C312" s="246"/>
      <c r="D312" s="246"/>
      <c r="E312" s="246"/>
      <c r="F312" s="246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</row>
    <row r="313" spans="2:48">
      <c r="C313" s="246"/>
      <c r="D313" s="246"/>
      <c r="E313" s="246"/>
      <c r="F313" s="246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</row>
    <row r="314" spans="2:48">
      <c r="C314" s="246"/>
      <c r="D314" s="246"/>
      <c r="E314" s="246"/>
      <c r="F314" s="246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</row>
    <row r="315" spans="2:48">
      <c r="C315" s="246"/>
      <c r="D315" s="246"/>
      <c r="E315" s="246"/>
      <c r="F315" s="246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</row>
    <row r="316" spans="2:48">
      <c r="C316" s="246"/>
      <c r="D316" s="246"/>
      <c r="E316" s="246"/>
      <c r="F316" s="246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</row>
    <row r="317" spans="2:48">
      <c r="C317" s="246"/>
      <c r="D317" s="246"/>
      <c r="E317" s="246"/>
      <c r="F317" s="246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</row>
    <row r="318" spans="2:48">
      <c r="C318" s="246"/>
      <c r="D318" s="246"/>
      <c r="E318" s="246"/>
      <c r="F318" s="246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</row>
    <row r="319" spans="2:48">
      <c r="B319" s="247"/>
      <c r="C319" s="248"/>
      <c r="D319" s="248"/>
      <c r="E319" s="248"/>
      <c r="F319" s="248"/>
      <c r="G319" s="139"/>
      <c r="H319" s="139"/>
      <c r="I319" s="139"/>
      <c r="J319" s="139"/>
      <c r="K319" s="139"/>
      <c r="L319" s="253"/>
      <c r="M319" s="139"/>
      <c r="N319" s="139"/>
      <c r="O319" s="139"/>
      <c r="P319" s="253"/>
      <c r="Q319" s="253"/>
      <c r="R319" s="253"/>
      <c r="S319" s="253"/>
      <c r="T319" s="139"/>
      <c r="U319" s="139"/>
      <c r="V319" s="253"/>
      <c r="W319" s="139"/>
      <c r="X319" s="139"/>
      <c r="Y319" s="139"/>
      <c r="Z319" s="253"/>
      <c r="AA319" s="139"/>
      <c r="AB319" s="139"/>
      <c r="AC319" s="139"/>
      <c r="AD319" s="139"/>
      <c r="AE319" s="139"/>
      <c r="AF319" s="139"/>
      <c r="AH319" s="139"/>
      <c r="AI319" s="139"/>
      <c r="AJ319" s="139"/>
      <c r="AK319" s="139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</row>
    <row r="321" spans="2:48">
      <c r="B321" s="94"/>
      <c r="C321" s="94"/>
      <c r="D321" s="94"/>
      <c r="E321" s="94"/>
      <c r="F321" s="94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</row>
    <row r="322" spans="2:48">
      <c r="C322" s="246"/>
      <c r="D322" s="246"/>
      <c r="E322" s="246"/>
      <c r="F322" s="246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</row>
    <row r="323" spans="2:48">
      <c r="C323" s="246"/>
      <c r="D323" s="246"/>
      <c r="E323" s="246"/>
      <c r="F323" s="246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</row>
    <row r="324" spans="2:48">
      <c r="B324" s="135"/>
      <c r="C324" s="94"/>
      <c r="D324" s="94"/>
      <c r="E324" s="94"/>
      <c r="F324" s="94"/>
      <c r="G324" s="142"/>
      <c r="H324" s="142"/>
      <c r="I324" s="142"/>
      <c r="J324" s="142"/>
      <c r="K324" s="142"/>
      <c r="L324" s="253"/>
      <c r="M324" s="142"/>
      <c r="N324" s="142"/>
      <c r="O324" s="142"/>
      <c r="P324" s="253"/>
      <c r="Q324" s="253"/>
      <c r="R324" s="253"/>
      <c r="S324" s="253"/>
      <c r="T324" s="142"/>
      <c r="U324" s="142"/>
      <c r="V324" s="253"/>
      <c r="W324" s="142"/>
      <c r="X324" s="142"/>
      <c r="Y324" s="142"/>
      <c r="Z324" s="253"/>
      <c r="AA324" s="142"/>
      <c r="AB324" s="142"/>
      <c r="AC324" s="142"/>
      <c r="AD324" s="142"/>
      <c r="AE324" s="142"/>
      <c r="AF324" s="142"/>
      <c r="AH324" s="142"/>
      <c r="AI324" s="142"/>
      <c r="AJ324" s="142"/>
      <c r="AK324" s="142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</row>
  </sheetData>
  <mergeCells count="108">
    <mergeCell ref="AT141:AT188"/>
    <mergeCell ref="AT192:AT235"/>
    <mergeCell ref="AU58:AU80"/>
    <mergeCell ref="AU87:AU92"/>
    <mergeCell ref="AU108:AU125"/>
    <mergeCell ref="AU126:AU140"/>
    <mergeCell ref="AV3:AV29"/>
    <mergeCell ref="AV30:AV57"/>
    <mergeCell ref="AV58:AV80"/>
    <mergeCell ref="AV87:AV107"/>
    <mergeCell ref="AV108:AV125"/>
    <mergeCell ref="AV126:AV140"/>
    <mergeCell ref="AV141:AV188"/>
    <mergeCell ref="AV192:AV235"/>
    <mergeCell ref="AP211:AP212"/>
    <mergeCell ref="AP214:AP235"/>
    <mergeCell ref="AQ207:AQ212"/>
    <mergeCell ref="AR207:AR212"/>
    <mergeCell ref="AS3:AS29"/>
    <mergeCell ref="AS30:AS57"/>
    <mergeCell ref="AS58:AS80"/>
    <mergeCell ref="AS141:AS188"/>
    <mergeCell ref="AS192:AS235"/>
    <mergeCell ref="AM3:AM9"/>
    <mergeCell ref="AM30:AM31"/>
    <mergeCell ref="AM58:AM59"/>
    <mergeCell ref="AN3:AN9"/>
    <mergeCell ref="AN30:AN31"/>
    <mergeCell ref="AN58:AN59"/>
    <mergeCell ref="AP50:AP57"/>
    <mergeCell ref="AP60:AP80"/>
    <mergeCell ref="AP182:AP188"/>
    <mergeCell ref="G269:G271"/>
    <mergeCell ref="G272:G274"/>
    <mergeCell ref="G275:G277"/>
    <mergeCell ref="G278:G280"/>
    <mergeCell ref="G281:G283"/>
    <mergeCell ref="G284:G286"/>
    <mergeCell ref="G287:G289"/>
    <mergeCell ref="G290:G292"/>
    <mergeCell ref="G293:G295"/>
    <mergeCell ref="F192:F235"/>
    <mergeCell ref="G238:G240"/>
    <mergeCell ref="G241:G243"/>
    <mergeCell ref="G244:G246"/>
    <mergeCell ref="G247:G249"/>
    <mergeCell ref="G250:G252"/>
    <mergeCell ref="G253:G255"/>
    <mergeCell ref="G256:G258"/>
    <mergeCell ref="G266:G268"/>
    <mergeCell ref="E3:E29"/>
    <mergeCell ref="E58:E86"/>
    <mergeCell ref="E87:E104"/>
    <mergeCell ref="E108:E125"/>
    <mergeCell ref="E141:E188"/>
    <mergeCell ref="F3:F29"/>
    <mergeCell ref="F30:F57"/>
    <mergeCell ref="F58:F86"/>
    <mergeCell ref="F87:F97"/>
    <mergeCell ref="F98:F107"/>
    <mergeCell ref="F108:F125"/>
    <mergeCell ref="F126:F140"/>
    <mergeCell ref="F141:F191"/>
    <mergeCell ref="C108:C125"/>
    <mergeCell ref="C126:C140"/>
    <mergeCell ref="C141:C191"/>
    <mergeCell ref="C192:C235"/>
    <mergeCell ref="D3:D29"/>
    <mergeCell ref="D30:D57"/>
    <mergeCell ref="D58:D86"/>
    <mergeCell ref="D87:D97"/>
    <mergeCell ref="D98:D107"/>
    <mergeCell ref="D108:D125"/>
    <mergeCell ref="D126:D140"/>
    <mergeCell ref="D192:D235"/>
    <mergeCell ref="C307:G307"/>
    <mergeCell ref="A4:A28"/>
    <mergeCell ref="A30:A57"/>
    <mergeCell ref="A58:A86"/>
    <mergeCell ref="A87:A97"/>
    <mergeCell ref="A98:A107"/>
    <mergeCell ref="A108:A125"/>
    <mergeCell ref="A126:A140"/>
    <mergeCell ref="A141:A191"/>
    <mergeCell ref="A192:A235"/>
    <mergeCell ref="B3:B29"/>
    <mergeCell ref="B30:B57"/>
    <mergeCell ref="B58:B86"/>
    <mergeCell ref="B87:B97"/>
    <mergeCell ref="B98:B107"/>
    <mergeCell ref="B108:B125"/>
    <mergeCell ref="B126:B140"/>
    <mergeCell ref="B141:B191"/>
    <mergeCell ref="B192:B235"/>
    <mergeCell ref="C3:C29"/>
    <mergeCell ref="C30:C57"/>
    <mergeCell ref="C58:C86"/>
    <mergeCell ref="C87:C97"/>
    <mergeCell ref="C98:C107"/>
    <mergeCell ref="C298:G298"/>
    <mergeCell ref="AM298:AN298"/>
    <mergeCell ref="AM299:AN299"/>
    <mergeCell ref="AM300:AN300"/>
    <mergeCell ref="AM301:AN301"/>
    <mergeCell ref="AM302:AN302"/>
    <mergeCell ref="AM303:AN303"/>
    <mergeCell ref="AM304:AN304"/>
    <mergeCell ref="AM305:AN305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16" sqref="H16"/>
    </sheetView>
  </sheetViews>
  <sheetFormatPr defaultColWidth="9.140625" defaultRowHeight="15"/>
  <cols>
    <col min="1" max="1" width="15.42578125" style="28" customWidth="1"/>
    <col min="2" max="2" width="33.85546875" style="28" customWidth="1"/>
    <col min="3" max="3" width="7.7109375" style="28" customWidth="1"/>
    <col min="4" max="4" width="7.7109375" style="42" customWidth="1"/>
    <col min="5" max="5" width="7.7109375" style="43" customWidth="1"/>
    <col min="6" max="10" width="7.7109375" style="28" customWidth="1"/>
    <col min="11" max="11" width="7.7109375" style="42" customWidth="1"/>
    <col min="12" max="12" width="7.7109375" style="43" customWidth="1"/>
    <col min="13" max="13" width="7.7109375" style="44" customWidth="1"/>
    <col min="14" max="17" width="7.7109375" style="28" customWidth="1"/>
    <col min="18" max="18" width="7.7109375" style="42" customWidth="1"/>
    <col min="19" max="19" width="7.7109375" style="43" customWidth="1"/>
    <col min="20" max="24" width="7.7109375" style="28" customWidth="1"/>
    <col min="25" max="25" width="7.7109375" style="42" customWidth="1"/>
    <col min="26" max="26" width="7.7109375" style="43" customWidth="1"/>
    <col min="27" max="30" width="7.7109375" style="28" customWidth="1"/>
    <col min="31" max="31" width="7.7109375" style="44" customWidth="1"/>
    <col min="32" max="32" width="7.7109375" style="42" customWidth="1"/>
    <col min="33" max="33" width="7.7109375" style="43" customWidth="1"/>
    <col min="34" max="35" width="11.7109375" style="45" customWidth="1"/>
    <col min="36" max="36" width="13.42578125" style="45" customWidth="1"/>
    <col min="37" max="44" width="11.7109375" style="45" customWidth="1"/>
    <col min="45" max="16384" width="9.140625" style="28"/>
  </cols>
  <sheetData>
    <row r="1" spans="1:44" ht="41.45" customHeight="1">
      <c r="A1" s="46" t="s">
        <v>128</v>
      </c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44" ht="30" customHeight="1">
      <c r="A2" s="48" t="s">
        <v>7</v>
      </c>
      <c r="B2" s="49" t="s">
        <v>8</v>
      </c>
      <c r="C2" s="50">
        <v>45352</v>
      </c>
      <c r="D2" s="51">
        <v>45353</v>
      </c>
      <c r="E2" s="52">
        <v>45354</v>
      </c>
      <c r="F2" s="50">
        <v>45355</v>
      </c>
      <c r="G2" s="50">
        <v>45356</v>
      </c>
      <c r="H2" s="50">
        <v>45357</v>
      </c>
      <c r="I2" s="50">
        <v>45358</v>
      </c>
      <c r="J2" s="50">
        <v>45359</v>
      </c>
      <c r="K2" s="51">
        <v>45360</v>
      </c>
      <c r="L2" s="52">
        <v>45361</v>
      </c>
      <c r="M2" s="97">
        <v>45362</v>
      </c>
      <c r="N2" s="50">
        <v>45363</v>
      </c>
      <c r="O2" s="50">
        <v>45364</v>
      </c>
      <c r="P2" s="50">
        <v>45365</v>
      </c>
      <c r="Q2" s="50">
        <v>45366</v>
      </c>
      <c r="R2" s="51">
        <v>45367</v>
      </c>
      <c r="S2" s="52">
        <v>45368</v>
      </c>
      <c r="T2" s="50">
        <v>45369</v>
      </c>
      <c r="U2" s="50">
        <v>45370</v>
      </c>
      <c r="V2" s="50">
        <v>45371</v>
      </c>
      <c r="W2" s="50">
        <v>45372</v>
      </c>
      <c r="X2" s="50">
        <v>45373</v>
      </c>
      <c r="Y2" s="51">
        <v>45374</v>
      </c>
      <c r="Z2" s="52">
        <v>45375</v>
      </c>
      <c r="AA2" s="50">
        <v>45376</v>
      </c>
      <c r="AB2" s="50">
        <v>45377</v>
      </c>
      <c r="AC2" s="50">
        <v>45378</v>
      </c>
      <c r="AD2" s="50">
        <v>45379</v>
      </c>
      <c r="AE2" s="97">
        <v>45380</v>
      </c>
      <c r="AF2" s="51">
        <v>45381</v>
      </c>
      <c r="AG2" s="52">
        <v>45382</v>
      </c>
      <c r="AH2" s="124" t="s">
        <v>9</v>
      </c>
      <c r="AI2" s="94"/>
      <c r="AJ2" s="125"/>
      <c r="AK2" s="94"/>
      <c r="AL2" s="94"/>
      <c r="AM2" s="94"/>
      <c r="AN2" s="94"/>
      <c r="AO2" s="94"/>
      <c r="AP2" s="94"/>
      <c r="AQ2" s="94"/>
      <c r="AR2" s="94"/>
    </row>
    <row r="3" spans="1:44">
      <c r="A3" s="338">
        <v>0.08</v>
      </c>
      <c r="B3" s="53" t="s">
        <v>129</v>
      </c>
      <c r="C3" s="54">
        <v>386</v>
      </c>
      <c r="D3" s="55">
        <v>216</v>
      </c>
      <c r="E3" s="56"/>
      <c r="F3" s="54">
        <v>386</v>
      </c>
      <c r="G3" s="54">
        <v>386</v>
      </c>
      <c r="H3" s="54">
        <v>386</v>
      </c>
      <c r="I3" s="54">
        <v>386</v>
      </c>
      <c r="J3" s="54">
        <v>386</v>
      </c>
      <c r="K3" s="55">
        <v>216</v>
      </c>
      <c r="L3" s="56"/>
      <c r="M3" s="98"/>
      <c r="N3" s="54">
        <v>386</v>
      </c>
      <c r="O3" s="54">
        <v>386</v>
      </c>
      <c r="P3" s="54">
        <v>386</v>
      </c>
      <c r="Q3" s="54">
        <v>386</v>
      </c>
      <c r="R3" s="55">
        <v>216</v>
      </c>
      <c r="S3" s="56"/>
      <c r="T3" s="54">
        <v>428</v>
      </c>
      <c r="U3" s="54">
        <v>428</v>
      </c>
      <c r="V3" s="54">
        <v>428</v>
      </c>
      <c r="W3" s="54">
        <v>428</v>
      </c>
      <c r="X3" s="54">
        <v>428</v>
      </c>
      <c r="Y3" s="55">
        <v>258</v>
      </c>
      <c r="Z3" s="56"/>
      <c r="AA3" s="54">
        <v>428</v>
      </c>
      <c r="AB3" s="54">
        <v>428</v>
      </c>
      <c r="AC3" s="54">
        <v>428</v>
      </c>
      <c r="AD3" s="54">
        <v>428</v>
      </c>
      <c r="AE3" s="98">
        <v>0</v>
      </c>
      <c r="AF3" s="55">
        <v>0</v>
      </c>
      <c r="AG3" s="56">
        <v>0</v>
      </c>
      <c r="AH3" s="126">
        <f>SUM(C3:AG3)</f>
        <v>8618</v>
      </c>
      <c r="AI3" s="94"/>
      <c r="AJ3" s="125"/>
      <c r="AK3" s="94"/>
      <c r="AL3" s="94"/>
      <c r="AM3" s="94"/>
      <c r="AN3" s="94"/>
      <c r="AO3" s="94"/>
      <c r="AP3" s="94"/>
      <c r="AQ3" s="94"/>
      <c r="AR3" s="94"/>
    </row>
    <row r="4" spans="1:44">
      <c r="A4" s="339"/>
      <c r="B4" s="57" t="s">
        <v>15</v>
      </c>
      <c r="C4" s="58">
        <f>SUMIFS('伸线wire drawing'!$J$7:$J$1000,'伸线wire drawing'!$E$7:$E$1000,'03'!$A$3,'伸线wire drawing'!$A$7:$A$1000,'03'!C$2)</f>
        <v>464.0057748480001</v>
      </c>
      <c r="D4" s="59">
        <f>SUMIFS('伸线wire drawing'!$J$7:$J$1000,'伸线wire drawing'!$E$7:$E$1000,'03'!$A$3,'伸线wire drawing'!$A$7:$A$1000,'03'!D$2)</f>
        <v>250.22401662720003</v>
      </c>
      <c r="E4" s="60"/>
      <c r="F4" s="58">
        <f>SUMIFS('伸线wire drawing'!$J$7:$J$1000,'伸线wire drawing'!$E$7:$E$1000,'03'!$A$3,'伸线wire drawing'!$A$7:$A$1000,'03'!F$2)</f>
        <v>474.88566343680003</v>
      </c>
      <c r="G4" s="58">
        <f>SUMIFS('伸线wire drawing'!$J$7:$J$1000,'伸线wire drawing'!$E$7:$E$1000,'03'!$A$3,'伸线wire drawing'!$A$7:$A$1000,'03'!G$2)</f>
        <v>457.30426452480003</v>
      </c>
      <c r="H4" s="58">
        <f>SUMIFS('伸线wire drawing'!$J$7:$J$1000,'伸线wire drawing'!$E$7:$E$1000,'03'!$A$3,'伸线wire drawing'!$A$7:$A$1000,'03'!H$2)</f>
        <v>505.00219714560006</v>
      </c>
      <c r="I4" s="58">
        <f>SUMIFS('伸线wire drawing'!$J$7:$J$1000,'伸线wire drawing'!$E$7:$E$1000,'03'!$A$3,'伸线wire drawing'!$A$7:$A$1000,'03'!I$2)</f>
        <v>519.95309667840002</v>
      </c>
      <c r="J4" s="58">
        <f>SUMIFS('伸线wire drawing'!$J$7:$J$1000,'伸线wire drawing'!$E$7:$E$1000,'03'!$A$3,'伸线wire drawing'!$A$7:$A$1000,'03'!J$2)</f>
        <v>471.49017189120002</v>
      </c>
      <c r="K4" s="59">
        <f>SUMIFS('伸线wire drawing'!$J$7:$J$1000,'伸线wire drawing'!$E$7:$E$1000,'03'!$A$3,'伸线wire drawing'!$A$7:$A$1000,'03'!K$2)</f>
        <v>268.96408788480005</v>
      </c>
      <c r="L4" s="60"/>
      <c r="M4" s="99"/>
      <c r="N4" s="58">
        <f>SUMIFS('伸线wire drawing'!$J$7:$J$1000,'伸线wire drawing'!$E$7:$E$1000,'03'!$A$3,'伸线wire drawing'!$A$7:$A$1000,'03'!N$2)</f>
        <v>472.73831700480002</v>
      </c>
      <c r="O4" s="58">
        <f>SUMIFS('伸线wire drawing'!$J$7:$J$1000,'伸线wire drawing'!$E$7:$E$1000,'03'!$A$3,'伸线wire drawing'!$A$7:$A$1000,'03'!O$2)</f>
        <v>497.75937657600008</v>
      </c>
      <c r="P4" s="58">
        <f>SUMIFS('伸线wire drawing'!$J$7:$J$1000,'伸线wire drawing'!$E$7:$E$1000,'03'!$A$3,'伸线wire drawing'!$A$7:$A$1000,'03'!P$2)</f>
        <v>491.76917475840003</v>
      </c>
      <c r="Q4" s="58">
        <f>SUMIFS('伸线wire drawing'!$J$7:$J$1000,'伸线wire drawing'!$E$7:$E$1000,'03'!$A$3,'伸线wire drawing'!$A$7:$A$1000,'03'!Q$2)</f>
        <v>447.45778640640009</v>
      </c>
      <c r="R4" s="59">
        <f>SUMIFS('伸线wire drawing'!$J$7:$J$1000,'伸线wire drawing'!$E$7:$E$1000,'03'!$A$3,'伸线wire drawing'!$A$7:$A$1000,'03'!R$2)</f>
        <v>296.75880326400005</v>
      </c>
      <c r="S4" s="60"/>
      <c r="T4" s="58">
        <f>SUMIFS('伸线wire drawing'!$J$7:$J$1000,'伸线wire drawing'!$E$7:$E$1000,'03'!$A$3,'伸线wire drawing'!$A$7:$A$1000,'03'!T$2)</f>
        <v>451.94037208320009</v>
      </c>
      <c r="U4" s="58">
        <f>SUMIFS('伸线wire drawing'!$J$7:$J$1000,'伸线wire drawing'!$E$7:$E$1000,'03'!$A$3,'伸线wire drawing'!$A$7:$A$1000,'03'!U$2)</f>
        <v>262.24468300800004</v>
      </c>
      <c r="V4" s="58">
        <f>SUMIFS('伸线wire drawing'!$J$7:$J$1000,'伸线wire drawing'!$E$7:$E$1000,'03'!$A$3,'伸线wire drawing'!$A$7:$A$1000,'03'!V$2)</f>
        <v>410.81421427200002</v>
      </c>
      <c r="W4" s="58">
        <f>SUMIFS('伸线wire drawing'!$J$7:$J$1000,'伸线wire drawing'!$E$7:$E$1000,'03'!$A$3,'伸线wire drawing'!$A$7:$A$1000,'03'!W$2)</f>
        <v>496.54254693119998</v>
      </c>
      <c r="X4" s="58">
        <f>SUMIFS('伸线wire drawing'!$J$7:$J$1000,'伸线wire drawing'!$E$7:$E$1000,'03'!$A$3,'伸线wire drawing'!$A$7:$A$1000,'03'!X$2)</f>
        <v>452.84852067840006</v>
      </c>
      <c r="Y4" s="59">
        <f>SUMIFS('伸线wire drawing'!$J$7:$J$1000,'伸线wire drawing'!$E$7:$E$1000,'03'!$A$3,'伸线wire drawing'!$A$7:$A$1000,'03'!Y$2)</f>
        <v>273.67930275840001</v>
      </c>
      <c r="Z4" s="60"/>
      <c r="AA4" s="58">
        <f>SUMIFS('伸线wire drawing'!$J$7:$J$1000,'伸线wire drawing'!$E$7:$E$1000,'03'!$A$3,'伸线wire drawing'!$A$7:$A$1000,'03'!AA$2)</f>
        <v>246.56458041600004</v>
      </c>
      <c r="AB4" s="58">
        <f>SUMIFS('伸线wire drawing'!$J$7:$J$1000,'伸线wire drawing'!$E$7:$E$1000,'03'!$A$3,'伸线wire drawing'!$A$7:$A$1000,'03'!AB$2)</f>
        <v>0</v>
      </c>
      <c r="AC4" s="58">
        <f>SUMIFS('伸线wire drawing'!$J$7:$J$1000,'伸线wire drawing'!$E$7:$E$1000,'03'!$A$3,'伸线wire drawing'!$A$7:$A$1000,'03'!AC$2)</f>
        <v>0</v>
      </c>
      <c r="AD4" s="58">
        <f>SUMIFS('伸线wire drawing'!$J$7:$J$1000,'伸线wire drawing'!$E$7:$E$1000,'03'!$A$3,'伸线wire drawing'!$A$7:$A$1000,'03'!AD$2)</f>
        <v>0</v>
      </c>
      <c r="AE4" s="110"/>
      <c r="AF4" s="59"/>
      <c r="AG4" s="60"/>
      <c r="AH4" s="127">
        <f>SUM(C4:AG4)</f>
        <v>8212.9469511936004</v>
      </c>
      <c r="AI4" s="94"/>
      <c r="AJ4" s="125"/>
      <c r="AK4" s="94"/>
      <c r="AL4" s="94"/>
      <c r="AM4" s="94"/>
      <c r="AN4" s="94"/>
      <c r="AO4" s="94"/>
      <c r="AP4" s="94"/>
      <c r="AQ4" s="94"/>
      <c r="AR4" s="94"/>
    </row>
    <row r="5" spans="1:44">
      <c r="A5" s="340"/>
      <c r="B5" s="57" t="s">
        <v>110</v>
      </c>
      <c r="C5" s="58">
        <f>C4-C3</f>
        <v>78.005774848000101</v>
      </c>
      <c r="D5" s="59">
        <f>C5+(D4-D3)</f>
        <v>112.22979147520013</v>
      </c>
      <c r="E5" s="61"/>
      <c r="F5" s="58">
        <f>D5+(F4-F3)</f>
        <v>201.11545491200016</v>
      </c>
      <c r="G5" s="58">
        <f>F5+(G4-G3)</f>
        <v>272.41971943680016</v>
      </c>
      <c r="H5" s="58">
        <f>G5+(H4-H3)</f>
        <v>391.42191658240023</v>
      </c>
      <c r="I5" s="58">
        <f>H5+(I4-I3)</f>
        <v>525.37501326080019</v>
      </c>
      <c r="J5" s="58">
        <f>I5+(J4-J3)</f>
        <v>610.86518515200021</v>
      </c>
      <c r="K5" s="59">
        <f>J5+(K4-K3)</f>
        <v>663.82927303680026</v>
      </c>
      <c r="L5" s="61"/>
      <c r="M5" s="100"/>
      <c r="N5" s="58">
        <f>K5+(N4-N3)</f>
        <v>750.56759004160028</v>
      </c>
      <c r="O5" s="58">
        <f>N5+(O4-O3)</f>
        <v>862.32696661760042</v>
      </c>
      <c r="P5" s="58">
        <f>O5+(P4-P3)</f>
        <v>968.09614137600045</v>
      </c>
      <c r="Q5" s="58">
        <f>P5+(Q4-Q3)</f>
        <v>1029.5539277824005</v>
      </c>
      <c r="R5" s="59">
        <f>Q5+(R4-R3)</f>
        <v>1110.3127310464006</v>
      </c>
      <c r="S5" s="61"/>
      <c r="T5" s="58">
        <f>R5+(T4-T3)</f>
        <v>1134.2531031296007</v>
      </c>
      <c r="U5" s="58">
        <f>T5+(U4-U3)</f>
        <v>968.49778613760077</v>
      </c>
      <c r="V5" s="58">
        <f>U5+(V4-V3)</f>
        <v>951.31200040960084</v>
      </c>
      <c r="W5" s="58">
        <f>V5+(W4-W3)</f>
        <v>1019.8545473408008</v>
      </c>
      <c r="X5" s="58">
        <f>W5+(X4-X3)</f>
        <v>1044.7030680192008</v>
      </c>
      <c r="Y5" s="59">
        <f>X5+(Y4-Y3)</f>
        <v>1060.382370777601</v>
      </c>
      <c r="Z5" s="61"/>
      <c r="AA5" s="58">
        <f>Y5+(AA4-AA3)</f>
        <v>878.94695119360097</v>
      </c>
      <c r="AB5" s="58">
        <f>AA5+(AB4-AB3)</f>
        <v>450.94695119360097</v>
      </c>
      <c r="AC5" s="58">
        <f>AB5+(AC4-AC3)</f>
        <v>22.946951193600967</v>
      </c>
      <c r="AD5" s="58">
        <f>AC5+(AD4-AD3)</f>
        <v>-405.05304880639903</v>
      </c>
      <c r="AE5" s="111"/>
      <c r="AF5" s="59">
        <f>AE5+(AF4-AF3)</f>
        <v>0</v>
      </c>
      <c r="AG5" s="61">
        <v>0</v>
      </c>
      <c r="AH5" s="127">
        <v>0</v>
      </c>
      <c r="AI5" s="94"/>
      <c r="AJ5" s="125"/>
      <c r="AK5" s="94"/>
      <c r="AL5" s="94"/>
      <c r="AM5" s="94"/>
      <c r="AN5" s="94"/>
      <c r="AO5" s="94"/>
      <c r="AP5" s="94"/>
      <c r="AQ5" s="94"/>
      <c r="AR5" s="94"/>
    </row>
    <row r="6" spans="1:44">
      <c r="A6" s="341">
        <v>0.16</v>
      </c>
      <c r="B6" s="62" t="s">
        <v>129</v>
      </c>
      <c r="C6" s="63">
        <v>0</v>
      </c>
      <c r="D6" s="59">
        <v>0</v>
      </c>
      <c r="E6" s="61"/>
      <c r="F6" s="63">
        <v>0</v>
      </c>
      <c r="G6" s="63">
        <v>100</v>
      </c>
      <c r="H6" s="63">
        <v>100</v>
      </c>
      <c r="I6" s="63">
        <v>100</v>
      </c>
      <c r="J6" s="63">
        <v>100</v>
      </c>
      <c r="K6" s="59">
        <v>50</v>
      </c>
      <c r="L6" s="61"/>
      <c r="M6" s="100"/>
      <c r="N6" s="63">
        <v>100</v>
      </c>
      <c r="O6" s="63">
        <v>100</v>
      </c>
      <c r="P6" s="63">
        <v>100</v>
      </c>
      <c r="Q6" s="63">
        <v>100</v>
      </c>
      <c r="R6" s="59">
        <v>50</v>
      </c>
      <c r="S6" s="61"/>
      <c r="T6" s="63">
        <v>100</v>
      </c>
      <c r="U6" s="63">
        <v>100</v>
      </c>
      <c r="V6" s="63">
        <v>100</v>
      </c>
      <c r="W6" s="63">
        <v>100</v>
      </c>
      <c r="X6" s="63">
        <v>100</v>
      </c>
      <c r="Y6" s="59">
        <v>50</v>
      </c>
      <c r="Z6" s="61"/>
      <c r="AA6" s="63">
        <v>0</v>
      </c>
      <c r="AB6" s="63">
        <v>0</v>
      </c>
      <c r="AC6" s="63">
        <v>0</v>
      </c>
      <c r="AD6" s="63">
        <v>0</v>
      </c>
      <c r="AE6" s="111"/>
      <c r="AF6" s="112">
        <v>0</v>
      </c>
      <c r="AG6" s="61">
        <v>0</v>
      </c>
      <c r="AH6" s="128">
        <f>SUM(C6:AG6)</f>
        <v>1450</v>
      </c>
      <c r="AI6" s="94"/>
      <c r="AJ6" s="125"/>
      <c r="AK6" s="94"/>
      <c r="AL6" s="94"/>
      <c r="AM6" s="94"/>
      <c r="AN6" s="94"/>
      <c r="AO6" s="94"/>
      <c r="AP6" s="94"/>
      <c r="AQ6" s="94"/>
      <c r="AR6" s="94"/>
    </row>
    <row r="7" spans="1:44">
      <c r="A7" s="339"/>
      <c r="B7" s="57" t="s">
        <v>15</v>
      </c>
      <c r="C7" s="58">
        <f>SUMIFS('伸线wire drawing'!$J$7:$J$1000,'伸线wire drawing'!$E$7:$E$1000,'03'!$A$6,'伸线wire drawing'!$A$7:$A$1000,'03'!C$2)</f>
        <v>0</v>
      </c>
      <c r="D7" s="59">
        <f>SUMIFS('伸线wire drawing'!$J$7:$J$1000,'伸线wire drawing'!$E$7:$E$1000,'03'!$A$6,'伸线wire drawing'!$A$7:$A$1000,'03'!D$2)</f>
        <v>0</v>
      </c>
      <c r="E7" s="61"/>
      <c r="F7" s="58">
        <f>SUMIFS('伸线wire drawing'!$J$7:$J$1000,'伸线wire drawing'!$E$7:$E$1000,'03'!$A$6,'伸线wire drawing'!$A$7:$A$1000,'03'!F$2)</f>
        <v>0</v>
      </c>
      <c r="G7" s="58">
        <f>SUMIFS('伸线wire drawing'!$J$7:$J$1000,'伸线wire drawing'!$E$7:$E$1000,'03'!$A$6,'伸线wire drawing'!$A$7:$A$1000,'03'!G$2)</f>
        <v>119.177726976</v>
      </c>
      <c r="H7" s="58">
        <f>SUMIFS('伸线wire drawing'!$J$7:$J$1000,'伸线wire drawing'!$E$7:$E$1000,'03'!$A$6,'伸线wire drawing'!$A$7:$A$1000,'03'!H$2)</f>
        <v>138.41437209599999</v>
      </c>
      <c r="I7" s="58">
        <f>SUMIFS('伸线wire drawing'!$J$7:$J$1000,'伸线wire drawing'!$E$7:$E$1000,'03'!$A$6,'伸线wire drawing'!$A$7:$A$1000,'03'!I$2)</f>
        <v>107.36732160000001</v>
      </c>
      <c r="J7" s="58">
        <f>SUMIFS('伸线wire drawing'!$J$7:$J$1000,'伸线wire drawing'!$E$7:$E$1000,'03'!$A$6,'伸线wire drawing'!$A$7:$A$1000,'03'!J$2)</f>
        <v>144.85641139200001</v>
      </c>
      <c r="K7" s="59">
        <f>SUMIFS('伸线wire drawing'!$J$7:$J$1000,'伸线wire drawing'!$E$7:$E$1000,'03'!$A$6,'伸线wire drawing'!$A$7:$A$1000,'03'!K$2)</f>
        <v>0</v>
      </c>
      <c r="L7" s="61"/>
      <c r="M7" s="100"/>
      <c r="N7" s="58">
        <f>SUMIFS('伸线wire drawing'!$J$7:$J$1000,'伸线wire drawing'!$E$7:$E$1000,'03'!$A$6,'伸线wire drawing'!$A$7:$A$1000,'03'!N$2)</f>
        <v>49.800542668800006</v>
      </c>
      <c r="O7" s="58">
        <f>SUMIFS('伸线wire drawing'!$J$7:$J$1000,'伸线wire drawing'!$E$7:$E$1000,'03'!$A$6,'伸线wire drawing'!$A$7:$A$1000,'03'!O$2)</f>
        <v>134.15546833920001</v>
      </c>
      <c r="P7" s="58">
        <f>SUMIFS('伸线wire drawing'!$J$7:$J$1000,'伸线wire drawing'!$E$7:$E$1000,'03'!$A$6,'伸线wire drawing'!$A$7:$A$1000,'03'!P$2)</f>
        <v>166.06145740800002</v>
      </c>
      <c r="Q7" s="58">
        <f>SUMIFS('伸线wire drawing'!$J$7:$J$1000,'伸线wire drawing'!$E$7:$E$1000,'03'!$A$6,'伸线wire drawing'!$A$7:$A$1000,'03'!Q$2)</f>
        <v>147.32585978880002</v>
      </c>
      <c r="R7" s="59">
        <f>SUMIFS('伸线wire drawing'!$J$7:$J$1000,'伸线wire drawing'!$E$7:$E$1000,'03'!$A$6,'伸线wire drawing'!$A$7:$A$1000,'03'!R$2)</f>
        <v>148.54268943360003</v>
      </c>
      <c r="S7" s="61"/>
      <c r="T7" s="58">
        <f>SUMIFS('伸线wire drawing'!$J$7:$J$1000,'伸线wire drawing'!$E$7:$E$1000,'03'!$A$6,'伸线wire drawing'!$A$7:$A$1000,'03'!T$2)</f>
        <v>186.10335744000002</v>
      </c>
      <c r="U7" s="58">
        <f>SUMIFS('伸线wire drawing'!$J$7:$J$1000,'伸线wire drawing'!$E$7:$E$1000,'03'!$A$6,'伸线wire drawing'!$A$7:$A$1000,'03'!U$2)</f>
        <v>73.367669759999998</v>
      </c>
      <c r="V7" s="58">
        <f>SUMIFS('伸线wire drawing'!$J$7:$J$1000,'伸线wire drawing'!$E$7:$E$1000,'03'!$A$6,'伸线wire drawing'!$A$7:$A$1000,'03'!V$2)</f>
        <v>42.05220096</v>
      </c>
      <c r="W7" s="58">
        <f>SUMIFS('伸线wire drawing'!$J$7:$J$1000,'伸线wire drawing'!$E$7:$E$1000,'03'!$A$6,'伸线wire drawing'!$A$7:$A$1000,'03'!W$2)</f>
        <v>0</v>
      </c>
      <c r="X7" s="58">
        <f>SUMIFS('伸线wire drawing'!$J$7:$J$1000,'伸线wire drawing'!$E$7:$E$1000,'03'!$A$6,'伸线wire drawing'!$A$7:$A$1000,'03'!X$2)</f>
        <v>0</v>
      </c>
      <c r="Y7" s="59">
        <f>SUMIFS('伸线wire drawing'!$J$7:$J$1000,'伸线wire drawing'!$E$7:$E$1000,'03'!$A$6,'伸线wire drawing'!$A$7:$A$1000,'03'!Y$2)</f>
        <v>0</v>
      </c>
      <c r="Z7" s="61"/>
      <c r="AA7" s="58">
        <f>SUMIFS('伸线wire drawing'!$J$7:$J$1000,'伸线wire drawing'!$E$7:$E$1000,'03'!$A$6,'伸线wire drawing'!$A$7:$A$1000,'03'!AA$2)</f>
        <v>0</v>
      </c>
      <c r="AB7" s="58">
        <f>SUMIFS('伸线wire drawing'!$J$7:$J$1000,'伸线wire drawing'!$E$7:$E$1000,'03'!$A$6,'伸线wire drawing'!$A$7:$A$1000,'03'!AB$2)</f>
        <v>0</v>
      </c>
      <c r="AC7" s="58">
        <f>SUMIFS('伸线wire drawing'!$J$7:$J$1000,'伸线wire drawing'!$E$7:$E$1000,'03'!$A$6,'伸线wire drawing'!$A$7:$A$1000,'03'!AC$2)</f>
        <v>0</v>
      </c>
      <c r="AD7" s="58">
        <f>SUMIFS('伸线wire drawing'!$J$7:$J$1000,'伸线wire drawing'!$E$7:$E$1000,'03'!$A$6,'伸线wire drawing'!$A$7:$A$1000,'03'!AD$2)</f>
        <v>0</v>
      </c>
      <c r="AE7" s="111"/>
      <c r="AF7" s="112"/>
      <c r="AG7" s="61"/>
      <c r="AH7" s="127">
        <f>SUM(C7:AG7)</f>
        <v>1457.2250778624002</v>
      </c>
      <c r="AI7" s="94"/>
      <c r="AJ7" s="125"/>
      <c r="AK7" s="94"/>
      <c r="AL7" s="94"/>
      <c r="AM7" s="94"/>
      <c r="AN7" s="94"/>
      <c r="AO7" s="94"/>
      <c r="AP7" s="94"/>
      <c r="AQ7" s="94"/>
      <c r="AR7" s="94"/>
    </row>
    <row r="8" spans="1:44">
      <c r="A8" s="340"/>
      <c r="B8" s="57" t="s">
        <v>110</v>
      </c>
      <c r="C8" s="58">
        <f>C7-C6</f>
        <v>0</v>
      </c>
      <c r="D8" s="59">
        <f>C8+(D7-D6)</f>
        <v>0</v>
      </c>
      <c r="E8" s="61"/>
      <c r="F8" s="58">
        <f>D8+(F7-F6)</f>
        <v>0</v>
      </c>
      <c r="G8" s="58">
        <f>F8+(G7-G6)</f>
        <v>19.177726976000002</v>
      </c>
      <c r="H8" s="58">
        <f>G8+(H7-H6)</f>
        <v>57.592099071999996</v>
      </c>
      <c r="I8" s="58">
        <f>H8+(I7-I6)</f>
        <v>64.959420672000007</v>
      </c>
      <c r="J8" s="58">
        <f>I8+(J7-J6)</f>
        <v>109.81583206400002</v>
      </c>
      <c r="K8" s="59">
        <f>J8+(K7-K6)</f>
        <v>59.81583206400002</v>
      </c>
      <c r="L8" s="61"/>
      <c r="M8" s="100"/>
      <c r="N8" s="58">
        <f>K8+(N7-N6)</f>
        <v>9.6163747328000255</v>
      </c>
      <c r="O8" s="58">
        <f>N8+(O7-O6)</f>
        <v>43.771843072000038</v>
      </c>
      <c r="P8" s="58">
        <f>O8+(P7-P6)</f>
        <v>109.83330048000006</v>
      </c>
      <c r="Q8" s="58">
        <f>P8+(Q7-Q6)</f>
        <v>157.15916026880006</v>
      </c>
      <c r="R8" s="59">
        <f>Q8+(R7-R6)</f>
        <v>255.7018497024001</v>
      </c>
      <c r="S8" s="61"/>
      <c r="T8" s="58">
        <f>R8+(T7-T6)</f>
        <v>341.80520714240015</v>
      </c>
      <c r="U8" s="58">
        <f>T8+(U7-U6)</f>
        <v>315.17287690240016</v>
      </c>
      <c r="V8" s="58">
        <f>U8+(V7-V6)</f>
        <v>257.22507786240016</v>
      </c>
      <c r="W8" s="58">
        <f>V8+(W7-W6)</f>
        <v>157.22507786240016</v>
      </c>
      <c r="X8" s="58">
        <f>W8+(X7-X6)</f>
        <v>57.225077862400155</v>
      </c>
      <c r="Y8" s="59">
        <f>X8+(Y7-Y6)</f>
        <v>7.2250778624001555</v>
      </c>
      <c r="Z8" s="61"/>
      <c r="AA8" s="58">
        <f>Y8+(AA7-AA6)</f>
        <v>7.2250778624001555</v>
      </c>
      <c r="AB8" s="58">
        <f>AA8+(AB7-AB6)</f>
        <v>7.2250778624001555</v>
      </c>
      <c r="AC8" s="58">
        <f>AB8+(AC7-AC6)</f>
        <v>7.2250778624001555</v>
      </c>
      <c r="AD8" s="58">
        <f>AC8+(AD7-AD6)</f>
        <v>7.2250778624001555</v>
      </c>
      <c r="AE8" s="111"/>
      <c r="AF8" s="112">
        <f>AE8+(AF7-AF6)</f>
        <v>0</v>
      </c>
      <c r="AG8" s="61">
        <f>AF8+(AG7-AG6)</f>
        <v>0</v>
      </c>
      <c r="AH8" s="127"/>
      <c r="AI8" s="94"/>
      <c r="AJ8" s="125"/>
      <c r="AK8" s="94"/>
      <c r="AL8" s="94"/>
      <c r="AM8" s="94"/>
      <c r="AN8" s="94"/>
      <c r="AO8" s="94"/>
      <c r="AP8" s="94"/>
      <c r="AQ8" s="94"/>
      <c r="AR8" s="94"/>
    </row>
    <row r="9" spans="1:44">
      <c r="A9" s="341">
        <v>0.127</v>
      </c>
      <c r="B9" s="62" t="s">
        <v>129</v>
      </c>
      <c r="C9" s="64">
        <v>0</v>
      </c>
      <c r="D9" s="65">
        <v>0</v>
      </c>
      <c r="E9" s="66"/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5">
        <v>0</v>
      </c>
      <c r="L9" s="66"/>
      <c r="M9" s="101"/>
      <c r="N9" s="64">
        <v>0</v>
      </c>
      <c r="O9" s="64">
        <v>0</v>
      </c>
      <c r="P9" s="64">
        <v>0</v>
      </c>
      <c r="Q9" s="64">
        <v>0</v>
      </c>
      <c r="R9" s="65">
        <v>0</v>
      </c>
      <c r="S9" s="66"/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5">
        <v>0</v>
      </c>
      <c r="Z9" s="66"/>
      <c r="AA9" s="64">
        <v>0</v>
      </c>
      <c r="AB9" s="64">
        <v>0</v>
      </c>
      <c r="AC9" s="64">
        <v>0</v>
      </c>
      <c r="AD9" s="64">
        <v>0</v>
      </c>
      <c r="AE9" s="113"/>
      <c r="AF9" s="114">
        <v>0</v>
      </c>
      <c r="AG9" s="66">
        <v>0</v>
      </c>
      <c r="AH9" s="128">
        <f>SUM(C9:AG9)</f>
        <v>0</v>
      </c>
      <c r="AI9" s="94"/>
      <c r="AJ9" s="125"/>
      <c r="AK9" s="94"/>
      <c r="AL9" s="94"/>
      <c r="AM9" s="94"/>
      <c r="AN9" s="94"/>
      <c r="AO9" s="94"/>
      <c r="AP9" s="94"/>
      <c r="AQ9" s="94"/>
      <c r="AR9" s="94"/>
    </row>
    <row r="10" spans="1:44">
      <c r="A10" s="339"/>
      <c r="B10" s="57" t="s">
        <v>15</v>
      </c>
      <c r="C10" s="58">
        <f>SUMIFS('伸线wire drawing'!$J$7:$J$1000,'伸线wire drawing'!$E$7:$E$1000,'03'!$A$9,'伸线wire drawing'!$A$7:$A$1000,'03'!C$2)</f>
        <v>0</v>
      </c>
      <c r="D10" s="59">
        <f>SUMIFS('伸线wire drawing'!$J$7:$J$1000,'伸线wire drawing'!$E$7:$E$1000,'03'!$A$9,'伸线wire drawing'!$A$7:$A$1000,'03'!D$2)</f>
        <v>0</v>
      </c>
      <c r="E10" s="61"/>
      <c r="F10" s="58">
        <f>SUMIFS('伸线wire drawing'!$J$7:$J$1000,'伸线wire drawing'!$E$7:$E$1000,'03'!$A$9,'伸线wire drawing'!$A$7:$A$1000,'03'!F$2)</f>
        <v>0</v>
      </c>
      <c r="G10" s="58">
        <f>SUMIFS('伸线wire drawing'!$J$7:$J$1000,'伸线wire drawing'!$E$7:$E$1000,'03'!$A$9,'伸线wire drawing'!$A$7:$A$1000,'03'!G$2)</f>
        <v>0</v>
      </c>
      <c r="H10" s="58">
        <f>SUMIFS('伸线wire drawing'!$J$7:$J$1000,'伸线wire drawing'!$E$7:$E$1000,'03'!$A$9,'伸线wire drawing'!$A$7:$A$1000,'03'!H$2)</f>
        <v>0</v>
      </c>
      <c r="I10" s="58">
        <f>SUMIFS('伸线wire drawing'!$J$7:$J$1000,'伸线wire drawing'!$E$7:$E$1000,'03'!$A$9,'伸线wire drawing'!$A$7:$A$1000,'03'!I$2)</f>
        <v>0</v>
      </c>
      <c r="J10" s="58">
        <f>SUMIFS('伸线wire drawing'!$J$7:$J$1000,'伸线wire drawing'!$E$7:$E$1000,'03'!$A$9,'伸线wire drawing'!$A$7:$A$1000,'03'!J$2)</f>
        <v>0</v>
      </c>
      <c r="K10" s="59">
        <f>SUMIFS('伸线wire drawing'!$J$7:$J$1000,'伸线wire drawing'!$E$7:$E$1000,'03'!$A$9,'伸线wire drawing'!$A$7:$A$1000,'03'!K$2)</f>
        <v>0</v>
      </c>
      <c r="L10" s="61"/>
      <c r="M10" s="100"/>
      <c r="N10" s="58">
        <f>SUMIFS('伸线wire drawing'!$J$7:$J$1000,'伸线wire drawing'!$E$7:$E$1000,'03'!$A$9,'伸线wire drawing'!$A$7:$A$1000,'03'!N$2)</f>
        <v>0</v>
      </c>
      <c r="O10" s="58">
        <f>SUMIFS('伸线wire drawing'!$J$7:$J$1000,'伸线wire drawing'!$E$7:$E$1000,'03'!$A$9,'伸线wire drawing'!$A$7:$A$1000,'03'!O$2)</f>
        <v>0</v>
      </c>
      <c r="P10" s="58">
        <f>SUMIFS('伸线wire drawing'!$J$7:$J$1000,'伸线wire drawing'!$E$7:$E$1000,'03'!$A$9,'伸线wire drawing'!$A$7:$A$1000,'03'!P$2)</f>
        <v>0</v>
      </c>
      <c r="Q10" s="58">
        <f>SUMIFS('伸线wire drawing'!$J$7:$J$1000,'伸线wire drawing'!$E$7:$E$1000,'03'!$A$9,'伸线wire drawing'!$A$7:$A$1000,'03'!Q$2)</f>
        <v>0</v>
      </c>
      <c r="R10" s="59">
        <f>SUMIFS('伸线wire drawing'!$J$7:$J$1000,'伸线wire drawing'!$E$7:$E$1000,'03'!$A$9,'伸线wire drawing'!$A$7:$A$1000,'03'!R$2)</f>
        <v>0</v>
      </c>
      <c r="S10" s="61"/>
      <c r="T10" s="58">
        <f>SUMIFS('伸线wire drawing'!$J$7:$J$1000,'伸线wire drawing'!$E$7:$E$1000,'03'!$A$9,'伸线wire drawing'!$A$7:$A$1000,'03'!T$2)</f>
        <v>0</v>
      </c>
      <c r="U10" s="58">
        <f>SUMIFS('伸线wire drawing'!$J$7:$J$1000,'伸线wire drawing'!$E$7:$E$1000,'03'!$A$9,'伸线wire drawing'!$A$7:$A$1000,'03'!U$2)</f>
        <v>0</v>
      </c>
      <c r="V10" s="58">
        <f>SUMIFS('伸线wire drawing'!$J$7:$J$1000,'伸线wire drawing'!$E$7:$E$1000,'03'!$A$9,'伸线wire drawing'!$A$7:$A$1000,'03'!V$2)</f>
        <v>0</v>
      </c>
      <c r="W10" s="58">
        <f>SUMIFS('伸线wire drawing'!$J$7:$J$1000,'伸线wire drawing'!$E$7:$E$1000,'03'!$A$9,'伸线wire drawing'!$A$7:$A$1000,'03'!W$2)</f>
        <v>0</v>
      </c>
      <c r="X10" s="58">
        <f>SUMIFS('伸线wire drawing'!$J$7:$J$1000,'伸线wire drawing'!$E$7:$E$1000,'03'!$A$9,'伸线wire drawing'!$A$7:$A$1000,'03'!X$2)</f>
        <v>0</v>
      </c>
      <c r="Y10" s="59">
        <f>SUMIFS('伸线wire drawing'!$J$7:$J$1000,'伸线wire drawing'!$E$7:$E$1000,'03'!$A$9,'伸线wire drawing'!$A$7:$A$1000,'03'!Y$2)</f>
        <v>0</v>
      </c>
      <c r="Z10" s="61"/>
      <c r="AA10" s="58">
        <f>SUMIFS('伸线wire drawing'!$J$7:$J$1000,'伸线wire drawing'!$E$7:$E$1000,'03'!$A$9,'伸线wire drawing'!$A$7:$A$1000,'03'!AA$2)</f>
        <v>0</v>
      </c>
      <c r="AB10" s="58">
        <f>SUMIFS('伸线wire drawing'!$J$7:$J$1000,'伸线wire drawing'!$E$7:$E$1000,'03'!$A$9,'伸线wire drawing'!$A$7:$A$1000,'03'!AB$2)</f>
        <v>0</v>
      </c>
      <c r="AC10" s="58">
        <f>SUMIFS('伸线wire drawing'!$J$7:$J$1000,'伸线wire drawing'!$E$7:$E$1000,'03'!$A$9,'伸线wire drawing'!$A$7:$A$1000,'03'!AC$2)</f>
        <v>0</v>
      </c>
      <c r="AD10" s="58">
        <f>SUMIFS('伸线wire drawing'!$J$7:$J$1000,'伸线wire drawing'!$E$7:$E$1000,'03'!$A$9,'伸线wire drawing'!$A$7:$A$1000,'03'!AD$2)</f>
        <v>0</v>
      </c>
      <c r="AE10" s="111"/>
      <c r="AF10" s="112"/>
      <c r="AG10" s="61"/>
      <c r="AH10" s="127">
        <f>SUM(C10:AG10)</f>
        <v>0</v>
      </c>
      <c r="AI10" s="94"/>
      <c r="AJ10" s="125"/>
      <c r="AK10" s="94"/>
      <c r="AL10" s="94"/>
      <c r="AM10" s="94"/>
      <c r="AN10" s="94"/>
      <c r="AO10" s="94"/>
      <c r="AP10" s="94"/>
      <c r="AQ10" s="94"/>
      <c r="AR10" s="94"/>
    </row>
    <row r="11" spans="1:44">
      <c r="A11" s="340"/>
      <c r="B11" s="57" t="s">
        <v>110</v>
      </c>
      <c r="C11" s="58">
        <f>C10-C9</f>
        <v>0</v>
      </c>
      <c r="D11" s="59">
        <f>C11+(D10-D9)</f>
        <v>0</v>
      </c>
      <c r="E11" s="61"/>
      <c r="F11" s="58">
        <f>D11+(F10-F9)</f>
        <v>0</v>
      </c>
      <c r="G11" s="58">
        <f>F11+(G10-G9)</f>
        <v>0</v>
      </c>
      <c r="H11" s="58">
        <f>G11+(H10-H9)</f>
        <v>0</v>
      </c>
      <c r="I11" s="58">
        <f>H11+(I10-I9)</f>
        <v>0</v>
      </c>
      <c r="J11" s="58">
        <f>I11+(J10-J9)</f>
        <v>0</v>
      </c>
      <c r="K11" s="59">
        <f>J11+(K10-K9)</f>
        <v>0</v>
      </c>
      <c r="L11" s="61"/>
      <c r="M11" s="100"/>
      <c r="N11" s="58">
        <f>K11+(N10-N9)</f>
        <v>0</v>
      </c>
      <c r="O11" s="58">
        <f>N11+(O10-O9)</f>
        <v>0</v>
      </c>
      <c r="P11" s="58">
        <f>O11+(P10-P9)</f>
        <v>0</v>
      </c>
      <c r="Q11" s="58">
        <f>P11+(Q10-Q9)</f>
        <v>0</v>
      </c>
      <c r="R11" s="59">
        <f>Q11+(R10-R9)</f>
        <v>0</v>
      </c>
      <c r="S11" s="61"/>
      <c r="T11" s="58">
        <f>R11+(T10-T9)</f>
        <v>0</v>
      </c>
      <c r="U11" s="58">
        <f>T11+(U10-U9)</f>
        <v>0</v>
      </c>
      <c r="V11" s="58">
        <f>U11+(V10-V9)</f>
        <v>0</v>
      </c>
      <c r="W11" s="58">
        <f>V11+(W10-W9)</f>
        <v>0</v>
      </c>
      <c r="X11" s="58">
        <f>W11+(X10-X9)</f>
        <v>0</v>
      </c>
      <c r="Y11" s="59">
        <f>X11+(Y10-Y9)</f>
        <v>0</v>
      </c>
      <c r="Z11" s="61"/>
      <c r="AA11" s="58">
        <f>Y11+(AA10-AA9)</f>
        <v>0</v>
      </c>
      <c r="AB11" s="58">
        <f>AA11+(AB10-AB9)</f>
        <v>0</v>
      </c>
      <c r="AC11" s="58">
        <f>AB11+(AC10-AC9)</f>
        <v>0</v>
      </c>
      <c r="AD11" s="58">
        <f>AC11+(AD10-AD9)</f>
        <v>0</v>
      </c>
      <c r="AE11" s="111"/>
      <c r="AF11" s="112">
        <f>AE11+(AF10-AF9)</f>
        <v>0</v>
      </c>
      <c r="AG11" s="61">
        <f>AF11+(AG10-AG9)</f>
        <v>0</v>
      </c>
      <c r="AH11" s="127"/>
      <c r="AI11" s="94"/>
      <c r="AJ11" s="125"/>
      <c r="AK11" s="94"/>
      <c r="AL11" s="94"/>
      <c r="AM11" s="94"/>
      <c r="AN11" s="94"/>
      <c r="AO11" s="94"/>
      <c r="AP11" s="94"/>
      <c r="AQ11" s="94"/>
      <c r="AR11" s="94"/>
    </row>
    <row r="12" spans="1:44">
      <c r="A12" s="341">
        <v>0.12</v>
      </c>
      <c r="B12" s="62" t="s">
        <v>129</v>
      </c>
      <c r="C12" s="64">
        <v>0</v>
      </c>
      <c r="D12" s="65">
        <v>0</v>
      </c>
      <c r="E12" s="66"/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5">
        <v>0</v>
      </c>
      <c r="L12" s="66"/>
      <c r="M12" s="101"/>
      <c r="N12" s="64">
        <v>0</v>
      </c>
      <c r="O12" s="64">
        <v>0</v>
      </c>
      <c r="P12" s="64">
        <v>0</v>
      </c>
      <c r="Q12" s="64">
        <v>0</v>
      </c>
      <c r="R12" s="65">
        <v>0</v>
      </c>
      <c r="S12" s="66"/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5">
        <v>0</v>
      </c>
      <c r="Z12" s="66"/>
      <c r="AA12" s="64">
        <v>0</v>
      </c>
      <c r="AB12" s="64">
        <v>0</v>
      </c>
      <c r="AC12" s="64">
        <v>0</v>
      </c>
      <c r="AD12" s="64">
        <v>0</v>
      </c>
      <c r="AE12" s="113"/>
      <c r="AF12" s="114">
        <v>0</v>
      </c>
      <c r="AG12" s="66">
        <v>0</v>
      </c>
      <c r="AH12" s="128">
        <f>SUM(C12:AG12)</f>
        <v>0</v>
      </c>
      <c r="AI12" s="94"/>
      <c r="AJ12" s="125"/>
      <c r="AK12" s="94"/>
      <c r="AL12" s="94"/>
      <c r="AM12" s="94"/>
      <c r="AN12" s="94"/>
      <c r="AO12" s="94"/>
      <c r="AP12" s="94"/>
      <c r="AQ12" s="94"/>
      <c r="AR12" s="94"/>
    </row>
    <row r="13" spans="1:44">
      <c r="A13" s="339"/>
      <c r="B13" s="57" t="s">
        <v>15</v>
      </c>
      <c r="C13" s="58">
        <f>SUMIFS('伸线wire drawing'!$J$7:$J$1000,'伸线wire drawing'!$E$7:$E$1000,'03'!$A$12,'伸线wire drawing'!$A$7:$A$1000,'03'!C$2)</f>
        <v>0</v>
      </c>
      <c r="D13" s="59">
        <f>SUMIFS('伸线wire drawing'!$J$7:$J$1000,'伸线wire drawing'!$E$7:$E$1000,'03'!$A$12,'伸线wire drawing'!$A$7:$A$1000,'03'!D$2)</f>
        <v>0</v>
      </c>
      <c r="E13" s="61"/>
      <c r="F13" s="58">
        <f>SUMIFS('伸线wire drawing'!$J$7:$J$1000,'伸线wire drawing'!$E$7:$E$1000,'03'!$A$12,'伸线wire drawing'!$A$7:$A$1000,'03'!F$2)</f>
        <v>0</v>
      </c>
      <c r="G13" s="58">
        <f>SUMIFS('伸线wire drawing'!$J$7:$J$1000,'伸线wire drawing'!$E$7:$E$1000,'03'!$A$12,'伸线wire drawing'!$A$7:$A$1000,'03'!G$2)</f>
        <v>0</v>
      </c>
      <c r="H13" s="58">
        <f>SUMIFS('伸线wire drawing'!$J$7:$J$1000,'伸线wire drawing'!$E$7:$E$1000,'03'!$A$12,'伸线wire drawing'!$A$7:$A$1000,'03'!H$2)</f>
        <v>0</v>
      </c>
      <c r="I13" s="58">
        <f>SUMIFS('伸线wire drawing'!$J$7:$J$1000,'伸线wire drawing'!$E$7:$E$1000,'03'!$A$12,'伸线wire drawing'!$A$7:$A$1000,'03'!I$2)</f>
        <v>0</v>
      </c>
      <c r="J13" s="58">
        <f>SUMIFS('伸线wire drawing'!$J$7:$J$1000,'伸线wire drawing'!$E$7:$E$1000,'03'!$A$12,'伸线wire drawing'!$A$7:$A$1000,'03'!J$2)</f>
        <v>0</v>
      </c>
      <c r="K13" s="59">
        <f>SUMIFS('伸线wire drawing'!$J$7:$J$1000,'伸线wire drawing'!$E$7:$E$1000,'03'!$A$12,'伸线wire drawing'!$A$7:$A$1000,'03'!K$2)</f>
        <v>0</v>
      </c>
      <c r="L13" s="61"/>
      <c r="M13" s="100"/>
      <c r="N13" s="58">
        <f>SUMIFS('伸线wire drawing'!$J$7:$J$1000,'伸线wire drawing'!$E$7:$E$1000,'03'!$A$12,'伸线wire drawing'!$A$7:$A$1000,'03'!N$2)</f>
        <v>0</v>
      </c>
      <c r="O13" s="58">
        <f>SUMIFS('伸线wire drawing'!$J$7:$J$1000,'伸线wire drawing'!$E$7:$E$1000,'03'!$A$12,'伸线wire drawing'!$A$7:$A$1000,'03'!O$2)</f>
        <v>0</v>
      </c>
      <c r="P13" s="58">
        <f>SUMIFS('伸线wire drawing'!$J$7:$J$1000,'伸线wire drawing'!$E$7:$E$1000,'03'!$A$12,'伸线wire drawing'!$A$7:$A$1000,'03'!P$2)</f>
        <v>0</v>
      </c>
      <c r="Q13" s="58">
        <f>SUMIFS('伸线wire drawing'!$J$7:$J$1000,'伸线wire drawing'!$E$7:$E$1000,'03'!$A$12,'伸线wire drawing'!$A$7:$A$1000,'03'!Q$2)</f>
        <v>0</v>
      </c>
      <c r="R13" s="59">
        <f>SUMIFS('伸线wire drawing'!$J$7:$J$1000,'伸线wire drawing'!$E$7:$E$1000,'03'!$A$12,'伸线wire drawing'!$A$7:$A$1000,'03'!R$2)</f>
        <v>0</v>
      </c>
      <c r="S13" s="61"/>
      <c r="T13" s="58">
        <f>SUMIFS('伸线wire drawing'!$J$7:$J$1000,'伸线wire drawing'!$E$7:$E$1000,'03'!$A$12,'伸线wire drawing'!$A$7:$A$1000,'03'!T$2)</f>
        <v>0</v>
      </c>
      <c r="U13" s="58">
        <f>SUMIFS('伸线wire drawing'!$J$7:$J$1000,'伸线wire drawing'!$E$7:$E$1000,'03'!$A$12,'伸线wire drawing'!$A$7:$A$1000,'03'!U$2)</f>
        <v>0</v>
      </c>
      <c r="V13" s="58">
        <f>SUMIFS('伸线wire drawing'!$J$7:$J$1000,'伸线wire drawing'!$E$7:$E$1000,'03'!$A$12,'伸线wire drawing'!$A$7:$A$1000,'03'!V$2)</f>
        <v>0</v>
      </c>
      <c r="W13" s="58">
        <f>SUMIFS('伸线wire drawing'!$J$7:$J$1000,'伸线wire drawing'!$E$7:$E$1000,'03'!$A$12,'伸线wire drawing'!$A$7:$A$1000,'03'!W$2)</f>
        <v>0</v>
      </c>
      <c r="X13" s="58">
        <f>SUMIFS('伸线wire drawing'!$J$7:$J$1000,'伸线wire drawing'!$E$7:$E$1000,'03'!$A$12,'伸线wire drawing'!$A$7:$A$1000,'03'!X$2)</f>
        <v>0</v>
      </c>
      <c r="Y13" s="59">
        <f>SUMIFS('伸线wire drawing'!$J$7:$J$1000,'伸线wire drawing'!$E$7:$E$1000,'03'!$A$12,'伸线wire drawing'!$A$7:$A$1000,'03'!Y$2)</f>
        <v>0</v>
      </c>
      <c r="Z13" s="61"/>
      <c r="AA13" s="58">
        <f>SUMIFS('伸线wire drawing'!$J$7:$J$1000,'伸线wire drawing'!$E$7:$E$1000,'03'!$A$12,'伸线wire drawing'!$A$7:$A$1000,'03'!AA$2)</f>
        <v>0</v>
      </c>
      <c r="AB13" s="58">
        <f>SUMIFS('伸线wire drawing'!$J$7:$J$1000,'伸线wire drawing'!$E$7:$E$1000,'03'!$A$12,'伸线wire drawing'!$A$7:$A$1000,'03'!AB$2)</f>
        <v>0</v>
      </c>
      <c r="AC13" s="58">
        <f>SUMIFS('伸线wire drawing'!$J$7:$J$1000,'伸线wire drawing'!$E$7:$E$1000,'03'!$A$12,'伸线wire drawing'!$A$7:$A$1000,'03'!AC$2)</f>
        <v>0</v>
      </c>
      <c r="AD13" s="58">
        <f>SUMIFS('伸线wire drawing'!$J$7:$J$1000,'伸线wire drawing'!$E$7:$E$1000,'03'!$A$12,'伸线wire drawing'!$A$7:$A$1000,'03'!AD$2)</f>
        <v>0</v>
      </c>
      <c r="AE13" s="111"/>
      <c r="AF13" s="112"/>
      <c r="AG13" s="61"/>
      <c r="AH13" s="127">
        <f>SUM(C13:AG13)</f>
        <v>0</v>
      </c>
      <c r="AI13" s="94"/>
      <c r="AJ13" s="125"/>
      <c r="AK13" s="94"/>
      <c r="AL13" s="94"/>
      <c r="AM13" s="94"/>
      <c r="AN13" s="94"/>
      <c r="AO13" s="94"/>
      <c r="AP13" s="94"/>
      <c r="AQ13" s="94"/>
      <c r="AR13" s="94"/>
    </row>
    <row r="14" spans="1:44">
      <c r="A14" s="340"/>
      <c r="B14" s="57" t="s">
        <v>110</v>
      </c>
      <c r="C14" s="58">
        <f>C13-C12</f>
        <v>0</v>
      </c>
      <c r="D14" s="59">
        <f>C14+(D13-D12)</f>
        <v>0</v>
      </c>
      <c r="E14" s="61"/>
      <c r="F14" s="58">
        <f>D14+(F13-F12)</f>
        <v>0</v>
      </c>
      <c r="G14" s="58">
        <f>F14+(G13-G12)</f>
        <v>0</v>
      </c>
      <c r="H14" s="58">
        <f>G14+(H13-H12)</f>
        <v>0</v>
      </c>
      <c r="I14" s="58">
        <f>H14+(I13-I12)</f>
        <v>0</v>
      </c>
      <c r="J14" s="58">
        <f>I14+(J13-J12)</f>
        <v>0</v>
      </c>
      <c r="K14" s="59">
        <f>J14+(K13-K12)</f>
        <v>0</v>
      </c>
      <c r="L14" s="61"/>
      <c r="M14" s="100"/>
      <c r="N14" s="58">
        <f>K14+(N13-N12)</f>
        <v>0</v>
      </c>
      <c r="O14" s="58">
        <f>N14+(O13-O12)</f>
        <v>0</v>
      </c>
      <c r="P14" s="58">
        <f>O14+(P13-P12)</f>
        <v>0</v>
      </c>
      <c r="Q14" s="58">
        <f>P14+(Q13-Q12)</f>
        <v>0</v>
      </c>
      <c r="R14" s="59">
        <f>Q14+(R13-R12)</f>
        <v>0</v>
      </c>
      <c r="S14" s="61"/>
      <c r="T14" s="58">
        <f>R14+(T13-T12)</f>
        <v>0</v>
      </c>
      <c r="U14" s="58">
        <f>T14+(U13-U12)</f>
        <v>0</v>
      </c>
      <c r="V14" s="58">
        <f>U14+(V13-V12)</f>
        <v>0</v>
      </c>
      <c r="W14" s="58">
        <f>V14+(W13-W12)</f>
        <v>0</v>
      </c>
      <c r="X14" s="58">
        <f>W14+(X13-X12)</f>
        <v>0</v>
      </c>
      <c r="Y14" s="59">
        <f>X14+(Y13-Y12)</f>
        <v>0</v>
      </c>
      <c r="Z14" s="61"/>
      <c r="AA14" s="58">
        <f>Y14+(AA13-AA12)</f>
        <v>0</v>
      </c>
      <c r="AB14" s="58">
        <f>AA14+(AB13-AB12)</f>
        <v>0</v>
      </c>
      <c r="AC14" s="58">
        <f>AB14+(AC13-AC12)</f>
        <v>0</v>
      </c>
      <c r="AD14" s="58">
        <f>AC14+(AD13-AD12)</f>
        <v>0</v>
      </c>
      <c r="AE14" s="111"/>
      <c r="AF14" s="112">
        <f>AE14+(AF13-AF12)</f>
        <v>0</v>
      </c>
      <c r="AG14" s="61">
        <f>AF14+(AG13-AG12)</f>
        <v>0</v>
      </c>
      <c r="AH14" s="127"/>
      <c r="AI14" s="94"/>
      <c r="AJ14" s="125"/>
      <c r="AK14" s="94"/>
      <c r="AL14" s="94"/>
      <c r="AM14" s="94"/>
      <c r="AN14" s="94"/>
      <c r="AO14" s="94"/>
      <c r="AP14" s="94"/>
      <c r="AQ14" s="94"/>
      <c r="AR14" s="94"/>
    </row>
    <row r="15" spans="1:44">
      <c r="A15" s="341">
        <v>0.1</v>
      </c>
      <c r="B15" s="62" t="s">
        <v>129</v>
      </c>
      <c r="C15" s="64">
        <v>0</v>
      </c>
      <c r="D15" s="65">
        <v>0</v>
      </c>
      <c r="E15" s="66"/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5">
        <v>0</v>
      </c>
      <c r="L15" s="66"/>
      <c r="M15" s="101"/>
      <c r="N15" s="64">
        <v>0</v>
      </c>
      <c r="O15" s="64">
        <v>0</v>
      </c>
      <c r="P15" s="64">
        <v>0</v>
      </c>
      <c r="Q15" s="64">
        <v>0</v>
      </c>
      <c r="R15" s="65">
        <v>0</v>
      </c>
      <c r="S15" s="66"/>
      <c r="T15" s="64">
        <v>0</v>
      </c>
      <c r="U15" s="64">
        <v>0</v>
      </c>
      <c r="V15" s="64">
        <v>0</v>
      </c>
      <c r="W15" s="63">
        <v>0</v>
      </c>
      <c r="X15" s="63">
        <v>0</v>
      </c>
      <c r="Y15" s="65">
        <v>0</v>
      </c>
      <c r="Z15" s="66"/>
      <c r="AA15" s="64">
        <v>0</v>
      </c>
      <c r="AB15" s="63">
        <v>0</v>
      </c>
      <c r="AC15" s="63">
        <v>0</v>
      </c>
      <c r="AD15" s="63">
        <v>0</v>
      </c>
      <c r="AE15" s="111"/>
      <c r="AF15" s="114">
        <v>0</v>
      </c>
      <c r="AG15" s="66">
        <v>0</v>
      </c>
      <c r="AH15" s="128">
        <f>SUM(C15:AG15)</f>
        <v>0</v>
      </c>
      <c r="AI15" s="94"/>
      <c r="AJ15" s="125"/>
      <c r="AK15" s="94"/>
      <c r="AL15" s="94"/>
      <c r="AM15" s="94"/>
      <c r="AN15" s="94"/>
      <c r="AO15" s="94"/>
      <c r="AP15" s="94"/>
      <c r="AQ15" s="94"/>
      <c r="AR15" s="94"/>
    </row>
    <row r="16" spans="1:44">
      <c r="A16" s="339"/>
      <c r="B16" s="57" t="s">
        <v>15</v>
      </c>
      <c r="C16" s="58">
        <f>SUMIFS('伸线wire drawing'!$J$7:$J$1000,'伸线wire drawing'!$E$7:$E$1000,'03'!$A$15,'伸线wire drawing'!$A$7:$A$1000,'03'!C$2)</f>
        <v>0</v>
      </c>
      <c r="D16" s="59">
        <f>SUMIFS('伸线wire drawing'!$J$7:$J$1000,'伸线wire drawing'!$E$7:$E$1000,'03'!$A$15,'伸线wire drawing'!$A$7:$A$1000,'03'!D$2)</f>
        <v>0</v>
      </c>
      <c r="E16" s="61"/>
      <c r="F16" s="58">
        <f>SUMIFS('伸线wire drawing'!$J$7:$J$1000,'伸线wire drawing'!$E$7:$E$1000,'03'!$A$15,'伸线wire drawing'!$A$7:$A$1000,'03'!F$2)</f>
        <v>0</v>
      </c>
      <c r="G16" s="58">
        <f>SUMIFS('伸线wire drawing'!$J$7:$J$1000,'伸线wire drawing'!$E$7:$E$1000,'03'!$A$15,'伸线wire drawing'!$A$7:$A$1000,'03'!G$2)</f>
        <v>0</v>
      </c>
      <c r="H16" s="58">
        <f>SUMIFS('伸线wire drawing'!$J$7:$J$1000,'伸线wire drawing'!$E$7:$E$1000,'03'!$A$15,'伸线wire drawing'!$A$7:$A$1000,'03'!H$2)</f>
        <v>0</v>
      </c>
      <c r="I16" s="58">
        <f>SUMIFS('伸线wire drawing'!$J$7:$J$1000,'伸线wire drawing'!$E$7:$E$1000,'03'!$A$15,'伸线wire drawing'!$A$7:$A$1000,'03'!I$2)</f>
        <v>0</v>
      </c>
      <c r="J16" s="58">
        <f>SUMIFS('伸线wire drawing'!$J$7:$J$1000,'伸线wire drawing'!$E$7:$E$1000,'03'!$A$15,'伸线wire drawing'!$A$7:$A$1000,'03'!J$2)</f>
        <v>0</v>
      </c>
      <c r="K16" s="59">
        <f>SUMIFS('伸线wire drawing'!$J$7:$J$1000,'伸线wire drawing'!$E$7:$E$1000,'03'!$A$15,'伸线wire drawing'!$A$7:$A$1000,'03'!K$2)</f>
        <v>0</v>
      </c>
      <c r="L16" s="61"/>
      <c r="M16" s="100"/>
      <c r="N16" s="58">
        <f>SUMIFS('伸线wire drawing'!$J$7:$J$1000,'伸线wire drawing'!$E$7:$E$1000,'03'!$A$15,'伸线wire drawing'!$A$7:$A$1000,'03'!N$2)</f>
        <v>0</v>
      </c>
      <c r="O16" s="58">
        <f>SUMIFS('伸线wire drawing'!$J$7:$J$1000,'伸线wire drawing'!$E$7:$E$1000,'03'!$A$15,'伸线wire drawing'!$A$7:$A$1000,'03'!O$2)</f>
        <v>0</v>
      </c>
      <c r="P16" s="58">
        <f>SUMIFS('伸线wire drawing'!$J$7:$J$1000,'伸线wire drawing'!$E$7:$E$1000,'03'!$A$15,'伸线wire drawing'!$A$7:$A$1000,'03'!P$2)</f>
        <v>0</v>
      </c>
      <c r="Q16" s="58">
        <f>SUMIFS('伸线wire drawing'!$J$7:$J$1000,'伸线wire drawing'!$E$7:$E$1000,'03'!$A$15,'伸线wire drawing'!$A$7:$A$1000,'03'!Q$2)</f>
        <v>0</v>
      </c>
      <c r="R16" s="59">
        <f>SUMIFS('伸线wire drawing'!$J$7:$J$1000,'伸线wire drawing'!$E$7:$E$1000,'03'!$A$15,'伸线wire drawing'!$A$7:$A$1000,'03'!R$2)</f>
        <v>0</v>
      </c>
      <c r="S16" s="61"/>
      <c r="T16" s="58">
        <f>SUMIFS('伸线wire drawing'!$J$7:$J$1000,'伸线wire drawing'!$E$7:$E$1000,'03'!$A$15,'伸线wire drawing'!$A$7:$A$1000,'03'!T$2)</f>
        <v>0</v>
      </c>
      <c r="U16" s="58">
        <f>SUMIFS('伸线wire drawing'!$J$7:$J$1000,'伸线wire drawing'!$E$7:$E$1000,'03'!$A$15,'伸线wire drawing'!$A$7:$A$1000,'03'!U$2)</f>
        <v>0</v>
      </c>
      <c r="V16" s="58">
        <f>SUMIFS('伸线wire drawing'!$J$7:$J$1000,'伸线wire drawing'!$E$7:$E$1000,'03'!$A$15,'伸线wire drawing'!$A$7:$A$1000,'03'!V$2)</f>
        <v>0</v>
      </c>
      <c r="W16" s="58">
        <f>SUMIFS('伸线wire drawing'!$J$7:$J$1000,'伸线wire drawing'!$E$7:$E$1000,'03'!$A$15,'伸线wire drawing'!$A$7:$A$1000,'03'!W$2)</f>
        <v>0</v>
      </c>
      <c r="X16" s="58">
        <f>SUMIFS('伸线wire drawing'!$J$7:$J$1000,'伸线wire drawing'!$E$7:$E$1000,'03'!$A$15,'伸线wire drawing'!$A$7:$A$1000,'03'!X$2)</f>
        <v>0</v>
      </c>
      <c r="Y16" s="59">
        <f>SUMIFS('伸线wire drawing'!$J$7:$J$1000,'伸线wire drawing'!$E$7:$E$1000,'03'!$A$15,'伸线wire drawing'!$A$7:$A$1000,'03'!Y$2)</f>
        <v>0</v>
      </c>
      <c r="Z16" s="61"/>
      <c r="AA16" s="58">
        <f>SUMIFS('伸线wire drawing'!$J$7:$J$1000,'伸线wire drawing'!$E$7:$E$1000,'03'!$A$15,'伸线wire drawing'!$A$7:$A$1000,'03'!AA$2)</f>
        <v>0</v>
      </c>
      <c r="AB16" s="58">
        <f>SUMIFS('伸线wire drawing'!$J$7:$J$1000,'伸线wire drawing'!$E$7:$E$1000,'03'!$A$15,'伸线wire drawing'!$A$7:$A$1000,'03'!AB$2)</f>
        <v>0</v>
      </c>
      <c r="AC16" s="58">
        <f>SUMIFS('伸线wire drawing'!$J$7:$J$1000,'伸线wire drawing'!$E$7:$E$1000,'03'!$A$15,'伸线wire drawing'!$A$7:$A$1000,'03'!AC$2)</f>
        <v>0</v>
      </c>
      <c r="AD16" s="58">
        <f>SUMIFS('伸线wire drawing'!$J$7:$J$1000,'伸线wire drawing'!$E$7:$E$1000,'03'!$A$15,'伸线wire drawing'!$A$7:$A$1000,'03'!AD$2)</f>
        <v>0</v>
      </c>
      <c r="AE16" s="111"/>
      <c r="AF16" s="112"/>
      <c r="AG16" s="61"/>
      <c r="AH16" s="127">
        <f>SUM(C16:AG16)</f>
        <v>0</v>
      </c>
      <c r="AI16" s="94"/>
      <c r="AJ16" s="125"/>
      <c r="AK16" s="94"/>
      <c r="AL16" s="94"/>
      <c r="AM16" s="94"/>
      <c r="AN16" s="94"/>
      <c r="AO16" s="94"/>
      <c r="AP16" s="94"/>
      <c r="AQ16" s="94"/>
      <c r="AR16" s="94"/>
    </row>
    <row r="17" spans="1:44">
      <c r="A17" s="340"/>
      <c r="B17" s="57" t="s">
        <v>110</v>
      </c>
      <c r="C17" s="58">
        <f>C16-C15</f>
        <v>0</v>
      </c>
      <c r="D17" s="59">
        <f>C17+(D16-D15)</f>
        <v>0</v>
      </c>
      <c r="E17" s="61"/>
      <c r="F17" s="58">
        <f>D17+(F16-F15)</f>
        <v>0</v>
      </c>
      <c r="G17" s="58">
        <f>F17+(G16-G15)</f>
        <v>0</v>
      </c>
      <c r="H17" s="58">
        <f>G17+(H16-H15)</f>
        <v>0</v>
      </c>
      <c r="I17" s="58">
        <f>H17+(I16-I15)</f>
        <v>0</v>
      </c>
      <c r="J17" s="58">
        <f>I17+(J16-J15)</f>
        <v>0</v>
      </c>
      <c r="K17" s="59">
        <f>J17+(K16-K15)</f>
        <v>0</v>
      </c>
      <c r="L17" s="61"/>
      <c r="M17" s="100"/>
      <c r="N17" s="58">
        <f>K17+(N16-N15)</f>
        <v>0</v>
      </c>
      <c r="O17" s="58">
        <f>N17+(O16-O15)</f>
        <v>0</v>
      </c>
      <c r="P17" s="58">
        <f>O17+(P16-P15)</f>
        <v>0</v>
      </c>
      <c r="Q17" s="58">
        <f>P17+(Q16-Q15)</f>
        <v>0</v>
      </c>
      <c r="R17" s="59">
        <f>Q17+(R16-R15)</f>
        <v>0</v>
      </c>
      <c r="S17" s="61"/>
      <c r="T17" s="58">
        <f>R17+(T16-T15)</f>
        <v>0</v>
      </c>
      <c r="U17" s="58">
        <f>T17+(U16-U15)</f>
        <v>0</v>
      </c>
      <c r="V17" s="58">
        <f>U17+(V16-V15)</f>
        <v>0</v>
      </c>
      <c r="W17" s="58">
        <f>V17+(W16-W15)</f>
        <v>0</v>
      </c>
      <c r="X17" s="58">
        <f>W17+(X16-X15)</f>
        <v>0</v>
      </c>
      <c r="Y17" s="59">
        <f>X17+(Y16-Y15)</f>
        <v>0</v>
      </c>
      <c r="Z17" s="61"/>
      <c r="AA17" s="58">
        <f>Y17+(AA16-AA15)</f>
        <v>0</v>
      </c>
      <c r="AB17" s="58">
        <f>AA17+(AB16-AB15)</f>
        <v>0</v>
      </c>
      <c r="AC17" s="58">
        <f>AB17+(AC16-AC15)</f>
        <v>0</v>
      </c>
      <c r="AD17" s="58">
        <f>AC17+(AD16-AD15)</f>
        <v>0</v>
      </c>
      <c r="AE17" s="111"/>
      <c r="AF17" s="112">
        <f>AE17+(AF16-AF15)</f>
        <v>0</v>
      </c>
      <c r="AG17" s="61">
        <f>AF17+(AG16-AG15)</f>
        <v>0</v>
      </c>
      <c r="AH17" s="127"/>
      <c r="AI17" s="94"/>
      <c r="AJ17" s="125"/>
      <c r="AK17" s="94"/>
      <c r="AL17" s="94"/>
      <c r="AM17" s="94"/>
      <c r="AN17" s="94"/>
      <c r="AO17" s="94"/>
      <c r="AP17" s="94"/>
      <c r="AQ17" s="94"/>
      <c r="AR17" s="94"/>
    </row>
    <row r="18" spans="1:44">
      <c r="A18" s="341">
        <v>0.2</v>
      </c>
      <c r="B18" s="62" t="s">
        <v>129</v>
      </c>
      <c r="C18" s="64">
        <v>0</v>
      </c>
      <c r="D18" s="65">
        <v>0</v>
      </c>
      <c r="E18" s="66"/>
      <c r="F18" s="64">
        <v>0</v>
      </c>
      <c r="G18" s="64">
        <v>0</v>
      </c>
      <c r="H18" s="63">
        <v>0</v>
      </c>
      <c r="I18" s="63">
        <v>0</v>
      </c>
      <c r="J18" s="63">
        <v>0</v>
      </c>
      <c r="K18" s="65">
        <v>0</v>
      </c>
      <c r="L18" s="66"/>
      <c r="M18" s="100"/>
      <c r="N18" s="63">
        <v>0</v>
      </c>
      <c r="O18" s="63">
        <v>0</v>
      </c>
      <c r="P18" s="63">
        <v>0</v>
      </c>
      <c r="Q18" s="64">
        <v>0</v>
      </c>
      <c r="R18" s="65">
        <v>0</v>
      </c>
      <c r="S18" s="66"/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5">
        <v>0</v>
      </c>
      <c r="Z18" s="66"/>
      <c r="AA18" s="64">
        <v>0</v>
      </c>
      <c r="AB18" s="63">
        <v>0</v>
      </c>
      <c r="AC18" s="63">
        <v>0</v>
      </c>
      <c r="AD18" s="63">
        <v>0</v>
      </c>
      <c r="AE18" s="111"/>
      <c r="AF18" s="114">
        <v>0</v>
      </c>
      <c r="AG18" s="66">
        <v>0</v>
      </c>
      <c r="AH18" s="128">
        <f>SUM(C18:AG18)</f>
        <v>0</v>
      </c>
      <c r="AI18" s="94"/>
      <c r="AJ18" s="125"/>
      <c r="AK18" s="94"/>
      <c r="AL18" s="94"/>
      <c r="AM18" s="94"/>
      <c r="AN18" s="94"/>
      <c r="AO18" s="94"/>
      <c r="AP18" s="94"/>
      <c r="AQ18" s="94"/>
      <c r="AR18" s="94"/>
    </row>
    <row r="19" spans="1:44">
      <c r="A19" s="339"/>
      <c r="B19" s="57" t="s">
        <v>15</v>
      </c>
      <c r="C19" s="58">
        <f>SUMIFS('伸线wire drawing'!$J$7:$J$1000,'伸线wire drawing'!$E$7:$E$1000,'03'!$A$18,'伸线wire drawing'!$A$7:$A$1000,'03'!C$2)</f>
        <v>0</v>
      </c>
      <c r="D19" s="59">
        <f>SUMIFS('伸线wire drawing'!$J$7:$J$1000,'伸线wire drawing'!$E$7:$E$1000,'03'!$A$18,'伸线wire drawing'!$A$7:$A$1000,'03'!D$2)</f>
        <v>0</v>
      </c>
      <c r="E19" s="61"/>
      <c r="F19" s="58">
        <f>SUMIFS('伸线wire drawing'!$J$7:$J$1000,'伸线wire drawing'!$E$7:$E$1000,'03'!$A$18,'伸线wire drawing'!$A$7:$A$1000,'03'!F$2)</f>
        <v>0</v>
      </c>
      <c r="G19" s="58">
        <f>SUMIFS('伸线wire drawing'!$J$7:$J$1000,'伸线wire drawing'!$E$7:$E$1000,'03'!$A$18,'伸线wire drawing'!$A$7:$A$1000,'03'!G$2)</f>
        <v>0</v>
      </c>
      <c r="H19" s="58">
        <f>SUMIFS('伸线wire drawing'!$J$7:$J$1000,'伸线wire drawing'!$E$7:$E$1000,'03'!$A$18,'伸线wire drawing'!$A$7:$A$1000,'03'!H$2)</f>
        <v>0</v>
      </c>
      <c r="I19" s="58">
        <f>SUMIFS('伸线wire drawing'!$J$7:$J$1000,'伸线wire drawing'!$E$7:$E$1000,'03'!$A$18,'伸线wire drawing'!$A$7:$A$1000,'03'!I$2)</f>
        <v>0</v>
      </c>
      <c r="J19" s="58">
        <f>SUMIFS('伸线wire drawing'!$J$7:$J$1000,'伸线wire drawing'!$E$7:$E$1000,'03'!$A$18,'伸线wire drawing'!$A$7:$A$1000,'03'!J$2)</f>
        <v>0</v>
      </c>
      <c r="K19" s="59">
        <f>SUMIFS('伸线wire drawing'!$J$7:$J$1000,'伸线wire drawing'!$E$7:$E$1000,'03'!$A$18,'伸线wire drawing'!$A$7:$A$1000,'03'!K$2)</f>
        <v>0</v>
      </c>
      <c r="L19" s="61"/>
      <c r="M19" s="102"/>
      <c r="N19" s="58">
        <f>SUMIFS('伸线wire drawing'!$J$7:$J$1000,'伸线wire drawing'!$E$7:$E$1000,'03'!$A$18,'伸线wire drawing'!$A$7:$A$1000,'03'!N$2)</f>
        <v>0</v>
      </c>
      <c r="O19" s="58">
        <f>SUMIFS('伸线wire drawing'!$J$7:$J$1000,'伸线wire drawing'!$E$7:$E$1000,'03'!$A$18,'伸线wire drawing'!$A$7:$A$1000,'03'!O$2)</f>
        <v>0</v>
      </c>
      <c r="P19" s="58">
        <f>SUMIFS('伸线wire drawing'!$J$7:$J$1000,'伸线wire drawing'!$E$7:$E$1000,'03'!$A$18,'伸线wire drawing'!$A$7:$A$1000,'03'!P$2)</f>
        <v>0</v>
      </c>
      <c r="Q19" s="58">
        <f>SUMIFS('伸线wire drawing'!$J$7:$J$1000,'伸线wire drawing'!$E$7:$E$1000,'03'!$A$18,'伸线wire drawing'!$A$7:$A$1000,'03'!Q$2)</f>
        <v>0</v>
      </c>
      <c r="R19" s="59">
        <f>SUMIFS('伸线wire drawing'!$J$7:$J$1000,'伸线wire drawing'!$E$7:$E$1000,'03'!$A$18,'伸线wire drawing'!$A$7:$A$1000,'03'!R$2)</f>
        <v>0</v>
      </c>
      <c r="S19" s="61"/>
      <c r="T19" s="58">
        <f>SUMIFS('伸线wire drawing'!$J$7:$J$1000,'伸线wire drawing'!$E$7:$E$1000,'03'!$A$18,'伸线wire drawing'!$A$7:$A$1000,'03'!T$2)</f>
        <v>0</v>
      </c>
      <c r="U19" s="58">
        <f>SUMIFS('伸线wire drawing'!$J$7:$J$1000,'伸线wire drawing'!$E$7:$E$1000,'03'!$A$18,'伸线wire drawing'!$A$7:$A$1000,'03'!U$2)</f>
        <v>0</v>
      </c>
      <c r="V19" s="58">
        <f>SUMIFS('伸线wire drawing'!$J$7:$J$1000,'伸线wire drawing'!$E$7:$E$1000,'03'!$A$18,'伸线wire drawing'!$A$7:$A$1000,'03'!V$2)</f>
        <v>0</v>
      </c>
      <c r="W19" s="58">
        <f>SUMIFS('伸线wire drawing'!$J$7:$J$1000,'伸线wire drawing'!$E$7:$E$1000,'03'!$A$18,'伸线wire drawing'!$A$7:$A$1000,'03'!W$2)</f>
        <v>0</v>
      </c>
      <c r="X19" s="58">
        <f>SUMIFS('伸线wire drawing'!$J$7:$J$1000,'伸线wire drawing'!$E$7:$E$1000,'03'!$A$18,'伸线wire drawing'!$A$7:$A$1000,'03'!X$2)</f>
        <v>0</v>
      </c>
      <c r="Y19" s="59">
        <f>SUMIFS('伸线wire drawing'!$J$7:$J$1000,'伸线wire drawing'!$E$7:$E$1000,'03'!$A$18,'伸线wire drawing'!$A$7:$A$1000,'03'!Y$2)</f>
        <v>0</v>
      </c>
      <c r="Z19" s="61"/>
      <c r="AA19" s="58">
        <f>SUMIFS('伸线wire drawing'!$J$7:$J$1000,'伸线wire drawing'!$E$7:$E$1000,'03'!$A$18,'伸线wire drawing'!$A$7:$A$1000,'03'!AA$2)</f>
        <v>0</v>
      </c>
      <c r="AB19" s="58">
        <f>SUMIFS('伸线wire drawing'!$J$7:$J$1000,'伸线wire drawing'!$E$7:$E$1000,'03'!$A$18,'伸线wire drawing'!$A$7:$A$1000,'03'!AB$2)</f>
        <v>0</v>
      </c>
      <c r="AC19" s="58">
        <f>SUMIFS('伸线wire drawing'!$J$7:$J$1000,'伸线wire drawing'!$E$7:$E$1000,'03'!$A$18,'伸线wire drawing'!$A$7:$A$1000,'03'!AC$2)</f>
        <v>0</v>
      </c>
      <c r="AD19" s="58">
        <f>SUMIFS('伸线wire drawing'!$J$7:$J$1000,'伸线wire drawing'!$E$7:$E$1000,'03'!$A$18,'伸线wire drawing'!$A$7:$A$1000,'03'!AD$2)</f>
        <v>0</v>
      </c>
      <c r="AE19" s="111"/>
      <c r="AF19" s="112"/>
      <c r="AG19" s="61"/>
      <c r="AH19" s="127">
        <f>SUM(C19:AG19)</f>
        <v>0</v>
      </c>
      <c r="AI19" s="94"/>
      <c r="AJ19" s="125"/>
      <c r="AK19" s="94"/>
      <c r="AL19" s="94"/>
      <c r="AM19" s="94"/>
      <c r="AN19" s="94"/>
      <c r="AO19" s="94"/>
      <c r="AP19" s="94"/>
      <c r="AQ19" s="94"/>
      <c r="AR19" s="94"/>
    </row>
    <row r="20" spans="1:44">
      <c r="A20" s="340"/>
      <c r="B20" s="57" t="s">
        <v>110</v>
      </c>
      <c r="C20" s="58">
        <f>C19-C18</f>
        <v>0</v>
      </c>
      <c r="D20" s="59">
        <f>C20+(D19-D18)</f>
        <v>0</v>
      </c>
      <c r="E20" s="61"/>
      <c r="F20" s="58">
        <f>D20+(F19-F18)</f>
        <v>0</v>
      </c>
      <c r="G20" s="58">
        <f>F20+(G19-G18)</f>
        <v>0</v>
      </c>
      <c r="H20" s="58">
        <f>G20+(H19-H18)</f>
        <v>0</v>
      </c>
      <c r="I20" s="58">
        <f>H20+(I19-I18)</f>
        <v>0</v>
      </c>
      <c r="J20" s="58">
        <f>I20+(J19-J18)</f>
        <v>0</v>
      </c>
      <c r="K20" s="59">
        <f>J20+(K19-K18)</f>
        <v>0</v>
      </c>
      <c r="L20" s="61"/>
      <c r="M20" s="100"/>
      <c r="N20" s="58">
        <f>K20+(N19-N18)</f>
        <v>0</v>
      </c>
      <c r="O20" s="58">
        <f>N20+(O19-O18)</f>
        <v>0</v>
      </c>
      <c r="P20" s="58">
        <f>O20+(P19-P18)</f>
        <v>0</v>
      </c>
      <c r="Q20" s="58">
        <f>P20+(Q19-Q18)</f>
        <v>0</v>
      </c>
      <c r="R20" s="59">
        <f>Q20+(R19-R18)</f>
        <v>0</v>
      </c>
      <c r="S20" s="61"/>
      <c r="T20" s="58">
        <f>R20+(T19-T18)</f>
        <v>0</v>
      </c>
      <c r="U20" s="58">
        <f>T20+(U19-U18)</f>
        <v>0</v>
      </c>
      <c r="V20" s="58">
        <f>U20+(V19-V18)</f>
        <v>0</v>
      </c>
      <c r="W20" s="58">
        <f>V20+(W19-W18)</f>
        <v>0</v>
      </c>
      <c r="X20" s="58">
        <f>W20+(X19-X18)</f>
        <v>0</v>
      </c>
      <c r="Y20" s="59">
        <f>X20+(Y19-Y18)</f>
        <v>0</v>
      </c>
      <c r="Z20" s="61"/>
      <c r="AA20" s="58">
        <f>Y20+(AA19-AA18)</f>
        <v>0</v>
      </c>
      <c r="AB20" s="58">
        <f>AA20+(AB19-AB18)</f>
        <v>0</v>
      </c>
      <c r="AC20" s="58">
        <f>AB20+(AC19-AC18)</f>
        <v>0</v>
      </c>
      <c r="AD20" s="58">
        <f>AC20+(AD19-AD18)</f>
        <v>0</v>
      </c>
      <c r="AE20" s="111"/>
      <c r="AF20" s="112">
        <f>AE20+(AF19-AF18)</f>
        <v>0</v>
      </c>
      <c r="AG20" s="61">
        <f>AF20+(AG19-AG18)</f>
        <v>0</v>
      </c>
      <c r="AH20" s="127"/>
      <c r="AI20" s="94"/>
      <c r="AJ20" s="125"/>
      <c r="AK20" s="94"/>
      <c r="AL20" s="94"/>
      <c r="AM20" s="94"/>
      <c r="AN20" s="94"/>
      <c r="AO20" s="94"/>
      <c r="AP20" s="94"/>
      <c r="AQ20" s="94"/>
      <c r="AR20" s="94"/>
    </row>
    <row r="21" spans="1:44">
      <c r="A21" s="341">
        <v>0.254</v>
      </c>
      <c r="B21" s="62" t="s">
        <v>129</v>
      </c>
      <c r="C21" s="64">
        <v>0</v>
      </c>
      <c r="D21" s="65">
        <v>0</v>
      </c>
      <c r="E21" s="66"/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5">
        <v>0</v>
      </c>
      <c r="L21" s="66"/>
      <c r="M21" s="101"/>
      <c r="N21" s="64">
        <v>0</v>
      </c>
      <c r="O21" s="64">
        <v>0</v>
      </c>
      <c r="P21" s="64">
        <v>0</v>
      </c>
      <c r="Q21" s="64">
        <v>0</v>
      </c>
      <c r="R21" s="65">
        <v>0</v>
      </c>
      <c r="S21" s="66"/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5">
        <v>0</v>
      </c>
      <c r="Z21" s="66"/>
      <c r="AA21" s="64">
        <v>0</v>
      </c>
      <c r="AB21" s="63">
        <v>0</v>
      </c>
      <c r="AC21" s="63">
        <v>0</v>
      </c>
      <c r="AD21" s="63">
        <v>0</v>
      </c>
      <c r="AE21" s="111"/>
      <c r="AF21" s="114">
        <v>0</v>
      </c>
      <c r="AG21" s="66">
        <v>0</v>
      </c>
      <c r="AH21" s="128">
        <f>SUM(C21:AG21)</f>
        <v>0</v>
      </c>
      <c r="AI21" s="94"/>
      <c r="AJ21" s="125"/>
      <c r="AK21" s="94"/>
      <c r="AL21" s="94"/>
      <c r="AM21" s="94"/>
      <c r="AN21" s="94"/>
      <c r="AO21" s="94"/>
      <c r="AP21" s="94"/>
      <c r="AQ21" s="94"/>
      <c r="AR21" s="94"/>
    </row>
    <row r="22" spans="1:44">
      <c r="A22" s="339"/>
      <c r="B22" s="57" t="s">
        <v>15</v>
      </c>
      <c r="C22" s="58">
        <f>SUMIFS('伸线wire drawing'!$J$7:$J$1000,'伸线wire drawing'!$E$7:$E$1000,'03'!$A$21,'伸线wire drawing'!$A$7:$A$1000,'03'!C$2)</f>
        <v>0</v>
      </c>
      <c r="D22" s="59">
        <f>SUMIFS('伸线wire drawing'!$J$7:$J$1000,'伸线wire drawing'!$E$7:$E$1000,'03'!$A$21,'伸线wire drawing'!$A$7:$A$1000,'03'!D$2)</f>
        <v>0</v>
      </c>
      <c r="E22" s="61"/>
      <c r="F22" s="58">
        <f>SUMIFS('伸线wire drawing'!$J$7:$J$1000,'伸线wire drawing'!$E$7:$E$1000,'03'!$A$21,'伸线wire drawing'!$A$7:$A$1000,'03'!F$2)</f>
        <v>0</v>
      </c>
      <c r="G22" s="58">
        <f>SUMIFS('伸线wire drawing'!$J$7:$J$1000,'伸线wire drawing'!$E$7:$E$1000,'03'!$A$21,'伸线wire drawing'!$A$7:$A$1000,'03'!G$2)</f>
        <v>0</v>
      </c>
      <c r="H22" s="58">
        <f>SUMIFS('伸线wire drawing'!$J$7:$J$1000,'伸线wire drawing'!$E$7:$E$1000,'03'!$A$21,'伸线wire drawing'!$A$7:$A$1000,'03'!H$2)</f>
        <v>0</v>
      </c>
      <c r="I22" s="58">
        <f>SUMIFS('伸线wire drawing'!$J$7:$J$1000,'伸线wire drawing'!$E$7:$E$1000,'03'!$A$21,'伸线wire drawing'!$A$7:$A$1000,'03'!I$2)</f>
        <v>0</v>
      </c>
      <c r="J22" s="58">
        <f>SUMIFS('伸线wire drawing'!$J$7:$J$1000,'伸线wire drawing'!$E$7:$E$1000,'03'!$A$21,'伸线wire drawing'!$A$7:$A$1000,'03'!J$2)</f>
        <v>0</v>
      </c>
      <c r="K22" s="59">
        <f>SUMIFS('伸线wire drawing'!$J$7:$J$1000,'伸线wire drawing'!$E$7:$E$1000,'03'!$A$21,'伸线wire drawing'!$A$7:$A$1000,'03'!K$2)</f>
        <v>0</v>
      </c>
      <c r="L22" s="61"/>
      <c r="M22" s="100"/>
      <c r="N22" s="58">
        <f>SUMIFS('伸线wire drawing'!$J$7:$J$1000,'伸线wire drawing'!$E$7:$E$1000,'03'!$A$21,'伸线wire drawing'!$A$7:$A$1000,'03'!N$2)</f>
        <v>0</v>
      </c>
      <c r="O22" s="58">
        <f>SUMIFS('伸线wire drawing'!$J$7:$J$1000,'伸线wire drawing'!$E$7:$E$1000,'03'!$A$21,'伸线wire drawing'!$A$7:$A$1000,'03'!O$2)</f>
        <v>0</v>
      </c>
      <c r="P22" s="58">
        <f>SUMIFS('伸线wire drawing'!$J$7:$J$1000,'伸线wire drawing'!$E$7:$E$1000,'03'!$A$21,'伸线wire drawing'!$A$7:$A$1000,'03'!P$2)</f>
        <v>0</v>
      </c>
      <c r="Q22" s="58">
        <f>SUMIFS('伸线wire drawing'!$J$7:$J$1000,'伸线wire drawing'!$E$7:$E$1000,'03'!$A$21,'伸线wire drawing'!$A$7:$A$1000,'03'!Q$2)</f>
        <v>0</v>
      </c>
      <c r="R22" s="59">
        <f>SUMIFS('伸线wire drawing'!$J$7:$J$1000,'伸线wire drawing'!$E$7:$E$1000,'03'!$A$21,'伸线wire drawing'!$A$7:$A$1000,'03'!R$2)</f>
        <v>0</v>
      </c>
      <c r="S22" s="61"/>
      <c r="T22" s="58">
        <f>SUMIFS('伸线wire drawing'!$J$7:$J$1000,'伸线wire drawing'!$E$7:$E$1000,'03'!$A$21,'伸线wire drawing'!$A$7:$A$1000,'03'!T$2)</f>
        <v>0</v>
      </c>
      <c r="U22" s="58">
        <f>SUMIFS('伸线wire drawing'!$J$7:$J$1000,'伸线wire drawing'!$E$7:$E$1000,'03'!$A$21,'伸线wire drawing'!$A$7:$A$1000,'03'!U$2)</f>
        <v>0</v>
      </c>
      <c r="V22" s="58">
        <f>SUMIFS('伸线wire drawing'!$J$7:$J$1000,'伸线wire drawing'!$E$7:$E$1000,'03'!$A$21,'伸线wire drawing'!$A$7:$A$1000,'03'!V$2)</f>
        <v>0</v>
      </c>
      <c r="W22" s="58">
        <f>SUMIFS('伸线wire drawing'!$J$7:$J$1000,'伸线wire drawing'!$E$7:$E$1000,'03'!$A$21,'伸线wire drawing'!$A$7:$A$1000,'03'!W$2)</f>
        <v>0</v>
      </c>
      <c r="X22" s="58">
        <f>SUMIFS('伸线wire drawing'!$J$7:$J$1000,'伸线wire drawing'!$E$7:$E$1000,'03'!$A$21,'伸线wire drawing'!$A$7:$A$1000,'03'!X$2)</f>
        <v>0</v>
      </c>
      <c r="Y22" s="59">
        <f>SUMIFS('伸线wire drawing'!$J$7:$J$1000,'伸线wire drawing'!$E$7:$E$1000,'03'!$A$21,'伸线wire drawing'!$A$7:$A$1000,'03'!Y$2)</f>
        <v>0</v>
      </c>
      <c r="Z22" s="61"/>
      <c r="AA22" s="58">
        <f>SUMIFS('伸线wire drawing'!$J$7:$J$1000,'伸线wire drawing'!$E$7:$E$1000,'03'!$A$21,'伸线wire drawing'!$A$7:$A$1000,'03'!AA$2)</f>
        <v>0</v>
      </c>
      <c r="AB22" s="58">
        <f>SUMIFS('伸线wire drawing'!$J$7:$J$1000,'伸线wire drawing'!$E$7:$E$1000,'03'!$A$21,'伸线wire drawing'!$A$7:$A$1000,'03'!AB$2)</f>
        <v>0</v>
      </c>
      <c r="AC22" s="58">
        <f>SUMIFS('伸线wire drawing'!$J$7:$J$1000,'伸线wire drawing'!$E$7:$E$1000,'03'!$A$21,'伸线wire drawing'!$A$7:$A$1000,'03'!AC$2)</f>
        <v>0</v>
      </c>
      <c r="AD22" s="58">
        <f>SUMIFS('伸线wire drawing'!$J$7:$J$1000,'伸线wire drawing'!$E$7:$E$1000,'03'!$A$21,'伸线wire drawing'!$A$7:$A$1000,'03'!AD$2)</f>
        <v>0</v>
      </c>
      <c r="AE22" s="111"/>
      <c r="AF22" s="112"/>
      <c r="AG22" s="61"/>
      <c r="AH22" s="127">
        <f>SUM(C22:AG22)</f>
        <v>0</v>
      </c>
      <c r="AI22" s="94"/>
      <c r="AJ22" s="125"/>
      <c r="AK22" s="94"/>
      <c r="AL22" s="94"/>
      <c r="AM22" s="94"/>
      <c r="AN22" s="94"/>
      <c r="AO22" s="94"/>
      <c r="AP22" s="94"/>
      <c r="AQ22" s="94"/>
      <c r="AR22" s="94"/>
    </row>
    <row r="23" spans="1:44">
      <c r="A23" s="342"/>
      <c r="B23" s="67" t="s">
        <v>110</v>
      </c>
      <c r="C23" s="58">
        <f>C22-C21</f>
        <v>0</v>
      </c>
      <c r="D23" s="59">
        <f>C23+(D22-D21)</f>
        <v>0</v>
      </c>
      <c r="E23" s="61"/>
      <c r="F23" s="58">
        <f>D23+(F22-F21)</f>
        <v>0</v>
      </c>
      <c r="G23" s="58">
        <f>F23+(G22-G21)</f>
        <v>0</v>
      </c>
      <c r="H23" s="58">
        <f>G23+(H22-H21)</f>
        <v>0</v>
      </c>
      <c r="I23" s="58">
        <f>H23+(I22-I21)</f>
        <v>0</v>
      </c>
      <c r="J23" s="58">
        <f>I23+(J22-J21)</f>
        <v>0</v>
      </c>
      <c r="K23" s="59">
        <f>J23+(K22-K21)</f>
        <v>0</v>
      </c>
      <c r="L23" s="61"/>
      <c r="M23" s="100"/>
      <c r="N23" s="58">
        <f>K23+(N22-N21)</f>
        <v>0</v>
      </c>
      <c r="O23" s="58">
        <f>N23+(O22-O21)</f>
        <v>0</v>
      </c>
      <c r="P23" s="58">
        <f>O23+(P22-P21)</f>
        <v>0</v>
      </c>
      <c r="Q23" s="58">
        <f>P23+(Q22-Q21)</f>
        <v>0</v>
      </c>
      <c r="R23" s="59">
        <f>Q23+(R22-R21)</f>
        <v>0</v>
      </c>
      <c r="S23" s="61"/>
      <c r="T23" s="58">
        <f>R23+(T22-T21)</f>
        <v>0</v>
      </c>
      <c r="U23" s="58">
        <f>T23+(U22-U21)</f>
        <v>0</v>
      </c>
      <c r="V23" s="58">
        <f>U23+(V22-V21)</f>
        <v>0</v>
      </c>
      <c r="W23" s="58">
        <f>V23+(W22-W21)</f>
        <v>0</v>
      </c>
      <c r="X23" s="58">
        <f>W23+(X22-X21)</f>
        <v>0</v>
      </c>
      <c r="Y23" s="59">
        <f>X23+(Y22-Y21)</f>
        <v>0</v>
      </c>
      <c r="Z23" s="61"/>
      <c r="AA23" s="58">
        <f>Y23+(AA22-AA21)</f>
        <v>0</v>
      </c>
      <c r="AB23" s="58">
        <f>AA23+(AB22-AB21)</f>
        <v>0</v>
      </c>
      <c r="AC23" s="58">
        <f>AB23+(AC22-AC21)</f>
        <v>0</v>
      </c>
      <c r="AD23" s="58">
        <f>AC23+(AD22-AD21)</f>
        <v>0</v>
      </c>
      <c r="AE23" s="115"/>
      <c r="AF23" s="116">
        <f>AE23+(AF22-AF21)</f>
        <v>0</v>
      </c>
      <c r="AG23" s="82">
        <f>AF23+(AG22-AG21)</f>
        <v>0</v>
      </c>
      <c r="AH23" s="129"/>
      <c r="AI23" s="94"/>
      <c r="AJ23" s="125"/>
      <c r="AK23" s="94"/>
      <c r="AL23" s="94"/>
      <c r="AM23" s="94"/>
      <c r="AN23" s="94"/>
      <c r="AO23" s="94"/>
      <c r="AP23" s="94"/>
      <c r="AQ23" s="94"/>
      <c r="AR23" s="94"/>
    </row>
    <row r="24" spans="1:44">
      <c r="A24" s="68"/>
      <c r="B24" s="69" t="s">
        <v>111</v>
      </c>
      <c r="C24" s="70">
        <f t="shared" ref="C24:F24" si="0">C3+C6+C9+C12+C15+C18+C21</f>
        <v>386</v>
      </c>
      <c r="D24" s="71">
        <f t="shared" si="0"/>
        <v>216</v>
      </c>
      <c r="E24" s="72">
        <f t="shared" si="0"/>
        <v>0</v>
      </c>
      <c r="F24" s="73">
        <f t="shared" si="0"/>
        <v>386</v>
      </c>
      <c r="G24" s="73">
        <f t="shared" ref="G24:M24" si="1">G3+G6+G9+G12+G15+G18+G21</f>
        <v>486</v>
      </c>
      <c r="H24" s="73">
        <f t="shared" si="1"/>
        <v>486</v>
      </c>
      <c r="I24" s="73">
        <f t="shared" si="1"/>
        <v>486</v>
      </c>
      <c r="J24" s="73">
        <f t="shared" si="1"/>
        <v>486</v>
      </c>
      <c r="K24" s="71">
        <f t="shared" si="1"/>
        <v>266</v>
      </c>
      <c r="L24" s="72">
        <f t="shared" si="1"/>
        <v>0</v>
      </c>
      <c r="M24" s="103">
        <f t="shared" si="1"/>
        <v>0</v>
      </c>
      <c r="N24" s="73">
        <f t="shared" ref="N24:T24" si="2">N3+N6+N9+N12+N15+N18+N21</f>
        <v>486</v>
      </c>
      <c r="O24" s="73">
        <f t="shared" si="2"/>
        <v>486</v>
      </c>
      <c r="P24" s="73">
        <f t="shared" si="2"/>
        <v>486</v>
      </c>
      <c r="Q24" s="73">
        <f t="shared" si="2"/>
        <v>486</v>
      </c>
      <c r="R24" s="71">
        <f t="shared" si="2"/>
        <v>266</v>
      </c>
      <c r="S24" s="72">
        <f t="shared" si="2"/>
        <v>0</v>
      </c>
      <c r="T24" s="73">
        <f t="shared" si="2"/>
        <v>528</v>
      </c>
      <c r="U24" s="73">
        <f t="shared" ref="U24:AA24" si="3">U3+U6+U9+U12+U15+U18+U21</f>
        <v>528</v>
      </c>
      <c r="V24" s="73">
        <f t="shared" si="3"/>
        <v>528</v>
      </c>
      <c r="W24" s="73">
        <f t="shared" si="3"/>
        <v>528</v>
      </c>
      <c r="X24" s="73">
        <f t="shared" si="3"/>
        <v>528</v>
      </c>
      <c r="Y24" s="71">
        <f t="shared" si="3"/>
        <v>308</v>
      </c>
      <c r="Z24" s="72">
        <f t="shared" si="3"/>
        <v>0</v>
      </c>
      <c r="AA24" s="73">
        <f t="shared" si="3"/>
        <v>428</v>
      </c>
      <c r="AB24" s="73">
        <f t="shared" ref="AB24:AG24" si="4">AB3+AB6+AB9+AB12+AB15+AB18+AB21</f>
        <v>428</v>
      </c>
      <c r="AC24" s="73">
        <f t="shared" si="4"/>
        <v>428</v>
      </c>
      <c r="AD24" s="73">
        <f t="shared" si="4"/>
        <v>428</v>
      </c>
      <c r="AE24" s="117"/>
      <c r="AF24" s="71">
        <f t="shared" si="4"/>
        <v>0</v>
      </c>
      <c r="AG24" s="72">
        <f t="shared" si="4"/>
        <v>0</v>
      </c>
      <c r="AH24" s="126">
        <f>SUM(C24:AG24)</f>
        <v>10068</v>
      </c>
      <c r="AI24" s="94"/>
      <c r="AJ24" s="125"/>
      <c r="AK24" s="94"/>
      <c r="AL24" s="94"/>
      <c r="AM24" s="94"/>
      <c r="AN24" s="94"/>
      <c r="AO24" s="94"/>
      <c r="AP24" s="94"/>
      <c r="AQ24" s="94"/>
      <c r="AR24" s="94"/>
    </row>
    <row r="25" spans="1:44">
      <c r="A25" s="68"/>
      <c r="B25" s="74" t="s">
        <v>112</v>
      </c>
      <c r="C25" s="75">
        <f t="shared" ref="C25:F25" si="5">C4+C7+C10+C13+C16+C19+C22</f>
        <v>464.0057748480001</v>
      </c>
      <c r="D25" s="76">
        <f t="shared" si="5"/>
        <v>250.22401662720003</v>
      </c>
      <c r="E25" s="77">
        <f t="shared" si="5"/>
        <v>0</v>
      </c>
      <c r="F25" s="78">
        <f t="shared" si="5"/>
        <v>474.88566343680003</v>
      </c>
      <c r="G25" s="78">
        <f t="shared" ref="G25:M25" si="6">G4+G7+G10+G13+G16+G19+G22</f>
        <v>576.48199150080006</v>
      </c>
      <c r="H25" s="78">
        <f t="shared" si="6"/>
        <v>643.41656924160009</v>
      </c>
      <c r="I25" s="78">
        <f t="shared" si="6"/>
        <v>627.32041827839998</v>
      </c>
      <c r="J25" s="78">
        <f t="shared" si="6"/>
        <v>616.34658328320006</v>
      </c>
      <c r="K25" s="76">
        <f t="shared" si="6"/>
        <v>268.96408788480005</v>
      </c>
      <c r="L25" s="77">
        <f t="shared" si="6"/>
        <v>0</v>
      </c>
      <c r="M25" s="104">
        <f t="shared" si="6"/>
        <v>0</v>
      </c>
      <c r="N25" s="78">
        <f t="shared" ref="N25:T25" si="7">N4+N7+N10+N13+N16+N19+N22</f>
        <v>522.53885967359997</v>
      </c>
      <c r="O25" s="78">
        <f t="shared" si="7"/>
        <v>631.91484491520009</v>
      </c>
      <c r="P25" s="78">
        <f t="shared" si="7"/>
        <v>657.83063216640005</v>
      </c>
      <c r="Q25" s="78">
        <f t="shared" si="7"/>
        <v>594.78364619520016</v>
      </c>
      <c r="R25" s="76">
        <f t="shared" si="7"/>
        <v>445.30149269760011</v>
      </c>
      <c r="S25" s="77">
        <f t="shared" si="7"/>
        <v>0</v>
      </c>
      <c r="T25" s="78">
        <f t="shared" si="7"/>
        <v>638.04372952320011</v>
      </c>
      <c r="U25" s="78">
        <f t="shared" ref="U25:AA25" si="8">U4+U7+U10+U13+U16+U19+U22</f>
        <v>335.61235276800005</v>
      </c>
      <c r="V25" s="78">
        <f t="shared" si="8"/>
        <v>452.86641523200001</v>
      </c>
      <c r="W25" s="78">
        <f t="shared" si="8"/>
        <v>496.54254693119998</v>
      </c>
      <c r="X25" s="78">
        <f t="shared" si="8"/>
        <v>452.84852067840006</v>
      </c>
      <c r="Y25" s="76">
        <f t="shared" si="8"/>
        <v>273.67930275840001</v>
      </c>
      <c r="Z25" s="77">
        <f t="shared" si="8"/>
        <v>0</v>
      </c>
      <c r="AA25" s="78">
        <f t="shared" si="8"/>
        <v>246.56458041600004</v>
      </c>
      <c r="AB25" s="78">
        <f t="shared" ref="AB25:AG25" si="9">AB4+AB7+AB10+AB13+AB16+AB19+AB22</f>
        <v>0</v>
      </c>
      <c r="AC25" s="78">
        <f t="shared" si="9"/>
        <v>0</v>
      </c>
      <c r="AD25" s="78">
        <f t="shared" si="9"/>
        <v>0</v>
      </c>
      <c r="AE25" s="118"/>
      <c r="AF25" s="76">
        <f t="shared" si="9"/>
        <v>0</v>
      </c>
      <c r="AG25" s="77">
        <f t="shared" si="9"/>
        <v>0</v>
      </c>
      <c r="AH25" s="130">
        <f>SUM(C25:AG25)</f>
        <v>9670.1720290560024</v>
      </c>
      <c r="AI25" s="94"/>
      <c r="AJ25" s="125"/>
      <c r="AK25" s="94"/>
      <c r="AL25" s="94"/>
      <c r="AM25" s="94"/>
      <c r="AN25" s="94"/>
      <c r="AO25" s="94"/>
      <c r="AP25" s="94"/>
      <c r="AQ25" s="94"/>
      <c r="AR25" s="94"/>
    </row>
    <row r="26" spans="1:44">
      <c r="AI26" s="94"/>
      <c r="AJ26" s="125"/>
      <c r="AK26" s="94"/>
      <c r="AL26" s="94"/>
      <c r="AM26" s="94"/>
      <c r="AN26" s="94"/>
      <c r="AO26" s="94"/>
      <c r="AP26" s="94"/>
      <c r="AQ26" s="94"/>
      <c r="AR26" s="94"/>
    </row>
    <row r="27" spans="1:44">
      <c r="AI27" s="94"/>
      <c r="AJ27" s="125"/>
      <c r="AK27" s="94"/>
      <c r="AL27" s="94"/>
      <c r="AM27" s="94"/>
      <c r="AN27" s="94"/>
      <c r="AO27" s="94"/>
      <c r="AP27" s="94"/>
      <c r="AQ27" s="94"/>
      <c r="AR27" s="94"/>
    </row>
    <row r="28" spans="1:44">
      <c r="AI28" s="94"/>
      <c r="AJ28" s="125"/>
      <c r="AK28" s="94"/>
      <c r="AL28" s="94"/>
      <c r="AM28" s="94"/>
      <c r="AN28" s="94"/>
      <c r="AO28" s="94"/>
      <c r="AP28" s="94"/>
      <c r="AQ28" s="94"/>
      <c r="AR28" s="94"/>
    </row>
    <row r="29" spans="1:44">
      <c r="AI29" s="94"/>
      <c r="AJ29" s="125"/>
      <c r="AK29" s="94"/>
      <c r="AL29" s="94"/>
      <c r="AM29" s="94"/>
      <c r="AN29" s="94"/>
      <c r="AO29" s="94"/>
      <c r="AP29" s="94"/>
      <c r="AQ29" s="94"/>
      <c r="AR29" s="94"/>
    </row>
    <row r="30" spans="1:44" ht="30" customHeight="1">
      <c r="A30" s="79" t="s">
        <v>7</v>
      </c>
      <c r="B30" s="80" t="s">
        <v>8</v>
      </c>
      <c r="C30" s="50">
        <v>45352</v>
      </c>
      <c r="D30" s="51">
        <v>45353</v>
      </c>
      <c r="E30" s="52">
        <v>45354</v>
      </c>
      <c r="F30" s="50">
        <v>45355</v>
      </c>
      <c r="G30" s="50">
        <v>45356</v>
      </c>
      <c r="H30" s="50">
        <v>45357</v>
      </c>
      <c r="I30" s="50">
        <v>45358</v>
      </c>
      <c r="J30" s="50">
        <v>45359</v>
      </c>
      <c r="K30" s="51">
        <v>45360</v>
      </c>
      <c r="L30" s="52">
        <v>45361</v>
      </c>
      <c r="M30" s="97">
        <v>45362</v>
      </c>
      <c r="N30" s="50">
        <v>45363</v>
      </c>
      <c r="O30" s="50">
        <v>45364</v>
      </c>
      <c r="P30" s="50">
        <v>45365</v>
      </c>
      <c r="Q30" s="50">
        <v>45366</v>
      </c>
      <c r="R30" s="51">
        <v>45367</v>
      </c>
      <c r="S30" s="52">
        <v>45368</v>
      </c>
      <c r="T30" s="50">
        <v>45369</v>
      </c>
      <c r="U30" s="50">
        <v>45370</v>
      </c>
      <c r="V30" s="50">
        <v>45371</v>
      </c>
      <c r="W30" s="50">
        <v>45372</v>
      </c>
      <c r="X30" s="50">
        <v>45373</v>
      </c>
      <c r="Y30" s="51">
        <v>45374</v>
      </c>
      <c r="Z30" s="52">
        <v>45375</v>
      </c>
      <c r="AA30" s="50">
        <v>45376</v>
      </c>
      <c r="AB30" s="50">
        <v>45377</v>
      </c>
      <c r="AC30" s="50">
        <v>45378</v>
      </c>
      <c r="AD30" s="50">
        <v>45379</v>
      </c>
      <c r="AE30" s="97">
        <v>45380</v>
      </c>
      <c r="AF30" s="51">
        <v>45381</v>
      </c>
      <c r="AG30" s="52">
        <v>45382</v>
      </c>
      <c r="AH30" s="124" t="s">
        <v>9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</row>
    <row r="31" spans="1:44">
      <c r="A31" s="343" t="s">
        <v>113</v>
      </c>
      <c r="B31" s="81" t="s">
        <v>130</v>
      </c>
      <c r="C31" s="63">
        <v>0</v>
      </c>
      <c r="D31" s="59">
        <v>0</v>
      </c>
      <c r="E31" s="61"/>
      <c r="F31" s="63">
        <v>306</v>
      </c>
      <c r="G31" s="63">
        <v>306</v>
      </c>
      <c r="H31" s="63">
        <v>306</v>
      </c>
      <c r="I31" s="63">
        <v>306</v>
      </c>
      <c r="J31" s="63">
        <v>306</v>
      </c>
      <c r="K31" s="59">
        <v>215</v>
      </c>
      <c r="L31" s="61"/>
      <c r="M31" s="100"/>
      <c r="N31" s="63">
        <v>306</v>
      </c>
      <c r="O31" s="63">
        <v>306</v>
      </c>
      <c r="P31" s="63">
        <v>306</v>
      </c>
      <c r="Q31" s="63">
        <v>306</v>
      </c>
      <c r="R31" s="59">
        <v>215</v>
      </c>
      <c r="S31" s="61"/>
      <c r="T31" s="63">
        <v>320</v>
      </c>
      <c r="U31" s="63">
        <v>450</v>
      </c>
      <c r="V31" s="63">
        <v>450</v>
      </c>
      <c r="W31" s="63">
        <v>450</v>
      </c>
      <c r="X31" s="63">
        <v>450</v>
      </c>
      <c r="Y31" s="59">
        <v>300</v>
      </c>
      <c r="Z31" s="61"/>
      <c r="AA31" s="63">
        <v>350</v>
      </c>
      <c r="AB31" s="63">
        <v>350</v>
      </c>
      <c r="AC31" s="63">
        <v>350</v>
      </c>
      <c r="AD31" s="63">
        <v>350</v>
      </c>
      <c r="AE31" s="100"/>
      <c r="AF31" s="112">
        <v>0</v>
      </c>
      <c r="AG31" s="61"/>
      <c r="AH31" s="128">
        <f>SUM(C31:AG31)</f>
        <v>7004</v>
      </c>
    </row>
    <row r="32" spans="1:44">
      <c r="A32" s="344"/>
      <c r="B32" s="57" t="s">
        <v>15</v>
      </c>
      <c r="C32" s="58">
        <f>SUMIFS('退火anil '!$H$7:$H$1000,'退火anil '!$E$7:$E$1000,'03'!$A$31,'退火anil '!$A$7:$A$1000,'03'!C$30)</f>
        <v>0</v>
      </c>
      <c r="D32" s="59">
        <f>SUMIFS('退火anil '!$H$7:$H$1000,'退火anil '!$E$7:$E$1000,'03'!$A$31,'退火anil '!$A$7:$A$1000,'03'!D$30)</f>
        <v>0</v>
      </c>
      <c r="E32" s="61"/>
      <c r="F32" s="58">
        <f>SUMIFS('退火anil '!$H$7:$H$1000,'退火anil '!$E$7:$E$1000,'03'!$A$31,'退火anil '!$A$7:$A$1000,'03'!F$30)</f>
        <v>372.38</v>
      </c>
      <c r="G32" s="58">
        <f>SUMIFS('退火anil '!$H$7:$H$1000,'退火anil '!$E$7:$E$1000,'03'!$A$31,'退火anil '!$A$7:$A$1000,'03'!G$30)</f>
        <v>394.7</v>
      </c>
      <c r="H32" s="58">
        <f>SUMIFS('退火anil '!$H$7:$H$1000,'退火anil '!$E$7:$E$1000,'03'!$A$31,'退火anil '!$A$7:$A$1000,'03'!H$30)</f>
        <v>382.02</v>
      </c>
      <c r="I32" s="58">
        <f>SUMIFS('退火anil '!$H$7:$H$1000,'退火anil '!$E$7:$E$1000,'03'!$A$31,'退火anil '!$A$7:$A$1000,'03'!I$30)</f>
        <v>502.94</v>
      </c>
      <c r="J32" s="58">
        <f>SUMIFS('退火anil '!$H$7:$H$1000,'退火anil '!$E$7:$E$1000,'03'!$A$31,'退火anil '!$A$7:$A$1000,'03'!J$30)</f>
        <v>486.42</v>
      </c>
      <c r="K32" s="59">
        <f>SUMIFS('退火anil '!$H$7:$H$1000,'退火anil '!$E$7:$E$1000,'03'!$A$31,'退火anil '!$A$7:$A$1000,'03'!K$30)</f>
        <v>337.68</v>
      </c>
      <c r="L32" s="61"/>
      <c r="M32" s="100"/>
      <c r="N32" s="58">
        <v>0</v>
      </c>
      <c r="O32" s="58">
        <f>SUMIFS('退火anil '!$H$7:$H$1000,'退火anil '!$E$7:$E$1000,'03'!$A$31,'退火anil '!$A$7:$A$1000,'03'!O$30)</f>
        <v>162.36000000000001</v>
      </c>
      <c r="P32" s="58">
        <f>SUMIFS('退火anil '!$H$7:$H$1000,'退火anil '!$E$7:$E$1000,'03'!$A$31,'退火anil '!$A$7:$A$1000,'03'!P$30)</f>
        <v>273.68</v>
      </c>
      <c r="Q32" s="58">
        <f>SUMIFS('退火anil '!$H$7:$H$1000,'退火anil '!$E$7:$E$1000,'03'!$A$31,'退火anil '!$A$7:$A$1000,'03'!Q$30)</f>
        <v>744.78</v>
      </c>
      <c r="R32" s="59">
        <f>SUMIFS('退火anil '!$H$7:$H$1000,'退火anil '!$E$7:$E$1000,'03'!$A$31,'退火anil '!$A$7:$A$1000,'03'!R$30)</f>
        <v>519.84</v>
      </c>
      <c r="S32" s="61"/>
      <c r="T32" s="58">
        <f>SUMIFS('退火anil '!$H$7:$H$1000,'退火anil '!$E$7:$E$1000,'03'!$A$31,'退火anil '!$A$7:$A$1000,'03'!T$30)</f>
        <v>603.9</v>
      </c>
      <c r="U32" s="58">
        <f>SUMIFS('退火anil '!$H$7:$H$1000,'退火anil '!$E$7:$E$1000,'03'!$A$31,'退火anil '!$A$7:$A$1000,'03'!U$30)</f>
        <v>400.38</v>
      </c>
      <c r="V32" s="58">
        <f>SUMIFS('退火anil '!$H$7:$H$1000,'退火anil '!$E$7:$E$1000,'03'!$A$31,'退火anil '!$A$7:$A$1000,'03'!V$30)</f>
        <v>341</v>
      </c>
      <c r="W32" s="58">
        <f>SUMIFS('退火anil '!$H$7:$H$1000,'退火anil '!$E$7:$E$1000,'03'!$A$31,'退火anil '!$A$7:$A$1000,'03'!W$30)</f>
        <v>195.42</v>
      </c>
      <c r="X32" s="58">
        <f>SUMIFS('退火anil '!$H$7:$H$1000,'退火anil '!$E$7:$E$1000,'03'!$A$31,'退火anil '!$A$7:$A$1000,'03'!X$30)</f>
        <v>360.74</v>
      </c>
      <c r="Y32" s="59">
        <f>SUMIFS('退火anil '!$H$7:$H$1000,'退火anil '!$E$7:$E$1000,'03'!$A$31,'退火anil '!$A$7:$A$1000,'03'!Y$30)</f>
        <v>247.02</v>
      </c>
      <c r="Z32" s="61"/>
      <c r="AA32" s="58">
        <f>SUMIFS('退火anil '!$H$7:$H$1000,'退火anil '!$E$7:$E$1000,'03'!$A$31,'退火anil '!$A$7:$A$1000,'03'!AA$30)</f>
        <v>355.94</v>
      </c>
      <c r="AB32" s="58">
        <f>SUMIFS('退火anil '!$H$7:$H$1000,'退火anil '!$E$7:$E$1000,'03'!$A$31,'退火anil '!$A$7:$A$1000,'03'!AB$30)</f>
        <v>0</v>
      </c>
      <c r="AC32" s="58">
        <f>SUMIFS('退火anil '!$H$7:$H$1000,'退火anil '!$E$7:$E$1000,'03'!$A$31,'退火anil '!$A$7:$A$1000,'03'!AC$30)</f>
        <v>0</v>
      </c>
      <c r="AD32" s="58">
        <f>SUMIFS('退火anil '!$H$7:$H$1000,'退火anil '!$E$7:$E$1000,'03'!$A$31,'退火anil '!$A$7:$A$1000,'03'!AD$30)</f>
        <v>0</v>
      </c>
      <c r="AE32" s="111"/>
      <c r="AF32" s="112"/>
      <c r="AG32" s="61"/>
      <c r="AH32" s="127">
        <f>SUM(C32:AG32)</f>
        <v>6681.2</v>
      </c>
    </row>
    <row r="33" spans="1:44">
      <c r="A33" s="345"/>
      <c r="B33" s="57" t="s">
        <v>114</v>
      </c>
      <c r="C33" s="58">
        <f>C32-C31</f>
        <v>0</v>
      </c>
      <c r="D33" s="59">
        <f>C33+(D32-D31)</f>
        <v>0</v>
      </c>
      <c r="E33" s="61"/>
      <c r="F33" s="58">
        <f>D33+(F32-F31)</f>
        <v>66.38</v>
      </c>
      <c r="G33" s="58">
        <f>F33+(G32-G31)</f>
        <v>155.07999999999998</v>
      </c>
      <c r="H33" s="58">
        <f>G33+(H32-H31)</f>
        <v>231.09999999999997</v>
      </c>
      <c r="I33" s="58">
        <f>H33+(I32-I31)</f>
        <v>428.03999999999996</v>
      </c>
      <c r="J33" s="58">
        <f>I33+(J32-J31)</f>
        <v>608.46</v>
      </c>
      <c r="K33" s="59">
        <f>J33+(K32-K31)</f>
        <v>731.1400000000001</v>
      </c>
      <c r="L33" s="61"/>
      <c r="M33" s="100"/>
      <c r="N33" s="58">
        <f>K33+(N32-N31)</f>
        <v>425.1400000000001</v>
      </c>
      <c r="O33" s="58">
        <f>N33+(O32-O31)</f>
        <v>281.50000000000011</v>
      </c>
      <c r="P33" s="58">
        <f>O33+(P32-P31)</f>
        <v>249.18000000000012</v>
      </c>
      <c r="Q33" s="58">
        <f>P33+(Q32-Q31)</f>
        <v>687.96</v>
      </c>
      <c r="R33" s="59">
        <f>Q33+(R32-R31)</f>
        <v>992.80000000000007</v>
      </c>
      <c r="S33" s="61"/>
      <c r="T33" s="58">
        <f>R33+(T32-T31)</f>
        <v>1276.7</v>
      </c>
      <c r="U33" s="58">
        <f>T33+(U32-U31)</f>
        <v>1227.08</v>
      </c>
      <c r="V33" s="58">
        <f>U33+(V32-V31)</f>
        <v>1118.08</v>
      </c>
      <c r="W33" s="58">
        <f>V33+(W32-W31)</f>
        <v>863.49999999999989</v>
      </c>
      <c r="X33" s="58">
        <f>W33+(X32-X31)</f>
        <v>774.2399999999999</v>
      </c>
      <c r="Y33" s="59">
        <f>X33+(Y32-Y31)</f>
        <v>721.25999999999988</v>
      </c>
      <c r="Z33" s="61"/>
      <c r="AA33" s="58">
        <f>Y33+(AA32-AA31)</f>
        <v>727.19999999999982</v>
      </c>
      <c r="AB33" s="58">
        <f>AA33+(AB32-AB31)</f>
        <v>377.19999999999982</v>
      </c>
      <c r="AC33" s="58">
        <f>AB33+(AC32-AC31)</f>
        <v>27.199999999999818</v>
      </c>
      <c r="AD33" s="58">
        <f>AC33+(AD32-AD31)</f>
        <v>-322.80000000000018</v>
      </c>
      <c r="AE33" s="111"/>
      <c r="AF33" s="112">
        <f>AE33+(AF32-AF31)</f>
        <v>0</v>
      </c>
      <c r="AG33" s="61"/>
      <c r="AH33" s="127"/>
      <c r="AI33" s="94"/>
      <c r="AJ33" s="125"/>
      <c r="AK33" s="94"/>
      <c r="AL33" s="94"/>
      <c r="AM33" s="94"/>
      <c r="AN33" s="94"/>
      <c r="AO33" s="94"/>
      <c r="AP33" s="94"/>
      <c r="AQ33" s="94"/>
      <c r="AR33" s="94"/>
    </row>
    <row r="34" spans="1:44">
      <c r="A34" s="343" t="s">
        <v>131</v>
      </c>
      <c r="B34" s="81" t="s">
        <v>130</v>
      </c>
      <c r="C34" s="63">
        <f>IFERROR(SUMIF($A$1:$A$1,$A34,C$1:C$1),0)</f>
        <v>0</v>
      </c>
      <c r="D34" s="59">
        <f>IFERROR(SUMIF($A$1:$A$1,$A34,D$1:D$1),0)</f>
        <v>0</v>
      </c>
      <c r="E34" s="61"/>
      <c r="F34" s="63">
        <f>IFERROR(SUMIF($A$1:$A$1,$A34,F$1:F$1),0)</f>
        <v>0</v>
      </c>
      <c r="G34" s="63">
        <v>100</v>
      </c>
      <c r="H34" s="63">
        <v>100</v>
      </c>
      <c r="I34" s="63">
        <v>100</v>
      </c>
      <c r="J34" s="63">
        <v>100</v>
      </c>
      <c r="K34" s="59">
        <v>50</v>
      </c>
      <c r="L34" s="61"/>
      <c r="M34" s="100"/>
      <c r="N34" s="63">
        <v>100</v>
      </c>
      <c r="O34" s="63">
        <v>100</v>
      </c>
      <c r="P34" s="63">
        <v>100</v>
      </c>
      <c r="Q34" s="63">
        <v>100</v>
      </c>
      <c r="R34" s="59">
        <v>50</v>
      </c>
      <c r="S34" s="61"/>
      <c r="T34" s="63">
        <v>100</v>
      </c>
      <c r="U34" s="63">
        <v>100</v>
      </c>
      <c r="V34" s="63">
        <v>100</v>
      </c>
      <c r="W34" s="63">
        <v>100</v>
      </c>
      <c r="X34" s="63">
        <v>100</v>
      </c>
      <c r="Y34" s="59">
        <v>50</v>
      </c>
      <c r="Z34" s="61"/>
      <c r="AA34" s="63">
        <f>IFERROR(SUMIF($A$1:$A$1,$A34,AA$1:AA$1),0)</f>
        <v>0</v>
      </c>
      <c r="AB34" s="63"/>
      <c r="AC34" s="63">
        <v>0</v>
      </c>
      <c r="AD34" s="63">
        <v>0</v>
      </c>
      <c r="AE34" s="111"/>
      <c r="AF34" s="112">
        <f>IFERROR(SUMIF($A$1:$A$1,$A34,AF$1:AF$1),0)</f>
        <v>0</v>
      </c>
      <c r="AG34" s="61"/>
      <c r="AH34" s="128">
        <f>SUM(C34:AG34)</f>
        <v>1450</v>
      </c>
      <c r="AI34" s="94"/>
    </row>
    <row r="35" spans="1:44">
      <c r="A35" s="344"/>
      <c r="B35" s="57" t="s">
        <v>15</v>
      </c>
      <c r="C35" s="58">
        <f>SUMIFS('退火anil '!$H$7:$H$1000,'退火anil '!$E$7:$E$1000,'03'!$A$34,'退火anil '!$A$7:$A$1000,'03'!C$30)</f>
        <v>0</v>
      </c>
      <c r="D35" s="59">
        <f>SUMIFS('退火anil '!$H$7:$H$1000,'退火anil '!$E$7:$E$1000,'03'!$A$34,'退火anil '!$A$7:$A$1000,'03'!D$30)</f>
        <v>0</v>
      </c>
      <c r="E35" s="61"/>
      <c r="F35" s="58">
        <f>SUMIFS('退火anil '!$H$7:$H$1000,'退火anil '!$E$7:$E$1000,'03'!$A$34,'退火anil '!$A$7:$A$1000,'03'!F$30)</f>
        <v>0</v>
      </c>
      <c r="G35" s="58">
        <f>SUMIFS('退火anil '!$H$7:$H$1000,'退火anil '!$E$7:$E$1000,'03'!$A$34,'退火anil '!$A$7:$A$1000,'03'!G$30)</f>
        <v>120.26</v>
      </c>
      <c r="H35" s="58">
        <f>SUMIFS('退火anil '!$H$7:$H$1000,'退火anil '!$E$7:$E$1000,'03'!$A$34,'退火anil '!$A$7:$A$1000,'03'!H$30)</f>
        <v>76.84</v>
      </c>
      <c r="I35" s="58">
        <f>SUMIFS('退火anil '!$H$7:$H$1000,'退火anil '!$E$7:$E$1000,'03'!$A$34,'退火anil '!$A$7:$A$1000,'03'!I$30)</f>
        <v>0</v>
      </c>
      <c r="J35" s="58">
        <f>SUMIFS('退火anil '!$H$7:$H$1000,'退火anil '!$E$7:$E$1000,'03'!$A$34,'退火anil '!$A$7:$A$1000,'03'!J$30)</f>
        <v>0</v>
      </c>
      <c r="K35" s="59">
        <f>SUMIFS('退火anil '!$H$7:$H$1000,'退火anil '!$E$7:$E$1000,'03'!$A$34,'退火anil '!$A$7:$A$1000,'03'!K$30)</f>
        <v>0</v>
      </c>
      <c r="L35" s="61"/>
      <c r="M35" s="100"/>
      <c r="N35" s="58">
        <f>SUMIFS('退火anil '!$H$7:$H$1000,'退火anil '!$E$7:$E$1000,'03'!$A$34,'退火anil '!$A$7:$A$1000,'03'!N$30)</f>
        <v>85.8</v>
      </c>
      <c r="O35" s="58">
        <f>SUMIFS('退火anil '!$H$7:$H$1000,'退火anil '!$E$7:$E$1000,'03'!$A$34,'退火anil '!$A$7:$A$1000,'03'!O$30)</f>
        <v>324.48</v>
      </c>
      <c r="P35" s="58">
        <f>SUMIFS('退火anil '!$H$7:$H$1000,'退火anil '!$E$7:$E$1000,'03'!$A$34,'退火anil '!$A$7:$A$1000,'03'!P$30)</f>
        <v>272.16000000000003</v>
      </c>
      <c r="Q35" s="58">
        <f>SUMIFS('退火anil '!$H$7:$H$1000,'退火anil '!$E$7:$E$1000,'03'!$A$34,'退火anil '!$A$7:$A$1000,'03'!Q$30)</f>
        <v>17.559999999999999</v>
      </c>
      <c r="R35" s="59">
        <f>SUMIFS('退火anil '!$H$7:$H$1000,'退火anil '!$E$7:$E$1000,'03'!$A$34,'退火anil '!$A$7:$A$1000,'03'!R$30)</f>
        <v>0</v>
      </c>
      <c r="S35" s="61"/>
      <c r="T35" s="58">
        <f>SUMIFS('退火anil '!$H$7:$H$1000,'退火anil '!$E$7:$E$1000,'03'!$A$34,'退火anil '!$A$7:$A$1000,'03'!T$30)</f>
        <v>0</v>
      </c>
      <c r="U35" s="58">
        <f>SUMIFS('退火anil '!$H$7:$H$1000,'退火anil '!$E$7:$E$1000,'03'!$A$34,'退火anil '!$A$7:$A$1000,'03'!U$30)</f>
        <v>0</v>
      </c>
      <c r="V35" s="58">
        <f>SUMIFS('退火anil '!$H$7:$H$1000,'退火anil '!$E$7:$E$1000,'03'!$A$34,'退火anil '!$A$7:$A$1000,'03'!V$30)</f>
        <v>0</v>
      </c>
      <c r="W35" s="58">
        <f>SUMIFS('退火anil '!$H$7:$H$1000,'退火anil '!$E$7:$E$1000,'03'!$A$34,'退火anil '!$A$7:$A$1000,'03'!W$30)</f>
        <v>362.44</v>
      </c>
      <c r="X35" s="58">
        <f>SUMIFS('退火anil '!$H$7:$H$1000,'退火anil '!$E$7:$E$1000,'03'!$A$34,'退火anil '!$A$7:$A$1000,'03'!X$30)</f>
        <v>14.44</v>
      </c>
      <c r="Y35" s="59">
        <f>SUMIFS('退火anil '!$H$7:$H$1000,'退火anil '!$E$7:$E$1000,'03'!$A$34,'退火anil '!$A$7:$A$1000,'03'!Y$30)</f>
        <v>0</v>
      </c>
      <c r="Z35" s="61"/>
      <c r="AA35" s="58">
        <f>SUMIFS('退火anil '!$H$7:$H$1000,'退火anil '!$E$7:$E$1000,'03'!$A$34,'退火anil '!$A$7:$A$1000,'03'!AA$30)</f>
        <v>0</v>
      </c>
      <c r="AB35" s="58">
        <f>SUMIFS('退火anil '!$H$7:$H$1000,'退火anil '!$E$7:$E$1000,'03'!$A$34,'退火anil '!$A$7:$A$1000,'03'!AB$30)</f>
        <v>0</v>
      </c>
      <c r="AC35" s="58">
        <f>SUMIFS('退火anil '!$H$7:$H$1000,'退火anil '!$E$7:$E$1000,'03'!$A$34,'退火anil '!$A$7:$A$1000,'03'!AC$30)</f>
        <v>0</v>
      </c>
      <c r="AD35" s="58">
        <f>SUMIFS('退火anil '!$H$7:$H$1000,'退火anil '!$E$7:$E$1000,'03'!$A$34,'退火anil '!$A$7:$A$1000,'03'!AD$30)</f>
        <v>0</v>
      </c>
      <c r="AE35" s="111"/>
      <c r="AF35" s="112"/>
      <c r="AG35" s="61"/>
      <c r="AH35" s="127">
        <f>SUM(C35:AG35)</f>
        <v>1273.9800000000002</v>
      </c>
      <c r="AI35" s="94"/>
    </row>
    <row r="36" spans="1:44">
      <c r="A36" s="345"/>
      <c r="B36" s="57" t="s">
        <v>114</v>
      </c>
      <c r="C36" s="58">
        <f>C35-C34</f>
        <v>0</v>
      </c>
      <c r="D36" s="59">
        <f>C36+(D35-D34)</f>
        <v>0</v>
      </c>
      <c r="E36" s="61"/>
      <c r="F36" s="58">
        <f>D36+(F35-F34)</f>
        <v>0</v>
      </c>
      <c r="G36" s="58">
        <f>F36+(G35-G34)</f>
        <v>20.260000000000005</v>
      </c>
      <c r="H36" s="58">
        <f>G36+(H35-H34)</f>
        <v>-2.8999999999999915</v>
      </c>
      <c r="I36" s="58">
        <f>H36+(I35-I34)</f>
        <v>-102.89999999999999</v>
      </c>
      <c r="J36" s="58">
        <f>I36+(J35-J34)</f>
        <v>-202.89999999999998</v>
      </c>
      <c r="K36" s="59">
        <f>J36+(K35-K34)</f>
        <v>-252.89999999999998</v>
      </c>
      <c r="L36" s="61"/>
      <c r="M36" s="100"/>
      <c r="N36" s="58">
        <f>K36+(N35-N34)</f>
        <v>-267.09999999999997</v>
      </c>
      <c r="O36" s="58">
        <f>N36+(O35-O34)</f>
        <v>-42.619999999999948</v>
      </c>
      <c r="P36" s="58">
        <f>O36+(P35-P34)</f>
        <v>129.54000000000008</v>
      </c>
      <c r="Q36" s="58">
        <f>P36+(Q35-Q34)</f>
        <v>47.10000000000008</v>
      </c>
      <c r="R36" s="59">
        <f>Q36+(R35-R34)</f>
        <v>-2.8999999999999204</v>
      </c>
      <c r="S36" s="61"/>
      <c r="T36" s="58">
        <f>R36+(T35-T34)</f>
        <v>-102.89999999999992</v>
      </c>
      <c r="U36" s="58">
        <f>T36+(U35-U34)</f>
        <v>-202.89999999999992</v>
      </c>
      <c r="V36" s="58">
        <f>U36+(V35-V34)</f>
        <v>-302.89999999999992</v>
      </c>
      <c r="W36" s="58">
        <f>V36+(W35-W34)</f>
        <v>-40.459999999999923</v>
      </c>
      <c r="X36" s="58">
        <f>W36+(X35-X34)</f>
        <v>-126.01999999999992</v>
      </c>
      <c r="Y36" s="59">
        <f>X36+(Y35-Y34)</f>
        <v>-176.01999999999992</v>
      </c>
      <c r="Z36" s="61"/>
      <c r="AA36" s="58">
        <f>Y36+(AA35-AA34)</f>
        <v>-176.01999999999992</v>
      </c>
      <c r="AB36" s="58">
        <f>AA36+(AB35-AB34)</f>
        <v>-176.01999999999992</v>
      </c>
      <c r="AC36" s="58">
        <f>AB36+(AC35-AC34)</f>
        <v>-176.01999999999992</v>
      </c>
      <c r="AD36" s="58">
        <f>AC36+(AD35-AD34)</f>
        <v>-176.01999999999992</v>
      </c>
      <c r="AE36" s="111"/>
      <c r="AF36" s="112">
        <f>AE36+(AF35-AF34)</f>
        <v>0</v>
      </c>
      <c r="AG36" s="61"/>
      <c r="AH36" s="127"/>
      <c r="AI36" s="94"/>
      <c r="AJ36" s="125"/>
      <c r="AK36" s="94"/>
      <c r="AL36" s="94"/>
      <c r="AM36" s="94"/>
      <c r="AN36" s="94"/>
      <c r="AO36" s="94"/>
      <c r="AP36" s="94"/>
      <c r="AQ36" s="94"/>
      <c r="AR36" s="94"/>
    </row>
    <row r="37" spans="1:44">
      <c r="A37" s="343" t="s">
        <v>132</v>
      </c>
      <c r="B37" s="81" t="s">
        <v>130</v>
      </c>
      <c r="C37" s="63">
        <f>IFERROR(SUMIF($A$1:$A$1,$A37,C$1:C$1),0)</f>
        <v>0</v>
      </c>
      <c r="D37" s="59">
        <f>IFERROR(SUMIF($A$1:$A$1,$A37,D$1:D$1),0)</f>
        <v>0</v>
      </c>
      <c r="E37" s="61"/>
      <c r="F37" s="63">
        <v>0</v>
      </c>
      <c r="G37" s="63">
        <v>0</v>
      </c>
      <c r="H37" s="63">
        <v>0</v>
      </c>
      <c r="I37" s="63">
        <f>IFERROR(SUMIF($A$1:$A$1,$A37,I$1:I$1),0)</f>
        <v>0</v>
      </c>
      <c r="J37" s="63">
        <f>IFERROR(SUMIF($A$1:$A$1,$A37,J$1:J$1),0)</f>
        <v>0</v>
      </c>
      <c r="K37" s="59">
        <f>IFERROR(SUMIF($A$1:$A$1,$A37,K$1:K$1),0)</f>
        <v>0</v>
      </c>
      <c r="L37" s="61"/>
      <c r="M37" s="100"/>
      <c r="N37" s="63">
        <f>IFERROR(SUMIF($A$1:$A$1,$A37,N$1:N$1),0)</f>
        <v>0</v>
      </c>
      <c r="O37" s="63">
        <f>IFERROR(SUMIF($A$1:$A$1,$A37,O$1:O$1),0)</f>
        <v>0</v>
      </c>
      <c r="P37" s="63">
        <f>IFERROR(SUMIF($A$1:$A$1,$A37,P$1:P$1),0)</f>
        <v>0</v>
      </c>
      <c r="Q37" s="63">
        <f>IFERROR(SUMIF($A$1:$A$1,$A37,Q$1:Q$1),0)</f>
        <v>0</v>
      </c>
      <c r="R37" s="59">
        <f>IFERROR(SUMIF($A$1:$A$1,$A37,R$1:R$1),0)</f>
        <v>0</v>
      </c>
      <c r="S37" s="61"/>
      <c r="T37" s="63">
        <f t="shared" ref="T37:Y37" si="10">IFERROR(SUMIF($A$1:$A$1,$A37,T$1:T$1),0)</f>
        <v>0</v>
      </c>
      <c r="U37" s="63">
        <f t="shared" si="10"/>
        <v>0</v>
      </c>
      <c r="V37" s="63">
        <f t="shared" si="10"/>
        <v>0</v>
      </c>
      <c r="W37" s="63">
        <f t="shared" si="10"/>
        <v>0</v>
      </c>
      <c r="X37" s="63">
        <f t="shared" si="10"/>
        <v>0</v>
      </c>
      <c r="Y37" s="59">
        <f t="shared" si="10"/>
        <v>0</v>
      </c>
      <c r="Z37" s="61"/>
      <c r="AA37" s="63">
        <f>IFERROR(SUMIF($A$1:$A$1,$A37,AA$1:AA$1),0)</f>
        <v>0</v>
      </c>
      <c r="AB37" s="63">
        <f>IFERROR(SUMIF($A$1:$A$1,$A37,AB$1:AB$1),0)</f>
        <v>0</v>
      </c>
      <c r="AC37" s="63">
        <f>IFERROR(SUMIF($A$1:$A$1,$A37,AC$1:AC$1),0)</f>
        <v>0</v>
      </c>
      <c r="AD37" s="63">
        <f>IFERROR(SUMIF($A$1:$A$1,$A37,AD$1:AD$1),0)</f>
        <v>0</v>
      </c>
      <c r="AE37" s="111"/>
      <c r="AF37" s="112">
        <f>IFERROR(SUMIF($A$1:$A$1,$A37,AF$1:AF$1),0)</f>
        <v>0</v>
      </c>
      <c r="AG37" s="61"/>
      <c r="AH37" s="128">
        <f>SUM(C37:AG37)</f>
        <v>0</v>
      </c>
      <c r="AK37" s="131"/>
    </row>
    <row r="38" spans="1:44">
      <c r="A38" s="344"/>
      <c r="B38" s="57" t="s">
        <v>15</v>
      </c>
      <c r="C38" s="58">
        <f>SUMIFS('退火anil '!$H$7:$H$1000,'退火anil '!$E$7:$E$1000,'03'!$A$37,'退火anil '!$A$7:$A$1000,'03'!C$30)</f>
        <v>0</v>
      </c>
      <c r="D38" s="59">
        <f>SUMIFS('退火anil '!$H$7:$H$1000,'退火anil '!$E$7:$E$1000,'03'!$A$37,'退火anil '!$A$7:$A$1000,'03'!D$30)</f>
        <v>0</v>
      </c>
      <c r="E38" s="61"/>
      <c r="F38" s="58">
        <f>SUMIFS('退火anil '!$H$7:$H$1000,'退火anil '!$E$7:$E$1000,'03'!$A$37,'退火anil '!$A$7:$A$1000,'03'!F$30)</f>
        <v>0</v>
      </c>
      <c r="G38" s="58">
        <f>SUMIFS('退火anil '!$H$7:$H$1000,'退火anil '!$E$7:$E$1000,'03'!$A$37,'退火anil '!$A$7:$A$1000,'03'!G$30)</f>
        <v>0</v>
      </c>
      <c r="H38" s="58">
        <f>SUMIFS('退火anil '!$H$7:$H$1000,'退火anil '!$E$7:$E$1000,'03'!$A$37,'退火anil '!$A$7:$A$1000,'03'!H$30)</f>
        <v>0</v>
      </c>
      <c r="I38" s="58">
        <f>SUMIFS('退火anil '!$H$7:$H$1000,'退火anil '!$E$7:$E$1000,'03'!$A$37,'退火anil '!$A$7:$A$1000,'03'!I$30)</f>
        <v>0</v>
      </c>
      <c r="J38" s="58">
        <f>SUMIFS('退火anil '!$H$7:$H$1000,'退火anil '!$E$7:$E$1000,'03'!$A$37,'退火anil '!$A$7:$A$1000,'03'!J$30)</f>
        <v>0</v>
      </c>
      <c r="K38" s="59">
        <f>SUMIFS('退火anil '!$H$7:$H$1000,'退火anil '!$E$7:$E$1000,'03'!$A$37,'退火anil '!$A$7:$A$1000,'03'!K$30)</f>
        <v>0</v>
      </c>
      <c r="L38" s="61"/>
      <c r="M38" s="100"/>
      <c r="N38" s="58">
        <f>SUMIFS('退火anil '!$H$7:$H$1000,'退火anil '!$E$7:$E$1000,'03'!$A$37,'退火anil '!$A$7:$A$1000,'03'!N$30)</f>
        <v>0</v>
      </c>
      <c r="O38" s="58">
        <f>SUMIFS('退火anil '!$H$7:$H$1000,'退火anil '!$E$7:$E$1000,'03'!$A$37,'退火anil '!$A$7:$A$1000,'03'!O$30)</f>
        <v>0</v>
      </c>
      <c r="P38" s="58">
        <f>SUMIFS('退火anil '!$H$7:$H$1000,'退火anil '!$E$7:$E$1000,'03'!$A$37,'退火anil '!$A$7:$A$1000,'03'!P$30)</f>
        <v>0</v>
      </c>
      <c r="Q38" s="58">
        <f>SUMIFS('退火anil '!$H$7:$H$1000,'退火anil '!$E$7:$E$1000,'03'!$A$37,'退火anil '!$A$7:$A$1000,'03'!Q$30)</f>
        <v>0</v>
      </c>
      <c r="R38" s="59">
        <f>SUMIFS('退火anil '!$H$7:$H$1000,'退火anil '!$E$7:$E$1000,'03'!$A$37,'退火anil '!$A$7:$A$1000,'03'!R$30)</f>
        <v>0</v>
      </c>
      <c r="S38" s="61"/>
      <c r="T38" s="58">
        <f>SUMIFS('退火anil '!$H$7:$H$1000,'退火anil '!$E$7:$E$1000,'03'!$A$37,'退火anil '!$A$7:$A$1000,'03'!T$30)</f>
        <v>0</v>
      </c>
      <c r="U38" s="58">
        <f>SUMIFS('退火anil '!$H$7:$H$1000,'退火anil '!$E$7:$E$1000,'03'!$A$37,'退火anil '!$A$7:$A$1000,'03'!U$30)</f>
        <v>0</v>
      </c>
      <c r="V38" s="58">
        <f>SUMIFS('退火anil '!$H$7:$H$1000,'退火anil '!$E$7:$E$1000,'03'!$A$37,'退火anil '!$A$7:$A$1000,'03'!V$30)</f>
        <v>0</v>
      </c>
      <c r="W38" s="58">
        <f>SUMIFS('退火anil '!$H$7:$H$1000,'退火anil '!$E$7:$E$1000,'03'!$A$37,'退火anil '!$A$7:$A$1000,'03'!W$30)</f>
        <v>0</v>
      </c>
      <c r="X38" s="58">
        <f>SUMIFS('退火anil '!$H$7:$H$1000,'退火anil '!$E$7:$E$1000,'03'!$A$37,'退火anil '!$A$7:$A$1000,'03'!X$30)</f>
        <v>0</v>
      </c>
      <c r="Y38" s="59">
        <f>SUMIFS('退火anil '!$H$7:$H$1000,'退火anil '!$E$7:$E$1000,'03'!$A$37,'退火anil '!$A$7:$A$1000,'03'!Y$30)</f>
        <v>0</v>
      </c>
      <c r="Z38" s="61"/>
      <c r="AA38" s="58">
        <f>SUMIFS('退火anil '!$H$7:$H$1000,'退火anil '!$E$7:$E$1000,'03'!$A$37,'退火anil '!$A$7:$A$1000,'03'!AA$30)</f>
        <v>0</v>
      </c>
      <c r="AB38" s="58">
        <f>SUMIFS('退火anil '!$H$7:$H$1000,'退火anil '!$E$7:$E$1000,'03'!$A$37,'退火anil '!$A$7:$A$1000,'03'!AB$30)</f>
        <v>0</v>
      </c>
      <c r="AC38" s="58">
        <f>SUMIFS('退火anil '!$H$7:$H$1000,'退火anil '!$E$7:$E$1000,'03'!$A$37,'退火anil '!$A$7:$A$1000,'03'!AC$30)</f>
        <v>0</v>
      </c>
      <c r="AD38" s="58">
        <f>SUMIFS('退火anil '!$H$7:$H$1000,'退火anil '!$E$7:$E$1000,'03'!$A$37,'退火anil '!$A$7:$A$1000,'03'!AD$30)</f>
        <v>0</v>
      </c>
      <c r="AE38" s="111"/>
      <c r="AF38" s="112"/>
      <c r="AG38" s="61"/>
      <c r="AH38" s="127">
        <f>SUM(C38:AG38)</f>
        <v>0</v>
      </c>
      <c r="AK38" s="131"/>
    </row>
    <row r="39" spans="1:44">
      <c r="A39" s="345"/>
      <c r="B39" s="57" t="s">
        <v>114</v>
      </c>
      <c r="C39" s="58">
        <f>C38-C37</f>
        <v>0</v>
      </c>
      <c r="D39" s="59">
        <f>C39+(D38-D37)</f>
        <v>0</v>
      </c>
      <c r="E39" s="61"/>
      <c r="F39" s="58">
        <f>D39+(F38-F37)</f>
        <v>0</v>
      </c>
      <c r="G39" s="58">
        <f>F39+(G38-G37)</f>
        <v>0</v>
      </c>
      <c r="H39" s="58">
        <f>G39+(H38-H37)</f>
        <v>0</v>
      </c>
      <c r="I39" s="58">
        <f>H39+(I38-I37)</f>
        <v>0</v>
      </c>
      <c r="J39" s="58">
        <f>I39+(J38-J37)</f>
        <v>0</v>
      </c>
      <c r="K39" s="59">
        <f>J39+(K38-K37)</f>
        <v>0</v>
      </c>
      <c r="L39" s="61"/>
      <c r="M39" s="100"/>
      <c r="N39" s="58">
        <f>K39+(N38-N37)</f>
        <v>0</v>
      </c>
      <c r="O39" s="58">
        <f>N39+(O38-O37)</f>
        <v>0</v>
      </c>
      <c r="P39" s="58">
        <f>O39+(P38-P37)</f>
        <v>0</v>
      </c>
      <c r="Q39" s="58">
        <f>P39+(Q38-Q37)</f>
        <v>0</v>
      </c>
      <c r="R39" s="59">
        <f>Q39+(R38-R37)</f>
        <v>0</v>
      </c>
      <c r="S39" s="61"/>
      <c r="T39" s="58">
        <f>R39+(T38-T37)</f>
        <v>0</v>
      </c>
      <c r="U39" s="58">
        <f>T39+(U38-U37)</f>
        <v>0</v>
      </c>
      <c r="V39" s="58">
        <f>U39+(V38-V37)</f>
        <v>0</v>
      </c>
      <c r="W39" s="58">
        <f>V39+(W38-W37)</f>
        <v>0</v>
      </c>
      <c r="X39" s="58">
        <f>W39+(X38-X37)</f>
        <v>0</v>
      </c>
      <c r="Y39" s="59">
        <f>X39+(Y38-Y37)</f>
        <v>0</v>
      </c>
      <c r="Z39" s="61"/>
      <c r="AA39" s="58">
        <f>Y39+(AA38-AA37)</f>
        <v>0</v>
      </c>
      <c r="AB39" s="58">
        <f>AA39+(AB38-AB37)</f>
        <v>0</v>
      </c>
      <c r="AC39" s="58">
        <f>AB39+(AC38-AC37)</f>
        <v>0</v>
      </c>
      <c r="AD39" s="58">
        <f>AC39+(AD38-AD37)</f>
        <v>0</v>
      </c>
      <c r="AE39" s="111"/>
      <c r="AF39" s="112">
        <f>AE39+(AF38-AF37)</f>
        <v>0</v>
      </c>
      <c r="AG39" s="61"/>
      <c r="AH39" s="127"/>
      <c r="AI39" s="94"/>
      <c r="AJ39" s="125"/>
      <c r="AK39" s="94"/>
      <c r="AL39" s="94"/>
      <c r="AM39" s="94"/>
      <c r="AN39" s="94"/>
      <c r="AO39" s="94"/>
      <c r="AP39" s="94"/>
      <c r="AQ39" s="94"/>
      <c r="AR39" s="94"/>
    </row>
    <row r="40" spans="1:44">
      <c r="A40" s="343" t="s">
        <v>117</v>
      </c>
      <c r="B40" s="81" t="s">
        <v>130</v>
      </c>
      <c r="C40" s="63">
        <f>IFERROR(SUMIF($A$1:$A$1,$A40,C$1:C$1),0)</f>
        <v>0</v>
      </c>
      <c r="D40" s="59">
        <f>IFERROR(SUMIF($A$1:$A$1,$A40,D$1:D$1),0)</f>
        <v>0</v>
      </c>
      <c r="E40" s="61"/>
      <c r="F40" s="63">
        <f t="shared" ref="F40:K40" si="11">IFERROR(SUMIF($A$1:$A$1,$A40,F$1:F$1),0)</f>
        <v>0</v>
      </c>
      <c r="G40" s="63">
        <f t="shared" si="11"/>
        <v>0</v>
      </c>
      <c r="H40" s="63">
        <f t="shared" si="11"/>
        <v>0</v>
      </c>
      <c r="I40" s="63">
        <f t="shared" si="11"/>
        <v>0</v>
      </c>
      <c r="J40" s="63">
        <f t="shared" si="11"/>
        <v>0</v>
      </c>
      <c r="K40" s="59">
        <f t="shared" si="11"/>
        <v>0</v>
      </c>
      <c r="L40" s="61"/>
      <c r="M40" s="100"/>
      <c r="N40" s="63">
        <f>IFERROR(SUMIF($A$1:$A$1,$A40,N$1:N$1),0)</f>
        <v>0</v>
      </c>
      <c r="O40" s="63">
        <f>IFERROR(SUMIF($A$1:$A$1,$A40,O$1:O$1),0)</f>
        <v>0</v>
      </c>
      <c r="P40" s="63">
        <f>IFERROR(SUMIF($A$1:$A$1,$A40,P$1:P$1),0)</f>
        <v>0</v>
      </c>
      <c r="Q40" s="63">
        <f>IFERROR(SUMIF($A$1:$A$1,$A40,Q$1:Q$1),0)</f>
        <v>0</v>
      </c>
      <c r="R40" s="59">
        <f>IFERROR(SUMIF($A$1:$A$1,$A40,R$1:R$1),0)</f>
        <v>0</v>
      </c>
      <c r="S40" s="61"/>
      <c r="T40" s="63">
        <f t="shared" ref="T40:Y40" si="12">IFERROR(SUMIF($A$1:$A$1,$A40,T$1:T$1),0)</f>
        <v>0</v>
      </c>
      <c r="U40" s="63">
        <f t="shared" si="12"/>
        <v>0</v>
      </c>
      <c r="V40" s="63">
        <f t="shared" si="12"/>
        <v>0</v>
      </c>
      <c r="W40" s="63">
        <f t="shared" si="12"/>
        <v>0</v>
      </c>
      <c r="X40" s="63">
        <f t="shared" si="12"/>
        <v>0</v>
      </c>
      <c r="Y40" s="59">
        <f t="shared" si="12"/>
        <v>0</v>
      </c>
      <c r="Z40" s="61"/>
      <c r="AA40" s="63">
        <f>IFERROR(SUMIF($A$1:$A$1,$A40,AA$1:AA$1),0)</f>
        <v>0</v>
      </c>
      <c r="AB40" s="63">
        <f>IFERROR(SUMIF($A$1:$A$1,$A40,AB$1:AB$1),0)</f>
        <v>0</v>
      </c>
      <c r="AC40" s="63">
        <f>IFERROR(SUMIF($A$1:$A$1,$A40,AC$1:AC$1),0)</f>
        <v>0</v>
      </c>
      <c r="AD40" s="63">
        <f>IFERROR(SUMIF($A$1:$A$1,$A40,AD$1:AD$1),0)</f>
        <v>0</v>
      </c>
      <c r="AE40" s="111"/>
      <c r="AF40" s="112">
        <f>IFERROR(SUMIF($A$1:$A$1,$A40,AF$1:AF$1),0)</f>
        <v>0</v>
      </c>
      <c r="AG40" s="61"/>
      <c r="AH40" s="128">
        <f>SUM(C40:AG40)</f>
        <v>0</v>
      </c>
      <c r="AK40" s="131"/>
    </row>
    <row r="41" spans="1:44">
      <c r="A41" s="344"/>
      <c r="B41" s="57" t="s">
        <v>15</v>
      </c>
      <c r="C41" s="58">
        <f>SUMIFS('退火anil '!$H$7:$H$1000,'退火anil '!$E$7:$E$1000,'03'!$A$40,'退火anil '!$A$7:$A$1000,'03'!C$30)</f>
        <v>0</v>
      </c>
      <c r="D41" s="59">
        <f>SUMIFS('退火anil '!$H$7:$H$1000,'退火anil '!$E$7:$E$1000,'03'!$A$40,'退火anil '!$A$7:$A$1000,'03'!D$30)</f>
        <v>0</v>
      </c>
      <c r="E41" s="61"/>
      <c r="F41" s="58">
        <f>SUMIFS('退火anil '!$H$7:$H$1000,'退火anil '!$E$7:$E$1000,'03'!$A$40,'退火anil '!$A$7:$A$1000,'03'!F$30)</f>
        <v>0</v>
      </c>
      <c r="G41" s="58">
        <f>SUMIFS('退火anil '!$H$7:$H$1000,'退火anil '!$E$7:$E$1000,'03'!$A$40,'退火anil '!$A$7:$A$1000,'03'!G$30)</f>
        <v>0</v>
      </c>
      <c r="H41" s="58">
        <f>SUMIFS('退火anil '!$H$7:$H$1000,'退火anil '!$E$7:$E$1000,'03'!$A$40,'退火anil '!$A$7:$A$1000,'03'!H$30)</f>
        <v>0</v>
      </c>
      <c r="I41" s="58">
        <f>SUMIFS('退火anil '!$H$7:$H$1000,'退火anil '!$E$7:$E$1000,'03'!$A$40,'退火anil '!$A$7:$A$1000,'03'!I$30)</f>
        <v>0</v>
      </c>
      <c r="J41" s="58">
        <f>SUMIFS('退火anil '!$H$7:$H$1000,'退火anil '!$E$7:$E$1000,'03'!$A$40,'退火anil '!$A$7:$A$1000,'03'!J$30)</f>
        <v>0</v>
      </c>
      <c r="K41" s="59">
        <f>SUMIFS('退火anil '!$H$7:$H$1000,'退火anil '!$E$7:$E$1000,'03'!$A$40,'退火anil '!$A$7:$A$1000,'03'!K$30)</f>
        <v>0</v>
      </c>
      <c r="L41" s="61"/>
      <c r="M41" s="100"/>
      <c r="N41" s="58">
        <f>SUMIFS('退火anil '!$H$7:$H$1000,'退火anil '!$E$7:$E$1000,'03'!$A$40,'退火anil '!$A$7:$A$1000,'03'!N$30)</f>
        <v>0</v>
      </c>
      <c r="O41" s="58">
        <f>SUMIFS('退火anil '!$H$7:$H$1000,'退火anil '!$E$7:$E$1000,'03'!$A$40,'退火anil '!$A$7:$A$1000,'03'!O$30)</f>
        <v>0</v>
      </c>
      <c r="P41" s="58">
        <f>SUMIFS('退火anil '!$H$7:$H$1000,'退火anil '!$E$7:$E$1000,'03'!$A$40,'退火anil '!$A$7:$A$1000,'03'!P$30)</f>
        <v>0</v>
      </c>
      <c r="Q41" s="58">
        <f>SUMIFS('退火anil '!$H$7:$H$1000,'退火anil '!$E$7:$E$1000,'03'!$A$40,'退火anil '!$A$7:$A$1000,'03'!Q$30)</f>
        <v>0</v>
      </c>
      <c r="R41" s="59">
        <f>SUMIFS('退火anil '!$H$7:$H$1000,'退火anil '!$E$7:$E$1000,'03'!$A$40,'退火anil '!$A$7:$A$1000,'03'!R$30)</f>
        <v>0</v>
      </c>
      <c r="S41" s="61"/>
      <c r="T41" s="58">
        <f>SUMIFS('退火anil '!$H$7:$H$1000,'退火anil '!$E$7:$E$1000,'03'!$A$40,'退火anil '!$A$7:$A$1000,'03'!T$30)</f>
        <v>0</v>
      </c>
      <c r="U41" s="58">
        <f>SUMIFS('退火anil '!$H$7:$H$1000,'退火anil '!$E$7:$E$1000,'03'!$A$40,'退火anil '!$A$7:$A$1000,'03'!U$30)</f>
        <v>0</v>
      </c>
      <c r="V41" s="58">
        <f>SUMIFS('退火anil '!$H$7:$H$1000,'退火anil '!$E$7:$E$1000,'03'!$A$40,'退火anil '!$A$7:$A$1000,'03'!V$30)</f>
        <v>0</v>
      </c>
      <c r="W41" s="58">
        <f>SUMIFS('退火anil '!$H$7:$H$1000,'退火anil '!$E$7:$E$1000,'03'!$A$40,'退火anil '!$A$7:$A$1000,'03'!W$30)</f>
        <v>0</v>
      </c>
      <c r="X41" s="58">
        <f>SUMIFS('退火anil '!$H$7:$H$1000,'退火anil '!$E$7:$E$1000,'03'!$A$40,'退火anil '!$A$7:$A$1000,'03'!X$30)</f>
        <v>0</v>
      </c>
      <c r="Y41" s="59">
        <f>SUMIFS('退火anil '!$H$7:$H$1000,'退火anil '!$E$7:$E$1000,'03'!$A$40,'退火anil '!$A$7:$A$1000,'03'!Y$30)</f>
        <v>1.94</v>
      </c>
      <c r="Z41" s="61"/>
      <c r="AA41" s="58">
        <f>SUMIFS('退火anil '!$H$7:$H$1000,'退火anil '!$E$7:$E$1000,'03'!$A$40,'退火anil '!$A$7:$A$1000,'03'!AA$30)</f>
        <v>0</v>
      </c>
      <c r="AB41" s="58">
        <f>SUMIFS('退火anil '!$H$7:$H$1000,'退火anil '!$E$7:$E$1000,'03'!$A$40,'退火anil '!$A$7:$A$1000,'03'!AB$30)</f>
        <v>0</v>
      </c>
      <c r="AC41" s="58">
        <f>SUMIFS('退火anil '!$H$7:$H$1000,'退火anil '!$E$7:$E$1000,'03'!$A$40,'退火anil '!$A$7:$A$1000,'03'!AC$30)</f>
        <v>0</v>
      </c>
      <c r="AD41" s="58">
        <f>SUMIFS('退火anil '!$H$7:$H$1000,'退火anil '!$E$7:$E$1000,'03'!$A$40,'退火anil '!$A$7:$A$1000,'03'!AD$30)</f>
        <v>0</v>
      </c>
      <c r="AE41" s="111"/>
      <c r="AF41" s="112"/>
      <c r="AG41" s="61"/>
      <c r="AH41" s="127">
        <f>SUM(C41:AG41)</f>
        <v>1.94</v>
      </c>
      <c r="AK41" s="131"/>
    </row>
    <row r="42" spans="1:44">
      <c r="A42" s="345"/>
      <c r="B42" s="57" t="s">
        <v>114</v>
      </c>
      <c r="C42" s="58">
        <f>C41-C40</f>
        <v>0</v>
      </c>
      <c r="D42" s="59">
        <f>C42+(D41-D40)</f>
        <v>0</v>
      </c>
      <c r="E42" s="61"/>
      <c r="F42" s="58">
        <f>D42+(F41-F40)</f>
        <v>0</v>
      </c>
      <c r="G42" s="58">
        <f>F42+(G41-G40)</f>
        <v>0</v>
      </c>
      <c r="H42" s="58">
        <f>G42+(H41-H40)</f>
        <v>0</v>
      </c>
      <c r="I42" s="58">
        <f>H42+(I41-I40)</f>
        <v>0</v>
      </c>
      <c r="J42" s="58">
        <f>I42+(J41-J40)</f>
        <v>0</v>
      </c>
      <c r="K42" s="59">
        <f>J42+(K41-K40)</f>
        <v>0</v>
      </c>
      <c r="L42" s="61"/>
      <c r="M42" s="100"/>
      <c r="N42" s="58">
        <f>K42+(N41-N40)</f>
        <v>0</v>
      </c>
      <c r="O42" s="58">
        <f>N42+(O41-O40)</f>
        <v>0</v>
      </c>
      <c r="P42" s="58">
        <f>O42+(P41-P40)</f>
        <v>0</v>
      </c>
      <c r="Q42" s="58">
        <f>P42+(Q41-Q40)</f>
        <v>0</v>
      </c>
      <c r="R42" s="59">
        <f>Q42+(R41-R40)</f>
        <v>0</v>
      </c>
      <c r="S42" s="61"/>
      <c r="T42" s="58">
        <f>R42+(T41-T40)</f>
        <v>0</v>
      </c>
      <c r="U42" s="58">
        <f>T42+(U41-U40)</f>
        <v>0</v>
      </c>
      <c r="V42" s="58">
        <f>U42+(V41-V40)</f>
        <v>0</v>
      </c>
      <c r="W42" s="58">
        <f>V42+(W41-W40)</f>
        <v>0</v>
      </c>
      <c r="X42" s="58">
        <f>W42+(X41-X40)</f>
        <v>0</v>
      </c>
      <c r="Y42" s="59">
        <f>X42+(Y41-Y40)</f>
        <v>1.94</v>
      </c>
      <c r="Z42" s="61"/>
      <c r="AA42" s="58">
        <f>Y42+(AA41-AA40)</f>
        <v>1.94</v>
      </c>
      <c r="AB42" s="58">
        <f>AA42+(AB41-AB40)</f>
        <v>1.94</v>
      </c>
      <c r="AC42" s="58">
        <f>AB42+(AC41-AC40)</f>
        <v>1.94</v>
      </c>
      <c r="AD42" s="58">
        <f>AC42+(AD41-AD40)</f>
        <v>1.94</v>
      </c>
      <c r="AE42" s="111"/>
      <c r="AF42" s="112">
        <f>AE42+(AF41-AF40)</f>
        <v>0</v>
      </c>
      <c r="AG42" s="61"/>
      <c r="AH42" s="127"/>
      <c r="AI42" s="94"/>
      <c r="AJ42" s="125"/>
      <c r="AK42" s="94"/>
      <c r="AL42" s="94"/>
      <c r="AM42" s="94"/>
      <c r="AN42" s="94"/>
      <c r="AO42" s="94"/>
      <c r="AP42" s="94"/>
      <c r="AQ42" s="94"/>
      <c r="AR42" s="94"/>
    </row>
    <row r="43" spans="1:44">
      <c r="A43" s="343" t="s">
        <v>133</v>
      </c>
      <c r="B43" s="81" t="s">
        <v>130</v>
      </c>
      <c r="C43" s="63">
        <v>0</v>
      </c>
      <c r="D43" s="59">
        <v>0</v>
      </c>
      <c r="E43" s="61"/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59">
        <v>0</v>
      </c>
      <c r="L43" s="61"/>
      <c r="M43" s="100"/>
      <c r="N43" s="63">
        <v>0</v>
      </c>
      <c r="O43" s="63">
        <v>0</v>
      </c>
      <c r="P43" s="63">
        <v>0</v>
      </c>
      <c r="Q43" s="63">
        <v>0</v>
      </c>
      <c r="R43" s="59"/>
      <c r="S43" s="61"/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59"/>
      <c r="Z43" s="61"/>
      <c r="AA43" s="63"/>
      <c r="AB43" s="63">
        <v>0</v>
      </c>
      <c r="AC43" s="63">
        <v>0</v>
      </c>
      <c r="AD43" s="63">
        <v>0</v>
      </c>
      <c r="AE43" s="100"/>
      <c r="AF43" s="112">
        <v>0</v>
      </c>
      <c r="AG43" s="61"/>
      <c r="AH43" s="128">
        <f>SUM(C43:AG43)</f>
        <v>0</v>
      </c>
      <c r="AK43" s="131"/>
    </row>
    <row r="44" spans="1:44">
      <c r="A44" s="344"/>
      <c r="B44" s="57" t="s">
        <v>15</v>
      </c>
      <c r="C44" s="58">
        <f>SUMIFS('退火anil '!$H$7:$H$1000,'退火anil '!$E$7:$E$1000,'03'!$A$43,'退火anil '!$A$7:$A$1000,'03'!C$30)</f>
        <v>0</v>
      </c>
      <c r="D44" s="59">
        <f>SUMIFS('退火anil '!$H$7:$H$1000,'退火anil '!$E$7:$E$1000,'03'!$A$43,'退火anil '!$A$7:$A$1000,'03'!D$30)</f>
        <v>0</v>
      </c>
      <c r="E44" s="61"/>
      <c r="F44" s="58">
        <f>SUMIFS('退火anil '!$H$7:$H$1000,'退火anil '!$E$7:$E$1000,'03'!$A$43,'退火anil '!$A$7:$A$1000,'03'!F$30)</f>
        <v>0</v>
      </c>
      <c r="G44" s="58">
        <f>SUMIFS('退火anil '!$H$7:$H$1000,'退火anil '!$E$7:$E$1000,'03'!$A$43,'退火anil '!$A$7:$A$1000,'03'!G$30)</f>
        <v>0</v>
      </c>
      <c r="H44" s="58">
        <f>SUMIFS('退火anil '!$H$7:$H$1000,'退火anil '!$E$7:$E$1000,'03'!$A$43,'退火anil '!$A$7:$A$1000,'03'!H$30)</f>
        <v>0</v>
      </c>
      <c r="I44" s="58">
        <f>SUMIFS('退火anil '!$H$7:$H$1000,'退火anil '!$E$7:$E$1000,'03'!$A$43,'退火anil '!$A$7:$A$1000,'03'!I$30)</f>
        <v>0</v>
      </c>
      <c r="J44" s="58">
        <f>SUMIFS('退火anil '!$H$7:$H$1000,'退火anil '!$E$7:$E$1000,'03'!$A$43,'退火anil '!$A$7:$A$1000,'03'!J$30)</f>
        <v>0</v>
      </c>
      <c r="K44" s="59">
        <f>SUMIFS('退火anil '!$H$7:$H$1000,'退火anil '!$E$7:$E$1000,'03'!$A$43,'退火anil '!$A$7:$A$1000,'03'!K$30)</f>
        <v>0</v>
      </c>
      <c r="L44" s="61"/>
      <c r="M44" s="100"/>
      <c r="N44" s="58">
        <f>SUMIFS('退火anil '!$H$7:$H$1000,'退火anil '!$E$7:$E$1000,'03'!$A$43,'退火anil '!$A$7:$A$1000,'03'!N$30)</f>
        <v>0</v>
      </c>
      <c r="O44" s="58">
        <f>SUMIFS('退火anil '!$H$7:$H$1000,'退火anil '!$E$7:$E$1000,'03'!$A$43,'退火anil '!$A$7:$A$1000,'03'!O$30)</f>
        <v>0</v>
      </c>
      <c r="P44" s="58">
        <f>SUMIFS('退火anil '!$H$7:$H$1000,'退火anil '!$E$7:$E$1000,'03'!$A$43,'退火anil '!$A$7:$A$1000,'03'!P$30)</f>
        <v>0</v>
      </c>
      <c r="Q44" s="58">
        <f>SUMIFS('退火anil '!$H$7:$H$1000,'退火anil '!$E$7:$E$1000,'03'!$A$43,'退火anil '!$A$7:$A$1000,'03'!Q$30)</f>
        <v>0</v>
      </c>
      <c r="R44" s="59">
        <f>SUMIFS('退火anil '!$H$7:$H$1000,'退火anil '!$E$7:$E$1000,'03'!$A$43,'退火anil '!$A$7:$A$1000,'03'!R$30)</f>
        <v>0</v>
      </c>
      <c r="S44" s="61"/>
      <c r="T44" s="58">
        <f>SUMIFS('退火anil '!$H$7:$H$1000,'退火anil '!$E$7:$E$1000,'03'!$A$43,'退火anil '!$A$7:$A$1000,'03'!T$30)</f>
        <v>0</v>
      </c>
      <c r="U44" s="58">
        <f>SUMIFS('退火anil '!$H$7:$H$1000,'退火anil '!$E$7:$E$1000,'03'!$A$43,'退火anil '!$A$7:$A$1000,'03'!U$30)</f>
        <v>0</v>
      </c>
      <c r="V44" s="58">
        <f>SUMIFS('退火anil '!$H$7:$H$1000,'退火anil '!$E$7:$E$1000,'03'!$A$43,'退火anil '!$A$7:$A$1000,'03'!V$30)</f>
        <v>0</v>
      </c>
      <c r="W44" s="58">
        <f>SUMIFS('退火anil '!$H$7:$H$1000,'退火anil '!$E$7:$E$1000,'03'!$A$43,'退火anil '!$A$7:$A$1000,'03'!W$30)</f>
        <v>0</v>
      </c>
      <c r="X44" s="58">
        <f>SUMIFS('退火anil '!$H$7:$H$1000,'退火anil '!$E$7:$E$1000,'03'!$A$43,'退火anil '!$A$7:$A$1000,'03'!X$30)</f>
        <v>0</v>
      </c>
      <c r="Y44" s="59">
        <f>SUMIFS('退火anil '!$H$7:$H$1000,'退火anil '!$E$7:$E$1000,'03'!$A$43,'退火anil '!$A$7:$A$1000,'03'!Y$30)</f>
        <v>0</v>
      </c>
      <c r="Z44" s="61"/>
      <c r="AA44" s="58">
        <f>SUMIFS('退火anil '!$H$7:$H$1000,'退火anil '!$E$7:$E$1000,'03'!$A$43,'退火anil '!$A$7:$A$1000,'03'!AA$30)</f>
        <v>0</v>
      </c>
      <c r="AB44" s="58">
        <f>SUMIFS('退火anil '!$H$7:$H$1000,'退火anil '!$E$7:$E$1000,'03'!$A$43,'退火anil '!$A$7:$A$1000,'03'!AB$30)</f>
        <v>0</v>
      </c>
      <c r="AC44" s="58">
        <f>SUMIFS('退火anil '!$H$7:$H$1000,'退火anil '!$E$7:$E$1000,'03'!$A$43,'退火anil '!$A$7:$A$1000,'03'!AC$30)</f>
        <v>0</v>
      </c>
      <c r="AD44" s="58">
        <f>SUMIFS('退火anil '!$H$7:$H$1000,'退火anil '!$E$7:$E$1000,'03'!$A$43,'退火anil '!$A$7:$A$1000,'03'!AD$30)</f>
        <v>0</v>
      </c>
      <c r="AE44" s="111"/>
      <c r="AF44" s="112">
        <v>0</v>
      </c>
      <c r="AG44" s="61"/>
      <c r="AH44" s="127">
        <f>SUM(C44:AG44)</f>
        <v>0</v>
      </c>
      <c r="AK44" s="131"/>
    </row>
    <row r="45" spans="1:44">
      <c r="A45" s="345"/>
      <c r="B45" s="57" t="s">
        <v>114</v>
      </c>
      <c r="C45" s="58">
        <f>C44-C43</f>
        <v>0</v>
      </c>
      <c r="D45" s="59">
        <f>C45+(D44-D43)</f>
        <v>0</v>
      </c>
      <c r="E45" s="61"/>
      <c r="F45" s="58">
        <f>D45+(F44-F43)</f>
        <v>0</v>
      </c>
      <c r="G45" s="58">
        <f>F45+(G44-G43)</f>
        <v>0</v>
      </c>
      <c r="H45" s="58">
        <f>G45+(H44-H43)</f>
        <v>0</v>
      </c>
      <c r="I45" s="58">
        <f>H45+(I44-I43)</f>
        <v>0</v>
      </c>
      <c r="J45" s="58">
        <f>I45+(J44-J43)</f>
        <v>0</v>
      </c>
      <c r="K45" s="59">
        <f>J45+(K44-K43)</f>
        <v>0</v>
      </c>
      <c r="L45" s="61"/>
      <c r="M45" s="100"/>
      <c r="N45" s="58">
        <f>K45+(N44-N43)</f>
        <v>0</v>
      </c>
      <c r="O45" s="58">
        <f>N45+(O44-O43)</f>
        <v>0</v>
      </c>
      <c r="P45" s="58">
        <f>O45+(P44-P43)</f>
        <v>0</v>
      </c>
      <c r="Q45" s="58">
        <f>P45+(Q44-Q43)</f>
        <v>0</v>
      </c>
      <c r="R45" s="59">
        <f>Q45+(R44-R43)</f>
        <v>0</v>
      </c>
      <c r="S45" s="61"/>
      <c r="T45" s="58">
        <f>R45+(T44-T43)</f>
        <v>0</v>
      </c>
      <c r="U45" s="58">
        <f>T45+(U44-U43)</f>
        <v>0</v>
      </c>
      <c r="V45" s="58">
        <f>U45+(V44-V43)</f>
        <v>0</v>
      </c>
      <c r="W45" s="58">
        <f>V45+(W44-W43)</f>
        <v>0</v>
      </c>
      <c r="X45" s="58">
        <f>W45+(X44-X43)</f>
        <v>0</v>
      </c>
      <c r="Y45" s="59">
        <f>X45+(Y44-Y43)</f>
        <v>0</v>
      </c>
      <c r="Z45" s="61"/>
      <c r="AA45" s="58">
        <f>Y45+(AA44-AA43)</f>
        <v>0</v>
      </c>
      <c r="AB45" s="58">
        <f>AA45+(AB44-AB43)</f>
        <v>0</v>
      </c>
      <c r="AC45" s="58">
        <f>AB45+(AC44-AC43)</f>
        <v>0</v>
      </c>
      <c r="AD45" s="58">
        <f>AC45+(AD44-AD43)</f>
        <v>0</v>
      </c>
      <c r="AE45" s="111"/>
      <c r="AF45" s="112">
        <f>AE45+(AF44-AF43)</f>
        <v>0</v>
      </c>
      <c r="AG45" s="61"/>
      <c r="AH45" s="127"/>
      <c r="AI45" s="94"/>
      <c r="AJ45" s="125"/>
      <c r="AK45" s="94"/>
      <c r="AL45" s="94"/>
      <c r="AM45" s="94"/>
      <c r="AN45" s="94"/>
      <c r="AO45" s="94"/>
      <c r="AP45" s="94"/>
      <c r="AQ45" s="94"/>
      <c r="AR45" s="94"/>
    </row>
    <row r="46" spans="1:44">
      <c r="A46" s="343" t="s">
        <v>119</v>
      </c>
      <c r="B46" s="81" t="s">
        <v>134</v>
      </c>
      <c r="C46" s="63">
        <v>0</v>
      </c>
      <c r="D46" s="59">
        <v>0</v>
      </c>
      <c r="E46" s="61"/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59">
        <v>0</v>
      </c>
      <c r="L46" s="61"/>
      <c r="M46" s="100"/>
      <c r="N46" s="63">
        <v>20</v>
      </c>
      <c r="O46" s="63">
        <v>20</v>
      </c>
      <c r="P46" s="63">
        <v>20</v>
      </c>
      <c r="Q46" s="63">
        <v>20</v>
      </c>
      <c r="R46" s="59">
        <v>20</v>
      </c>
      <c r="S46" s="61"/>
      <c r="T46" s="63">
        <v>20</v>
      </c>
      <c r="U46" s="63">
        <v>20</v>
      </c>
      <c r="V46" s="63">
        <v>20</v>
      </c>
      <c r="W46" s="63">
        <v>0</v>
      </c>
      <c r="X46" s="63">
        <v>0</v>
      </c>
      <c r="Y46" s="59">
        <v>0</v>
      </c>
      <c r="Z46" s="61"/>
      <c r="AA46" s="63">
        <v>0</v>
      </c>
      <c r="AB46" s="63">
        <v>0</v>
      </c>
      <c r="AC46" s="63">
        <v>0</v>
      </c>
      <c r="AD46" s="63">
        <v>0</v>
      </c>
      <c r="AE46" s="100"/>
      <c r="AF46" s="112">
        <v>0</v>
      </c>
      <c r="AG46" s="61"/>
      <c r="AH46" s="132">
        <f>SUM(C46:AG46)</f>
        <v>160</v>
      </c>
      <c r="AK46" s="131"/>
    </row>
    <row r="47" spans="1:44">
      <c r="A47" s="344"/>
      <c r="B47" s="57" t="s">
        <v>15</v>
      </c>
      <c r="C47" s="58">
        <f>SUMIFS('退火anil '!$H$7:$H$1000,'退火anil '!$E$7:$E$1000,'03'!$A$46,'退火anil '!$A$7:$A$1000,'03'!C$30)</f>
        <v>0</v>
      </c>
      <c r="D47" s="59">
        <f>SUMIFS('退火anil '!$H$7:$H$1000,'退火anil '!$E$7:$E$1000,'03'!$A$46,'退火anil '!$A$7:$A$1000,'03'!D$30)</f>
        <v>0</v>
      </c>
      <c r="E47" s="61"/>
      <c r="F47" s="58">
        <f>SUMIFS('退火anil '!$H$7:$H$1000,'退火anil '!$E$7:$E$1000,'03'!$A$46,'退火anil '!$A$7:$A$1000,'03'!F$30)</f>
        <v>0</v>
      </c>
      <c r="G47" s="58">
        <f>SUMIFS('退火anil '!$H$7:$H$1000,'退火anil '!$E$7:$E$1000,'03'!$A$46,'退火anil '!$A$7:$A$1000,'03'!G$30)</f>
        <v>9.02</v>
      </c>
      <c r="H47" s="58">
        <f>SUMIFS('退火anil '!$H$7:$H$1000,'退火anil '!$E$7:$E$1000,'03'!$A$46,'退火anil '!$A$7:$A$1000,'03'!H$30)</f>
        <v>6.2</v>
      </c>
      <c r="I47" s="58">
        <f>SUMIFS('退火anil '!$H$7:$H$1000,'退火anil '!$E$7:$E$1000,'03'!$A$46,'退火anil '!$A$7:$A$1000,'03'!I$30)</f>
        <v>0</v>
      </c>
      <c r="J47" s="58">
        <f>SUMIFS('退火anil '!$H$7:$H$1000,'退火anil '!$E$7:$E$1000,'03'!$A$46,'退火anil '!$A$7:$A$1000,'03'!J$30)</f>
        <v>3.76</v>
      </c>
      <c r="K47" s="59">
        <f>SUMIFS('退火anil '!$H$7:$H$1000,'退火anil '!$E$7:$E$1000,'03'!$A$46,'退火anil '!$A$7:$A$1000,'03'!K$30)</f>
        <v>0</v>
      </c>
      <c r="L47" s="61"/>
      <c r="M47" s="100"/>
      <c r="N47" s="58">
        <f>SUMIFS('退火anil '!$H$7:$H$1000,'退火anil '!$E$7:$E$1000,'03'!$A$46,'退火anil '!$A$7:$A$1000,'03'!N$30)</f>
        <v>0</v>
      </c>
      <c r="O47" s="58">
        <f>SUMIFS('退火anil '!$H$7:$H$1000,'退火anil '!$E$7:$E$1000,'03'!$A$46,'退火anil '!$A$7:$A$1000,'03'!O$30)</f>
        <v>0</v>
      </c>
      <c r="P47" s="58">
        <f>SUMIFS('退火anil '!$H$7:$H$1000,'退火anil '!$E$7:$E$1000,'03'!$A$46,'退火anil '!$A$7:$A$1000,'03'!P$30)</f>
        <v>0</v>
      </c>
      <c r="Q47" s="58">
        <f>SUMIFS('退火anil '!$H$7:$H$1000,'退火anil '!$E$7:$E$1000,'03'!$A$46,'退火anil '!$A$7:$A$1000,'03'!Q$30)</f>
        <v>0</v>
      </c>
      <c r="R47" s="59">
        <f>SUMIFS('退火anil '!$H$7:$H$1000,'退火anil '!$E$7:$E$1000,'03'!$A$46,'退火anil '!$A$7:$A$1000,'03'!R$30)</f>
        <v>0</v>
      </c>
      <c r="S47" s="61"/>
      <c r="T47" s="58">
        <f>SUMIFS('退火anil '!$H$7:$H$1000,'退火anil '!$E$7:$E$1000,'03'!$A$46,'退火anil '!$A$7:$A$1000,'03'!T$30)</f>
        <v>0</v>
      </c>
      <c r="U47" s="58">
        <f>SUMIFS('退火anil '!$H$7:$H$1000,'退火anil '!$E$7:$E$1000,'03'!$A$46,'退火anil '!$A$7:$A$1000,'03'!U$30)</f>
        <v>0</v>
      </c>
      <c r="V47" s="58">
        <f>SUMIFS('退火anil '!$H$7:$H$1000,'退火anil '!$E$7:$E$1000,'03'!$A$46,'退火anil '!$A$7:$A$1000,'03'!V$30)</f>
        <v>0</v>
      </c>
      <c r="W47" s="58">
        <f>SUMIFS('退火anil '!$H$7:$H$1000,'退火anil '!$E$7:$E$1000,'03'!$A$46,'退火anil '!$A$7:$A$1000,'03'!W$30)</f>
        <v>8.5</v>
      </c>
      <c r="X47" s="58">
        <f>SUMIFS('退火anil '!$H$7:$H$1000,'退火anil '!$E$7:$E$1000,'03'!$A$46,'退火anil '!$A$7:$A$1000,'03'!X$30)</f>
        <v>12</v>
      </c>
      <c r="Y47" s="59">
        <f>SUMIFS('退火anil '!$H$7:$H$1000,'退火anil '!$E$7:$E$1000,'03'!$A$46,'退火anil '!$A$7:$A$1000,'03'!Y$30)</f>
        <v>0</v>
      </c>
      <c r="Z47" s="61"/>
      <c r="AA47" s="58">
        <f>SUMIFS('退火anil '!$H$7:$H$1000,'退火anil '!$E$7:$E$1000,'03'!$A$46,'退火anil '!$A$7:$A$1000,'03'!AA$30)</f>
        <v>12.96</v>
      </c>
      <c r="AB47" s="58">
        <f>SUMIFS('退火anil '!$H$7:$H$1000,'退火anil '!$E$7:$E$1000,'03'!$A$46,'退火anil '!$A$7:$A$1000,'03'!AB$30)</f>
        <v>0</v>
      </c>
      <c r="AC47" s="58">
        <f>SUMIFS('退火anil '!$H$7:$H$1000,'退火anil '!$E$7:$E$1000,'03'!$A$46,'退火anil '!$A$7:$A$1000,'03'!AC$30)</f>
        <v>0</v>
      </c>
      <c r="AD47" s="58">
        <f>SUMIFS('退火anil '!$H$7:$H$1000,'退火anil '!$E$7:$E$1000,'03'!$A$46,'退火anil '!$A$7:$A$1000,'03'!AD$30)</f>
        <v>0</v>
      </c>
      <c r="AE47" s="111"/>
      <c r="AF47" s="112"/>
      <c r="AG47" s="61"/>
      <c r="AH47" s="127">
        <f>SUM(C47:AG47)</f>
        <v>52.44</v>
      </c>
      <c r="AK47" s="131"/>
    </row>
    <row r="48" spans="1:44">
      <c r="A48" s="345"/>
      <c r="B48" s="57" t="s">
        <v>114</v>
      </c>
      <c r="C48" s="58">
        <f>C47-C46</f>
        <v>0</v>
      </c>
      <c r="D48" s="59">
        <f>C48+(D47-D46)</f>
        <v>0</v>
      </c>
      <c r="E48" s="61"/>
      <c r="F48" s="58">
        <f>D48+(F47-F46)</f>
        <v>0</v>
      </c>
      <c r="G48" s="58">
        <f>F48+(G47-G46)</f>
        <v>9.02</v>
      </c>
      <c r="H48" s="58">
        <f>G48+(H47-H46)</f>
        <v>15.219999999999999</v>
      </c>
      <c r="I48" s="58">
        <f>H48+(I47-I46)</f>
        <v>15.219999999999999</v>
      </c>
      <c r="J48" s="58">
        <f>I48+(J47-J46)</f>
        <v>18.979999999999997</v>
      </c>
      <c r="K48" s="59">
        <f>J48+(K47-K46)</f>
        <v>18.979999999999997</v>
      </c>
      <c r="L48" s="61"/>
      <c r="M48" s="100"/>
      <c r="N48" s="58">
        <f>K48+(N47-N46)</f>
        <v>-1.0200000000000031</v>
      </c>
      <c r="O48" s="58">
        <f>N48+(O47-O46)</f>
        <v>-21.020000000000003</v>
      </c>
      <c r="P48" s="58">
        <f>O48+(P47-P46)</f>
        <v>-41.02</v>
      </c>
      <c r="Q48" s="58">
        <f>P48+(Q47-Q46)</f>
        <v>-61.02</v>
      </c>
      <c r="R48" s="59">
        <f>Q48+(R47-R46)</f>
        <v>-81.02000000000001</v>
      </c>
      <c r="S48" s="61"/>
      <c r="T48" s="58">
        <f>R48+(T47-T46)</f>
        <v>-101.02000000000001</v>
      </c>
      <c r="U48" s="58">
        <f>T48+(U47-U46)</f>
        <v>-121.02000000000001</v>
      </c>
      <c r="V48" s="58">
        <f>U48+(V47-V46)</f>
        <v>-141.02000000000001</v>
      </c>
      <c r="W48" s="58">
        <f>V48+(W47-W46)</f>
        <v>-132.52000000000001</v>
      </c>
      <c r="X48" s="58">
        <f>W48+(X47-X46)</f>
        <v>-120.52000000000001</v>
      </c>
      <c r="Y48" s="59">
        <f>X48+(Y47-Y46)</f>
        <v>-120.52000000000001</v>
      </c>
      <c r="Z48" s="61"/>
      <c r="AA48" s="58">
        <f>Y48+(AA47-AA46)</f>
        <v>-107.56</v>
      </c>
      <c r="AB48" s="58">
        <f>AA48+(AB47-AB46)</f>
        <v>-107.56</v>
      </c>
      <c r="AC48" s="58">
        <f>AB48+(AC47-AC46)</f>
        <v>-107.56</v>
      </c>
      <c r="AD48" s="58">
        <f>AC48+(AD47-AD46)</f>
        <v>-107.56</v>
      </c>
      <c r="AE48" s="111"/>
      <c r="AF48" s="112">
        <f>AE48+(AF47-AF46)</f>
        <v>0</v>
      </c>
      <c r="AG48" s="61"/>
      <c r="AH48" s="127"/>
      <c r="AI48" s="94"/>
      <c r="AJ48" s="125"/>
      <c r="AK48" s="94"/>
      <c r="AL48" s="94"/>
      <c r="AM48" s="94"/>
      <c r="AN48" s="94"/>
      <c r="AO48" s="94"/>
      <c r="AP48" s="94"/>
      <c r="AQ48" s="94"/>
      <c r="AR48" s="94"/>
    </row>
    <row r="49" spans="1:44">
      <c r="A49" s="343" t="s">
        <v>121</v>
      </c>
      <c r="B49" s="81" t="s">
        <v>134</v>
      </c>
      <c r="C49" s="63">
        <v>0</v>
      </c>
      <c r="D49" s="59">
        <v>0</v>
      </c>
      <c r="E49" s="61"/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59">
        <v>0</v>
      </c>
      <c r="L49" s="61"/>
      <c r="M49" s="100"/>
      <c r="N49" s="63">
        <v>0</v>
      </c>
      <c r="O49" s="63">
        <v>0</v>
      </c>
      <c r="P49" s="63">
        <v>0</v>
      </c>
      <c r="Q49" s="63">
        <v>0</v>
      </c>
      <c r="R49" s="59">
        <v>0</v>
      </c>
      <c r="S49" s="61"/>
      <c r="T49" s="63">
        <v>0</v>
      </c>
      <c r="U49" s="63">
        <v>0</v>
      </c>
      <c r="V49" s="63">
        <v>0</v>
      </c>
      <c r="W49" s="63"/>
      <c r="X49" s="63"/>
      <c r="Y49" s="59">
        <v>0</v>
      </c>
      <c r="Z49" s="61"/>
      <c r="AA49" s="63">
        <v>0</v>
      </c>
      <c r="AB49" s="63">
        <v>0</v>
      </c>
      <c r="AC49" s="63">
        <v>0</v>
      </c>
      <c r="AD49" s="63">
        <v>0</v>
      </c>
      <c r="AE49" s="111"/>
      <c r="AF49" s="112">
        <v>0</v>
      </c>
      <c r="AG49" s="61"/>
      <c r="AH49" s="132">
        <f>SUM(C49:AG49)</f>
        <v>0</v>
      </c>
      <c r="AK49" s="131"/>
    </row>
    <row r="50" spans="1:44">
      <c r="A50" s="344"/>
      <c r="B50" s="57" t="s">
        <v>15</v>
      </c>
      <c r="C50" s="58">
        <f>SUMIFS('退火anil '!$H$7:$H$1000,'退火anil '!$E$7:$E$1000,'03'!$A$49,'退火anil '!$A$7:$A$1000,'03'!C$30)</f>
        <v>0</v>
      </c>
      <c r="D50" s="59">
        <f>SUMIFS('退火anil '!$H$7:$H$1000,'退火anil '!$E$7:$E$1000,'03'!$A$49,'退火anil '!$A$7:$A$1000,'03'!D$30)</f>
        <v>0</v>
      </c>
      <c r="E50" s="61"/>
      <c r="F50" s="58">
        <f>SUMIFS('退火anil '!$H$7:$H$1000,'退火anil '!$E$7:$E$1000,'03'!$A$49,'退火anil '!$A$7:$A$1000,'03'!F$30)</f>
        <v>0</v>
      </c>
      <c r="G50" s="58">
        <f>SUMIFS('退火anil '!$H$7:$H$1000,'退火anil '!$E$7:$E$1000,'03'!$A$49,'退火anil '!$A$7:$A$1000,'03'!G$30)</f>
        <v>12.44</v>
      </c>
      <c r="H50" s="58">
        <f>SUMIFS('退火anil '!$H$7:$H$1000,'退火anil '!$E$7:$E$1000,'03'!$A$49,'退火anil '!$A$7:$A$1000,'03'!H$30)</f>
        <v>3.66</v>
      </c>
      <c r="I50" s="58">
        <f>SUMIFS('退火anil '!$H$7:$H$1000,'退火anil '!$E$7:$E$1000,'03'!$A$49,'退火anil '!$A$7:$A$1000,'03'!I$30)</f>
        <v>0</v>
      </c>
      <c r="J50" s="58">
        <f>SUMIFS('退火anil '!$H$7:$H$1000,'退火anil '!$E$7:$E$1000,'03'!$A$49,'退火anil '!$A$7:$A$1000,'03'!J$30)</f>
        <v>0</v>
      </c>
      <c r="K50" s="59">
        <f>SUMIFS('退火anil '!$H$7:$H$1000,'退火anil '!$E$7:$E$1000,'03'!$A$49,'退火anil '!$A$7:$A$1000,'03'!K$30)</f>
        <v>0</v>
      </c>
      <c r="L50" s="61"/>
      <c r="M50" s="100"/>
      <c r="N50" s="58">
        <f>SUMIFS('退火anil '!$H$7:$H$1000,'退火anil '!$E$7:$E$1000,'03'!$A$49,'退火anil '!$A$7:$A$1000,'03'!N$30)</f>
        <v>0</v>
      </c>
      <c r="O50" s="58">
        <f>SUMIFS('退火anil '!$H$7:$H$1000,'退火anil '!$E$7:$E$1000,'03'!$A$49,'退火anil '!$A$7:$A$1000,'03'!O$30)</f>
        <v>0</v>
      </c>
      <c r="P50" s="58">
        <f>SUMIFS('退火anil '!$H$7:$H$1000,'退火anil '!$E$7:$E$1000,'03'!$A$49,'退火anil '!$A$7:$A$1000,'03'!P$30)</f>
        <v>0</v>
      </c>
      <c r="Q50" s="58">
        <f>SUMIFS('退火anil '!$H$7:$H$1000,'退火anil '!$E$7:$E$1000,'03'!$A$49,'退火anil '!$A$7:$A$1000,'03'!Q$30)</f>
        <v>0</v>
      </c>
      <c r="R50" s="59">
        <f>SUMIFS('退火anil '!$H$7:$H$1000,'退火anil '!$E$7:$E$1000,'03'!$A$49,'退火anil '!$A$7:$A$1000,'03'!R$30)</f>
        <v>0</v>
      </c>
      <c r="S50" s="61"/>
      <c r="T50" s="58">
        <f>SUMIFS('退火anil '!$H$7:$H$1000,'退火anil '!$E$7:$E$1000,'03'!$A$49,'退火anil '!$A$7:$A$1000,'03'!T$30)</f>
        <v>0</v>
      </c>
      <c r="U50" s="58">
        <f>SUMIFS('退火anil '!$H$7:$H$1000,'退火anil '!$E$7:$E$1000,'03'!$A$49,'退火anil '!$A$7:$A$1000,'03'!U$30)</f>
        <v>0</v>
      </c>
      <c r="V50" s="58">
        <f>SUMIFS('退火anil '!$H$7:$H$1000,'退火anil '!$E$7:$E$1000,'03'!$A$49,'退火anil '!$A$7:$A$1000,'03'!V$30)</f>
        <v>0</v>
      </c>
      <c r="W50" s="58">
        <f>SUMIFS('退火anil '!$H$7:$H$1000,'退火anil '!$E$7:$E$1000,'03'!$A$49,'退火anil '!$A$7:$A$1000,'03'!W$30)</f>
        <v>0</v>
      </c>
      <c r="X50" s="58">
        <f>SUMIFS('退火anil '!$H$7:$H$1000,'退火anil '!$E$7:$E$1000,'03'!$A$49,'退火anil '!$A$7:$A$1000,'03'!X$30)</f>
        <v>0</v>
      </c>
      <c r="Y50" s="59">
        <f>SUMIFS('退火anil '!$H$7:$H$1000,'退火anil '!$E$7:$E$1000,'03'!$A$49,'退火anil '!$A$7:$A$1000,'03'!Y$30)</f>
        <v>0</v>
      </c>
      <c r="Z50" s="61"/>
      <c r="AA50" s="58">
        <f>SUMIFS('退火anil '!$H$7:$H$1000,'退火anil '!$E$7:$E$1000,'03'!$A$49,'退火anil '!$A$7:$A$1000,'03'!AA$30)</f>
        <v>0</v>
      </c>
      <c r="AB50" s="58">
        <f>SUMIFS('退火anil '!$H$7:$H$1000,'退火anil '!$E$7:$E$1000,'03'!$A$49,'退火anil '!$A$7:$A$1000,'03'!AB$30)</f>
        <v>0</v>
      </c>
      <c r="AC50" s="58">
        <f>SUMIFS('退火anil '!$H$7:$H$1000,'退火anil '!$E$7:$E$1000,'03'!$A$49,'退火anil '!$A$7:$A$1000,'03'!AC$30)</f>
        <v>0</v>
      </c>
      <c r="AD50" s="58">
        <f>SUMIFS('退火anil '!$H$7:$H$1000,'退火anil '!$E$7:$E$1000,'03'!$A$49,'退火anil '!$A$7:$A$1000,'03'!AD$30)</f>
        <v>0</v>
      </c>
      <c r="AE50" s="111"/>
      <c r="AF50" s="112"/>
      <c r="AG50" s="61"/>
      <c r="AH50" s="127">
        <f>SUM(C50:AG50)</f>
        <v>16.100000000000001</v>
      </c>
      <c r="AK50" s="131"/>
    </row>
    <row r="51" spans="1:44">
      <c r="A51" s="345"/>
      <c r="B51" s="57" t="s">
        <v>114</v>
      </c>
      <c r="C51" s="58">
        <f>C50-C49</f>
        <v>0</v>
      </c>
      <c r="D51" s="59">
        <f>C51+(D50-D49)</f>
        <v>0</v>
      </c>
      <c r="E51" s="61"/>
      <c r="F51" s="58">
        <f>D51+(F50-F49)</f>
        <v>0</v>
      </c>
      <c r="G51" s="58">
        <f>F51+(G50-G49)</f>
        <v>12.44</v>
      </c>
      <c r="H51" s="58">
        <f>G51+(H50-H49)</f>
        <v>16.100000000000001</v>
      </c>
      <c r="I51" s="58">
        <f>H51+(I50-I49)</f>
        <v>16.100000000000001</v>
      </c>
      <c r="J51" s="58">
        <f>I51+(J50-J49)</f>
        <v>16.100000000000001</v>
      </c>
      <c r="K51" s="59">
        <f>J51+(K50-K49)</f>
        <v>16.100000000000001</v>
      </c>
      <c r="L51" s="61"/>
      <c r="M51" s="100"/>
      <c r="N51" s="58">
        <f>K51+(N50-N49)</f>
        <v>16.100000000000001</v>
      </c>
      <c r="O51" s="58">
        <f>N51+(O50-O49)</f>
        <v>16.100000000000001</v>
      </c>
      <c r="P51" s="58">
        <f>O51+(P50-P49)</f>
        <v>16.100000000000001</v>
      </c>
      <c r="Q51" s="58">
        <f>P51+(Q50-Q49)</f>
        <v>16.100000000000001</v>
      </c>
      <c r="R51" s="59">
        <f>Q51+(R50-R49)</f>
        <v>16.100000000000001</v>
      </c>
      <c r="S51" s="61"/>
      <c r="T51" s="58">
        <f>R51+(T50-T49)</f>
        <v>16.100000000000001</v>
      </c>
      <c r="U51" s="58">
        <f>T51+(U50-U49)</f>
        <v>16.100000000000001</v>
      </c>
      <c r="V51" s="58">
        <f>U51+(V50-V49)</f>
        <v>16.100000000000001</v>
      </c>
      <c r="W51" s="58">
        <f>V51+(W50-W49)</f>
        <v>16.100000000000001</v>
      </c>
      <c r="X51" s="58">
        <f>W51+(X50-X49)</f>
        <v>16.100000000000001</v>
      </c>
      <c r="Y51" s="59">
        <f>X51+(Y50-Y49)</f>
        <v>16.100000000000001</v>
      </c>
      <c r="Z51" s="61"/>
      <c r="AA51" s="58">
        <f>Y51+(AA50-AA49)</f>
        <v>16.100000000000001</v>
      </c>
      <c r="AB51" s="58">
        <f>AA51+(AB50-AB49)</f>
        <v>16.100000000000001</v>
      </c>
      <c r="AC51" s="58">
        <f>AB51+(AC50-AC49)</f>
        <v>16.100000000000001</v>
      </c>
      <c r="AD51" s="58">
        <f>AC51+(AD50-AD49)</f>
        <v>16.100000000000001</v>
      </c>
      <c r="AE51" s="111"/>
      <c r="AF51" s="112">
        <f>AE51+(AF50-AF49)</f>
        <v>0</v>
      </c>
      <c r="AG51" s="61"/>
      <c r="AH51" s="127"/>
      <c r="AI51" s="94"/>
      <c r="AJ51" s="125"/>
      <c r="AK51" s="94"/>
      <c r="AL51" s="94"/>
      <c r="AM51" s="94"/>
      <c r="AN51" s="94"/>
      <c r="AO51" s="94"/>
      <c r="AP51" s="94"/>
      <c r="AQ51" s="94"/>
      <c r="AR51" s="94"/>
    </row>
    <row r="52" spans="1:44">
      <c r="A52" s="343" t="s">
        <v>123</v>
      </c>
      <c r="B52" s="81" t="s">
        <v>134</v>
      </c>
      <c r="C52" s="63">
        <v>0</v>
      </c>
      <c r="D52" s="59">
        <v>0</v>
      </c>
      <c r="E52" s="61"/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59">
        <v>0</v>
      </c>
      <c r="L52" s="61"/>
      <c r="M52" s="100"/>
      <c r="N52" s="63">
        <v>0</v>
      </c>
      <c r="O52" s="63">
        <v>0</v>
      </c>
      <c r="P52" s="63">
        <v>0</v>
      </c>
      <c r="Q52" s="63">
        <v>0</v>
      </c>
      <c r="R52" s="59">
        <v>0</v>
      </c>
      <c r="S52" s="61"/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59">
        <v>0</v>
      </c>
      <c r="Z52" s="61"/>
      <c r="AA52" s="63">
        <v>0</v>
      </c>
      <c r="AB52" s="63">
        <v>0</v>
      </c>
      <c r="AC52" s="63">
        <v>0</v>
      </c>
      <c r="AD52" s="63">
        <v>0</v>
      </c>
      <c r="AE52" s="100"/>
      <c r="AF52" s="112">
        <v>0</v>
      </c>
      <c r="AG52" s="61"/>
      <c r="AH52" s="132"/>
      <c r="AK52" s="131"/>
    </row>
    <row r="53" spans="1:44">
      <c r="A53" s="344"/>
      <c r="B53" s="57" t="s">
        <v>15</v>
      </c>
      <c r="C53" s="58">
        <f>SUMIFS('退火anil '!$H$7:$H$1000,'退火anil '!$E$7:$E$1000,'03'!$A$52,'退火anil '!$A$7:$A$1000,'03'!C$30)</f>
        <v>0</v>
      </c>
      <c r="D53" s="59">
        <f>SUMIFS('退火anil '!$H$7:$H$1000,'退火anil '!$E$7:$E$1000,'03'!$A$52,'退火anil '!$A$7:$A$1000,'03'!D$30)</f>
        <v>0</v>
      </c>
      <c r="E53" s="61"/>
      <c r="F53" s="58">
        <f>SUMIFS('退火anil '!$H$7:$H$1000,'退火anil '!$E$7:$E$1000,'03'!$A$52,'退火anil '!$A$7:$A$1000,'03'!F$30)</f>
        <v>0</v>
      </c>
      <c r="G53" s="58">
        <f>SUMIFS('退火anil '!$H$7:$H$1000,'退火anil '!$E$7:$E$1000,'03'!$A$52,'退火anil '!$A$7:$A$1000,'03'!G$30)</f>
        <v>0</v>
      </c>
      <c r="H53" s="58">
        <f>SUMIFS('退火anil '!$H$7:$H$1000,'退火anil '!$E$7:$E$1000,'03'!$A$52,'退火anil '!$A$7:$A$1000,'03'!H$30)</f>
        <v>0</v>
      </c>
      <c r="I53" s="58">
        <f>SUMIFS('退火anil '!$H$7:$H$1000,'退火anil '!$E$7:$E$1000,'03'!$A$52,'退火anil '!$A$7:$A$1000,'03'!I$30)</f>
        <v>0</v>
      </c>
      <c r="J53" s="58">
        <f>SUMIFS('退火anil '!$H$7:$H$1000,'退火anil '!$E$7:$E$1000,'03'!$A$52,'退火anil '!$A$7:$A$1000,'03'!J$30)</f>
        <v>0</v>
      </c>
      <c r="K53" s="59">
        <f>SUMIFS('退火anil '!$H$7:$H$1000,'退火anil '!$E$7:$E$1000,'03'!$A$52,'退火anil '!$A$7:$A$1000,'03'!K$30)</f>
        <v>0</v>
      </c>
      <c r="L53" s="61"/>
      <c r="M53" s="100"/>
      <c r="N53" s="58">
        <f>SUMIFS('退火anil '!$H$7:$H$1000,'退火anil '!$E$7:$E$1000,'03'!$A$52,'退火anil '!$A$7:$A$1000,'03'!N$30)</f>
        <v>0</v>
      </c>
      <c r="O53" s="58">
        <f>SUMIFS('退火anil '!$H$7:$H$1000,'退火anil '!$E$7:$E$1000,'03'!$A$52,'退火anil '!$A$7:$A$1000,'03'!O$30)</f>
        <v>44.62</v>
      </c>
      <c r="P53" s="58">
        <f>SUMIFS('退火anil '!$H$7:$H$1000,'退火anil '!$E$7:$E$1000,'03'!$A$52,'退火anil '!$A$7:$A$1000,'03'!P$30)</f>
        <v>18.079999999999998</v>
      </c>
      <c r="Q53" s="58">
        <f>SUMIFS('退火anil '!$H$7:$H$1000,'退火anil '!$E$7:$E$1000,'03'!$A$52,'退火anil '!$A$7:$A$1000,'03'!Q$30)</f>
        <v>0</v>
      </c>
      <c r="R53" s="59">
        <f>SUMIFS('退火anil '!$H$7:$H$1000,'退火anil '!$E$7:$E$1000,'03'!$A$52,'退火anil '!$A$7:$A$1000,'03'!R$30)</f>
        <v>0</v>
      </c>
      <c r="S53" s="61"/>
      <c r="T53" s="58">
        <f>SUMIFS('退火anil '!$H$7:$H$1000,'退火anil '!$E$7:$E$1000,'03'!$A$52,'退火anil '!$A$7:$A$1000,'03'!T$30)</f>
        <v>0</v>
      </c>
      <c r="U53" s="58">
        <f>SUMIFS('退火anil '!$H$7:$H$1000,'退火anil '!$E$7:$E$1000,'03'!$A$52,'退火anil '!$A$7:$A$1000,'03'!U$30)</f>
        <v>0</v>
      </c>
      <c r="V53" s="58">
        <f>SUMIFS('退火anil '!$H$7:$H$1000,'退火anil '!$E$7:$E$1000,'03'!$A$52,'退火anil '!$A$7:$A$1000,'03'!V$30)</f>
        <v>0</v>
      </c>
      <c r="W53" s="58">
        <f>SUMIFS('退火anil '!$H$7:$H$1000,'退火anil '!$E$7:$E$1000,'03'!$A$52,'退火anil '!$A$7:$A$1000,'03'!W$30)</f>
        <v>24.02</v>
      </c>
      <c r="X53" s="58">
        <f>SUMIFS('退火anil '!$H$7:$H$1000,'退火anil '!$E$7:$E$1000,'03'!$A$52,'退火anil '!$A$7:$A$1000,'03'!X$30)</f>
        <v>27.7</v>
      </c>
      <c r="Y53" s="59">
        <f>SUMIFS('退火anil '!$H$7:$H$1000,'退火anil '!$E$7:$E$1000,'03'!$A$52,'退火anil '!$A$7:$A$1000,'03'!Y$30)</f>
        <v>58.24</v>
      </c>
      <c r="Z53" s="61"/>
      <c r="AA53" s="58">
        <f>SUMIFS('退火anil '!$H$7:$H$1000,'退火anil '!$E$7:$E$1000,'03'!$A$52,'退火anil '!$A$7:$A$1000,'03'!AA$30)</f>
        <v>0</v>
      </c>
      <c r="AB53" s="58">
        <f>SUMIFS('退火anil '!$H$7:$H$1000,'退火anil '!$E$7:$E$1000,'03'!$A$52,'退火anil '!$A$7:$A$1000,'03'!AB$30)</f>
        <v>0</v>
      </c>
      <c r="AC53" s="58">
        <f>SUMIFS('退火anil '!$H$7:$H$1000,'退火anil '!$E$7:$E$1000,'03'!$A$52,'退火anil '!$A$7:$A$1000,'03'!AC$30)</f>
        <v>0</v>
      </c>
      <c r="AD53" s="58">
        <f>SUMIFS('退火anil '!$H$7:$H$1000,'退火anil '!$E$7:$E$1000,'03'!$A$52,'退火anil '!$A$7:$A$1000,'03'!AD$30)</f>
        <v>0</v>
      </c>
      <c r="AE53" s="111"/>
      <c r="AF53" s="112"/>
      <c r="AG53" s="61"/>
      <c r="AH53" s="127"/>
      <c r="AK53" s="131"/>
    </row>
    <row r="54" spans="1:44">
      <c r="A54" s="345"/>
      <c r="B54" s="57" t="s">
        <v>114</v>
      </c>
      <c r="C54" s="58">
        <f>C53-C52</f>
        <v>0</v>
      </c>
      <c r="D54" s="59">
        <f>C54+(D53-D52)</f>
        <v>0</v>
      </c>
      <c r="E54" s="61"/>
      <c r="F54" s="58">
        <f>D54+(F53-F52)</f>
        <v>0</v>
      </c>
      <c r="G54" s="58">
        <f>F54+(G53-G52)</f>
        <v>0</v>
      </c>
      <c r="H54" s="58">
        <f>G54+(H53-H52)</f>
        <v>0</v>
      </c>
      <c r="I54" s="58">
        <f>H54+(I53-I52)</f>
        <v>0</v>
      </c>
      <c r="J54" s="58">
        <f>I54+(J53-J52)</f>
        <v>0</v>
      </c>
      <c r="K54" s="59">
        <f>J54+(K53-K52)</f>
        <v>0</v>
      </c>
      <c r="L54" s="61"/>
      <c r="M54" s="100"/>
      <c r="N54" s="58">
        <f>K54+(N53-N52)</f>
        <v>0</v>
      </c>
      <c r="O54" s="58">
        <f>N54+(O53-O52)</f>
        <v>44.62</v>
      </c>
      <c r="P54" s="58">
        <f>O54+(P53-P52)</f>
        <v>62.699999999999996</v>
      </c>
      <c r="Q54" s="58">
        <f>P54+(Q53-Q52)</f>
        <v>62.699999999999996</v>
      </c>
      <c r="R54" s="59">
        <f>Q54+(R53-R52)</f>
        <v>62.699999999999996</v>
      </c>
      <c r="S54" s="61"/>
      <c r="T54" s="58">
        <f>R54+(T53-T52)</f>
        <v>62.699999999999996</v>
      </c>
      <c r="U54" s="58">
        <f>T54+(U53-U52)</f>
        <v>62.699999999999996</v>
      </c>
      <c r="V54" s="58">
        <f>U54+(V53-V52)</f>
        <v>62.699999999999996</v>
      </c>
      <c r="W54" s="58">
        <f>V54+(W53-W52)</f>
        <v>86.72</v>
      </c>
      <c r="X54" s="58">
        <f>W54+(X53-X52)</f>
        <v>114.42</v>
      </c>
      <c r="Y54" s="59">
        <f>X54+(Y53-Y52)</f>
        <v>172.66</v>
      </c>
      <c r="Z54" s="61"/>
      <c r="AA54" s="58">
        <f>Y54+(AA53-AA52)</f>
        <v>172.66</v>
      </c>
      <c r="AB54" s="58">
        <f>AA54+(AB53-AB52)</f>
        <v>172.66</v>
      </c>
      <c r="AC54" s="58">
        <f>AB54+(AC53-AC52)</f>
        <v>172.66</v>
      </c>
      <c r="AD54" s="58">
        <f>AC54+(AD53-AD52)</f>
        <v>172.66</v>
      </c>
      <c r="AE54" s="111"/>
      <c r="AF54" s="112">
        <f>AE54+(AF53-AF52)</f>
        <v>0</v>
      </c>
      <c r="AG54" s="61"/>
      <c r="AH54" s="127"/>
      <c r="AI54" s="94"/>
      <c r="AJ54" s="125"/>
      <c r="AK54" s="94"/>
      <c r="AL54" s="94"/>
      <c r="AM54" s="94"/>
      <c r="AN54" s="94"/>
      <c r="AO54" s="94"/>
      <c r="AP54" s="94"/>
      <c r="AQ54" s="94"/>
      <c r="AR54" s="94"/>
    </row>
    <row r="55" spans="1:44">
      <c r="A55" s="343" t="s">
        <v>124</v>
      </c>
      <c r="B55" s="81" t="s">
        <v>134</v>
      </c>
      <c r="C55" s="63"/>
      <c r="D55" s="59"/>
      <c r="E55" s="61"/>
      <c r="F55" s="63"/>
      <c r="G55" s="63"/>
      <c r="H55" s="63"/>
      <c r="I55" s="63"/>
      <c r="J55" s="63"/>
      <c r="K55" s="59"/>
      <c r="L55" s="61"/>
      <c r="M55" s="100"/>
      <c r="N55" s="63">
        <v>0</v>
      </c>
      <c r="O55" s="63">
        <v>0</v>
      </c>
      <c r="P55" s="63">
        <v>0</v>
      </c>
      <c r="Q55" s="63">
        <v>0</v>
      </c>
      <c r="R55" s="59"/>
      <c r="S55" s="61"/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59"/>
      <c r="Z55" s="61"/>
      <c r="AA55" s="63">
        <v>0</v>
      </c>
      <c r="AB55" s="63">
        <v>0</v>
      </c>
      <c r="AC55" s="63">
        <v>0</v>
      </c>
      <c r="AD55" s="63">
        <v>0</v>
      </c>
      <c r="AE55" s="111"/>
      <c r="AF55" s="112">
        <f>300/20</f>
        <v>15</v>
      </c>
      <c r="AG55" s="61"/>
      <c r="AH55" s="132"/>
      <c r="AK55" s="131"/>
    </row>
    <row r="56" spans="1:44">
      <c r="A56" s="344"/>
      <c r="B56" s="57" t="s">
        <v>15</v>
      </c>
      <c r="C56" s="58">
        <f>SUMIFS('退火anil '!$H$7:$H$1000,'退火anil '!$E$7:$E$1000,'03'!$A$55,'退火anil '!$A$7:$A$1000,'03'!C$30)</f>
        <v>0</v>
      </c>
      <c r="D56" s="59">
        <f>SUMIFS('退火anil '!$H$7:$H$1000,'退火anil '!$E$7:$E$1000,'03'!$A$55,'退火anil '!$A$7:$A$1000,'03'!D$30)</f>
        <v>0</v>
      </c>
      <c r="E56" s="61"/>
      <c r="F56" s="58">
        <f>SUMIFS('退火anil '!$H$7:$H$1000,'退火anil '!$E$7:$E$1000,'03'!$A$55,'退火anil '!$A$7:$A$1000,'03'!F$30)</f>
        <v>0</v>
      </c>
      <c r="G56" s="58">
        <f>SUMIFS('退火anil '!$H$7:$H$1000,'退火anil '!$E$7:$E$1000,'03'!$A$55,'退火anil '!$A$7:$A$1000,'03'!G$30)</f>
        <v>0</v>
      </c>
      <c r="H56" s="58">
        <f>SUMIFS('退火anil '!$H$7:$H$1000,'退火anil '!$E$7:$E$1000,'03'!$A$55,'退火anil '!$A$7:$A$1000,'03'!H$30)</f>
        <v>0</v>
      </c>
      <c r="I56" s="58">
        <f>SUMIFS('退火anil '!$H$7:$H$1000,'退火anil '!$E$7:$E$1000,'03'!$A$55,'退火anil '!$A$7:$A$1000,'03'!I$30)</f>
        <v>0</v>
      </c>
      <c r="J56" s="58">
        <f>SUMIFS('退火anil '!$H$7:$H$1000,'退火anil '!$E$7:$E$1000,'03'!$A$55,'退火anil '!$A$7:$A$1000,'03'!J$30)</f>
        <v>0</v>
      </c>
      <c r="K56" s="59">
        <f>SUMIFS('退火anil '!$H$7:$H$1000,'退火anil '!$E$7:$E$1000,'03'!$A$55,'退火anil '!$A$7:$A$1000,'03'!K$30)</f>
        <v>0</v>
      </c>
      <c r="L56" s="61"/>
      <c r="M56" s="100"/>
      <c r="N56" s="58">
        <f>SUMIFS('退火anil '!$H$7:$H$1000,'退火anil '!$E$7:$E$1000,'03'!$A$55,'退火anil '!$A$7:$A$1000,'03'!N$30)</f>
        <v>0</v>
      </c>
      <c r="O56" s="58">
        <f>SUMIFS('退火anil '!$H$7:$H$1000,'退火anil '!$E$7:$E$1000,'03'!$A$55,'退火anil '!$A$7:$A$1000,'03'!O$30)</f>
        <v>0</v>
      </c>
      <c r="P56" s="58">
        <f>SUMIFS('退火anil '!$H$7:$H$1000,'退火anil '!$E$7:$E$1000,'03'!$A$55,'退火anil '!$A$7:$A$1000,'03'!P$30)</f>
        <v>0</v>
      </c>
      <c r="Q56" s="58">
        <f>SUMIFS('退火anil '!$H$7:$H$1000,'退火anil '!$E$7:$E$1000,'03'!$A$55,'退火anil '!$A$7:$A$1000,'03'!Q$30)</f>
        <v>0</v>
      </c>
      <c r="R56" s="59">
        <f>SUMIFS('退火anil '!$H$7:$H$1000,'退火anil '!$E$7:$E$1000,'03'!$A$55,'退火anil '!$A$7:$A$1000,'03'!R$30)</f>
        <v>0</v>
      </c>
      <c r="S56" s="61"/>
      <c r="T56" s="58">
        <f>SUMIFS('退火anil '!$H$7:$H$1000,'退火anil '!$E$7:$E$1000,'03'!$A$55,'退火anil '!$A$7:$A$1000,'03'!T$30)</f>
        <v>0</v>
      </c>
      <c r="U56" s="58">
        <f>SUMIFS('退火anil '!$H$7:$H$1000,'退火anil '!$E$7:$E$1000,'03'!$A$55,'退火anil '!$A$7:$A$1000,'03'!U$30)</f>
        <v>0</v>
      </c>
      <c r="V56" s="58">
        <f>SUMIFS('退火anil '!$H$7:$H$1000,'退火anil '!$E$7:$E$1000,'03'!$A$55,'退火anil '!$A$7:$A$1000,'03'!V$30)</f>
        <v>0</v>
      </c>
      <c r="W56" s="58">
        <f>SUMIFS('退火anil '!$H$7:$H$1000,'退火anil '!$E$7:$E$1000,'03'!$A$55,'退火anil '!$A$7:$A$1000,'03'!W$30)</f>
        <v>0</v>
      </c>
      <c r="X56" s="58">
        <f>SUMIFS('退火anil '!$H$7:$H$1000,'退火anil '!$E$7:$E$1000,'03'!$A$55,'退火anil '!$A$7:$A$1000,'03'!X$30)</f>
        <v>0</v>
      </c>
      <c r="Y56" s="59">
        <f>SUMIFS('退火anil '!$H$7:$H$1000,'退火anil '!$E$7:$E$1000,'03'!$A$55,'退火anil '!$A$7:$A$1000,'03'!Y$30)</f>
        <v>0</v>
      </c>
      <c r="Z56" s="61"/>
      <c r="AA56" s="58">
        <f>SUMIFS('退火anil '!$H$7:$H$1000,'退火anil '!$E$7:$E$1000,'03'!$A$55,'退火anil '!$A$7:$A$1000,'03'!AA$30)</f>
        <v>0</v>
      </c>
      <c r="AB56" s="58">
        <f>SUMIFS('退火anil '!$H$7:$H$1000,'退火anil '!$E$7:$E$1000,'03'!$A$55,'退火anil '!$A$7:$A$1000,'03'!AB$30)</f>
        <v>0</v>
      </c>
      <c r="AC56" s="58">
        <f>SUMIFS('退火anil '!$H$7:$H$1000,'退火anil '!$E$7:$E$1000,'03'!$A$55,'退火anil '!$A$7:$A$1000,'03'!AC$30)</f>
        <v>0</v>
      </c>
      <c r="AD56" s="58">
        <f>SUMIFS('退火anil '!$H$7:$H$1000,'退火anil '!$E$7:$E$1000,'03'!$A$55,'退火anil '!$A$7:$A$1000,'03'!AD$30)</f>
        <v>0</v>
      </c>
      <c r="AE56" s="111"/>
      <c r="AF56" s="112"/>
      <c r="AG56" s="61"/>
      <c r="AH56" s="127"/>
      <c r="AK56" s="131"/>
    </row>
    <row r="57" spans="1:44">
      <c r="A57" s="345"/>
      <c r="B57" s="57" t="s">
        <v>114</v>
      </c>
      <c r="C57" s="58">
        <f>C56-C55</f>
        <v>0</v>
      </c>
      <c r="D57" s="59">
        <f>C57+(D56-D55)</f>
        <v>0</v>
      </c>
      <c r="E57" s="61"/>
      <c r="F57" s="58">
        <f>D57+(F56-F55)</f>
        <v>0</v>
      </c>
      <c r="G57" s="58">
        <f>F57+(G56-G55)</f>
        <v>0</v>
      </c>
      <c r="H57" s="58">
        <f>G57+(H56-H55)</f>
        <v>0</v>
      </c>
      <c r="I57" s="58">
        <f>H57+(I56-I55)</f>
        <v>0</v>
      </c>
      <c r="J57" s="58">
        <f>I57+(J56-J55)</f>
        <v>0</v>
      </c>
      <c r="K57" s="59">
        <f>J57+(K56-K55)</f>
        <v>0</v>
      </c>
      <c r="L57" s="61"/>
      <c r="M57" s="100"/>
      <c r="N57" s="58">
        <f>K57+(N56-N55)</f>
        <v>0</v>
      </c>
      <c r="O57" s="58">
        <f>N57+(O56-O55)</f>
        <v>0</v>
      </c>
      <c r="P57" s="58">
        <f>O57+(P56-P55)</f>
        <v>0</v>
      </c>
      <c r="Q57" s="58">
        <f>P57+(Q56-Q55)</f>
        <v>0</v>
      </c>
      <c r="R57" s="59">
        <f>Q57+(R56-R55)</f>
        <v>0</v>
      </c>
      <c r="S57" s="61"/>
      <c r="T57" s="58">
        <f>R57+(T56-T55)</f>
        <v>0</v>
      </c>
      <c r="U57" s="58">
        <f>T57+(U56-U55)</f>
        <v>0</v>
      </c>
      <c r="V57" s="58">
        <f>U57+(V56-V55)</f>
        <v>0</v>
      </c>
      <c r="W57" s="58">
        <f>V57+(W56-W55)</f>
        <v>0</v>
      </c>
      <c r="X57" s="58">
        <f>W57+(X56-X55)</f>
        <v>0</v>
      </c>
      <c r="Y57" s="59">
        <f>X57+(Y56-Y55)</f>
        <v>0</v>
      </c>
      <c r="Z57" s="61"/>
      <c r="AA57" s="58">
        <f>Y57+(AA56-AA55)</f>
        <v>0</v>
      </c>
      <c r="AB57" s="58">
        <f>AA57+(AB56-AB55)</f>
        <v>0</v>
      </c>
      <c r="AC57" s="58">
        <f>AB57+(AC56-AC55)</f>
        <v>0</v>
      </c>
      <c r="AD57" s="58">
        <f>AC57+(AD56-AD55)</f>
        <v>0</v>
      </c>
      <c r="AE57" s="111"/>
      <c r="AF57" s="112">
        <f>AE57+(AF56-AF55)</f>
        <v>-15</v>
      </c>
      <c r="AG57" s="61"/>
      <c r="AH57" s="127"/>
      <c r="AI57" s="94"/>
      <c r="AJ57" s="125"/>
      <c r="AK57" s="94"/>
      <c r="AL57" s="94"/>
      <c r="AM57" s="94"/>
      <c r="AN57" s="94"/>
      <c r="AO57" s="94"/>
      <c r="AP57" s="94"/>
      <c r="AQ57" s="94"/>
      <c r="AR57" s="94"/>
    </row>
    <row r="58" spans="1:44">
      <c r="A58" s="343" t="s">
        <v>126</v>
      </c>
      <c r="B58" s="81" t="s">
        <v>135</v>
      </c>
      <c r="C58" s="63">
        <v>250</v>
      </c>
      <c r="D58" s="59">
        <v>200</v>
      </c>
      <c r="E58" s="61"/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59">
        <v>0</v>
      </c>
      <c r="L58" s="61"/>
      <c r="M58" s="100"/>
      <c r="N58" s="63">
        <v>180</v>
      </c>
      <c r="O58" s="63">
        <v>200</v>
      </c>
      <c r="P58" s="63">
        <v>0</v>
      </c>
      <c r="Q58" s="63">
        <v>0</v>
      </c>
      <c r="R58" s="59">
        <v>0</v>
      </c>
      <c r="S58" s="61"/>
      <c r="T58" s="63">
        <v>100</v>
      </c>
      <c r="U58" s="63">
        <v>150</v>
      </c>
      <c r="V58" s="63">
        <v>150</v>
      </c>
      <c r="W58" s="63">
        <v>150</v>
      </c>
      <c r="X58" s="63">
        <v>150</v>
      </c>
      <c r="Y58" s="59">
        <v>0</v>
      </c>
      <c r="Z58" s="61"/>
      <c r="AA58" s="63">
        <v>150</v>
      </c>
      <c r="AB58" s="63">
        <v>200</v>
      </c>
      <c r="AC58" s="63">
        <v>200</v>
      </c>
      <c r="AD58" s="63">
        <v>200</v>
      </c>
      <c r="AE58" s="100"/>
      <c r="AF58" s="112">
        <v>0</v>
      </c>
      <c r="AG58" s="61"/>
      <c r="AH58" s="132">
        <f>SUM(C58:AG58)</f>
        <v>2280</v>
      </c>
      <c r="AK58" s="131"/>
    </row>
    <row r="59" spans="1:44">
      <c r="A59" s="344"/>
      <c r="B59" s="57" t="s">
        <v>15</v>
      </c>
      <c r="C59" s="58">
        <f>SUMIFS('退火anil '!$H$7:$H$1000,'退火anil '!$E$7:$E$1000,'03'!$A$58,'退火anil '!$A$7:$A$1000,'03'!C$30)</f>
        <v>224.62</v>
      </c>
      <c r="D59" s="59">
        <f>SUMIFS('退火anil '!$H$7:$H$1000,'退火anil '!$E$7:$E$1000,'03'!$A$58,'退火anil '!$A$7:$A$1000,'03'!D$30)</f>
        <v>161.74</v>
      </c>
      <c r="E59" s="82"/>
      <c r="F59" s="58">
        <f>SUMIFS('退火anil '!$H$7:$H$1000,'退火anil '!$E$7:$E$1000,'03'!$A$58,'退火anil '!$A$7:$A$1000,'03'!F$30)</f>
        <v>3.86</v>
      </c>
      <c r="G59" s="58">
        <f>SUMIFS('退火anil '!$H$7:$H$1000,'退火anil '!$E$7:$E$1000,'03'!$A$58,'退火anil '!$A$7:$A$1000,'03'!G$30)</f>
        <v>0</v>
      </c>
      <c r="H59" s="58">
        <f>SUMIFS('退火anil '!$H$7:$H$1000,'退火anil '!$E$7:$E$1000,'03'!$A$58,'退火anil '!$A$7:$A$1000,'03'!H$30)</f>
        <v>0</v>
      </c>
      <c r="I59" s="58">
        <f>SUMIFS('退火anil '!$H$7:$H$1000,'退火anil '!$E$7:$E$1000,'03'!$A$58,'退火anil '!$A$7:$A$1000,'03'!I$30)</f>
        <v>0</v>
      </c>
      <c r="J59" s="58">
        <f>SUMIFS('退火anil '!$H$7:$H$1000,'退火anil '!$E$7:$E$1000,'03'!$A$58,'退火anil '!$A$7:$A$1000,'03'!J$30)</f>
        <v>0</v>
      </c>
      <c r="K59" s="59">
        <f>SUMIFS('退火anil '!$H$7:$H$1000,'退火anil '!$E$7:$E$1000,'03'!$A$58,'退火anil '!$A$7:$A$1000,'03'!K$30)</f>
        <v>0</v>
      </c>
      <c r="L59" s="82"/>
      <c r="M59" s="105"/>
      <c r="N59" s="58">
        <f>SUMIFS('退火anil '!$H$7:$H$1000,'退火anil '!$E$7:$E$1000,'03'!$A$58,'退火anil '!$A$7:$A$1000,'03'!N$30)</f>
        <v>146.80000000000001</v>
      </c>
      <c r="O59" s="58">
        <f>SUMIFS('退火anil '!$H$7:$H$1000,'退火anil '!$E$7:$E$1000,'03'!$A$58,'退火anil '!$A$7:$A$1000,'03'!O$30)</f>
        <v>154.6</v>
      </c>
      <c r="P59" s="58">
        <f>SUMIFS('退火anil '!$H$7:$H$1000,'退火anil '!$E$7:$E$1000,'03'!$A$58,'退火anil '!$A$7:$A$1000,'03'!P$30)</f>
        <v>0</v>
      </c>
      <c r="Q59" s="58">
        <f>SUMIFS('退火anil '!$H$7:$H$1000,'退火anil '!$E$7:$E$1000,'03'!$A$58,'退火anil '!$A$7:$A$1000,'03'!Q$30)</f>
        <v>0</v>
      </c>
      <c r="R59" s="59">
        <f>SUMIFS('退火anil '!$H$7:$H$1000,'退火anil '!$E$7:$E$1000,'03'!$A$58,'退火anil '!$A$7:$A$1000,'03'!R$30)</f>
        <v>0</v>
      </c>
      <c r="S59" s="82"/>
      <c r="T59" s="58">
        <f>SUMIFS('退火anil '!$H$7:$H$1000,'退火anil '!$E$7:$E$1000,'03'!$A$58,'退火anil '!$A$7:$A$1000,'03'!T$30)</f>
        <v>0</v>
      </c>
      <c r="U59" s="58">
        <f>SUMIFS('退火anil '!$H$7:$H$1000,'退火anil '!$E$7:$E$1000,'03'!$A$58,'退火anil '!$A$7:$A$1000,'03'!U$30)</f>
        <v>0</v>
      </c>
      <c r="V59" s="58">
        <f>SUMIFS('退火anil '!$H$7:$H$1000,'退火anil '!$E$7:$E$1000,'03'!$A$58,'退火anil '!$A$7:$A$1000,'03'!V$30)</f>
        <v>131.66</v>
      </c>
      <c r="W59" s="58">
        <f>SUMIFS('退火anil '!$H$7:$H$1000,'退火anil '!$E$7:$E$1000,'03'!$A$58,'退火anil '!$A$7:$A$1000,'03'!W$30)</f>
        <v>98.02</v>
      </c>
      <c r="X59" s="58">
        <f>SUMIFS('退火anil '!$H$7:$H$1000,'退火anil '!$E$7:$E$1000,'03'!$A$58,'退火anil '!$A$7:$A$1000,'03'!X$30)</f>
        <v>65.72</v>
      </c>
      <c r="Y59" s="59">
        <f>SUMIFS('退火anil '!$H$7:$H$1000,'退火anil '!$E$7:$E$1000,'03'!$A$58,'退火anil '!$A$7:$A$1000,'03'!Y$30)</f>
        <v>0</v>
      </c>
      <c r="Z59" s="82"/>
      <c r="AA59" s="58">
        <f>SUMIFS('退火anil '!$H$7:$H$1000,'退火anil '!$E$7:$E$1000,'03'!$A$58,'退火anil '!$A$7:$A$1000,'03'!AA$30)</f>
        <v>125.86</v>
      </c>
      <c r="AB59" s="58">
        <f>SUMIFS('退火anil '!$H$7:$H$1000,'退火anil '!$E$7:$E$1000,'03'!$A$58,'退火anil '!$A$7:$A$1000,'03'!AB$30)</f>
        <v>0</v>
      </c>
      <c r="AC59" s="58">
        <f>SUMIFS('退火anil '!$H$7:$H$1000,'退火anil '!$E$7:$E$1000,'03'!$A$58,'退火anil '!$A$7:$A$1000,'03'!AC$30)</f>
        <v>0</v>
      </c>
      <c r="AD59" s="58">
        <f>SUMIFS('退火anil '!$H$7:$H$1000,'退火anil '!$E$7:$E$1000,'03'!$A$58,'退火anil '!$A$7:$A$1000,'03'!AD$30)</f>
        <v>0</v>
      </c>
      <c r="AE59" s="119"/>
      <c r="AF59" s="116"/>
      <c r="AG59" s="82"/>
      <c r="AH59" s="127">
        <f>SUM(C59:AG59)</f>
        <v>1112.8799999999999</v>
      </c>
      <c r="AK59" s="131"/>
    </row>
    <row r="60" spans="1:44">
      <c r="A60" s="345"/>
      <c r="B60" s="67" t="s">
        <v>114</v>
      </c>
      <c r="C60" s="83">
        <f>C59-C58</f>
        <v>-25.379999999999995</v>
      </c>
      <c r="D60" s="84">
        <f>C60+(D59-D58)</f>
        <v>-63.639999999999986</v>
      </c>
      <c r="E60" s="85"/>
      <c r="F60" s="83">
        <f>D60+(F59-F58)</f>
        <v>-59.779999999999987</v>
      </c>
      <c r="G60" s="83">
        <f>F60+(G59-G58)</f>
        <v>-59.779999999999987</v>
      </c>
      <c r="H60" s="83">
        <f>G60+(H59-H58)</f>
        <v>-59.779999999999987</v>
      </c>
      <c r="I60" s="83">
        <f>H60+(I59-I58)</f>
        <v>-59.779999999999987</v>
      </c>
      <c r="J60" s="83">
        <f>I60+(J59-J58)</f>
        <v>-59.779999999999987</v>
      </c>
      <c r="K60" s="84">
        <f>J60+(K59-K58)</f>
        <v>-59.779999999999987</v>
      </c>
      <c r="L60" s="85"/>
      <c r="M60" s="106"/>
      <c r="N60" s="83">
        <f>K60+(N59-N58)</f>
        <v>-92.979999999999976</v>
      </c>
      <c r="O60" s="83">
        <f>N60+(O59-O58)</f>
        <v>-138.38</v>
      </c>
      <c r="P60" s="83">
        <f>O60+(P59-P58)</f>
        <v>-138.38</v>
      </c>
      <c r="Q60" s="83">
        <f>P60+(Q59-Q58)</f>
        <v>-138.38</v>
      </c>
      <c r="R60" s="84">
        <f>Q60+(R59-R58)</f>
        <v>-138.38</v>
      </c>
      <c r="S60" s="85"/>
      <c r="T60" s="83">
        <f>R60+(T59-T58)</f>
        <v>-238.38</v>
      </c>
      <c r="U60" s="83">
        <f>T60+(U59-U58)</f>
        <v>-388.38</v>
      </c>
      <c r="V60" s="83">
        <f>U60+(V59-V58)</f>
        <v>-406.72</v>
      </c>
      <c r="W60" s="83">
        <f>V60+(W59-W58)</f>
        <v>-458.70000000000005</v>
      </c>
      <c r="X60" s="83">
        <f>W60+(X59-X58)</f>
        <v>-542.98</v>
      </c>
      <c r="Y60" s="84">
        <f>X60+(Y59-Y58)</f>
        <v>-542.98</v>
      </c>
      <c r="Z60" s="85"/>
      <c r="AA60" s="83">
        <f>Y60+(AA59-AA58)</f>
        <v>-567.12</v>
      </c>
      <c r="AB60" s="83">
        <f>AA60+(AB59-AB58)</f>
        <v>-767.12</v>
      </c>
      <c r="AC60" s="83">
        <f>AB60+(AC59-AC58)</f>
        <v>-967.12</v>
      </c>
      <c r="AD60" s="83">
        <f>AC60+(AD59-AD58)</f>
        <v>-1167.1199999999999</v>
      </c>
      <c r="AE60" s="106"/>
      <c r="AF60" s="116">
        <f>AE60+(AF59-AF58)</f>
        <v>0</v>
      </c>
      <c r="AG60" s="82"/>
      <c r="AH60" s="133"/>
      <c r="AI60" s="94"/>
      <c r="AJ60" s="125"/>
      <c r="AK60" s="94"/>
      <c r="AL60" s="94"/>
      <c r="AM60" s="94"/>
      <c r="AN60" s="94"/>
      <c r="AO60" s="94"/>
      <c r="AP60" s="94"/>
      <c r="AQ60" s="94"/>
      <c r="AR60" s="94"/>
    </row>
    <row r="61" spans="1:44">
      <c r="B61" s="69" t="s">
        <v>111</v>
      </c>
      <c r="C61" s="86">
        <f t="shared" ref="C61:F61" si="13">SUM(C31,C34,C37,C40,C43,C46,C49,C52,C55,C58)</f>
        <v>250</v>
      </c>
      <c r="D61" s="87">
        <f t="shared" si="13"/>
        <v>200</v>
      </c>
      <c r="E61" s="88"/>
      <c r="F61" s="89">
        <f t="shared" si="13"/>
        <v>306</v>
      </c>
      <c r="G61" s="89">
        <f t="shared" ref="G61:K61" si="14">SUM(G31,G34,G37,G40,G43,G46,G49,G52,G55,G58)</f>
        <v>406</v>
      </c>
      <c r="H61" s="89">
        <f t="shared" si="14"/>
        <v>406</v>
      </c>
      <c r="I61" s="89">
        <f t="shared" si="14"/>
        <v>406</v>
      </c>
      <c r="J61" s="89">
        <f t="shared" si="14"/>
        <v>406</v>
      </c>
      <c r="K61" s="87">
        <f t="shared" si="14"/>
        <v>265</v>
      </c>
      <c r="L61" s="88"/>
      <c r="M61" s="107"/>
      <c r="N61" s="89">
        <f t="shared" ref="N61:T61" si="15">SUM(N31,N34,N37,N40,N43,N46,N49,N52,N55,N58)</f>
        <v>606</v>
      </c>
      <c r="O61" s="89">
        <f t="shared" si="15"/>
        <v>626</v>
      </c>
      <c r="P61" s="89">
        <f t="shared" si="15"/>
        <v>426</v>
      </c>
      <c r="Q61" s="89">
        <f t="shared" si="15"/>
        <v>426</v>
      </c>
      <c r="R61" s="87">
        <f t="shared" si="15"/>
        <v>285</v>
      </c>
      <c r="S61" s="88"/>
      <c r="T61" s="89">
        <f t="shared" si="15"/>
        <v>540</v>
      </c>
      <c r="U61" s="89">
        <f t="shared" ref="U61:AA61" si="16">SUM(U31,U34,U37,U40,U43,U46,U49,U52,U55,U58)</f>
        <v>720</v>
      </c>
      <c r="V61" s="89">
        <f t="shared" si="16"/>
        <v>720</v>
      </c>
      <c r="W61" s="89">
        <f t="shared" si="16"/>
        <v>700</v>
      </c>
      <c r="X61" s="89">
        <f t="shared" si="16"/>
        <v>700</v>
      </c>
      <c r="Y61" s="120">
        <f t="shared" si="16"/>
        <v>350</v>
      </c>
      <c r="Z61" s="88"/>
      <c r="AA61" s="89">
        <f t="shared" si="16"/>
        <v>500</v>
      </c>
      <c r="AB61" s="89">
        <f t="shared" ref="AB61:AF61" si="17">SUM(AB31,AB34,AB37,AB40,AB43,AB46,AB49,AB52,AB55,AB58)</f>
        <v>550</v>
      </c>
      <c r="AC61" s="89">
        <f t="shared" si="17"/>
        <v>550</v>
      </c>
      <c r="AD61" s="89">
        <f t="shared" si="17"/>
        <v>550</v>
      </c>
      <c r="AE61" s="121"/>
      <c r="AF61" s="87">
        <f t="shared" si="17"/>
        <v>15</v>
      </c>
      <c r="AG61" s="88"/>
      <c r="AH61" s="134">
        <f>SUM(AH31,AH34,AH37,AH40,AH43,AH46,AH55,AH58)</f>
        <v>10894</v>
      </c>
      <c r="AK61" s="131"/>
    </row>
    <row r="62" spans="1:44">
      <c r="B62" s="74" t="s">
        <v>112</v>
      </c>
      <c r="C62" s="90">
        <f t="shared" ref="C62:F62" si="18">SUM(C32,C35,C38,C41,C44,C47,C50,C53,C56,C59)</f>
        <v>224.62</v>
      </c>
      <c r="D62" s="91">
        <f t="shared" si="18"/>
        <v>161.74</v>
      </c>
      <c r="E62" s="92"/>
      <c r="F62" s="93">
        <f t="shared" si="18"/>
        <v>376.24</v>
      </c>
      <c r="G62" s="93">
        <f t="shared" ref="G62:K62" si="19">SUM(G32,G35,G38,G41,G44,G47,G50,G53,G56,G59)</f>
        <v>536.42000000000007</v>
      </c>
      <c r="H62" s="93">
        <f t="shared" si="19"/>
        <v>468.72</v>
      </c>
      <c r="I62" s="93">
        <f t="shared" si="19"/>
        <v>502.94</v>
      </c>
      <c r="J62" s="93">
        <f t="shared" si="19"/>
        <v>490.18</v>
      </c>
      <c r="K62" s="91">
        <f t="shared" si="19"/>
        <v>337.68</v>
      </c>
      <c r="L62" s="92"/>
      <c r="M62" s="108"/>
      <c r="N62" s="93">
        <f t="shared" ref="N62:T62" si="20">SUM(N32,N35,N38,N41,N44,N47,N50,N53,N56,N59)</f>
        <v>232.60000000000002</v>
      </c>
      <c r="O62" s="93">
        <f t="shared" si="20"/>
        <v>686.06000000000006</v>
      </c>
      <c r="P62" s="93">
        <f t="shared" si="20"/>
        <v>563.92000000000007</v>
      </c>
      <c r="Q62" s="93">
        <f t="shared" si="20"/>
        <v>762.33999999999992</v>
      </c>
      <c r="R62" s="91">
        <f t="shared" si="20"/>
        <v>519.84</v>
      </c>
      <c r="S62" s="92"/>
      <c r="T62" s="93">
        <f t="shared" si="20"/>
        <v>603.9</v>
      </c>
      <c r="U62" s="93">
        <f t="shared" ref="U62:AA62" si="21">SUM(U32,U35,U38,U41,U44,U47,U50,U53,U56,U59)</f>
        <v>400.38</v>
      </c>
      <c r="V62" s="93">
        <f t="shared" si="21"/>
        <v>472.65999999999997</v>
      </c>
      <c r="W62" s="93">
        <f t="shared" si="21"/>
        <v>688.4</v>
      </c>
      <c r="X62" s="93">
        <f t="shared" si="21"/>
        <v>480.6</v>
      </c>
      <c r="Y62" s="122">
        <f t="shared" si="21"/>
        <v>307.2</v>
      </c>
      <c r="Z62" s="92"/>
      <c r="AA62" s="93">
        <f t="shared" si="21"/>
        <v>494.76</v>
      </c>
      <c r="AB62" s="93">
        <f t="shared" ref="AB62:AF62" si="22">SUM(AB32,AB35,AB38,AB41,AB44,AB47,AB50,AB53,AB56,AB59)</f>
        <v>0</v>
      </c>
      <c r="AC62" s="93">
        <f t="shared" si="22"/>
        <v>0</v>
      </c>
      <c r="AD62" s="93">
        <f t="shared" si="22"/>
        <v>0</v>
      </c>
      <c r="AE62" s="123"/>
      <c r="AF62" s="91">
        <f t="shared" si="22"/>
        <v>0</v>
      </c>
      <c r="AG62" s="92"/>
      <c r="AH62" s="130">
        <f>SUM(AH32,AH35,AH38,AH41,AH44,AH47,AH56,AH59)</f>
        <v>9122.4399999999987</v>
      </c>
      <c r="AK62" s="131"/>
    </row>
    <row r="63" spans="1:44">
      <c r="A63" s="94"/>
      <c r="D63" s="95"/>
      <c r="E63" s="96"/>
      <c r="F63" s="94"/>
      <c r="G63" s="94"/>
      <c r="H63" s="94"/>
      <c r="I63" s="94"/>
      <c r="J63" s="94"/>
      <c r="K63" s="95"/>
      <c r="L63" s="96"/>
      <c r="M63" s="109"/>
      <c r="N63" s="94"/>
      <c r="O63" s="94"/>
      <c r="P63" s="94"/>
      <c r="Q63" s="94"/>
      <c r="R63" s="95"/>
      <c r="S63" s="96"/>
      <c r="T63" s="94"/>
      <c r="U63" s="94"/>
      <c r="V63" s="94"/>
      <c r="W63" s="94"/>
      <c r="X63" s="94"/>
      <c r="Y63" s="95"/>
      <c r="Z63" s="96"/>
      <c r="AA63" s="94"/>
      <c r="AB63" s="94"/>
      <c r="AC63" s="94"/>
      <c r="AD63" s="94"/>
      <c r="AE63" s="109"/>
      <c r="AF63" s="95"/>
      <c r="AG63" s="96"/>
      <c r="AI63" s="264"/>
      <c r="AJ63" s="264"/>
      <c r="AK63" s="94"/>
    </row>
    <row r="64" spans="1:44">
      <c r="AI64" s="264"/>
      <c r="AJ64" s="264"/>
      <c r="AK64" s="94"/>
    </row>
    <row r="65" spans="1:44">
      <c r="AI65" s="264"/>
      <c r="AJ65" s="264"/>
      <c r="AK65" s="94"/>
    </row>
    <row r="66" spans="1:44">
      <c r="AI66" s="264"/>
      <c r="AJ66" s="264"/>
      <c r="AK66" s="94"/>
    </row>
    <row r="67" spans="1:44">
      <c r="AI67" s="264"/>
      <c r="AJ67" s="264"/>
      <c r="AK67" s="94"/>
    </row>
    <row r="68" spans="1:44">
      <c r="AI68" s="264"/>
      <c r="AJ68" s="264"/>
      <c r="AK68" s="94"/>
    </row>
    <row r="69" spans="1:44">
      <c r="AI69" s="264"/>
      <c r="AJ69" s="264"/>
      <c r="AK69" s="135"/>
    </row>
    <row r="70" spans="1:44">
      <c r="A70" s="136"/>
      <c r="B70" s="136"/>
      <c r="C70" s="136"/>
      <c r="D70" s="137"/>
      <c r="E70" s="138"/>
      <c r="F70" s="136"/>
      <c r="G70" s="136"/>
      <c r="H70" s="136"/>
      <c r="I70" s="136"/>
      <c r="J70" s="136"/>
      <c r="K70" s="137"/>
      <c r="L70" s="138"/>
      <c r="M70" s="143"/>
      <c r="N70" s="136"/>
      <c r="O70" s="136"/>
      <c r="P70" s="136"/>
      <c r="Q70" s="136"/>
      <c r="R70" s="137"/>
      <c r="S70" s="138"/>
      <c r="T70" s="136"/>
      <c r="U70" s="136"/>
      <c r="V70" s="136"/>
      <c r="W70" s="136"/>
      <c r="X70" s="136"/>
      <c r="Y70" s="137"/>
      <c r="Z70" s="138"/>
      <c r="AA70" s="136"/>
      <c r="AB70" s="136"/>
      <c r="AC70" s="136"/>
      <c r="AD70" s="136"/>
      <c r="AE70" s="143"/>
      <c r="AF70" s="137"/>
      <c r="AG70" s="138"/>
      <c r="AI70" s="264"/>
      <c r="AJ70" s="264"/>
      <c r="AK70" s="94"/>
    </row>
    <row r="72" spans="1:44">
      <c r="A72" s="94"/>
      <c r="B72" s="94"/>
      <c r="C72" s="94"/>
      <c r="D72" s="95"/>
      <c r="E72" s="96"/>
      <c r="F72" s="94"/>
      <c r="G72" s="94"/>
      <c r="H72" s="94"/>
      <c r="I72" s="94"/>
      <c r="J72" s="94"/>
      <c r="K72" s="95"/>
      <c r="L72" s="96"/>
      <c r="M72" s="109"/>
      <c r="N72" s="94"/>
      <c r="O72" s="94"/>
      <c r="P72" s="94"/>
      <c r="Q72" s="94"/>
      <c r="R72" s="95"/>
      <c r="S72" s="96"/>
      <c r="T72" s="94"/>
      <c r="U72" s="94"/>
      <c r="V72" s="94"/>
      <c r="W72" s="94"/>
      <c r="X72" s="94"/>
      <c r="Y72" s="95"/>
      <c r="Z72" s="96"/>
      <c r="AA72" s="94"/>
      <c r="AB72" s="94"/>
      <c r="AC72" s="94"/>
      <c r="AD72" s="94"/>
      <c r="AE72" s="109"/>
      <c r="AF72" s="95"/>
      <c r="AG72" s="96"/>
    </row>
    <row r="73" spans="1:44"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spans="1:44"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 spans="1:44"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 spans="1:44"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 spans="1:44"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 spans="1:44"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 spans="1:44"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 spans="1:44"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 spans="1:44"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 spans="1:44"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 spans="1:44"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 spans="1:44">
      <c r="A84" s="139"/>
      <c r="B84" s="139"/>
      <c r="C84" s="139"/>
      <c r="D84" s="140"/>
      <c r="E84" s="141"/>
      <c r="F84" s="139"/>
      <c r="G84" s="139"/>
      <c r="H84" s="139"/>
      <c r="I84" s="139"/>
      <c r="J84" s="139"/>
      <c r="K84" s="140"/>
      <c r="L84" s="141"/>
      <c r="M84" s="144"/>
      <c r="N84" s="139"/>
      <c r="O84" s="139"/>
      <c r="P84" s="139"/>
      <c r="Q84" s="139"/>
      <c r="R84" s="140"/>
      <c r="S84" s="141"/>
      <c r="T84" s="139"/>
      <c r="U84" s="139"/>
      <c r="V84" s="139"/>
      <c r="W84" s="139"/>
      <c r="X84" s="139"/>
      <c r="Y84" s="140"/>
      <c r="Z84" s="141"/>
      <c r="AA84" s="139"/>
      <c r="AB84" s="139"/>
      <c r="AC84" s="139"/>
      <c r="AD84" s="139"/>
      <c r="AE84" s="144"/>
      <c r="AF84" s="140"/>
      <c r="AG84" s="141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6" spans="1:44"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spans="1:44"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spans="1:44"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spans="1:44">
      <c r="A89" s="142"/>
      <c r="B89" s="142"/>
      <c r="C89" s="142"/>
      <c r="D89" s="140"/>
      <c r="E89" s="141"/>
      <c r="F89" s="142"/>
      <c r="G89" s="142"/>
      <c r="H89" s="142"/>
      <c r="I89" s="142"/>
      <c r="J89" s="142"/>
      <c r="K89" s="140"/>
      <c r="L89" s="141"/>
      <c r="M89" s="144"/>
      <c r="N89" s="142"/>
      <c r="O89" s="142"/>
      <c r="P89" s="142"/>
      <c r="Q89" s="142"/>
      <c r="R89" s="140"/>
      <c r="S89" s="141"/>
      <c r="T89" s="142"/>
      <c r="U89" s="142"/>
      <c r="V89" s="142"/>
      <c r="W89" s="142"/>
      <c r="X89" s="142"/>
      <c r="Y89" s="140"/>
      <c r="Z89" s="141"/>
      <c r="AA89" s="142"/>
      <c r="AB89" s="142"/>
      <c r="AC89" s="142"/>
      <c r="AD89" s="142"/>
      <c r="AE89" s="144"/>
      <c r="AF89" s="140"/>
      <c r="AG89" s="141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</sheetData>
  <mergeCells count="25">
    <mergeCell ref="A49:A51"/>
    <mergeCell ref="A52:A54"/>
    <mergeCell ref="A55:A57"/>
    <mergeCell ref="A58:A60"/>
    <mergeCell ref="AI68:AJ68"/>
    <mergeCell ref="AI69:AJ69"/>
    <mergeCell ref="AI70:AJ70"/>
    <mergeCell ref="A3:A5"/>
    <mergeCell ref="A6:A8"/>
    <mergeCell ref="A9:A11"/>
    <mergeCell ref="A12:A14"/>
    <mergeCell ref="A15:A17"/>
    <mergeCell ref="A18:A20"/>
    <mergeCell ref="A21:A23"/>
    <mergeCell ref="A31:A33"/>
    <mergeCell ref="A34:A36"/>
    <mergeCell ref="A37:A39"/>
    <mergeCell ref="A40:A42"/>
    <mergeCell ref="A43:A45"/>
    <mergeCell ref="A46:A48"/>
    <mergeCell ref="AI63:AJ63"/>
    <mergeCell ref="AI64:AJ64"/>
    <mergeCell ref="AI65:AJ65"/>
    <mergeCell ref="AI66:AJ66"/>
    <mergeCell ref="AI67:AJ67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14" sqref="F14"/>
    </sheetView>
  </sheetViews>
  <sheetFormatPr defaultColWidth="9.140625" defaultRowHeight="15"/>
  <cols>
    <col min="1" max="1" width="15.42578125" style="28" customWidth="1"/>
    <col min="2" max="2" width="33.85546875" style="28" customWidth="1"/>
    <col min="3" max="3" width="7.7109375" style="28" customWidth="1"/>
    <col min="4" max="4" width="7.7109375" style="42" customWidth="1"/>
    <col min="5" max="5" width="7.7109375" style="43" customWidth="1"/>
    <col min="6" max="10" width="7.7109375" style="28" customWidth="1"/>
    <col min="11" max="11" width="7.7109375" style="42" customWidth="1"/>
    <col min="12" max="12" width="7.7109375" style="43" customWidth="1"/>
    <col min="13" max="13" width="7.7109375" style="44" customWidth="1"/>
    <col min="14" max="17" width="7.7109375" style="28" customWidth="1"/>
    <col min="18" max="18" width="7.7109375" style="42" customWidth="1"/>
    <col min="19" max="19" width="7.7109375" style="43" customWidth="1"/>
    <col min="20" max="24" width="7.7109375" style="28" customWidth="1"/>
    <col min="25" max="25" width="7.7109375" style="42" customWidth="1"/>
    <col min="26" max="26" width="7.7109375" style="43" customWidth="1"/>
    <col min="27" max="30" width="7.7109375" style="28" customWidth="1"/>
    <col min="31" max="31" width="7.7109375" style="44" customWidth="1"/>
    <col min="32" max="32" width="7.7109375" style="42" customWidth="1"/>
    <col min="33" max="33" width="7.7109375" style="43" customWidth="1"/>
    <col min="34" max="35" width="11.7109375" style="45" customWidth="1"/>
    <col min="36" max="36" width="13.42578125" style="45" customWidth="1"/>
    <col min="37" max="44" width="11.7109375" style="45" customWidth="1"/>
    <col min="45" max="16384" width="9.140625" style="28"/>
  </cols>
  <sheetData>
    <row r="1" spans="1:44" ht="41.45" customHeight="1">
      <c r="A1" s="46" t="s">
        <v>128</v>
      </c>
      <c r="D1" s="47"/>
      <c r="E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44" ht="30" customHeight="1">
      <c r="A2" s="48" t="s">
        <v>7</v>
      </c>
      <c r="B2" s="49" t="s">
        <v>8</v>
      </c>
      <c r="C2" s="50">
        <v>45352</v>
      </c>
      <c r="D2" s="51">
        <v>45353</v>
      </c>
      <c r="E2" s="52">
        <v>45354</v>
      </c>
      <c r="F2" s="50">
        <v>45355</v>
      </c>
      <c r="G2" s="50">
        <v>45356</v>
      </c>
      <c r="H2" s="50">
        <v>45357</v>
      </c>
      <c r="I2" s="50">
        <v>45358</v>
      </c>
      <c r="J2" s="50">
        <v>45359</v>
      </c>
      <c r="K2" s="51">
        <v>45360</v>
      </c>
      <c r="L2" s="52">
        <v>45361</v>
      </c>
      <c r="M2" s="97">
        <v>45362</v>
      </c>
      <c r="N2" s="50">
        <v>45363</v>
      </c>
      <c r="O2" s="50">
        <v>45364</v>
      </c>
      <c r="P2" s="50">
        <v>45365</v>
      </c>
      <c r="Q2" s="50">
        <v>45366</v>
      </c>
      <c r="R2" s="51">
        <v>45367</v>
      </c>
      <c r="S2" s="52">
        <v>45368</v>
      </c>
      <c r="T2" s="50">
        <v>45369</v>
      </c>
      <c r="U2" s="50">
        <v>45370</v>
      </c>
      <c r="V2" s="50">
        <v>45371</v>
      </c>
      <c r="W2" s="50">
        <v>45372</v>
      </c>
      <c r="X2" s="50">
        <v>45373</v>
      </c>
      <c r="Y2" s="51">
        <v>45374</v>
      </c>
      <c r="Z2" s="52">
        <v>45375</v>
      </c>
      <c r="AA2" s="50">
        <v>45376</v>
      </c>
      <c r="AB2" s="50">
        <v>45377</v>
      </c>
      <c r="AC2" s="50">
        <v>45378</v>
      </c>
      <c r="AD2" s="50">
        <v>45379</v>
      </c>
      <c r="AE2" s="97">
        <v>45380</v>
      </c>
      <c r="AF2" s="51">
        <v>45381</v>
      </c>
      <c r="AG2" s="52">
        <v>45382</v>
      </c>
      <c r="AH2" s="124" t="s">
        <v>9</v>
      </c>
      <c r="AI2" s="94"/>
      <c r="AJ2" s="125"/>
      <c r="AK2" s="94"/>
      <c r="AL2" s="94"/>
      <c r="AM2" s="94"/>
      <c r="AN2" s="94"/>
      <c r="AO2" s="94"/>
      <c r="AP2" s="94"/>
      <c r="AQ2" s="94"/>
      <c r="AR2" s="94"/>
    </row>
    <row r="3" spans="1:44">
      <c r="A3" s="338">
        <v>0.08</v>
      </c>
      <c r="B3" s="53" t="s">
        <v>129</v>
      </c>
      <c r="C3" s="54">
        <v>386</v>
      </c>
      <c r="D3" s="55">
        <v>216</v>
      </c>
      <c r="E3" s="56"/>
      <c r="F3" s="54">
        <v>386</v>
      </c>
      <c r="G3" s="54">
        <v>386</v>
      </c>
      <c r="H3" s="54">
        <v>386</v>
      </c>
      <c r="I3" s="54">
        <v>386</v>
      </c>
      <c r="J3" s="54">
        <v>386</v>
      </c>
      <c r="K3" s="55">
        <v>216</v>
      </c>
      <c r="L3" s="56"/>
      <c r="M3" s="98"/>
      <c r="N3" s="54">
        <v>386</v>
      </c>
      <c r="O3" s="54">
        <v>386</v>
      </c>
      <c r="P3" s="54">
        <v>386</v>
      </c>
      <c r="Q3" s="54">
        <v>386</v>
      </c>
      <c r="R3" s="55">
        <v>216</v>
      </c>
      <c r="S3" s="56"/>
      <c r="T3" s="54">
        <v>428</v>
      </c>
      <c r="U3" s="54">
        <v>428</v>
      </c>
      <c r="V3" s="54">
        <v>428</v>
      </c>
      <c r="W3" s="54">
        <v>428</v>
      </c>
      <c r="X3" s="54">
        <v>428</v>
      </c>
      <c r="Y3" s="55">
        <v>258</v>
      </c>
      <c r="Z3" s="56"/>
      <c r="AA3" s="54">
        <v>428</v>
      </c>
      <c r="AB3" s="54">
        <v>428</v>
      </c>
      <c r="AC3" s="54">
        <v>428</v>
      </c>
      <c r="AD3" s="54">
        <v>428</v>
      </c>
      <c r="AE3" s="98">
        <v>0</v>
      </c>
      <c r="AF3" s="55">
        <v>0</v>
      </c>
      <c r="AG3" s="56">
        <v>0</v>
      </c>
      <c r="AH3" s="126">
        <f t="shared" ref="AH3:AH7" si="0">SUM(C3:AG3)</f>
        <v>8618</v>
      </c>
      <c r="AI3" s="94"/>
      <c r="AJ3" s="125"/>
      <c r="AK3" s="94"/>
      <c r="AL3" s="94"/>
      <c r="AM3" s="94"/>
      <c r="AN3" s="94"/>
      <c r="AO3" s="94"/>
      <c r="AP3" s="94"/>
      <c r="AQ3" s="94"/>
      <c r="AR3" s="94"/>
    </row>
    <row r="4" spans="1:44">
      <c r="A4" s="339"/>
      <c r="B4" s="57" t="s">
        <v>15</v>
      </c>
      <c r="C4" s="58">
        <f>SUMIFS('伸线wire drawing'!$J$7:$J$1000,'伸线wire drawing'!$E$7:$E$1000,'04'!$A$3,'伸线wire drawing'!$A$7:$A$1000,'04'!C$2)</f>
        <v>464.0057748480001</v>
      </c>
      <c r="D4" s="59">
        <f>SUMIFS('伸线wire drawing'!$J$7:$J$1000,'伸线wire drawing'!$E$7:$E$1000,'04'!$A$3,'伸线wire drawing'!$A$7:$A$1000,'04'!D$2)</f>
        <v>250.22401662720003</v>
      </c>
      <c r="E4" s="60"/>
      <c r="F4" s="58">
        <f>SUMIFS('伸线wire drawing'!$J$7:$J$1000,'伸线wire drawing'!$E$7:$E$1000,'04'!$A$3,'伸线wire drawing'!$A$7:$A$1000,'04'!F$2)</f>
        <v>474.88566343680003</v>
      </c>
      <c r="G4" s="58">
        <f>SUMIFS('伸线wire drawing'!$J$7:$J$1000,'伸线wire drawing'!$E$7:$E$1000,'04'!$A$3,'伸线wire drawing'!$A$7:$A$1000,'04'!G$2)</f>
        <v>457.30426452480003</v>
      </c>
      <c r="H4" s="58">
        <f>SUMIFS('伸线wire drawing'!$J$7:$J$1000,'伸线wire drawing'!$E$7:$E$1000,'04'!$A$3,'伸线wire drawing'!$A$7:$A$1000,'04'!H$2)</f>
        <v>505.00219714560006</v>
      </c>
      <c r="I4" s="58">
        <f>SUMIFS('伸线wire drawing'!$J$7:$J$1000,'伸线wire drawing'!$E$7:$E$1000,'04'!$A$3,'伸线wire drawing'!$A$7:$A$1000,'04'!I$2)</f>
        <v>519.95309667840002</v>
      </c>
      <c r="J4" s="58">
        <f>SUMIFS('伸线wire drawing'!$J$7:$J$1000,'伸线wire drawing'!$E$7:$E$1000,'04'!$A$3,'伸线wire drawing'!$A$7:$A$1000,'04'!J$2)</f>
        <v>471.49017189120002</v>
      </c>
      <c r="K4" s="59">
        <f>SUMIFS('伸线wire drawing'!$J$7:$J$1000,'伸线wire drawing'!$E$7:$E$1000,'04'!$A$3,'伸线wire drawing'!$A$7:$A$1000,'04'!K$2)</f>
        <v>268.96408788480005</v>
      </c>
      <c r="L4" s="60"/>
      <c r="M4" s="99"/>
      <c r="N4" s="58">
        <f>SUMIFS('伸线wire drawing'!$J$7:$J$1000,'伸线wire drawing'!$E$7:$E$1000,'04'!$A$3,'伸线wire drawing'!$A$7:$A$1000,'04'!N$2)</f>
        <v>472.73831700480002</v>
      </c>
      <c r="O4" s="58">
        <f>SUMIFS('伸线wire drawing'!$J$7:$J$1000,'伸线wire drawing'!$E$7:$E$1000,'04'!$A$3,'伸线wire drawing'!$A$7:$A$1000,'04'!O$2)</f>
        <v>497.75937657600008</v>
      </c>
      <c r="P4" s="58">
        <f>SUMIFS('伸线wire drawing'!$J$7:$J$1000,'伸线wire drawing'!$E$7:$E$1000,'04'!$A$3,'伸线wire drawing'!$A$7:$A$1000,'04'!P$2)</f>
        <v>491.76917475840003</v>
      </c>
      <c r="Q4" s="58">
        <f>SUMIFS('伸线wire drawing'!$J$7:$J$1000,'伸线wire drawing'!$E$7:$E$1000,'04'!$A$3,'伸线wire drawing'!$A$7:$A$1000,'04'!Q$2)</f>
        <v>447.45778640640009</v>
      </c>
      <c r="R4" s="59">
        <f>SUMIFS('伸线wire drawing'!$J$7:$J$1000,'伸线wire drawing'!$E$7:$E$1000,'04'!$A$3,'伸线wire drawing'!$A$7:$A$1000,'04'!R$2)</f>
        <v>296.75880326400005</v>
      </c>
      <c r="S4" s="60"/>
      <c r="T4" s="58">
        <f>SUMIFS('伸线wire drawing'!$J$7:$J$1000,'伸线wire drawing'!$E$7:$E$1000,'04'!$A$3,'伸线wire drawing'!$A$7:$A$1000,'04'!T$2)</f>
        <v>451.94037208320009</v>
      </c>
      <c r="U4" s="58">
        <f>SUMIFS('伸线wire drawing'!$J$7:$J$1000,'伸线wire drawing'!$E$7:$E$1000,'04'!$A$3,'伸线wire drawing'!$A$7:$A$1000,'04'!U$2)</f>
        <v>262.24468300800004</v>
      </c>
      <c r="V4" s="58">
        <f>SUMIFS('伸线wire drawing'!$J$7:$J$1000,'伸线wire drawing'!$E$7:$E$1000,'04'!$A$3,'伸线wire drawing'!$A$7:$A$1000,'04'!V$2)</f>
        <v>410.81421427200002</v>
      </c>
      <c r="W4" s="58">
        <f>SUMIFS('伸线wire drawing'!$J$7:$J$1000,'伸线wire drawing'!$E$7:$E$1000,'04'!$A$3,'伸线wire drawing'!$A$7:$A$1000,'04'!W$2)</f>
        <v>496.54254693119998</v>
      </c>
      <c r="X4" s="58">
        <f>SUMIFS('伸线wire drawing'!$J$7:$J$1000,'伸线wire drawing'!$E$7:$E$1000,'04'!$A$3,'伸线wire drawing'!$A$7:$A$1000,'04'!X$2)</f>
        <v>452.84852067840006</v>
      </c>
      <c r="Y4" s="59">
        <f>SUMIFS('伸线wire drawing'!$J$7:$J$1000,'伸线wire drawing'!$E$7:$E$1000,'04'!$A$3,'伸线wire drawing'!$A$7:$A$1000,'04'!Y$2)</f>
        <v>273.67930275840001</v>
      </c>
      <c r="Z4" s="60"/>
      <c r="AA4" s="58">
        <f>SUMIFS('伸线wire drawing'!$J$7:$J$1000,'伸线wire drawing'!$E$7:$E$1000,'04'!$A$3,'伸线wire drawing'!$A$7:$A$1000,'04'!AA$2)</f>
        <v>246.56458041600004</v>
      </c>
      <c r="AB4" s="58">
        <f>SUMIFS('伸线wire drawing'!$J$7:$J$1000,'伸线wire drawing'!$E$7:$E$1000,'04'!$A$3,'伸线wire drawing'!$A$7:$A$1000,'04'!AB$2)</f>
        <v>0</v>
      </c>
      <c r="AC4" s="58">
        <f>SUMIFS('伸线wire drawing'!$J$7:$J$1000,'伸线wire drawing'!$E$7:$E$1000,'04'!$A$3,'伸线wire drawing'!$A$7:$A$1000,'04'!AC$2)</f>
        <v>0</v>
      </c>
      <c r="AD4" s="58">
        <f>SUMIFS('伸线wire drawing'!$J$7:$J$1000,'伸线wire drawing'!$E$7:$E$1000,'04'!$A$3,'伸线wire drawing'!$A$7:$A$1000,'04'!AD$2)</f>
        <v>0</v>
      </c>
      <c r="AE4" s="110"/>
      <c r="AF4" s="59"/>
      <c r="AG4" s="60"/>
      <c r="AH4" s="127">
        <f t="shared" si="0"/>
        <v>8212.9469511936004</v>
      </c>
      <c r="AI4" s="94"/>
      <c r="AJ4" s="125"/>
      <c r="AK4" s="94"/>
      <c r="AL4" s="94"/>
      <c r="AM4" s="94"/>
      <c r="AN4" s="94"/>
      <c r="AO4" s="94"/>
      <c r="AP4" s="94"/>
      <c r="AQ4" s="94"/>
      <c r="AR4" s="94"/>
    </row>
    <row r="5" spans="1:44">
      <c r="A5" s="340"/>
      <c r="B5" s="57" t="s">
        <v>110</v>
      </c>
      <c r="C5" s="58">
        <f>C4-C3</f>
        <v>78.005774848000101</v>
      </c>
      <c r="D5" s="59">
        <f t="shared" ref="D5:K5" si="1">C5+(D4-D3)</f>
        <v>112.22979147520013</v>
      </c>
      <c r="E5" s="61"/>
      <c r="F5" s="58">
        <f>D5+(F4-F3)</f>
        <v>201.11545491200016</v>
      </c>
      <c r="G5" s="58">
        <f t="shared" si="1"/>
        <v>272.41971943680016</v>
      </c>
      <c r="H5" s="58">
        <f t="shared" si="1"/>
        <v>391.42191658240023</v>
      </c>
      <c r="I5" s="58">
        <f t="shared" si="1"/>
        <v>525.37501326080019</v>
      </c>
      <c r="J5" s="58">
        <f t="shared" si="1"/>
        <v>610.86518515200021</v>
      </c>
      <c r="K5" s="59">
        <f t="shared" si="1"/>
        <v>663.82927303680026</v>
      </c>
      <c r="L5" s="61"/>
      <c r="M5" s="100"/>
      <c r="N5" s="58">
        <f>K5+(N4-N3)</f>
        <v>750.56759004160028</v>
      </c>
      <c r="O5" s="58">
        <f t="shared" ref="O5:R5" si="2">N5+(O4-O3)</f>
        <v>862.32696661760042</v>
      </c>
      <c r="P5" s="58">
        <f t="shared" si="2"/>
        <v>968.09614137600045</v>
      </c>
      <c r="Q5" s="58">
        <f t="shared" si="2"/>
        <v>1029.5539277824005</v>
      </c>
      <c r="R5" s="59">
        <f t="shared" si="2"/>
        <v>1110.3127310464006</v>
      </c>
      <c r="S5" s="61"/>
      <c r="T5" s="58">
        <f>R5+(T4-T3)</f>
        <v>1134.2531031296007</v>
      </c>
      <c r="U5" s="58">
        <f t="shared" ref="U5:Y5" si="3">T5+(U4-U3)</f>
        <v>968.49778613760077</v>
      </c>
      <c r="V5" s="58">
        <f t="shared" si="3"/>
        <v>951.31200040960084</v>
      </c>
      <c r="W5" s="58">
        <f t="shared" si="3"/>
        <v>1019.8545473408008</v>
      </c>
      <c r="X5" s="58">
        <f t="shared" si="3"/>
        <v>1044.7030680192008</v>
      </c>
      <c r="Y5" s="59">
        <f t="shared" si="3"/>
        <v>1060.382370777601</v>
      </c>
      <c r="Z5" s="61"/>
      <c r="AA5" s="58">
        <f>Y5+(AA4-AA3)</f>
        <v>878.94695119360097</v>
      </c>
      <c r="AB5" s="58">
        <f t="shared" ref="AB5:AD5" si="4">AA5+(AB4-AB3)</f>
        <v>450.94695119360097</v>
      </c>
      <c r="AC5" s="58">
        <f t="shared" si="4"/>
        <v>22.946951193600967</v>
      </c>
      <c r="AD5" s="58">
        <f t="shared" si="4"/>
        <v>-405.05304880639903</v>
      </c>
      <c r="AE5" s="111"/>
      <c r="AF5" s="59">
        <f>AE5+(AF4-AF3)</f>
        <v>0</v>
      </c>
      <c r="AG5" s="61">
        <v>0</v>
      </c>
      <c r="AH5" s="127">
        <v>0</v>
      </c>
      <c r="AI5" s="94"/>
      <c r="AJ5" s="125"/>
      <c r="AK5" s="94"/>
      <c r="AL5" s="94"/>
      <c r="AM5" s="94"/>
      <c r="AN5" s="94"/>
      <c r="AO5" s="94"/>
      <c r="AP5" s="94"/>
      <c r="AQ5" s="94"/>
      <c r="AR5" s="94"/>
    </row>
    <row r="6" spans="1:44">
      <c r="A6" s="341">
        <v>0.16</v>
      </c>
      <c r="B6" s="62" t="s">
        <v>129</v>
      </c>
      <c r="C6" s="63">
        <v>0</v>
      </c>
      <c r="D6" s="59">
        <v>0</v>
      </c>
      <c r="E6" s="61"/>
      <c r="F6" s="63">
        <v>0</v>
      </c>
      <c r="G6" s="63">
        <v>100</v>
      </c>
      <c r="H6" s="63">
        <v>100</v>
      </c>
      <c r="I6" s="63">
        <v>100</v>
      </c>
      <c r="J6" s="63">
        <v>100</v>
      </c>
      <c r="K6" s="59">
        <v>50</v>
      </c>
      <c r="L6" s="61"/>
      <c r="M6" s="100"/>
      <c r="N6" s="63">
        <v>100</v>
      </c>
      <c r="O6" s="63">
        <v>100</v>
      </c>
      <c r="P6" s="63">
        <v>100</v>
      </c>
      <c r="Q6" s="63">
        <v>100</v>
      </c>
      <c r="R6" s="59">
        <v>50</v>
      </c>
      <c r="S6" s="61"/>
      <c r="T6" s="63">
        <v>100</v>
      </c>
      <c r="U6" s="63">
        <v>100</v>
      </c>
      <c r="V6" s="63">
        <v>100</v>
      </c>
      <c r="W6" s="63">
        <v>100</v>
      </c>
      <c r="X6" s="63">
        <v>100</v>
      </c>
      <c r="Y6" s="59">
        <v>50</v>
      </c>
      <c r="Z6" s="61"/>
      <c r="AA6" s="63">
        <v>0</v>
      </c>
      <c r="AB6" s="63">
        <v>0</v>
      </c>
      <c r="AC6" s="63">
        <v>0</v>
      </c>
      <c r="AD6" s="63">
        <v>0</v>
      </c>
      <c r="AE6" s="111"/>
      <c r="AF6" s="112">
        <v>0</v>
      </c>
      <c r="AG6" s="61">
        <v>0</v>
      </c>
      <c r="AH6" s="128">
        <f t="shared" si="0"/>
        <v>1450</v>
      </c>
      <c r="AI6" s="94"/>
      <c r="AJ6" s="125"/>
      <c r="AK6" s="94"/>
      <c r="AL6" s="94"/>
      <c r="AM6" s="94"/>
      <c r="AN6" s="94"/>
      <c r="AO6" s="94"/>
      <c r="AP6" s="94"/>
      <c r="AQ6" s="94"/>
      <c r="AR6" s="94"/>
    </row>
    <row r="7" spans="1:44">
      <c r="A7" s="339"/>
      <c r="B7" s="57" t="s">
        <v>15</v>
      </c>
      <c r="C7" s="58">
        <f>SUMIFS('伸线wire drawing'!$J$7:$J$1000,'伸线wire drawing'!$E$7:$E$1000,'04'!$A$6,'伸线wire drawing'!$A$7:$A$1000,'04'!C$2)</f>
        <v>0</v>
      </c>
      <c r="D7" s="59">
        <f>SUMIFS('伸线wire drawing'!$J$7:$J$1000,'伸线wire drawing'!$E$7:$E$1000,'04'!$A$6,'伸线wire drawing'!$A$7:$A$1000,'04'!D$2)</f>
        <v>0</v>
      </c>
      <c r="E7" s="61"/>
      <c r="F7" s="58">
        <f>SUMIFS('伸线wire drawing'!$J$7:$J$1000,'伸线wire drawing'!$E$7:$E$1000,'04'!$A$6,'伸线wire drawing'!$A$7:$A$1000,'04'!F$2)</f>
        <v>0</v>
      </c>
      <c r="G7" s="58">
        <f>SUMIFS('伸线wire drawing'!$J$7:$J$1000,'伸线wire drawing'!$E$7:$E$1000,'04'!$A$6,'伸线wire drawing'!$A$7:$A$1000,'04'!G$2)</f>
        <v>119.177726976</v>
      </c>
      <c r="H7" s="58">
        <f>SUMIFS('伸线wire drawing'!$J$7:$J$1000,'伸线wire drawing'!$E$7:$E$1000,'04'!$A$6,'伸线wire drawing'!$A$7:$A$1000,'04'!H$2)</f>
        <v>138.41437209599999</v>
      </c>
      <c r="I7" s="58">
        <f>SUMIFS('伸线wire drawing'!$J$7:$J$1000,'伸线wire drawing'!$E$7:$E$1000,'04'!$A$6,'伸线wire drawing'!$A$7:$A$1000,'04'!I$2)</f>
        <v>107.36732160000001</v>
      </c>
      <c r="J7" s="58">
        <f>SUMIFS('伸线wire drawing'!$J$7:$J$1000,'伸线wire drawing'!$E$7:$E$1000,'04'!$A$6,'伸线wire drawing'!$A$7:$A$1000,'04'!J$2)</f>
        <v>144.85641139200001</v>
      </c>
      <c r="K7" s="59">
        <f>SUMIFS('伸线wire drawing'!$J$7:$J$1000,'伸线wire drawing'!$E$7:$E$1000,'04'!$A$6,'伸线wire drawing'!$A$7:$A$1000,'04'!K$2)</f>
        <v>0</v>
      </c>
      <c r="L7" s="61"/>
      <c r="M7" s="100"/>
      <c r="N7" s="58">
        <f>SUMIFS('伸线wire drawing'!$J$7:$J$1000,'伸线wire drawing'!$E$7:$E$1000,'04'!$A$6,'伸线wire drawing'!$A$7:$A$1000,'04'!N$2)</f>
        <v>49.800542668800006</v>
      </c>
      <c r="O7" s="58">
        <f>SUMIFS('伸线wire drawing'!$J$7:$J$1000,'伸线wire drawing'!$E$7:$E$1000,'04'!$A$6,'伸线wire drawing'!$A$7:$A$1000,'04'!O$2)</f>
        <v>134.15546833920001</v>
      </c>
      <c r="P7" s="58">
        <f>SUMIFS('伸线wire drawing'!$J$7:$J$1000,'伸线wire drawing'!$E$7:$E$1000,'04'!$A$6,'伸线wire drawing'!$A$7:$A$1000,'04'!P$2)</f>
        <v>166.06145740800002</v>
      </c>
      <c r="Q7" s="58">
        <f>SUMIFS('伸线wire drawing'!$J$7:$J$1000,'伸线wire drawing'!$E$7:$E$1000,'04'!$A$6,'伸线wire drawing'!$A$7:$A$1000,'04'!Q$2)</f>
        <v>147.32585978880002</v>
      </c>
      <c r="R7" s="59">
        <f>SUMIFS('伸线wire drawing'!$J$7:$J$1000,'伸线wire drawing'!$E$7:$E$1000,'04'!$A$6,'伸线wire drawing'!$A$7:$A$1000,'04'!R$2)</f>
        <v>148.54268943360003</v>
      </c>
      <c r="S7" s="61"/>
      <c r="T7" s="58">
        <f>SUMIFS('伸线wire drawing'!$J$7:$J$1000,'伸线wire drawing'!$E$7:$E$1000,'04'!$A$6,'伸线wire drawing'!$A$7:$A$1000,'04'!T$2)</f>
        <v>186.10335744000002</v>
      </c>
      <c r="U7" s="58">
        <f>SUMIFS('伸线wire drawing'!$J$7:$J$1000,'伸线wire drawing'!$E$7:$E$1000,'04'!$A$6,'伸线wire drawing'!$A$7:$A$1000,'04'!U$2)</f>
        <v>73.367669759999998</v>
      </c>
      <c r="V7" s="58">
        <f>SUMIFS('伸线wire drawing'!$J$7:$J$1000,'伸线wire drawing'!$E$7:$E$1000,'04'!$A$6,'伸线wire drawing'!$A$7:$A$1000,'04'!V$2)</f>
        <v>42.05220096</v>
      </c>
      <c r="W7" s="58">
        <f>SUMIFS('伸线wire drawing'!$J$7:$J$1000,'伸线wire drawing'!$E$7:$E$1000,'04'!$A$6,'伸线wire drawing'!$A$7:$A$1000,'04'!W$2)</f>
        <v>0</v>
      </c>
      <c r="X7" s="58">
        <f>SUMIFS('伸线wire drawing'!$J$7:$J$1000,'伸线wire drawing'!$E$7:$E$1000,'04'!$A$6,'伸线wire drawing'!$A$7:$A$1000,'04'!X$2)</f>
        <v>0</v>
      </c>
      <c r="Y7" s="59">
        <f>SUMIFS('伸线wire drawing'!$J$7:$J$1000,'伸线wire drawing'!$E$7:$E$1000,'04'!$A$6,'伸线wire drawing'!$A$7:$A$1000,'04'!Y$2)</f>
        <v>0</v>
      </c>
      <c r="Z7" s="61"/>
      <c r="AA7" s="58">
        <f>SUMIFS('伸线wire drawing'!$J$7:$J$1000,'伸线wire drawing'!$E$7:$E$1000,'04'!$A$6,'伸线wire drawing'!$A$7:$A$1000,'04'!AA$2)</f>
        <v>0</v>
      </c>
      <c r="AB7" s="58">
        <f>SUMIFS('伸线wire drawing'!$J$7:$J$1000,'伸线wire drawing'!$E$7:$E$1000,'04'!$A$6,'伸线wire drawing'!$A$7:$A$1000,'04'!AB$2)</f>
        <v>0</v>
      </c>
      <c r="AC7" s="58">
        <f>SUMIFS('伸线wire drawing'!$J$7:$J$1000,'伸线wire drawing'!$E$7:$E$1000,'04'!$A$6,'伸线wire drawing'!$A$7:$A$1000,'04'!AC$2)</f>
        <v>0</v>
      </c>
      <c r="AD7" s="58">
        <f>SUMIFS('伸线wire drawing'!$J$7:$J$1000,'伸线wire drawing'!$E$7:$E$1000,'04'!$A$6,'伸线wire drawing'!$A$7:$A$1000,'04'!AD$2)</f>
        <v>0</v>
      </c>
      <c r="AE7" s="111"/>
      <c r="AF7" s="112"/>
      <c r="AG7" s="61"/>
      <c r="AH7" s="127">
        <f t="shared" si="0"/>
        <v>1457.2250778624002</v>
      </c>
      <c r="AI7" s="94"/>
      <c r="AJ7" s="125"/>
      <c r="AK7" s="94"/>
      <c r="AL7" s="94"/>
      <c r="AM7" s="94"/>
      <c r="AN7" s="94"/>
      <c r="AO7" s="94"/>
      <c r="AP7" s="94"/>
      <c r="AQ7" s="94"/>
      <c r="AR7" s="94"/>
    </row>
    <row r="8" spans="1:44">
      <c r="A8" s="340"/>
      <c r="B8" s="57" t="s">
        <v>110</v>
      </c>
      <c r="C8" s="58">
        <f>C7-C6</f>
        <v>0</v>
      </c>
      <c r="D8" s="59">
        <f t="shared" ref="D8:K8" si="5">C8+(D7-D6)</f>
        <v>0</v>
      </c>
      <c r="E8" s="61"/>
      <c r="F8" s="58">
        <f>D8+(F7-F6)</f>
        <v>0</v>
      </c>
      <c r="G8" s="58">
        <f t="shared" si="5"/>
        <v>19.177726976000002</v>
      </c>
      <c r="H8" s="58">
        <f t="shared" si="5"/>
        <v>57.592099071999996</v>
      </c>
      <c r="I8" s="58">
        <f t="shared" si="5"/>
        <v>64.959420672000007</v>
      </c>
      <c r="J8" s="58">
        <f t="shared" si="5"/>
        <v>109.81583206400002</v>
      </c>
      <c r="K8" s="59">
        <f t="shared" si="5"/>
        <v>59.81583206400002</v>
      </c>
      <c r="L8" s="61"/>
      <c r="M8" s="100"/>
      <c r="N8" s="58">
        <f>K8+(N7-N6)</f>
        <v>9.6163747328000255</v>
      </c>
      <c r="O8" s="58">
        <f t="shared" ref="O8:R8" si="6">N8+(O7-O6)</f>
        <v>43.771843072000038</v>
      </c>
      <c r="P8" s="58">
        <f t="shared" si="6"/>
        <v>109.83330048000006</v>
      </c>
      <c r="Q8" s="58">
        <f t="shared" si="6"/>
        <v>157.15916026880006</v>
      </c>
      <c r="R8" s="59">
        <f t="shared" si="6"/>
        <v>255.7018497024001</v>
      </c>
      <c r="S8" s="61"/>
      <c r="T8" s="58">
        <f>R8+(T7-T6)</f>
        <v>341.80520714240015</v>
      </c>
      <c r="U8" s="58">
        <f t="shared" ref="U8:Y8" si="7">T8+(U7-U6)</f>
        <v>315.17287690240016</v>
      </c>
      <c r="V8" s="58">
        <f t="shared" si="7"/>
        <v>257.22507786240016</v>
      </c>
      <c r="W8" s="58">
        <f t="shared" si="7"/>
        <v>157.22507786240016</v>
      </c>
      <c r="X8" s="58">
        <f t="shared" si="7"/>
        <v>57.225077862400155</v>
      </c>
      <c r="Y8" s="59">
        <f t="shared" si="7"/>
        <v>7.2250778624001555</v>
      </c>
      <c r="Z8" s="61"/>
      <c r="AA8" s="58">
        <f>Y8+(AA7-AA6)</f>
        <v>7.2250778624001555</v>
      </c>
      <c r="AB8" s="58">
        <f t="shared" ref="AB8:AD8" si="8">AA8+(AB7-AB6)</f>
        <v>7.2250778624001555</v>
      </c>
      <c r="AC8" s="58">
        <f t="shared" si="8"/>
        <v>7.2250778624001555</v>
      </c>
      <c r="AD8" s="58">
        <f t="shared" si="8"/>
        <v>7.2250778624001555</v>
      </c>
      <c r="AE8" s="111"/>
      <c r="AF8" s="112">
        <f>AE8+(AF7-AF6)</f>
        <v>0</v>
      </c>
      <c r="AG8" s="61">
        <f>AF8+(AG7-AG6)</f>
        <v>0</v>
      </c>
      <c r="AH8" s="127"/>
      <c r="AI8" s="94"/>
      <c r="AJ8" s="125"/>
      <c r="AK8" s="94"/>
      <c r="AL8" s="94"/>
      <c r="AM8" s="94"/>
      <c r="AN8" s="94"/>
      <c r="AO8" s="94"/>
      <c r="AP8" s="94"/>
      <c r="AQ8" s="94"/>
      <c r="AR8" s="94"/>
    </row>
    <row r="9" spans="1:44">
      <c r="A9" s="341">
        <v>0.127</v>
      </c>
      <c r="B9" s="62" t="s">
        <v>129</v>
      </c>
      <c r="C9" s="64">
        <v>0</v>
      </c>
      <c r="D9" s="65">
        <v>0</v>
      </c>
      <c r="E9" s="66"/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5">
        <v>0</v>
      </c>
      <c r="L9" s="66"/>
      <c r="M9" s="101"/>
      <c r="N9" s="64">
        <v>0</v>
      </c>
      <c r="O9" s="64">
        <v>0</v>
      </c>
      <c r="P9" s="64">
        <v>0</v>
      </c>
      <c r="Q9" s="64">
        <v>0</v>
      </c>
      <c r="R9" s="65">
        <v>0</v>
      </c>
      <c r="S9" s="66"/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5">
        <v>0</v>
      </c>
      <c r="Z9" s="66"/>
      <c r="AA9" s="64">
        <v>0</v>
      </c>
      <c r="AB9" s="64">
        <v>0</v>
      </c>
      <c r="AC9" s="64">
        <v>0</v>
      </c>
      <c r="AD9" s="64">
        <v>0</v>
      </c>
      <c r="AE9" s="113"/>
      <c r="AF9" s="114">
        <v>0</v>
      </c>
      <c r="AG9" s="66">
        <v>0</v>
      </c>
      <c r="AH9" s="128">
        <f t="shared" ref="AH9:AH13" si="9">SUM(C9:AG9)</f>
        <v>0</v>
      </c>
      <c r="AI9" s="94"/>
      <c r="AJ9" s="125"/>
      <c r="AK9" s="94"/>
      <c r="AL9" s="94"/>
      <c r="AM9" s="94"/>
      <c r="AN9" s="94"/>
      <c r="AO9" s="94"/>
      <c r="AP9" s="94"/>
      <c r="AQ9" s="94"/>
      <c r="AR9" s="94"/>
    </row>
    <row r="10" spans="1:44">
      <c r="A10" s="339"/>
      <c r="B10" s="57" t="s">
        <v>15</v>
      </c>
      <c r="C10" s="58">
        <f>SUMIFS('伸线wire drawing'!$J$7:$J$1000,'伸线wire drawing'!$E$7:$E$1000,'04'!$A$9,'伸线wire drawing'!$A$7:$A$1000,'04'!C$2)</f>
        <v>0</v>
      </c>
      <c r="D10" s="59">
        <f>SUMIFS('伸线wire drawing'!$J$7:$J$1000,'伸线wire drawing'!$E$7:$E$1000,'04'!$A$9,'伸线wire drawing'!$A$7:$A$1000,'04'!D$2)</f>
        <v>0</v>
      </c>
      <c r="E10" s="61"/>
      <c r="F10" s="58">
        <f>SUMIFS('伸线wire drawing'!$J$7:$J$1000,'伸线wire drawing'!$E$7:$E$1000,'04'!$A$9,'伸线wire drawing'!$A$7:$A$1000,'04'!F$2)</f>
        <v>0</v>
      </c>
      <c r="G10" s="58">
        <f>SUMIFS('伸线wire drawing'!$J$7:$J$1000,'伸线wire drawing'!$E$7:$E$1000,'04'!$A$9,'伸线wire drawing'!$A$7:$A$1000,'04'!G$2)</f>
        <v>0</v>
      </c>
      <c r="H10" s="58">
        <f>SUMIFS('伸线wire drawing'!$J$7:$J$1000,'伸线wire drawing'!$E$7:$E$1000,'04'!$A$9,'伸线wire drawing'!$A$7:$A$1000,'04'!H$2)</f>
        <v>0</v>
      </c>
      <c r="I10" s="58">
        <f>SUMIFS('伸线wire drawing'!$J$7:$J$1000,'伸线wire drawing'!$E$7:$E$1000,'04'!$A$9,'伸线wire drawing'!$A$7:$A$1000,'04'!I$2)</f>
        <v>0</v>
      </c>
      <c r="J10" s="58">
        <f>SUMIFS('伸线wire drawing'!$J$7:$J$1000,'伸线wire drawing'!$E$7:$E$1000,'04'!$A$9,'伸线wire drawing'!$A$7:$A$1000,'04'!J$2)</f>
        <v>0</v>
      </c>
      <c r="K10" s="59">
        <f>SUMIFS('伸线wire drawing'!$J$7:$J$1000,'伸线wire drawing'!$E$7:$E$1000,'04'!$A$9,'伸线wire drawing'!$A$7:$A$1000,'04'!K$2)</f>
        <v>0</v>
      </c>
      <c r="L10" s="61"/>
      <c r="M10" s="100"/>
      <c r="N10" s="58">
        <f>SUMIFS('伸线wire drawing'!$J$7:$J$1000,'伸线wire drawing'!$E$7:$E$1000,'04'!$A$9,'伸线wire drawing'!$A$7:$A$1000,'04'!N$2)</f>
        <v>0</v>
      </c>
      <c r="O10" s="58">
        <f>SUMIFS('伸线wire drawing'!$J$7:$J$1000,'伸线wire drawing'!$E$7:$E$1000,'04'!$A$9,'伸线wire drawing'!$A$7:$A$1000,'04'!O$2)</f>
        <v>0</v>
      </c>
      <c r="P10" s="58">
        <f>SUMIFS('伸线wire drawing'!$J$7:$J$1000,'伸线wire drawing'!$E$7:$E$1000,'04'!$A$9,'伸线wire drawing'!$A$7:$A$1000,'04'!P$2)</f>
        <v>0</v>
      </c>
      <c r="Q10" s="58">
        <f>SUMIFS('伸线wire drawing'!$J$7:$J$1000,'伸线wire drawing'!$E$7:$E$1000,'04'!$A$9,'伸线wire drawing'!$A$7:$A$1000,'04'!Q$2)</f>
        <v>0</v>
      </c>
      <c r="R10" s="59">
        <f>SUMIFS('伸线wire drawing'!$J$7:$J$1000,'伸线wire drawing'!$E$7:$E$1000,'04'!$A$9,'伸线wire drawing'!$A$7:$A$1000,'04'!R$2)</f>
        <v>0</v>
      </c>
      <c r="S10" s="61"/>
      <c r="T10" s="58">
        <f>SUMIFS('伸线wire drawing'!$J$7:$J$1000,'伸线wire drawing'!$E$7:$E$1000,'04'!$A$9,'伸线wire drawing'!$A$7:$A$1000,'04'!T$2)</f>
        <v>0</v>
      </c>
      <c r="U10" s="58">
        <f>SUMIFS('伸线wire drawing'!$J$7:$J$1000,'伸线wire drawing'!$E$7:$E$1000,'04'!$A$9,'伸线wire drawing'!$A$7:$A$1000,'04'!U$2)</f>
        <v>0</v>
      </c>
      <c r="V10" s="58">
        <f>SUMIFS('伸线wire drawing'!$J$7:$J$1000,'伸线wire drawing'!$E$7:$E$1000,'04'!$A$9,'伸线wire drawing'!$A$7:$A$1000,'04'!V$2)</f>
        <v>0</v>
      </c>
      <c r="W10" s="58">
        <f>SUMIFS('伸线wire drawing'!$J$7:$J$1000,'伸线wire drawing'!$E$7:$E$1000,'04'!$A$9,'伸线wire drawing'!$A$7:$A$1000,'04'!W$2)</f>
        <v>0</v>
      </c>
      <c r="X10" s="58">
        <f>SUMIFS('伸线wire drawing'!$J$7:$J$1000,'伸线wire drawing'!$E$7:$E$1000,'04'!$A$9,'伸线wire drawing'!$A$7:$A$1000,'04'!X$2)</f>
        <v>0</v>
      </c>
      <c r="Y10" s="59">
        <f>SUMIFS('伸线wire drawing'!$J$7:$J$1000,'伸线wire drawing'!$E$7:$E$1000,'04'!$A$9,'伸线wire drawing'!$A$7:$A$1000,'04'!Y$2)</f>
        <v>0</v>
      </c>
      <c r="Z10" s="61"/>
      <c r="AA10" s="58">
        <f>SUMIFS('伸线wire drawing'!$J$7:$J$1000,'伸线wire drawing'!$E$7:$E$1000,'04'!$A$9,'伸线wire drawing'!$A$7:$A$1000,'04'!AA$2)</f>
        <v>0</v>
      </c>
      <c r="AB10" s="58">
        <f>SUMIFS('伸线wire drawing'!$J$7:$J$1000,'伸线wire drawing'!$E$7:$E$1000,'04'!$A$9,'伸线wire drawing'!$A$7:$A$1000,'04'!AB$2)</f>
        <v>0</v>
      </c>
      <c r="AC10" s="58">
        <f>SUMIFS('伸线wire drawing'!$J$7:$J$1000,'伸线wire drawing'!$E$7:$E$1000,'04'!$A$9,'伸线wire drawing'!$A$7:$A$1000,'04'!AC$2)</f>
        <v>0</v>
      </c>
      <c r="AD10" s="58">
        <f>SUMIFS('伸线wire drawing'!$J$7:$J$1000,'伸线wire drawing'!$E$7:$E$1000,'04'!$A$9,'伸线wire drawing'!$A$7:$A$1000,'04'!AD$2)</f>
        <v>0</v>
      </c>
      <c r="AE10" s="111"/>
      <c r="AF10" s="112"/>
      <c r="AG10" s="61"/>
      <c r="AH10" s="127">
        <f t="shared" si="9"/>
        <v>0</v>
      </c>
      <c r="AI10" s="94"/>
      <c r="AJ10" s="125"/>
      <c r="AK10" s="94"/>
      <c r="AL10" s="94"/>
      <c r="AM10" s="94"/>
      <c r="AN10" s="94"/>
      <c r="AO10" s="94"/>
      <c r="AP10" s="94"/>
      <c r="AQ10" s="94"/>
      <c r="AR10" s="94"/>
    </row>
    <row r="11" spans="1:44">
      <c r="A11" s="340"/>
      <c r="B11" s="57" t="s">
        <v>110</v>
      </c>
      <c r="C11" s="58">
        <f>C10-C9</f>
        <v>0</v>
      </c>
      <c r="D11" s="59">
        <f t="shared" ref="D11:K11" si="10">C11+(D10-D9)</f>
        <v>0</v>
      </c>
      <c r="E11" s="61"/>
      <c r="F11" s="58">
        <f>D11+(F10-F9)</f>
        <v>0</v>
      </c>
      <c r="G11" s="58">
        <f t="shared" si="10"/>
        <v>0</v>
      </c>
      <c r="H11" s="58">
        <f t="shared" si="10"/>
        <v>0</v>
      </c>
      <c r="I11" s="58">
        <f t="shared" si="10"/>
        <v>0</v>
      </c>
      <c r="J11" s="58">
        <f t="shared" si="10"/>
        <v>0</v>
      </c>
      <c r="K11" s="59">
        <f t="shared" si="10"/>
        <v>0</v>
      </c>
      <c r="L11" s="61"/>
      <c r="M11" s="100"/>
      <c r="N11" s="58">
        <f>K11+(N10-N9)</f>
        <v>0</v>
      </c>
      <c r="O11" s="58">
        <f t="shared" ref="O11:R11" si="11">N11+(O10-O9)</f>
        <v>0</v>
      </c>
      <c r="P11" s="58">
        <f t="shared" si="11"/>
        <v>0</v>
      </c>
      <c r="Q11" s="58">
        <f t="shared" si="11"/>
        <v>0</v>
      </c>
      <c r="R11" s="59">
        <f t="shared" si="11"/>
        <v>0</v>
      </c>
      <c r="S11" s="61"/>
      <c r="T11" s="58">
        <f>R11+(T10-T9)</f>
        <v>0</v>
      </c>
      <c r="U11" s="58">
        <f t="shared" ref="U11:Y11" si="12">T11+(U10-U9)</f>
        <v>0</v>
      </c>
      <c r="V11" s="58">
        <f t="shared" si="12"/>
        <v>0</v>
      </c>
      <c r="W11" s="58">
        <f t="shared" si="12"/>
        <v>0</v>
      </c>
      <c r="X11" s="58">
        <f t="shared" si="12"/>
        <v>0</v>
      </c>
      <c r="Y11" s="59">
        <f t="shared" si="12"/>
        <v>0</v>
      </c>
      <c r="Z11" s="61"/>
      <c r="AA11" s="58">
        <f>Y11+(AA10-AA9)</f>
        <v>0</v>
      </c>
      <c r="AB11" s="58">
        <f t="shared" ref="AB11:AD11" si="13">AA11+(AB10-AB9)</f>
        <v>0</v>
      </c>
      <c r="AC11" s="58">
        <f t="shared" si="13"/>
        <v>0</v>
      </c>
      <c r="AD11" s="58">
        <f t="shared" si="13"/>
        <v>0</v>
      </c>
      <c r="AE11" s="111"/>
      <c r="AF11" s="112">
        <f>AE11+(AF10-AF9)</f>
        <v>0</v>
      </c>
      <c r="AG11" s="61">
        <f>AF11+(AG10-AG9)</f>
        <v>0</v>
      </c>
      <c r="AH11" s="127"/>
      <c r="AI11" s="94"/>
      <c r="AJ11" s="125"/>
      <c r="AK11" s="94"/>
      <c r="AL11" s="94"/>
      <c r="AM11" s="94"/>
      <c r="AN11" s="94"/>
      <c r="AO11" s="94"/>
      <c r="AP11" s="94"/>
      <c r="AQ11" s="94"/>
      <c r="AR11" s="94"/>
    </row>
    <row r="12" spans="1:44">
      <c r="A12" s="341">
        <v>0.12</v>
      </c>
      <c r="B12" s="62" t="s">
        <v>129</v>
      </c>
      <c r="C12" s="64">
        <v>0</v>
      </c>
      <c r="D12" s="65">
        <v>0</v>
      </c>
      <c r="E12" s="66"/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5">
        <v>0</v>
      </c>
      <c r="L12" s="66"/>
      <c r="M12" s="101"/>
      <c r="N12" s="64">
        <v>0</v>
      </c>
      <c r="O12" s="64">
        <v>0</v>
      </c>
      <c r="P12" s="64">
        <v>0</v>
      </c>
      <c r="Q12" s="64">
        <v>0</v>
      </c>
      <c r="R12" s="65">
        <v>0</v>
      </c>
      <c r="S12" s="66"/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5">
        <v>0</v>
      </c>
      <c r="Z12" s="66"/>
      <c r="AA12" s="64">
        <v>0</v>
      </c>
      <c r="AB12" s="64">
        <v>0</v>
      </c>
      <c r="AC12" s="64">
        <v>0</v>
      </c>
      <c r="AD12" s="64">
        <v>0</v>
      </c>
      <c r="AE12" s="113"/>
      <c r="AF12" s="114">
        <v>0</v>
      </c>
      <c r="AG12" s="66">
        <v>0</v>
      </c>
      <c r="AH12" s="128">
        <f t="shared" si="9"/>
        <v>0</v>
      </c>
      <c r="AI12" s="94"/>
      <c r="AJ12" s="125"/>
      <c r="AK12" s="94"/>
      <c r="AL12" s="94"/>
      <c r="AM12" s="94"/>
      <c r="AN12" s="94"/>
      <c r="AO12" s="94"/>
      <c r="AP12" s="94"/>
      <c r="AQ12" s="94"/>
      <c r="AR12" s="94"/>
    </row>
    <row r="13" spans="1:44">
      <c r="A13" s="339"/>
      <c r="B13" s="57" t="s">
        <v>15</v>
      </c>
      <c r="C13" s="58">
        <f>SUMIFS('伸线wire drawing'!$J$7:$J$1000,'伸线wire drawing'!$E$7:$E$1000,'04'!$A$12,'伸线wire drawing'!$A$7:$A$1000,'04'!C$2)</f>
        <v>0</v>
      </c>
      <c r="D13" s="59">
        <f>SUMIFS('伸线wire drawing'!$J$7:$J$1000,'伸线wire drawing'!$E$7:$E$1000,'04'!$A$12,'伸线wire drawing'!$A$7:$A$1000,'04'!D$2)</f>
        <v>0</v>
      </c>
      <c r="E13" s="61"/>
      <c r="F13" s="58">
        <f>SUMIFS('伸线wire drawing'!$J$7:$J$1000,'伸线wire drawing'!$E$7:$E$1000,'04'!$A$12,'伸线wire drawing'!$A$7:$A$1000,'04'!F$2)</f>
        <v>0</v>
      </c>
      <c r="G13" s="58">
        <f>SUMIFS('伸线wire drawing'!$J$7:$J$1000,'伸线wire drawing'!$E$7:$E$1000,'04'!$A$12,'伸线wire drawing'!$A$7:$A$1000,'04'!G$2)</f>
        <v>0</v>
      </c>
      <c r="H13" s="58">
        <f>SUMIFS('伸线wire drawing'!$J$7:$J$1000,'伸线wire drawing'!$E$7:$E$1000,'04'!$A$12,'伸线wire drawing'!$A$7:$A$1000,'04'!H$2)</f>
        <v>0</v>
      </c>
      <c r="I13" s="58">
        <f>SUMIFS('伸线wire drawing'!$J$7:$J$1000,'伸线wire drawing'!$E$7:$E$1000,'04'!$A$12,'伸线wire drawing'!$A$7:$A$1000,'04'!I$2)</f>
        <v>0</v>
      </c>
      <c r="J13" s="58">
        <f>SUMIFS('伸线wire drawing'!$J$7:$J$1000,'伸线wire drawing'!$E$7:$E$1000,'04'!$A$12,'伸线wire drawing'!$A$7:$A$1000,'04'!J$2)</f>
        <v>0</v>
      </c>
      <c r="K13" s="59">
        <f>SUMIFS('伸线wire drawing'!$J$7:$J$1000,'伸线wire drawing'!$E$7:$E$1000,'04'!$A$12,'伸线wire drawing'!$A$7:$A$1000,'04'!K$2)</f>
        <v>0</v>
      </c>
      <c r="L13" s="61"/>
      <c r="M13" s="100"/>
      <c r="N13" s="58">
        <f>SUMIFS('伸线wire drawing'!$J$7:$J$1000,'伸线wire drawing'!$E$7:$E$1000,'04'!$A$12,'伸线wire drawing'!$A$7:$A$1000,'04'!N$2)</f>
        <v>0</v>
      </c>
      <c r="O13" s="58">
        <f>SUMIFS('伸线wire drawing'!$J$7:$J$1000,'伸线wire drawing'!$E$7:$E$1000,'04'!$A$12,'伸线wire drawing'!$A$7:$A$1000,'04'!O$2)</f>
        <v>0</v>
      </c>
      <c r="P13" s="58">
        <f>SUMIFS('伸线wire drawing'!$J$7:$J$1000,'伸线wire drawing'!$E$7:$E$1000,'04'!$A$12,'伸线wire drawing'!$A$7:$A$1000,'04'!P$2)</f>
        <v>0</v>
      </c>
      <c r="Q13" s="58">
        <f>SUMIFS('伸线wire drawing'!$J$7:$J$1000,'伸线wire drawing'!$E$7:$E$1000,'04'!$A$12,'伸线wire drawing'!$A$7:$A$1000,'04'!Q$2)</f>
        <v>0</v>
      </c>
      <c r="R13" s="59">
        <f>SUMIFS('伸线wire drawing'!$J$7:$J$1000,'伸线wire drawing'!$E$7:$E$1000,'04'!$A$12,'伸线wire drawing'!$A$7:$A$1000,'04'!R$2)</f>
        <v>0</v>
      </c>
      <c r="S13" s="61"/>
      <c r="T13" s="58">
        <f>SUMIFS('伸线wire drawing'!$J$7:$J$1000,'伸线wire drawing'!$E$7:$E$1000,'04'!$A$12,'伸线wire drawing'!$A$7:$A$1000,'04'!T$2)</f>
        <v>0</v>
      </c>
      <c r="U13" s="58">
        <f>SUMIFS('伸线wire drawing'!$J$7:$J$1000,'伸线wire drawing'!$E$7:$E$1000,'04'!$A$12,'伸线wire drawing'!$A$7:$A$1000,'04'!U$2)</f>
        <v>0</v>
      </c>
      <c r="V13" s="58">
        <f>SUMIFS('伸线wire drawing'!$J$7:$J$1000,'伸线wire drawing'!$E$7:$E$1000,'04'!$A$12,'伸线wire drawing'!$A$7:$A$1000,'04'!V$2)</f>
        <v>0</v>
      </c>
      <c r="W13" s="58">
        <f>SUMIFS('伸线wire drawing'!$J$7:$J$1000,'伸线wire drawing'!$E$7:$E$1000,'04'!$A$12,'伸线wire drawing'!$A$7:$A$1000,'04'!W$2)</f>
        <v>0</v>
      </c>
      <c r="X13" s="58">
        <f>SUMIFS('伸线wire drawing'!$J$7:$J$1000,'伸线wire drawing'!$E$7:$E$1000,'04'!$A$12,'伸线wire drawing'!$A$7:$A$1000,'04'!X$2)</f>
        <v>0</v>
      </c>
      <c r="Y13" s="59">
        <f>SUMIFS('伸线wire drawing'!$J$7:$J$1000,'伸线wire drawing'!$E$7:$E$1000,'04'!$A$12,'伸线wire drawing'!$A$7:$A$1000,'04'!Y$2)</f>
        <v>0</v>
      </c>
      <c r="Z13" s="61"/>
      <c r="AA13" s="58">
        <f>SUMIFS('伸线wire drawing'!$J$7:$J$1000,'伸线wire drawing'!$E$7:$E$1000,'04'!$A$12,'伸线wire drawing'!$A$7:$A$1000,'04'!AA$2)</f>
        <v>0</v>
      </c>
      <c r="AB13" s="58">
        <f>SUMIFS('伸线wire drawing'!$J$7:$J$1000,'伸线wire drawing'!$E$7:$E$1000,'04'!$A$12,'伸线wire drawing'!$A$7:$A$1000,'04'!AB$2)</f>
        <v>0</v>
      </c>
      <c r="AC13" s="58">
        <f>SUMIFS('伸线wire drawing'!$J$7:$J$1000,'伸线wire drawing'!$E$7:$E$1000,'04'!$A$12,'伸线wire drawing'!$A$7:$A$1000,'04'!AC$2)</f>
        <v>0</v>
      </c>
      <c r="AD13" s="58">
        <f>SUMIFS('伸线wire drawing'!$J$7:$J$1000,'伸线wire drawing'!$E$7:$E$1000,'04'!$A$12,'伸线wire drawing'!$A$7:$A$1000,'04'!AD$2)</f>
        <v>0</v>
      </c>
      <c r="AE13" s="111"/>
      <c r="AF13" s="112"/>
      <c r="AG13" s="61"/>
      <c r="AH13" s="127">
        <f t="shared" si="9"/>
        <v>0</v>
      </c>
      <c r="AI13" s="94"/>
      <c r="AJ13" s="125"/>
      <c r="AK13" s="94"/>
      <c r="AL13" s="94"/>
      <c r="AM13" s="94"/>
      <c r="AN13" s="94"/>
      <c r="AO13" s="94"/>
      <c r="AP13" s="94"/>
      <c r="AQ13" s="94"/>
      <c r="AR13" s="94"/>
    </row>
    <row r="14" spans="1:44">
      <c r="A14" s="340"/>
      <c r="B14" s="57" t="s">
        <v>110</v>
      </c>
      <c r="C14" s="58">
        <f>C13-C12</f>
        <v>0</v>
      </c>
      <c r="D14" s="59">
        <f t="shared" ref="D14:K14" si="14">C14+(D13-D12)</f>
        <v>0</v>
      </c>
      <c r="E14" s="61"/>
      <c r="F14" s="58">
        <f>D14+(F13-F12)</f>
        <v>0</v>
      </c>
      <c r="G14" s="58">
        <f t="shared" si="14"/>
        <v>0</v>
      </c>
      <c r="H14" s="58">
        <f t="shared" si="14"/>
        <v>0</v>
      </c>
      <c r="I14" s="58">
        <f t="shared" si="14"/>
        <v>0</v>
      </c>
      <c r="J14" s="58">
        <f t="shared" si="14"/>
        <v>0</v>
      </c>
      <c r="K14" s="59">
        <f t="shared" si="14"/>
        <v>0</v>
      </c>
      <c r="L14" s="61"/>
      <c r="M14" s="100"/>
      <c r="N14" s="58">
        <f>K14+(N13-N12)</f>
        <v>0</v>
      </c>
      <c r="O14" s="58">
        <f t="shared" ref="O14:R14" si="15">N14+(O13-O12)</f>
        <v>0</v>
      </c>
      <c r="P14" s="58">
        <f t="shared" si="15"/>
        <v>0</v>
      </c>
      <c r="Q14" s="58">
        <f t="shared" si="15"/>
        <v>0</v>
      </c>
      <c r="R14" s="59">
        <f t="shared" si="15"/>
        <v>0</v>
      </c>
      <c r="S14" s="61"/>
      <c r="T14" s="58">
        <f>R14+(T13-T12)</f>
        <v>0</v>
      </c>
      <c r="U14" s="58">
        <f t="shared" ref="U14:Y14" si="16">T14+(U13-U12)</f>
        <v>0</v>
      </c>
      <c r="V14" s="58">
        <f t="shared" si="16"/>
        <v>0</v>
      </c>
      <c r="W14" s="58">
        <f t="shared" si="16"/>
        <v>0</v>
      </c>
      <c r="X14" s="58">
        <f t="shared" si="16"/>
        <v>0</v>
      </c>
      <c r="Y14" s="59">
        <f t="shared" si="16"/>
        <v>0</v>
      </c>
      <c r="Z14" s="61"/>
      <c r="AA14" s="58">
        <f>Y14+(AA13-AA12)</f>
        <v>0</v>
      </c>
      <c r="AB14" s="58">
        <f t="shared" ref="AB14:AD14" si="17">AA14+(AB13-AB12)</f>
        <v>0</v>
      </c>
      <c r="AC14" s="58">
        <f t="shared" si="17"/>
        <v>0</v>
      </c>
      <c r="AD14" s="58">
        <f t="shared" si="17"/>
        <v>0</v>
      </c>
      <c r="AE14" s="111"/>
      <c r="AF14" s="112">
        <f>AE14+(AF13-AF12)</f>
        <v>0</v>
      </c>
      <c r="AG14" s="61">
        <f>AF14+(AG13-AG12)</f>
        <v>0</v>
      </c>
      <c r="AH14" s="127"/>
      <c r="AI14" s="94"/>
      <c r="AJ14" s="125"/>
      <c r="AK14" s="94"/>
      <c r="AL14" s="94"/>
      <c r="AM14" s="94"/>
      <c r="AN14" s="94"/>
      <c r="AO14" s="94"/>
      <c r="AP14" s="94"/>
      <c r="AQ14" s="94"/>
      <c r="AR14" s="94"/>
    </row>
    <row r="15" spans="1:44">
      <c r="A15" s="341">
        <v>0.1</v>
      </c>
      <c r="B15" s="62" t="s">
        <v>129</v>
      </c>
      <c r="C15" s="64">
        <v>0</v>
      </c>
      <c r="D15" s="65">
        <v>0</v>
      </c>
      <c r="E15" s="66"/>
      <c r="F15" s="64">
        <v>0</v>
      </c>
      <c r="G15" s="64">
        <v>0</v>
      </c>
      <c r="H15" s="64">
        <v>0</v>
      </c>
      <c r="I15" s="64">
        <v>0</v>
      </c>
      <c r="J15" s="64">
        <v>0</v>
      </c>
      <c r="K15" s="65">
        <v>0</v>
      </c>
      <c r="L15" s="66"/>
      <c r="M15" s="101"/>
      <c r="N15" s="64">
        <v>0</v>
      </c>
      <c r="O15" s="64">
        <v>0</v>
      </c>
      <c r="P15" s="64">
        <v>0</v>
      </c>
      <c r="Q15" s="64">
        <v>0</v>
      </c>
      <c r="R15" s="65">
        <v>0</v>
      </c>
      <c r="S15" s="66"/>
      <c r="T15" s="64">
        <v>0</v>
      </c>
      <c r="U15" s="64">
        <v>0</v>
      </c>
      <c r="V15" s="64">
        <v>0</v>
      </c>
      <c r="W15" s="63">
        <v>0</v>
      </c>
      <c r="X15" s="63">
        <v>0</v>
      </c>
      <c r="Y15" s="65">
        <v>0</v>
      </c>
      <c r="Z15" s="66"/>
      <c r="AA15" s="64">
        <v>0</v>
      </c>
      <c r="AB15" s="63">
        <v>0</v>
      </c>
      <c r="AC15" s="63">
        <v>0</v>
      </c>
      <c r="AD15" s="63">
        <v>0</v>
      </c>
      <c r="AE15" s="111"/>
      <c r="AF15" s="114">
        <v>0</v>
      </c>
      <c r="AG15" s="66">
        <v>0</v>
      </c>
      <c r="AH15" s="128">
        <f t="shared" ref="AH15:AH19" si="18">SUM(C15:AG15)</f>
        <v>0</v>
      </c>
      <c r="AI15" s="94"/>
      <c r="AJ15" s="125"/>
      <c r="AK15" s="94"/>
      <c r="AL15" s="94"/>
      <c r="AM15" s="94"/>
      <c r="AN15" s="94"/>
      <c r="AO15" s="94"/>
      <c r="AP15" s="94"/>
      <c r="AQ15" s="94"/>
      <c r="AR15" s="94"/>
    </row>
    <row r="16" spans="1:44">
      <c r="A16" s="339"/>
      <c r="B16" s="57" t="s">
        <v>15</v>
      </c>
      <c r="C16" s="58">
        <f>SUMIFS('伸线wire drawing'!$J$7:$J$1000,'伸线wire drawing'!$E$7:$E$1000,'04'!$A$15,'伸线wire drawing'!$A$7:$A$1000,'04'!C$2)</f>
        <v>0</v>
      </c>
      <c r="D16" s="59">
        <f>SUMIFS('伸线wire drawing'!$J$7:$J$1000,'伸线wire drawing'!$E$7:$E$1000,'04'!$A$15,'伸线wire drawing'!$A$7:$A$1000,'04'!D$2)</f>
        <v>0</v>
      </c>
      <c r="E16" s="61"/>
      <c r="F16" s="58">
        <f>SUMIFS('伸线wire drawing'!$J$7:$J$1000,'伸线wire drawing'!$E$7:$E$1000,'04'!$A$15,'伸线wire drawing'!$A$7:$A$1000,'04'!F$2)</f>
        <v>0</v>
      </c>
      <c r="G16" s="58">
        <f>SUMIFS('伸线wire drawing'!$J$7:$J$1000,'伸线wire drawing'!$E$7:$E$1000,'04'!$A$15,'伸线wire drawing'!$A$7:$A$1000,'04'!G$2)</f>
        <v>0</v>
      </c>
      <c r="H16" s="58">
        <f>SUMIFS('伸线wire drawing'!$J$7:$J$1000,'伸线wire drawing'!$E$7:$E$1000,'04'!$A$15,'伸线wire drawing'!$A$7:$A$1000,'04'!H$2)</f>
        <v>0</v>
      </c>
      <c r="I16" s="58">
        <f>SUMIFS('伸线wire drawing'!$J$7:$J$1000,'伸线wire drawing'!$E$7:$E$1000,'04'!$A$15,'伸线wire drawing'!$A$7:$A$1000,'04'!I$2)</f>
        <v>0</v>
      </c>
      <c r="J16" s="58">
        <f>SUMIFS('伸线wire drawing'!$J$7:$J$1000,'伸线wire drawing'!$E$7:$E$1000,'04'!$A$15,'伸线wire drawing'!$A$7:$A$1000,'04'!J$2)</f>
        <v>0</v>
      </c>
      <c r="K16" s="59">
        <f>SUMIFS('伸线wire drawing'!$J$7:$J$1000,'伸线wire drawing'!$E$7:$E$1000,'04'!$A$15,'伸线wire drawing'!$A$7:$A$1000,'04'!K$2)</f>
        <v>0</v>
      </c>
      <c r="L16" s="61"/>
      <c r="M16" s="100"/>
      <c r="N16" s="58">
        <f>SUMIFS('伸线wire drawing'!$J$7:$J$1000,'伸线wire drawing'!$E$7:$E$1000,'04'!$A$15,'伸线wire drawing'!$A$7:$A$1000,'04'!N$2)</f>
        <v>0</v>
      </c>
      <c r="O16" s="58">
        <f>SUMIFS('伸线wire drawing'!$J$7:$J$1000,'伸线wire drawing'!$E$7:$E$1000,'04'!$A$15,'伸线wire drawing'!$A$7:$A$1000,'04'!O$2)</f>
        <v>0</v>
      </c>
      <c r="P16" s="58">
        <f>SUMIFS('伸线wire drawing'!$J$7:$J$1000,'伸线wire drawing'!$E$7:$E$1000,'04'!$A$15,'伸线wire drawing'!$A$7:$A$1000,'04'!P$2)</f>
        <v>0</v>
      </c>
      <c r="Q16" s="58">
        <f>SUMIFS('伸线wire drawing'!$J$7:$J$1000,'伸线wire drawing'!$E$7:$E$1000,'04'!$A$15,'伸线wire drawing'!$A$7:$A$1000,'04'!Q$2)</f>
        <v>0</v>
      </c>
      <c r="R16" s="59">
        <f>SUMIFS('伸线wire drawing'!$J$7:$J$1000,'伸线wire drawing'!$E$7:$E$1000,'04'!$A$15,'伸线wire drawing'!$A$7:$A$1000,'04'!R$2)</f>
        <v>0</v>
      </c>
      <c r="S16" s="61"/>
      <c r="T16" s="58">
        <f>SUMIFS('伸线wire drawing'!$J$7:$J$1000,'伸线wire drawing'!$E$7:$E$1000,'04'!$A$15,'伸线wire drawing'!$A$7:$A$1000,'04'!T$2)</f>
        <v>0</v>
      </c>
      <c r="U16" s="58">
        <f>SUMIFS('伸线wire drawing'!$J$7:$J$1000,'伸线wire drawing'!$E$7:$E$1000,'04'!$A$15,'伸线wire drawing'!$A$7:$A$1000,'04'!U$2)</f>
        <v>0</v>
      </c>
      <c r="V16" s="58">
        <f>SUMIFS('伸线wire drawing'!$J$7:$J$1000,'伸线wire drawing'!$E$7:$E$1000,'04'!$A$15,'伸线wire drawing'!$A$7:$A$1000,'04'!V$2)</f>
        <v>0</v>
      </c>
      <c r="W16" s="58">
        <f>SUMIFS('伸线wire drawing'!$J$7:$J$1000,'伸线wire drawing'!$E$7:$E$1000,'04'!$A$15,'伸线wire drawing'!$A$7:$A$1000,'04'!W$2)</f>
        <v>0</v>
      </c>
      <c r="X16" s="58">
        <f>SUMIFS('伸线wire drawing'!$J$7:$J$1000,'伸线wire drawing'!$E$7:$E$1000,'04'!$A$15,'伸线wire drawing'!$A$7:$A$1000,'04'!X$2)</f>
        <v>0</v>
      </c>
      <c r="Y16" s="59">
        <f>SUMIFS('伸线wire drawing'!$J$7:$J$1000,'伸线wire drawing'!$E$7:$E$1000,'04'!$A$15,'伸线wire drawing'!$A$7:$A$1000,'04'!Y$2)</f>
        <v>0</v>
      </c>
      <c r="Z16" s="61"/>
      <c r="AA16" s="58">
        <f>SUMIFS('伸线wire drawing'!$J$7:$J$1000,'伸线wire drawing'!$E$7:$E$1000,'04'!$A$15,'伸线wire drawing'!$A$7:$A$1000,'04'!AA$2)</f>
        <v>0</v>
      </c>
      <c r="AB16" s="58">
        <f>SUMIFS('伸线wire drawing'!$J$7:$J$1000,'伸线wire drawing'!$E$7:$E$1000,'04'!$A$15,'伸线wire drawing'!$A$7:$A$1000,'04'!AB$2)</f>
        <v>0</v>
      </c>
      <c r="AC16" s="58">
        <f>SUMIFS('伸线wire drawing'!$J$7:$J$1000,'伸线wire drawing'!$E$7:$E$1000,'04'!$A$15,'伸线wire drawing'!$A$7:$A$1000,'04'!AC$2)</f>
        <v>0</v>
      </c>
      <c r="AD16" s="58">
        <f>SUMIFS('伸线wire drawing'!$J$7:$J$1000,'伸线wire drawing'!$E$7:$E$1000,'04'!$A$15,'伸线wire drawing'!$A$7:$A$1000,'04'!AD$2)</f>
        <v>0</v>
      </c>
      <c r="AE16" s="111"/>
      <c r="AF16" s="112"/>
      <c r="AG16" s="61"/>
      <c r="AH16" s="127">
        <f t="shared" si="18"/>
        <v>0</v>
      </c>
      <c r="AI16" s="94"/>
      <c r="AJ16" s="125"/>
      <c r="AK16" s="94"/>
      <c r="AL16" s="94"/>
      <c r="AM16" s="94"/>
      <c r="AN16" s="94"/>
      <c r="AO16" s="94"/>
      <c r="AP16" s="94"/>
      <c r="AQ16" s="94"/>
      <c r="AR16" s="94"/>
    </row>
    <row r="17" spans="1:44">
      <c r="A17" s="340"/>
      <c r="B17" s="57" t="s">
        <v>110</v>
      </c>
      <c r="C17" s="58">
        <f>C16-C15</f>
        <v>0</v>
      </c>
      <c r="D17" s="59">
        <f t="shared" ref="D17:K17" si="19">C17+(D16-D15)</f>
        <v>0</v>
      </c>
      <c r="E17" s="61"/>
      <c r="F17" s="58">
        <f>D17+(F16-F15)</f>
        <v>0</v>
      </c>
      <c r="G17" s="58">
        <f t="shared" si="19"/>
        <v>0</v>
      </c>
      <c r="H17" s="58">
        <f t="shared" si="19"/>
        <v>0</v>
      </c>
      <c r="I17" s="58">
        <f t="shared" si="19"/>
        <v>0</v>
      </c>
      <c r="J17" s="58">
        <f t="shared" si="19"/>
        <v>0</v>
      </c>
      <c r="K17" s="59">
        <f t="shared" si="19"/>
        <v>0</v>
      </c>
      <c r="L17" s="61"/>
      <c r="M17" s="100"/>
      <c r="N17" s="58">
        <f>K17+(N16-N15)</f>
        <v>0</v>
      </c>
      <c r="O17" s="58">
        <f t="shared" ref="O17:R17" si="20">N17+(O16-O15)</f>
        <v>0</v>
      </c>
      <c r="P17" s="58">
        <f t="shared" si="20"/>
        <v>0</v>
      </c>
      <c r="Q17" s="58">
        <f t="shared" si="20"/>
        <v>0</v>
      </c>
      <c r="R17" s="59">
        <f t="shared" si="20"/>
        <v>0</v>
      </c>
      <c r="S17" s="61"/>
      <c r="T17" s="58">
        <f>R17+(T16-T15)</f>
        <v>0</v>
      </c>
      <c r="U17" s="58">
        <f t="shared" ref="U17:Y17" si="21">T17+(U16-U15)</f>
        <v>0</v>
      </c>
      <c r="V17" s="58">
        <f t="shared" si="21"/>
        <v>0</v>
      </c>
      <c r="W17" s="58">
        <f t="shared" si="21"/>
        <v>0</v>
      </c>
      <c r="X17" s="58">
        <f t="shared" si="21"/>
        <v>0</v>
      </c>
      <c r="Y17" s="59">
        <f t="shared" si="21"/>
        <v>0</v>
      </c>
      <c r="Z17" s="61"/>
      <c r="AA17" s="58">
        <f>Y17+(AA16-AA15)</f>
        <v>0</v>
      </c>
      <c r="AB17" s="58">
        <f t="shared" ref="AB17:AD17" si="22">AA17+(AB16-AB15)</f>
        <v>0</v>
      </c>
      <c r="AC17" s="58">
        <f t="shared" si="22"/>
        <v>0</v>
      </c>
      <c r="AD17" s="58">
        <f t="shared" si="22"/>
        <v>0</v>
      </c>
      <c r="AE17" s="111"/>
      <c r="AF17" s="112">
        <f>AE17+(AF16-AF15)</f>
        <v>0</v>
      </c>
      <c r="AG17" s="61">
        <f>AF17+(AG16-AG15)</f>
        <v>0</v>
      </c>
      <c r="AH17" s="127"/>
      <c r="AI17" s="94"/>
      <c r="AJ17" s="125"/>
      <c r="AK17" s="94"/>
      <c r="AL17" s="94"/>
      <c r="AM17" s="94"/>
      <c r="AN17" s="94"/>
      <c r="AO17" s="94"/>
      <c r="AP17" s="94"/>
      <c r="AQ17" s="94"/>
      <c r="AR17" s="94"/>
    </row>
    <row r="18" spans="1:44">
      <c r="A18" s="341">
        <v>0.2</v>
      </c>
      <c r="B18" s="62" t="s">
        <v>129</v>
      </c>
      <c r="C18" s="64">
        <v>0</v>
      </c>
      <c r="D18" s="65">
        <v>0</v>
      </c>
      <c r="E18" s="66"/>
      <c r="F18" s="64">
        <v>0</v>
      </c>
      <c r="G18" s="64">
        <v>0</v>
      </c>
      <c r="H18" s="63">
        <v>0</v>
      </c>
      <c r="I18" s="63">
        <v>0</v>
      </c>
      <c r="J18" s="63">
        <v>0</v>
      </c>
      <c r="K18" s="65">
        <v>0</v>
      </c>
      <c r="L18" s="66"/>
      <c r="M18" s="100"/>
      <c r="N18" s="63">
        <v>0</v>
      </c>
      <c r="O18" s="63">
        <v>0</v>
      </c>
      <c r="P18" s="63">
        <v>0</v>
      </c>
      <c r="Q18" s="64">
        <v>0</v>
      </c>
      <c r="R18" s="65">
        <v>0</v>
      </c>
      <c r="S18" s="66"/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5">
        <v>0</v>
      </c>
      <c r="Z18" s="66"/>
      <c r="AA18" s="64">
        <v>0</v>
      </c>
      <c r="AB18" s="63">
        <v>0</v>
      </c>
      <c r="AC18" s="63">
        <v>0</v>
      </c>
      <c r="AD18" s="63">
        <v>0</v>
      </c>
      <c r="AE18" s="111"/>
      <c r="AF18" s="114">
        <v>0</v>
      </c>
      <c r="AG18" s="66">
        <v>0</v>
      </c>
      <c r="AH18" s="128">
        <f t="shared" si="18"/>
        <v>0</v>
      </c>
      <c r="AI18" s="94"/>
      <c r="AJ18" s="125"/>
      <c r="AK18" s="94"/>
      <c r="AL18" s="94"/>
      <c r="AM18" s="94"/>
      <c r="AN18" s="94"/>
      <c r="AO18" s="94"/>
      <c r="AP18" s="94"/>
      <c r="AQ18" s="94"/>
      <c r="AR18" s="94"/>
    </row>
    <row r="19" spans="1:44">
      <c r="A19" s="339"/>
      <c r="B19" s="57" t="s">
        <v>15</v>
      </c>
      <c r="C19" s="58">
        <f>SUMIFS('伸线wire drawing'!$J$7:$J$1000,'伸线wire drawing'!$E$7:$E$1000,'04'!$A$18,'伸线wire drawing'!$A$7:$A$1000,'04'!C$2)</f>
        <v>0</v>
      </c>
      <c r="D19" s="59">
        <f>SUMIFS('伸线wire drawing'!$J$7:$J$1000,'伸线wire drawing'!$E$7:$E$1000,'04'!$A$18,'伸线wire drawing'!$A$7:$A$1000,'04'!D$2)</f>
        <v>0</v>
      </c>
      <c r="E19" s="61"/>
      <c r="F19" s="58">
        <f>SUMIFS('伸线wire drawing'!$J$7:$J$1000,'伸线wire drawing'!$E$7:$E$1000,'04'!$A$18,'伸线wire drawing'!$A$7:$A$1000,'04'!F$2)</f>
        <v>0</v>
      </c>
      <c r="G19" s="58">
        <f>SUMIFS('伸线wire drawing'!$J$7:$J$1000,'伸线wire drawing'!$E$7:$E$1000,'04'!$A$18,'伸线wire drawing'!$A$7:$A$1000,'04'!G$2)</f>
        <v>0</v>
      </c>
      <c r="H19" s="58">
        <f>SUMIFS('伸线wire drawing'!$J$7:$J$1000,'伸线wire drawing'!$E$7:$E$1000,'04'!$A$18,'伸线wire drawing'!$A$7:$A$1000,'04'!H$2)</f>
        <v>0</v>
      </c>
      <c r="I19" s="58">
        <f>SUMIFS('伸线wire drawing'!$J$7:$J$1000,'伸线wire drawing'!$E$7:$E$1000,'04'!$A$18,'伸线wire drawing'!$A$7:$A$1000,'04'!I$2)</f>
        <v>0</v>
      </c>
      <c r="J19" s="58">
        <f>SUMIFS('伸线wire drawing'!$J$7:$J$1000,'伸线wire drawing'!$E$7:$E$1000,'04'!$A$18,'伸线wire drawing'!$A$7:$A$1000,'04'!J$2)</f>
        <v>0</v>
      </c>
      <c r="K19" s="59">
        <f>SUMIFS('伸线wire drawing'!$J$7:$J$1000,'伸线wire drawing'!$E$7:$E$1000,'04'!$A$18,'伸线wire drawing'!$A$7:$A$1000,'04'!K$2)</f>
        <v>0</v>
      </c>
      <c r="L19" s="61"/>
      <c r="M19" s="102"/>
      <c r="N19" s="58">
        <f>SUMIFS('伸线wire drawing'!$J$7:$J$1000,'伸线wire drawing'!$E$7:$E$1000,'04'!$A$18,'伸线wire drawing'!$A$7:$A$1000,'04'!N$2)</f>
        <v>0</v>
      </c>
      <c r="O19" s="58">
        <f>SUMIFS('伸线wire drawing'!$J$7:$J$1000,'伸线wire drawing'!$E$7:$E$1000,'04'!$A$18,'伸线wire drawing'!$A$7:$A$1000,'04'!O$2)</f>
        <v>0</v>
      </c>
      <c r="P19" s="58">
        <f>SUMIFS('伸线wire drawing'!$J$7:$J$1000,'伸线wire drawing'!$E$7:$E$1000,'04'!$A$18,'伸线wire drawing'!$A$7:$A$1000,'04'!P$2)</f>
        <v>0</v>
      </c>
      <c r="Q19" s="58">
        <f>SUMIFS('伸线wire drawing'!$J$7:$J$1000,'伸线wire drawing'!$E$7:$E$1000,'04'!$A$18,'伸线wire drawing'!$A$7:$A$1000,'04'!Q$2)</f>
        <v>0</v>
      </c>
      <c r="R19" s="59">
        <f>SUMIFS('伸线wire drawing'!$J$7:$J$1000,'伸线wire drawing'!$E$7:$E$1000,'04'!$A$18,'伸线wire drawing'!$A$7:$A$1000,'04'!R$2)</f>
        <v>0</v>
      </c>
      <c r="S19" s="61"/>
      <c r="T19" s="58">
        <f>SUMIFS('伸线wire drawing'!$J$7:$J$1000,'伸线wire drawing'!$E$7:$E$1000,'04'!$A$18,'伸线wire drawing'!$A$7:$A$1000,'04'!T$2)</f>
        <v>0</v>
      </c>
      <c r="U19" s="58">
        <f>SUMIFS('伸线wire drawing'!$J$7:$J$1000,'伸线wire drawing'!$E$7:$E$1000,'04'!$A$18,'伸线wire drawing'!$A$7:$A$1000,'04'!U$2)</f>
        <v>0</v>
      </c>
      <c r="V19" s="58">
        <f>SUMIFS('伸线wire drawing'!$J$7:$J$1000,'伸线wire drawing'!$E$7:$E$1000,'04'!$A$18,'伸线wire drawing'!$A$7:$A$1000,'04'!V$2)</f>
        <v>0</v>
      </c>
      <c r="W19" s="58">
        <f>SUMIFS('伸线wire drawing'!$J$7:$J$1000,'伸线wire drawing'!$E$7:$E$1000,'04'!$A$18,'伸线wire drawing'!$A$7:$A$1000,'04'!W$2)</f>
        <v>0</v>
      </c>
      <c r="X19" s="58">
        <f>SUMIFS('伸线wire drawing'!$J$7:$J$1000,'伸线wire drawing'!$E$7:$E$1000,'04'!$A$18,'伸线wire drawing'!$A$7:$A$1000,'04'!X$2)</f>
        <v>0</v>
      </c>
      <c r="Y19" s="59">
        <f>SUMIFS('伸线wire drawing'!$J$7:$J$1000,'伸线wire drawing'!$E$7:$E$1000,'04'!$A$18,'伸线wire drawing'!$A$7:$A$1000,'04'!Y$2)</f>
        <v>0</v>
      </c>
      <c r="Z19" s="61"/>
      <c r="AA19" s="58">
        <f>SUMIFS('伸线wire drawing'!$J$7:$J$1000,'伸线wire drawing'!$E$7:$E$1000,'04'!$A$18,'伸线wire drawing'!$A$7:$A$1000,'04'!AA$2)</f>
        <v>0</v>
      </c>
      <c r="AB19" s="58">
        <f>SUMIFS('伸线wire drawing'!$J$7:$J$1000,'伸线wire drawing'!$E$7:$E$1000,'04'!$A$18,'伸线wire drawing'!$A$7:$A$1000,'04'!AB$2)</f>
        <v>0</v>
      </c>
      <c r="AC19" s="58">
        <f>SUMIFS('伸线wire drawing'!$J$7:$J$1000,'伸线wire drawing'!$E$7:$E$1000,'04'!$A$18,'伸线wire drawing'!$A$7:$A$1000,'04'!AC$2)</f>
        <v>0</v>
      </c>
      <c r="AD19" s="58">
        <f>SUMIFS('伸线wire drawing'!$J$7:$J$1000,'伸线wire drawing'!$E$7:$E$1000,'04'!$A$18,'伸线wire drawing'!$A$7:$A$1000,'04'!AD$2)</f>
        <v>0</v>
      </c>
      <c r="AE19" s="111"/>
      <c r="AF19" s="112"/>
      <c r="AG19" s="61"/>
      <c r="AH19" s="127">
        <f t="shared" si="18"/>
        <v>0</v>
      </c>
      <c r="AI19" s="94"/>
      <c r="AJ19" s="125"/>
      <c r="AK19" s="94"/>
      <c r="AL19" s="94"/>
      <c r="AM19" s="94"/>
      <c r="AN19" s="94"/>
      <c r="AO19" s="94"/>
      <c r="AP19" s="94"/>
      <c r="AQ19" s="94"/>
      <c r="AR19" s="94"/>
    </row>
    <row r="20" spans="1:44">
      <c r="A20" s="340"/>
      <c r="B20" s="57" t="s">
        <v>110</v>
      </c>
      <c r="C20" s="58">
        <f>C19-C18</f>
        <v>0</v>
      </c>
      <c r="D20" s="59">
        <f t="shared" ref="D20:K20" si="23">C20+(D19-D18)</f>
        <v>0</v>
      </c>
      <c r="E20" s="61"/>
      <c r="F20" s="58">
        <f>D20+(F19-F18)</f>
        <v>0</v>
      </c>
      <c r="G20" s="58">
        <f t="shared" si="23"/>
        <v>0</v>
      </c>
      <c r="H20" s="58">
        <f t="shared" si="23"/>
        <v>0</v>
      </c>
      <c r="I20" s="58">
        <f t="shared" si="23"/>
        <v>0</v>
      </c>
      <c r="J20" s="58">
        <f t="shared" si="23"/>
        <v>0</v>
      </c>
      <c r="K20" s="59">
        <f t="shared" si="23"/>
        <v>0</v>
      </c>
      <c r="L20" s="61"/>
      <c r="M20" s="100"/>
      <c r="N20" s="58">
        <f>K20+(N19-N18)</f>
        <v>0</v>
      </c>
      <c r="O20" s="58">
        <f t="shared" ref="O20:R20" si="24">N20+(O19-O18)</f>
        <v>0</v>
      </c>
      <c r="P20" s="58">
        <f t="shared" si="24"/>
        <v>0</v>
      </c>
      <c r="Q20" s="58">
        <f t="shared" si="24"/>
        <v>0</v>
      </c>
      <c r="R20" s="59">
        <f t="shared" si="24"/>
        <v>0</v>
      </c>
      <c r="S20" s="61"/>
      <c r="T20" s="58">
        <f>R20+(T19-T18)</f>
        <v>0</v>
      </c>
      <c r="U20" s="58">
        <f t="shared" ref="U20:Y20" si="25">T20+(U19-U18)</f>
        <v>0</v>
      </c>
      <c r="V20" s="58">
        <f t="shared" si="25"/>
        <v>0</v>
      </c>
      <c r="W20" s="58">
        <f t="shared" si="25"/>
        <v>0</v>
      </c>
      <c r="X20" s="58">
        <f t="shared" si="25"/>
        <v>0</v>
      </c>
      <c r="Y20" s="59">
        <f t="shared" si="25"/>
        <v>0</v>
      </c>
      <c r="Z20" s="61"/>
      <c r="AA20" s="58">
        <f>Y20+(AA19-AA18)</f>
        <v>0</v>
      </c>
      <c r="AB20" s="58">
        <f t="shared" ref="AB20:AD20" si="26">AA20+(AB19-AB18)</f>
        <v>0</v>
      </c>
      <c r="AC20" s="58">
        <f t="shared" si="26"/>
        <v>0</v>
      </c>
      <c r="AD20" s="58">
        <f t="shared" si="26"/>
        <v>0</v>
      </c>
      <c r="AE20" s="111"/>
      <c r="AF20" s="112">
        <f>AE20+(AF19-AF18)</f>
        <v>0</v>
      </c>
      <c r="AG20" s="61">
        <f>AF20+(AG19-AG18)</f>
        <v>0</v>
      </c>
      <c r="AH20" s="127"/>
      <c r="AI20" s="94"/>
      <c r="AJ20" s="125"/>
      <c r="AK20" s="94"/>
      <c r="AL20" s="94"/>
      <c r="AM20" s="94"/>
      <c r="AN20" s="94"/>
      <c r="AO20" s="94"/>
      <c r="AP20" s="94"/>
      <c r="AQ20" s="94"/>
      <c r="AR20" s="94"/>
    </row>
    <row r="21" spans="1:44">
      <c r="A21" s="341">
        <v>0.254</v>
      </c>
      <c r="B21" s="62" t="s">
        <v>129</v>
      </c>
      <c r="C21" s="64">
        <v>0</v>
      </c>
      <c r="D21" s="65">
        <v>0</v>
      </c>
      <c r="E21" s="66"/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5">
        <v>0</v>
      </c>
      <c r="L21" s="66"/>
      <c r="M21" s="101"/>
      <c r="N21" s="64">
        <v>0</v>
      </c>
      <c r="O21" s="64">
        <v>0</v>
      </c>
      <c r="P21" s="64">
        <v>0</v>
      </c>
      <c r="Q21" s="64">
        <v>0</v>
      </c>
      <c r="R21" s="65">
        <v>0</v>
      </c>
      <c r="S21" s="66"/>
      <c r="T21" s="64">
        <v>0</v>
      </c>
      <c r="U21" s="64">
        <v>0</v>
      </c>
      <c r="V21" s="64">
        <v>0</v>
      </c>
      <c r="W21" s="64">
        <v>0</v>
      </c>
      <c r="X21" s="64">
        <v>0</v>
      </c>
      <c r="Y21" s="65">
        <v>0</v>
      </c>
      <c r="Z21" s="66"/>
      <c r="AA21" s="64">
        <v>0</v>
      </c>
      <c r="AB21" s="63">
        <v>0</v>
      </c>
      <c r="AC21" s="63">
        <v>0</v>
      </c>
      <c r="AD21" s="63">
        <v>0</v>
      </c>
      <c r="AE21" s="111"/>
      <c r="AF21" s="114">
        <v>0</v>
      </c>
      <c r="AG21" s="66">
        <v>0</v>
      </c>
      <c r="AH21" s="128">
        <f t="shared" ref="AH21:AH25" si="27">SUM(C21:AG21)</f>
        <v>0</v>
      </c>
      <c r="AI21" s="94"/>
      <c r="AJ21" s="125"/>
      <c r="AK21" s="94"/>
      <c r="AL21" s="94"/>
      <c r="AM21" s="94"/>
      <c r="AN21" s="94"/>
      <c r="AO21" s="94"/>
      <c r="AP21" s="94"/>
      <c r="AQ21" s="94"/>
      <c r="AR21" s="94"/>
    </row>
    <row r="22" spans="1:44">
      <c r="A22" s="339"/>
      <c r="B22" s="57" t="s">
        <v>15</v>
      </c>
      <c r="C22" s="58">
        <f>SUMIFS('伸线wire drawing'!$J$7:$J$1000,'伸线wire drawing'!$E$7:$E$1000,'04'!$A$21,'伸线wire drawing'!$A$7:$A$1000,'04'!C$2)</f>
        <v>0</v>
      </c>
      <c r="D22" s="59">
        <f>SUMIFS('伸线wire drawing'!$J$7:$J$1000,'伸线wire drawing'!$E$7:$E$1000,'04'!$A$21,'伸线wire drawing'!$A$7:$A$1000,'04'!D$2)</f>
        <v>0</v>
      </c>
      <c r="E22" s="61"/>
      <c r="F22" s="58">
        <f>SUMIFS('伸线wire drawing'!$J$7:$J$1000,'伸线wire drawing'!$E$7:$E$1000,'04'!$A$21,'伸线wire drawing'!$A$7:$A$1000,'04'!F$2)</f>
        <v>0</v>
      </c>
      <c r="G22" s="58">
        <f>SUMIFS('伸线wire drawing'!$J$7:$J$1000,'伸线wire drawing'!$E$7:$E$1000,'04'!$A$21,'伸线wire drawing'!$A$7:$A$1000,'04'!G$2)</f>
        <v>0</v>
      </c>
      <c r="H22" s="58">
        <f>SUMIFS('伸线wire drawing'!$J$7:$J$1000,'伸线wire drawing'!$E$7:$E$1000,'04'!$A$21,'伸线wire drawing'!$A$7:$A$1000,'04'!H$2)</f>
        <v>0</v>
      </c>
      <c r="I22" s="58">
        <f>SUMIFS('伸线wire drawing'!$J$7:$J$1000,'伸线wire drawing'!$E$7:$E$1000,'04'!$A$21,'伸线wire drawing'!$A$7:$A$1000,'04'!I$2)</f>
        <v>0</v>
      </c>
      <c r="J22" s="58">
        <f>SUMIFS('伸线wire drawing'!$J$7:$J$1000,'伸线wire drawing'!$E$7:$E$1000,'04'!$A$21,'伸线wire drawing'!$A$7:$A$1000,'04'!J$2)</f>
        <v>0</v>
      </c>
      <c r="K22" s="59">
        <f>SUMIFS('伸线wire drawing'!$J$7:$J$1000,'伸线wire drawing'!$E$7:$E$1000,'04'!$A$21,'伸线wire drawing'!$A$7:$A$1000,'04'!K$2)</f>
        <v>0</v>
      </c>
      <c r="L22" s="61"/>
      <c r="M22" s="100"/>
      <c r="N22" s="58">
        <f>SUMIFS('伸线wire drawing'!$J$7:$J$1000,'伸线wire drawing'!$E$7:$E$1000,'04'!$A$21,'伸线wire drawing'!$A$7:$A$1000,'04'!N$2)</f>
        <v>0</v>
      </c>
      <c r="O22" s="58">
        <f>SUMIFS('伸线wire drawing'!$J$7:$J$1000,'伸线wire drawing'!$E$7:$E$1000,'04'!$A$21,'伸线wire drawing'!$A$7:$A$1000,'04'!O$2)</f>
        <v>0</v>
      </c>
      <c r="P22" s="58">
        <f>SUMIFS('伸线wire drawing'!$J$7:$J$1000,'伸线wire drawing'!$E$7:$E$1000,'04'!$A$21,'伸线wire drawing'!$A$7:$A$1000,'04'!P$2)</f>
        <v>0</v>
      </c>
      <c r="Q22" s="58">
        <f>SUMIFS('伸线wire drawing'!$J$7:$J$1000,'伸线wire drawing'!$E$7:$E$1000,'04'!$A$21,'伸线wire drawing'!$A$7:$A$1000,'04'!Q$2)</f>
        <v>0</v>
      </c>
      <c r="R22" s="59">
        <f>SUMIFS('伸线wire drawing'!$J$7:$J$1000,'伸线wire drawing'!$E$7:$E$1000,'04'!$A$21,'伸线wire drawing'!$A$7:$A$1000,'04'!R$2)</f>
        <v>0</v>
      </c>
      <c r="S22" s="61"/>
      <c r="T22" s="58">
        <f>SUMIFS('伸线wire drawing'!$J$7:$J$1000,'伸线wire drawing'!$E$7:$E$1000,'04'!$A$21,'伸线wire drawing'!$A$7:$A$1000,'04'!T$2)</f>
        <v>0</v>
      </c>
      <c r="U22" s="58">
        <f>SUMIFS('伸线wire drawing'!$J$7:$J$1000,'伸线wire drawing'!$E$7:$E$1000,'04'!$A$21,'伸线wire drawing'!$A$7:$A$1000,'04'!U$2)</f>
        <v>0</v>
      </c>
      <c r="V22" s="58">
        <f>SUMIFS('伸线wire drawing'!$J$7:$J$1000,'伸线wire drawing'!$E$7:$E$1000,'04'!$A$21,'伸线wire drawing'!$A$7:$A$1000,'04'!V$2)</f>
        <v>0</v>
      </c>
      <c r="W22" s="58">
        <f>SUMIFS('伸线wire drawing'!$J$7:$J$1000,'伸线wire drawing'!$E$7:$E$1000,'04'!$A$21,'伸线wire drawing'!$A$7:$A$1000,'04'!W$2)</f>
        <v>0</v>
      </c>
      <c r="X22" s="58">
        <f>SUMIFS('伸线wire drawing'!$J$7:$J$1000,'伸线wire drawing'!$E$7:$E$1000,'04'!$A$21,'伸线wire drawing'!$A$7:$A$1000,'04'!X$2)</f>
        <v>0</v>
      </c>
      <c r="Y22" s="59">
        <f>SUMIFS('伸线wire drawing'!$J$7:$J$1000,'伸线wire drawing'!$E$7:$E$1000,'04'!$A$21,'伸线wire drawing'!$A$7:$A$1000,'04'!Y$2)</f>
        <v>0</v>
      </c>
      <c r="Z22" s="61"/>
      <c r="AA22" s="58">
        <f>SUMIFS('伸线wire drawing'!$J$7:$J$1000,'伸线wire drawing'!$E$7:$E$1000,'04'!$A$21,'伸线wire drawing'!$A$7:$A$1000,'04'!AA$2)</f>
        <v>0</v>
      </c>
      <c r="AB22" s="58">
        <f>SUMIFS('伸线wire drawing'!$J$7:$J$1000,'伸线wire drawing'!$E$7:$E$1000,'04'!$A$21,'伸线wire drawing'!$A$7:$A$1000,'04'!AB$2)</f>
        <v>0</v>
      </c>
      <c r="AC22" s="58">
        <f>SUMIFS('伸线wire drawing'!$J$7:$J$1000,'伸线wire drawing'!$E$7:$E$1000,'04'!$A$21,'伸线wire drawing'!$A$7:$A$1000,'04'!AC$2)</f>
        <v>0</v>
      </c>
      <c r="AD22" s="58">
        <f>SUMIFS('伸线wire drawing'!$J$7:$J$1000,'伸线wire drawing'!$E$7:$E$1000,'04'!$A$21,'伸线wire drawing'!$A$7:$A$1000,'04'!AD$2)</f>
        <v>0</v>
      </c>
      <c r="AE22" s="111"/>
      <c r="AF22" s="112"/>
      <c r="AG22" s="61"/>
      <c r="AH22" s="127">
        <f t="shared" si="27"/>
        <v>0</v>
      </c>
      <c r="AI22" s="94"/>
      <c r="AJ22" s="125"/>
      <c r="AK22" s="94"/>
      <c r="AL22" s="94"/>
      <c r="AM22" s="94"/>
      <c r="AN22" s="94"/>
      <c r="AO22" s="94"/>
      <c r="AP22" s="94"/>
      <c r="AQ22" s="94"/>
      <c r="AR22" s="94"/>
    </row>
    <row r="23" spans="1:44">
      <c r="A23" s="342"/>
      <c r="B23" s="67" t="s">
        <v>110</v>
      </c>
      <c r="C23" s="58">
        <f>C22-C21</f>
        <v>0</v>
      </c>
      <c r="D23" s="59">
        <f t="shared" ref="D23:K23" si="28">C23+(D22-D21)</f>
        <v>0</v>
      </c>
      <c r="E23" s="61"/>
      <c r="F23" s="58">
        <f>D23+(F22-F21)</f>
        <v>0</v>
      </c>
      <c r="G23" s="58">
        <f t="shared" si="28"/>
        <v>0</v>
      </c>
      <c r="H23" s="58">
        <f t="shared" si="28"/>
        <v>0</v>
      </c>
      <c r="I23" s="58">
        <f t="shared" si="28"/>
        <v>0</v>
      </c>
      <c r="J23" s="58">
        <f t="shared" si="28"/>
        <v>0</v>
      </c>
      <c r="K23" s="59">
        <f t="shared" si="28"/>
        <v>0</v>
      </c>
      <c r="L23" s="61"/>
      <c r="M23" s="100"/>
      <c r="N23" s="58">
        <f>K23+(N22-N21)</f>
        <v>0</v>
      </c>
      <c r="O23" s="58">
        <f t="shared" ref="O23:R23" si="29">N23+(O22-O21)</f>
        <v>0</v>
      </c>
      <c r="P23" s="58">
        <f t="shared" si="29"/>
        <v>0</v>
      </c>
      <c r="Q23" s="58">
        <f t="shared" si="29"/>
        <v>0</v>
      </c>
      <c r="R23" s="59">
        <f t="shared" si="29"/>
        <v>0</v>
      </c>
      <c r="S23" s="61"/>
      <c r="T23" s="58">
        <f>R23+(T22-T21)</f>
        <v>0</v>
      </c>
      <c r="U23" s="58">
        <f t="shared" ref="U23:Y23" si="30">T23+(U22-U21)</f>
        <v>0</v>
      </c>
      <c r="V23" s="58">
        <f t="shared" si="30"/>
        <v>0</v>
      </c>
      <c r="W23" s="58">
        <f t="shared" si="30"/>
        <v>0</v>
      </c>
      <c r="X23" s="58">
        <f t="shared" si="30"/>
        <v>0</v>
      </c>
      <c r="Y23" s="59">
        <f t="shared" si="30"/>
        <v>0</v>
      </c>
      <c r="Z23" s="61"/>
      <c r="AA23" s="58">
        <f>Y23+(AA22-AA21)</f>
        <v>0</v>
      </c>
      <c r="AB23" s="58">
        <f t="shared" ref="AB23:AD23" si="31">AA23+(AB22-AB21)</f>
        <v>0</v>
      </c>
      <c r="AC23" s="58">
        <f t="shared" si="31"/>
        <v>0</v>
      </c>
      <c r="AD23" s="58">
        <f t="shared" si="31"/>
        <v>0</v>
      </c>
      <c r="AE23" s="115"/>
      <c r="AF23" s="116">
        <f>AE23+(AF22-AF21)</f>
        <v>0</v>
      </c>
      <c r="AG23" s="82">
        <f>AF23+(AG22-AG21)</f>
        <v>0</v>
      </c>
      <c r="AH23" s="129"/>
      <c r="AI23" s="94"/>
      <c r="AJ23" s="125"/>
      <c r="AK23" s="94"/>
      <c r="AL23" s="94"/>
      <c r="AM23" s="94"/>
      <c r="AN23" s="94"/>
      <c r="AO23" s="94"/>
      <c r="AP23" s="94"/>
      <c r="AQ23" s="94"/>
      <c r="AR23" s="94"/>
    </row>
    <row r="24" spans="1:44">
      <c r="A24" s="68"/>
      <c r="B24" s="69" t="s">
        <v>111</v>
      </c>
      <c r="C24" s="70">
        <f t="shared" ref="C24:AD24" si="32">C3+C6+C9+C12+C15+C18+C21</f>
        <v>386</v>
      </c>
      <c r="D24" s="71">
        <f t="shared" si="32"/>
        <v>216</v>
      </c>
      <c r="E24" s="72">
        <f t="shared" si="32"/>
        <v>0</v>
      </c>
      <c r="F24" s="73">
        <f t="shared" si="32"/>
        <v>386</v>
      </c>
      <c r="G24" s="73">
        <f t="shared" si="32"/>
        <v>486</v>
      </c>
      <c r="H24" s="73">
        <f t="shared" si="32"/>
        <v>486</v>
      </c>
      <c r="I24" s="73">
        <f t="shared" si="32"/>
        <v>486</v>
      </c>
      <c r="J24" s="73">
        <f t="shared" si="32"/>
        <v>486</v>
      </c>
      <c r="K24" s="71">
        <f t="shared" si="32"/>
        <v>266</v>
      </c>
      <c r="L24" s="72">
        <f t="shared" si="32"/>
        <v>0</v>
      </c>
      <c r="M24" s="103">
        <f t="shared" si="32"/>
        <v>0</v>
      </c>
      <c r="N24" s="73">
        <f t="shared" si="32"/>
        <v>486</v>
      </c>
      <c r="O24" s="73">
        <f t="shared" si="32"/>
        <v>486</v>
      </c>
      <c r="P24" s="73">
        <f t="shared" si="32"/>
        <v>486</v>
      </c>
      <c r="Q24" s="73">
        <f t="shared" si="32"/>
        <v>486</v>
      </c>
      <c r="R24" s="71">
        <f t="shared" si="32"/>
        <v>266</v>
      </c>
      <c r="S24" s="72">
        <f t="shared" si="32"/>
        <v>0</v>
      </c>
      <c r="T24" s="73">
        <f t="shared" si="32"/>
        <v>528</v>
      </c>
      <c r="U24" s="73">
        <f t="shared" si="32"/>
        <v>528</v>
      </c>
      <c r="V24" s="73">
        <f t="shared" si="32"/>
        <v>528</v>
      </c>
      <c r="W24" s="73">
        <f t="shared" si="32"/>
        <v>528</v>
      </c>
      <c r="X24" s="73">
        <f t="shared" si="32"/>
        <v>528</v>
      </c>
      <c r="Y24" s="71">
        <f t="shared" si="32"/>
        <v>308</v>
      </c>
      <c r="Z24" s="72">
        <f t="shared" si="32"/>
        <v>0</v>
      </c>
      <c r="AA24" s="73">
        <f t="shared" si="32"/>
        <v>428</v>
      </c>
      <c r="AB24" s="73">
        <f t="shared" si="32"/>
        <v>428</v>
      </c>
      <c r="AC24" s="73">
        <f t="shared" si="32"/>
        <v>428</v>
      </c>
      <c r="AD24" s="73">
        <f t="shared" si="32"/>
        <v>428</v>
      </c>
      <c r="AE24" s="117"/>
      <c r="AF24" s="71">
        <f>AF3+AF6+AF9+AF12+AF15+AF18+AF21</f>
        <v>0</v>
      </c>
      <c r="AG24" s="72">
        <f>AG3+AG6+AG9+AG12+AG15+AG18+AG21</f>
        <v>0</v>
      </c>
      <c r="AH24" s="126">
        <f t="shared" si="27"/>
        <v>10068</v>
      </c>
      <c r="AI24" s="94"/>
      <c r="AJ24" s="125"/>
      <c r="AK24" s="94"/>
      <c r="AL24" s="94"/>
      <c r="AM24" s="94"/>
      <c r="AN24" s="94"/>
      <c r="AO24" s="94"/>
      <c r="AP24" s="94"/>
      <c r="AQ24" s="94"/>
      <c r="AR24" s="94"/>
    </row>
    <row r="25" spans="1:44">
      <c r="A25" s="68"/>
      <c r="B25" s="74" t="s">
        <v>112</v>
      </c>
      <c r="C25" s="75">
        <f t="shared" ref="C25:AD25" si="33">C4+C7+C10+C13+C16+C19+C22</f>
        <v>464.0057748480001</v>
      </c>
      <c r="D25" s="76">
        <f t="shared" si="33"/>
        <v>250.22401662720003</v>
      </c>
      <c r="E25" s="77">
        <f t="shared" si="33"/>
        <v>0</v>
      </c>
      <c r="F25" s="78">
        <f t="shared" si="33"/>
        <v>474.88566343680003</v>
      </c>
      <c r="G25" s="78">
        <f t="shared" si="33"/>
        <v>576.48199150080006</v>
      </c>
      <c r="H25" s="78">
        <f t="shared" si="33"/>
        <v>643.41656924160009</v>
      </c>
      <c r="I25" s="78">
        <f t="shared" si="33"/>
        <v>627.32041827839998</v>
      </c>
      <c r="J25" s="78">
        <f t="shared" si="33"/>
        <v>616.34658328320006</v>
      </c>
      <c r="K25" s="76">
        <f t="shared" si="33"/>
        <v>268.96408788480005</v>
      </c>
      <c r="L25" s="77">
        <f t="shared" si="33"/>
        <v>0</v>
      </c>
      <c r="M25" s="104">
        <f t="shared" si="33"/>
        <v>0</v>
      </c>
      <c r="N25" s="78">
        <f t="shared" si="33"/>
        <v>522.53885967359997</v>
      </c>
      <c r="O25" s="78">
        <f t="shared" si="33"/>
        <v>631.91484491520009</v>
      </c>
      <c r="P25" s="78">
        <f t="shared" si="33"/>
        <v>657.83063216640005</v>
      </c>
      <c r="Q25" s="78">
        <f t="shared" si="33"/>
        <v>594.78364619520016</v>
      </c>
      <c r="R25" s="76">
        <f t="shared" si="33"/>
        <v>445.30149269760011</v>
      </c>
      <c r="S25" s="77">
        <f t="shared" si="33"/>
        <v>0</v>
      </c>
      <c r="T25" s="78">
        <f t="shared" si="33"/>
        <v>638.04372952320011</v>
      </c>
      <c r="U25" s="78">
        <f t="shared" si="33"/>
        <v>335.61235276800005</v>
      </c>
      <c r="V25" s="78">
        <f t="shared" si="33"/>
        <v>452.86641523200001</v>
      </c>
      <c r="W25" s="78">
        <f t="shared" si="33"/>
        <v>496.54254693119998</v>
      </c>
      <c r="X25" s="78">
        <f t="shared" si="33"/>
        <v>452.84852067840006</v>
      </c>
      <c r="Y25" s="76">
        <f t="shared" si="33"/>
        <v>273.67930275840001</v>
      </c>
      <c r="Z25" s="77">
        <f t="shared" si="33"/>
        <v>0</v>
      </c>
      <c r="AA25" s="78">
        <f t="shared" si="33"/>
        <v>246.56458041600004</v>
      </c>
      <c r="AB25" s="78">
        <f t="shared" si="33"/>
        <v>0</v>
      </c>
      <c r="AC25" s="78">
        <f t="shared" si="33"/>
        <v>0</v>
      </c>
      <c r="AD25" s="78">
        <f t="shared" si="33"/>
        <v>0</v>
      </c>
      <c r="AE25" s="118"/>
      <c r="AF25" s="76">
        <f>AF4+AF7+AF10+AF13+AF16+AF19+AF22</f>
        <v>0</v>
      </c>
      <c r="AG25" s="77">
        <f>AG4+AG7+AG10+AG13+AG16+AG19+AG22</f>
        <v>0</v>
      </c>
      <c r="AH25" s="130">
        <f t="shared" si="27"/>
        <v>9670.1720290560024</v>
      </c>
      <c r="AI25" s="94"/>
      <c r="AJ25" s="125"/>
      <c r="AK25" s="94"/>
      <c r="AL25" s="94"/>
      <c r="AM25" s="94"/>
      <c r="AN25" s="94"/>
      <c r="AO25" s="94"/>
      <c r="AP25" s="94"/>
      <c r="AQ25" s="94"/>
      <c r="AR25" s="94"/>
    </row>
    <row r="26" spans="1:44">
      <c r="AI26" s="94"/>
      <c r="AJ26" s="125"/>
      <c r="AK26" s="94"/>
      <c r="AL26" s="94"/>
      <c r="AM26" s="94"/>
      <c r="AN26" s="94"/>
      <c r="AO26" s="94"/>
      <c r="AP26" s="94"/>
      <c r="AQ26" s="94"/>
      <c r="AR26" s="94"/>
    </row>
    <row r="27" spans="1:44">
      <c r="AI27" s="94"/>
      <c r="AJ27" s="125"/>
      <c r="AK27" s="94"/>
      <c r="AL27" s="94"/>
      <c r="AM27" s="94"/>
      <c r="AN27" s="94"/>
      <c r="AO27" s="94"/>
      <c r="AP27" s="94"/>
      <c r="AQ27" s="94"/>
      <c r="AR27" s="94"/>
    </row>
    <row r="28" spans="1:44">
      <c r="AI28" s="94"/>
      <c r="AJ28" s="125"/>
      <c r="AK28" s="94"/>
      <c r="AL28" s="94"/>
      <c r="AM28" s="94"/>
      <c r="AN28" s="94"/>
      <c r="AO28" s="94"/>
      <c r="AP28" s="94"/>
      <c r="AQ28" s="94"/>
      <c r="AR28" s="94"/>
    </row>
    <row r="29" spans="1:44">
      <c r="AI29" s="94"/>
      <c r="AJ29" s="125"/>
      <c r="AK29" s="94"/>
      <c r="AL29" s="94"/>
      <c r="AM29" s="94"/>
      <c r="AN29" s="94"/>
      <c r="AO29" s="94"/>
      <c r="AP29" s="94"/>
      <c r="AQ29" s="94"/>
      <c r="AR29" s="94"/>
    </row>
    <row r="30" spans="1:44" ht="30" customHeight="1">
      <c r="A30" s="79" t="s">
        <v>7</v>
      </c>
      <c r="B30" s="80" t="s">
        <v>8</v>
      </c>
      <c r="C30" s="50">
        <v>45352</v>
      </c>
      <c r="D30" s="51">
        <v>45353</v>
      </c>
      <c r="E30" s="52">
        <v>45354</v>
      </c>
      <c r="F30" s="50">
        <v>45355</v>
      </c>
      <c r="G30" s="50">
        <v>45356</v>
      </c>
      <c r="H30" s="50">
        <v>45357</v>
      </c>
      <c r="I30" s="50">
        <v>45358</v>
      </c>
      <c r="J30" s="50">
        <v>45359</v>
      </c>
      <c r="K30" s="51">
        <v>45360</v>
      </c>
      <c r="L30" s="52">
        <v>45361</v>
      </c>
      <c r="M30" s="97">
        <v>45362</v>
      </c>
      <c r="N30" s="50">
        <v>45363</v>
      </c>
      <c r="O30" s="50">
        <v>45364</v>
      </c>
      <c r="P30" s="50">
        <v>45365</v>
      </c>
      <c r="Q30" s="50">
        <v>45366</v>
      </c>
      <c r="R30" s="51">
        <v>45367</v>
      </c>
      <c r="S30" s="52">
        <v>45368</v>
      </c>
      <c r="T30" s="50">
        <v>45369</v>
      </c>
      <c r="U30" s="50">
        <v>45370</v>
      </c>
      <c r="V30" s="50">
        <v>45371</v>
      </c>
      <c r="W30" s="50">
        <v>45372</v>
      </c>
      <c r="X30" s="50">
        <v>45373</v>
      </c>
      <c r="Y30" s="51">
        <v>45374</v>
      </c>
      <c r="Z30" s="52">
        <v>45375</v>
      </c>
      <c r="AA30" s="50">
        <v>45376</v>
      </c>
      <c r="AB30" s="50">
        <v>45377</v>
      </c>
      <c r="AC30" s="50">
        <v>45378</v>
      </c>
      <c r="AD30" s="50">
        <v>45379</v>
      </c>
      <c r="AE30" s="97">
        <v>45380</v>
      </c>
      <c r="AF30" s="51">
        <v>45381</v>
      </c>
      <c r="AG30" s="52">
        <v>45382</v>
      </c>
      <c r="AH30" s="124" t="s">
        <v>9</v>
      </c>
      <c r="AI30" s="94"/>
      <c r="AJ30" s="94"/>
      <c r="AK30" s="94"/>
      <c r="AL30" s="94"/>
      <c r="AM30" s="94"/>
      <c r="AN30" s="94"/>
      <c r="AO30" s="94"/>
      <c r="AP30" s="94"/>
      <c r="AQ30" s="94"/>
      <c r="AR30" s="94"/>
    </row>
    <row r="31" spans="1:44">
      <c r="A31" s="343" t="s">
        <v>113</v>
      </c>
      <c r="B31" s="81" t="s">
        <v>130</v>
      </c>
      <c r="C31" s="63">
        <v>0</v>
      </c>
      <c r="D31" s="59">
        <v>0</v>
      </c>
      <c r="E31" s="61"/>
      <c r="F31" s="63">
        <v>306</v>
      </c>
      <c r="G31" s="63">
        <v>306</v>
      </c>
      <c r="H31" s="63">
        <v>306</v>
      </c>
      <c r="I31" s="63">
        <v>306</v>
      </c>
      <c r="J31" s="63">
        <v>306</v>
      </c>
      <c r="K31" s="59">
        <v>215</v>
      </c>
      <c r="L31" s="61"/>
      <c r="M31" s="100"/>
      <c r="N31" s="63">
        <v>306</v>
      </c>
      <c r="O31" s="63">
        <v>306</v>
      </c>
      <c r="P31" s="63">
        <v>306</v>
      </c>
      <c r="Q31" s="63">
        <v>306</v>
      </c>
      <c r="R31" s="59">
        <v>215</v>
      </c>
      <c r="S31" s="61"/>
      <c r="T31" s="63">
        <v>320</v>
      </c>
      <c r="U31" s="63">
        <v>450</v>
      </c>
      <c r="V31" s="63">
        <v>450</v>
      </c>
      <c r="W31" s="63">
        <v>450</v>
      </c>
      <c r="X31" s="63">
        <v>450</v>
      </c>
      <c r="Y31" s="59">
        <v>300</v>
      </c>
      <c r="Z31" s="61"/>
      <c r="AA31" s="63">
        <v>350</v>
      </c>
      <c r="AB31" s="63">
        <v>350</v>
      </c>
      <c r="AC31" s="63">
        <v>350</v>
      </c>
      <c r="AD31" s="63">
        <v>350</v>
      </c>
      <c r="AE31" s="100"/>
      <c r="AF31" s="112">
        <v>0</v>
      </c>
      <c r="AG31" s="61"/>
      <c r="AH31" s="128">
        <f t="shared" ref="AH31:AH35" si="34">SUM(C31:AG31)</f>
        <v>7004</v>
      </c>
    </row>
    <row r="32" spans="1:44">
      <c r="A32" s="344"/>
      <c r="B32" s="57" t="s">
        <v>15</v>
      </c>
      <c r="C32" s="58">
        <f>SUMIFS('退火anil '!$H$7:$H$1000,'退火anil '!$E$7:$E$1000,'04'!$A$31,'退火anil '!$A$7:$A$1000,'04'!C$30)</f>
        <v>0</v>
      </c>
      <c r="D32" s="59">
        <f>SUMIFS('退火anil '!$H$7:$H$1000,'退火anil '!$E$7:$E$1000,'04'!$A$31,'退火anil '!$A$7:$A$1000,'04'!D$30)</f>
        <v>0</v>
      </c>
      <c r="E32" s="61"/>
      <c r="F32" s="58">
        <f>SUMIFS('退火anil '!$H$7:$H$1000,'退火anil '!$E$7:$E$1000,'04'!$A$31,'退火anil '!$A$7:$A$1000,'04'!F$30)</f>
        <v>372.38</v>
      </c>
      <c r="G32" s="58">
        <f>SUMIFS('退火anil '!$H$7:$H$1000,'退火anil '!$E$7:$E$1000,'04'!$A$31,'退火anil '!$A$7:$A$1000,'04'!G$30)</f>
        <v>394.7</v>
      </c>
      <c r="H32" s="58">
        <f>SUMIFS('退火anil '!$H$7:$H$1000,'退火anil '!$E$7:$E$1000,'04'!$A$31,'退火anil '!$A$7:$A$1000,'04'!H$30)</f>
        <v>382.02</v>
      </c>
      <c r="I32" s="58">
        <f>SUMIFS('退火anil '!$H$7:$H$1000,'退火anil '!$E$7:$E$1000,'04'!$A$31,'退火anil '!$A$7:$A$1000,'04'!I$30)</f>
        <v>502.94</v>
      </c>
      <c r="J32" s="58">
        <f>SUMIFS('退火anil '!$H$7:$H$1000,'退火anil '!$E$7:$E$1000,'04'!$A$31,'退火anil '!$A$7:$A$1000,'04'!J$30)</f>
        <v>486.42</v>
      </c>
      <c r="K32" s="59">
        <f>SUMIFS('退火anil '!$H$7:$H$1000,'退火anil '!$E$7:$E$1000,'04'!$A$31,'退火anil '!$A$7:$A$1000,'04'!K$30)</f>
        <v>337.68</v>
      </c>
      <c r="L32" s="61"/>
      <c r="M32" s="100"/>
      <c r="N32" s="58">
        <v>0</v>
      </c>
      <c r="O32" s="58">
        <f>SUMIFS('退火anil '!$H$7:$H$1000,'退火anil '!$E$7:$E$1000,'04'!$A$31,'退火anil '!$A$7:$A$1000,'04'!O$30)</f>
        <v>162.36000000000001</v>
      </c>
      <c r="P32" s="58">
        <f>SUMIFS('退火anil '!$H$7:$H$1000,'退火anil '!$E$7:$E$1000,'04'!$A$31,'退火anil '!$A$7:$A$1000,'04'!P$30)</f>
        <v>273.68</v>
      </c>
      <c r="Q32" s="58">
        <f>SUMIFS('退火anil '!$H$7:$H$1000,'退火anil '!$E$7:$E$1000,'04'!$A$31,'退火anil '!$A$7:$A$1000,'04'!Q$30)</f>
        <v>744.78</v>
      </c>
      <c r="R32" s="59">
        <f>SUMIFS('退火anil '!$H$7:$H$1000,'退火anil '!$E$7:$E$1000,'04'!$A$31,'退火anil '!$A$7:$A$1000,'04'!R$30)</f>
        <v>519.84</v>
      </c>
      <c r="S32" s="61"/>
      <c r="T32" s="58">
        <f>SUMIFS('退火anil '!$H$7:$H$1000,'退火anil '!$E$7:$E$1000,'04'!$A$31,'退火anil '!$A$7:$A$1000,'04'!T$30)</f>
        <v>603.9</v>
      </c>
      <c r="U32" s="58">
        <f>SUMIFS('退火anil '!$H$7:$H$1000,'退火anil '!$E$7:$E$1000,'04'!$A$31,'退火anil '!$A$7:$A$1000,'04'!U$30)</f>
        <v>400.38</v>
      </c>
      <c r="V32" s="58">
        <f>SUMIFS('退火anil '!$H$7:$H$1000,'退火anil '!$E$7:$E$1000,'04'!$A$31,'退火anil '!$A$7:$A$1000,'04'!V$30)</f>
        <v>341</v>
      </c>
      <c r="W32" s="58">
        <f>SUMIFS('退火anil '!$H$7:$H$1000,'退火anil '!$E$7:$E$1000,'04'!$A$31,'退火anil '!$A$7:$A$1000,'04'!W$30)</f>
        <v>195.42</v>
      </c>
      <c r="X32" s="58">
        <f>SUMIFS('退火anil '!$H$7:$H$1000,'退火anil '!$E$7:$E$1000,'04'!$A$31,'退火anil '!$A$7:$A$1000,'04'!X$30)</f>
        <v>360.74</v>
      </c>
      <c r="Y32" s="59">
        <f>SUMIFS('退火anil '!$H$7:$H$1000,'退火anil '!$E$7:$E$1000,'04'!$A$31,'退火anil '!$A$7:$A$1000,'04'!Y$30)</f>
        <v>247.02</v>
      </c>
      <c r="Z32" s="61"/>
      <c r="AA32" s="58">
        <f>SUMIFS('退火anil '!$H$7:$H$1000,'退火anil '!$E$7:$E$1000,'04'!$A$31,'退火anil '!$A$7:$A$1000,'04'!AA$30)</f>
        <v>355.94</v>
      </c>
      <c r="AB32" s="58">
        <f>SUMIFS('退火anil '!$H$7:$H$1000,'退火anil '!$E$7:$E$1000,'04'!$A$31,'退火anil '!$A$7:$A$1000,'04'!AB$30)</f>
        <v>0</v>
      </c>
      <c r="AC32" s="58">
        <f>SUMIFS('退火anil '!$H$7:$H$1000,'退火anil '!$E$7:$E$1000,'04'!$A$31,'退火anil '!$A$7:$A$1000,'04'!AC$30)</f>
        <v>0</v>
      </c>
      <c r="AD32" s="58">
        <f>SUMIFS('退火anil '!$H$7:$H$1000,'退火anil '!$E$7:$E$1000,'04'!$A$31,'退火anil '!$A$7:$A$1000,'04'!AD$30)</f>
        <v>0</v>
      </c>
      <c r="AE32" s="111"/>
      <c r="AF32" s="112"/>
      <c r="AG32" s="61"/>
      <c r="AH32" s="127">
        <f t="shared" si="34"/>
        <v>6681.2</v>
      </c>
    </row>
    <row r="33" spans="1:44">
      <c r="A33" s="345"/>
      <c r="B33" s="57" t="s">
        <v>114</v>
      </c>
      <c r="C33" s="58">
        <f>C32-C31</f>
        <v>0</v>
      </c>
      <c r="D33" s="59">
        <f t="shared" ref="D33:K33" si="35">C33+(D32-D31)</f>
        <v>0</v>
      </c>
      <c r="E33" s="61"/>
      <c r="F33" s="58">
        <f>D33+(F32-F31)</f>
        <v>66.38</v>
      </c>
      <c r="G33" s="58">
        <f t="shared" si="35"/>
        <v>155.07999999999998</v>
      </c>
      <c r="H33" s="58">
        <f t="shared" si="35"/>
        <v>231.09999999999997</v>
      </c>
      <c r="I33" s="58">
        <f t="shared" si="35"/>
        <v>428.03999999999996</v>
      </c>
      <c r="J33" s="58">
        <f t="shared" si="35"/>
        <v>608.46</v>
      </c>
      <c r="K33" s="59">
        <f t="shared" si="35"/>
        <v>731.1400000000001</v>
      </c>
      <c r="L33" s="61"/>
      <c r="M33" s="100"/>
      <c r="N33" s="58">
        <f>K33+(N32-N31)</f>
        <v>425.1400000000001</v>
      </c>
      <c r="O33" s="58">
        <f t="shared" ref="O33:R33" si="36">N33+(O32-O31)</f>
        <v>281.50000000000011</v>
      </c>
      <c r="P33" s="58">
        <f t="shared" si="36"/>
        <v>249.18000000000012</v>
      </c>
      <c r="Q33" s="58">
        <f t="shared" si="36"/>
        <v>687.96</v>
      </c>
      <c r="R33" s="59">
        <f t="shared" si="36"/>
        <v>992.80000000000007</v>
      </c>
      <c r="S33" s="61"/>
      <c r="T33" s="58">
        <f>R33+(T32-T31)</f>
        <v>1276.7</v>
      </c>
      <c r="U33" s="58">
        <f t="shared" ref="U33:Y33" si="37">T33+(U32-U31)</f>
        <v>1227.08</v>
      </c>
      <c r="V33" s="58">
        <f t="shared" si="37"/>
        <v>1118.08</v>
      </c>
      <c r="W33" s="58">
        <f t="shared" si="37"/>
        <v>863.49999999999989</v>
      </c>
      <c r="X33" s="58">
        <f t="shared" si="37"/>
        <v>774.2399999999999</v>
      </c>
      <c r="Y33" s="59">
        <f t="shared" si="37"/>
        <v>721.25999999999988</v>
      </c>
      <c r="Z33" s="61"/>
      <c r="AA33" s="58">
        <f>Y33+(AA32-AA31)</f>
        <v>727.19999999999982</v>
      </c>
      <c r="AB33" s="58">
        <f t="shared" ref="AB33:AD33" si="38">AA33+(AB32-AB31)</f>
        <v>377.19999999999982</v>
      </c>
      <c r="AC33" s="58">
        <f t="shared" si="38"/>
        <v>27.199999999999818</v>
      </c>
      <c r="AD33" s="58">
        <f t="shared" si="38"/>
        <v>-322.80000000000018</v>
      </c>
      <c r="AE33" s="111"/>
      <c r="AF33" s="112">
        <f>AE33+(AF32-AF31)</f>
        <v>0</v>
      </c>
      <c r="AG33" s="61"/>
      <c r="AH33" s="127"/>
      <c r="AI33" s="94"/>
      <c r="AJ33" s="125"/>
      <c r="AK33" s="94"/>
      <c r="AL33" s="94"/>
      <c r="AM33" s="94"/>
      <c r="AN33" s="94"/>
      <c r="AO33" s="94"/>
      <c r="AP33" s="94"/>
      <c r="AQ33" s="94"/>
      <c r="AR33" s="94"/>
    </row>
    <row r="34" spans="1:44">
      <c r="A34" s="343" t="s">
        <v>131</v>
      </c>
      <c r="B34" s="81" t="s">
        <v>130</v>
      </c>
      <c r="C34" s="63">
        <f>IFERROR(SUMIF($A$1:$A$1,$A34,C$1:C$1),0)</f>
        <v>0</v>
      </c>
      <c r="D34" s="59">
        <f>IFERROR(SUMIF($A$1:$A$1,$A34,D$1:D$1),0)</f>
        <v>0</v>
      </c>
      <c r="E34" s="61"/>
      <c r="F34" s="63">
        <f>IFERROR(SUMIF($A$1:$A$1,$A34,F$1:F$1),0)</f>
        <v>0</v>
      </c>
      <c r="G34" s="63">
        <v>100</v>
      </c>
      <c r="H34" s="63">
        <v>100</v>
      </c>
      <c r="I34" s="63">
        <v>100</v>
      </c>
      <c r="J34" s="63">
        <v>100</v>
      </c>
      <c r="K34" s="59">
        <v>50</v>
      </c>
      <c r="L34" s="61"/>
      <c r="M34" s="100"/>
      <c r="N34" s="63">
        <v>100</v>
      </c>
      <c r="O34" s="63">
        <v>100</v>
      </c>
      <c r="P34" s="63">
        <v>100</v>
      </c>
      <c r="Q34" s="63">
        <v>100</v>
      </c>
      <c r="R34" s="59">
        <v>50</v>
      </c>
      <c r="S34" s="61"/>
      <c r="T34" s="63">
        <v>100</v>
      </c>
      <c r="U34" s="63">
        <v>100</v>
      </c>
      <c r="V34" s="63">
        <v>100</v>
      </c>
      <c r="W34" s="63">
        <v>100</v>
      </c>
      <c r="X34" s="63">
        <v>100</v>
      </c>
      <c r="Y34" s="59">
        <v>50</v>
      </c>
      <c r="Z34" s="61"/>
      <c r="AA34" s="63">
        <f>IFERROR(SUMIF($A$1:$A$1,$A34,AA$1:AA$1),0)</f>
        <v>0</v>
      </c>
      <c r="AB34" s="63"/>
      <c r="AC34" s="63">
        <v>0</v>
      </c>
      <c r="AD34" s="63">
        <v>0</v>
      </c>
      <c r="AE34" s="111"/>
      <c r="AF34" s="112">
        <f>IFERROR(SUMIF($A$1:$A$1,$A34,AF$1:AF$1),0)</f>
        <v>0</v>
      </c>
      <c r="AG34" s="61"/>
      <c r="AH34" s="128">
        <f t="shared" si="34"/>
        <v>1450</v>
      </c>
      <c r="AI34" s="94"/>
    </row>
    <row r="35" spans="1:44">
      <c r="A35" s="344"/>
      <c r="B35" s="57" t="s">
        <v>15</v>
      </c>
      <c r="C35" s="58">
        <f>SUMIFS('退火anil '!$H$7:$H$1000,'退火anil '!$E$7:$E$1000,'04'!$A$34,'退火anil '!$A$7:$A$1000,'04'!C$30)</f>
        <v>0</v>
      </c>
      <c r="D35" s="59">
        <f>SUMIFS('退火anil '!$H$7:$H$1000,'退火anil '!$E$7:$E$1000,'04'!$A$34,'退火anil '!$A$7:$A$1000,'04'!D$30)</f>
        <v>0</v>
      </c>
      <c r="E35" s="61"/>
      <c r="F35" s="58">
        <f>SUMIFS('退火anil '!$H$7:$H$1000,'退火anil '!$E$7:$E$1000,'04'!$A$34,'退火anil '!$A$7:$A$1000,'04'!F$30)</f>
        <v>0</v>
      </c>
      <c r="G35" s="58">
        <f>SUMIFS('退火anil '!$H$7:$H$1000,'退火anil '!$E$7:$E$1000,'04'!$A$34,'退火anil '!$A$7:$A$1000,'04'!G$30)</f>
        <v>120.26</v>
      </c>
      <c r="H35" s="58">
        <f>SUMIFS('退火anil '!$H$7:$H$1000,'退火anil '!$E$7:$E$1000,'04'!$A$34,'退火anil '!$A$7:$A$1000,'04'!H$30)</f>
        <v>76.84</v>
      </c>
      <c r="I35" s="58">
        <f>SUMIFS('退火anil '!$H$7:$H$1000,'退火anil '!$E$7:$E$1000,'04'!$A$34,'退火anil '!$A$7:$A$1000,'04'!I$30)</f>
        <v>0</v>
      </c>
      <c r="J35" s="58">
        <f>SUMIFS('退火anil '!$H$7:$H$1000,'退火anil '!$E$7:$E$1000,'04'!$A$34,'退火anil '!$A$7:$A$1000,'04'!J$30)</f>
        <v>0</v>
      </c>
      <c r="K35" s="59">
        <f>SUMIFS('退火anil '!$H$7:$H$1000,'退火anil '!$E$7:$E$1000,'04'!$A$34,'退火anil '!$A$7:$A$1000,'04'!K$30)</f>
        <v>0</v>
      </c>
      <c r="L35" s="61"/>
      <c r="M35" s="100"/>
      <c r="N35" s="58">
        <f>SUMIFS('退火anil '!$H$7:$H$1000,'退火anil '!$E$7:$E$1000,'04'!$A$34,'退火anil '!$A$7:$A$1000,'04'!N$30)</f>
        <v>85.8</v>
      </c>
      <c r="O35" s="58">
        <f>SUMIFS('退火anil '!$H$7:$H$1000,'退火anil '!$E$7:$E$1000,'04'!$A$34,'退火anil '!$A$7:$A$1000,'04'!O$30)</f>
        <v>324.48</v>
      </c>
      <c r="P35" s="58">
        <f>SUMIFS('退火anil '!$H$7:$H$1000,'退火anil '!$E$7:$E$1000,'04'!$A$34,'退火anil '!$A$7:$A$1000,'04'!P$30)</f>
        <v>272.16000000000003</v>
      </c>
      <c r="Q35" s="58">
        <f>SUMIFS('退火anil '!$H$7:$H$1000,'退火anil '!$E$7:$E$1000,'04'!$A$34,'退火anil '!$A$7:$A$1000,'04'!Q$30)</f>
        <v>17.559999999999999</v>
      </c>
      <c r="R35" s="59">
        <f>SUMIFS('退火anil '!$H$7:$H$1000,'退火anil '!$E$7:$E$1000,'04'!$A$34,'退火anil '!$A$7:$A$1000,'04'!R$30)</f>
        <v>0</v>
      </c>
      <c r="S35" s="61"/>
      <c r="T35" s="58">
        <f>SUMIFS('退火anil '!$H$7:$H$1000,'退火anil '!$E$7:$E$1000,'04'!$A$34,'退火anil '!$A$7:$A$1000,'04'!T$30)</f>
        <v>0</v>
      </c>
      <c r="U35" s="58">
        <f>SUMIFS('退火anil '!$H$7:$H$1000,'退火anil '!$E$7:$E$1000,'04'!$A$34,'退火anil '!$A$7:$A$1000,'04'!U$30)</f>
        <v>0</v>
      </c>
      <c r="V35" s="58">
        <f>SUMIFS('退火anil '!$H$7:$H$1000,'退火anil '!$E$7:$E$1000,'04'!$A$34,'退火anil '!$A$7:$A$1000,'04'!V$30)</f>
        <v>0</v>
      </c>
      <c r="W35" s="58">
        <f>SUMIFS('退火anil '!$H$7:$H$1000,'退火anil '!$E$7:$E$1000,'04'!$A$34,'退火anil '!$A$7:$A$1000,'04'!W$30)</f>
        <v>362.44</v>
      </c>
      <c r="X35" s="58">
        <f>SUMIFS('退火anil '!$H$7:$H$1000,'退火anil '!$E$7:$E$1000,'04'!$A$34,'退火anil '!$A$7:$A$1000,'04'!X$30)</f>
        <v>14.44</v>
      </c>
      <c r="Y35" s="59">
        <f>SUMIFS('退火anil '!$H$7:$H$1000,'退火anil '!$E$7:$E$1000,'04'!$A$34,'退火anil '!$A$7:$A$1000,'04'!Y$30)</f>
        <v>0</v>
      </c>
      <c r="Z35" s="61"/>
      <c r="AA35" s="58">
        <f>SUMIFS('退火anil '!$H$7:$H$1000,'退火anil '!$E$7:$E$1000,'04'!$A$34,'退火anil '!$A$7:$A$1000,'04'!AA$30)</f>
        <v>0</v>
      </c>
      <c r="AB35" s="58">
        <f>SUMIFS('退火anil '!$H$7:$H$1000,'退火anil '!$E$7:$E$1000,'04'!$A$34,'退火anil '!$A$7:$A$1000,'04'!AB$30)</f>
        <v>0</v>
      </c>
      <c r="AC35" s="58">
        <f>SUMIFS('退火anil '!$H$7:$H$1000,'退火anil '!$E$7:$E$1000,'04'!$A$34,'退火anil '!$A$7:$A$1000,'04'!AC$30)</f>
        <v>0</v>
      </c>
      <c r="AD35" s="58">
        <f>SUMIFS('退火anil '!$H$7:$H$1000,'退火anil '!$E$7:$E$1000,'04'!$A$34,'退火anil '!$A$7:$A$1000,'04'!AD$30)</f>
        <v>0</v>
      </c>
      <c r="AE35" s="111"/>
      <c r="AF35" s="112"/>
      <c r="AG35" s="61"/>
      <c r="AH35" s="127">
        <f t="shared" si="34"/>
        <v>1273.9800000000002</v>
      </c>
      <c r="AI35" s="94"/>
    </row>
    <row r="36" spans="1:44">
      <c r="A36" s="345"/>
      <c r="B36" s="57" t="s">
        <v>114</v>
      </c>
      <c r="C36" s="58">
        <f>C35-C34</f>
        <v>0</v>
      </c>
      <c r="D36" s="59">
        <f t="shared" ref="D36:K36" si="39">C36+(D35-D34)</f>
        <v>0</v>
      </c>
      <c r="E36" s="61"/>
      <c r="F36" s="58">
        <f>D36+(F35-F34)</f>
        <v>0</v>
      </c>
      <c r="G36" s="58">
        <f t="shared" si="39"/>
        <v>20.260000000000005</v>
      </c>
      <c r="H36" s="58">
        <f t="shared" si="39"/>
        <v>-2.8999999999999915</v>
      </c>
      <c r="I36" s="58">
        <f t="shared" si="39"/>
        <v>-102.89999999999999</v>
      </c>
      <c r="J36" s="58">
        <f t="shared" si="39"/>
        <v>-202.89999999999998</v>
      </c>
      <c r="K36" s="59">
        <f t="shared" si="39"/>
        <v>-252.89999999999998</v>
      </c>
      <c r="L36" s="61"/>
      <c r="M36" s="100"/>
      <c r="N36" s="58">
        <f>K36+(N35-N34)</f>
        <v>-267.09999999999997</v>
      </c>
      <c r="O36" s="58">
        <f t="shared" ref="O36:R36" si="40">N36+(O35-O34)</f>
        <v>-42.619999999999948</v>
      </c>
      <c r="P36" s="58">
        <f t="shared" si="40"/>
        <v>129.54000000000008</v>
      </c>
      <c r="Q36" s="58">
        <f t="shared" si="40"/>
        <v>47.10000000000008</v>
      </c>
      <c r="R36" s="59">
        <f t="shared" si="40"/>
        <v>-2.8999999999999204</v>
      </c>
      <c r="S36" s="61"/>
      <c r="T36" s="58">
        <f>R36+(T35-T34)</f>
        <v>-102.89999999999992</v>
      </c>
      <c r="U36" s="58">
        <f t="shared" ref="U36:Y36" si="41">T36+(U35-U34)</f>
        <v>-202.89999999999992</v>
      </c>
      <c r="V36" s="58">
        <f t="shared" si="41"/>
        <v>-302.89999999999992</v>
      </c>
      <c r="W36" s="58">
        <f t="shared" si="41"/>
        <v>-40.459999999999923</v>
      </c>
      <c r="X36" s="58">
        <f t="shared" si="41"/>
        <v>-126.01999999999992</v>
      </c>
      <c r="Y36" s="59">
        <f t="shared" si="41"/>
        <v>-176.01999999999992</v>
      </c>
      <c r="Z36" s="61"/>
      <c r="AA36" s="58">
        <f>Y36+(AA35-AA34)</f>
        <v>-176.01999999999992</v>
      </c>
      <c r="AB36" s="58">
        <f t="shared" ref="AB36:AD36" si="42">AA36+(AB35-AB34)</f>
        <v>-176.01999999999992</v>
      </c>
      <c r="AC36" s="58">
        <f t="shared" si="42"/>
        <v>-176.01999999999992</v>
      </c>
      <c r="AD36" s="58">
        <f t="shared" si="42"/>
        <v>-176.01999999999992</v>
      </c>
      <c r="AE36" s="111"/>
      <c r="AF36" s="112">
        <f>AE36+(AF35-AF34)</f>
        <v>0</v>
      </c>
      <c r="AG36" s="61"/>
      <c r="AH36" s="127"/>
      <c r="AI36" s="94"/>
      <c r="AJ36" s="125"/>
      <c r="AK36" s="94"/>
      <c r="AL36" s="94"/>
      <c r="AM36" s="94"/>
      <c r="AN36" s="94"/>
      <c r="AO36" s="94"/>
      <c r="AP36" s="94"/>
      <c r="AQ36" s="94"/>
      <c r="AR36" s="94"/>
    </row>
    <row r="37" spans="1:44">
      <c r="A37" s="343" t="s">
        <v>132</v>
      </c>
      <c r="B37" s="81" t="s">
        <v>130</v>
      </c>
      <c r="C37" s="63">
        <f>IFERROR(SUMIF($A$1:$A$1,$A37,C$1:C$1),0)</f>
        <v>0</v>
      </c>
      <c r="D37" s="59">
        <f>IFERROR(SUMIF($A$1:$A$1,$A37,D$1:D$1),0)</f>
        <v>0</v>
      </c>
      <c r="E37" s="61"/>
      <c r="F37" s="63">
        <v>0</v>
      </c>
      <c r="G37" s="63">
        <v>0</v>
      </c>
      <c r="H37" s="63">
        <v>0</v>
      </c>
      <c r="I37" s="63">
        <f>IFERROR(SUMIF($A$1:$A$1,$A37,I$1:I$1),0)</f>
        <v>0</v>
      </c>
      <c r="J37" s="63">
        <f>IFERROR(SUMIF($A$1:$A$1,$A37,J$1:J$1),0)</f>
        <v>0</v>
      </c>
      <c r="K37" s="59">
        <f>IFERROR(SUMIF($A$1:$A$1,$A37,K$1:K$1),0)</f>
        <v>0</v>
      </c>
      <c r="L37" s="61"/>
      <c r="M37" s="100"/>
      <c r="N37" s="63">
        <f>IFERROR(SUMIF($A$1:$A$1,$A37,N$1:N$1),0)</f>
        <v>0</v>
      </c>
      <c r="O37" s="63">
        <f>IFERROR(SUMIF($A$1:$A$1,$A37,O$1:O$1),0)</f>
        <v>0</v>
      </c>
      <c r="P37" s="63">
        <f>IFERROR(SUMIF($A$1:$A$1,$A37,P$1:P$1),0)</f>
        <v>0</v>
      </c>
      <c r="Q37" s="63">
        <f>IFERROR(SUMIF($A$1:$A$1,$A37,Q$1:Q$1),0)</f>
        <v>0</v>
      </c>
      <c r="R37" s="59">
        <f>IFERROR(SUMIF($A$1:$A$1,$A37,R$1:R$1),0)</f>
        <v>0</v>
      </c>
      <c r="S37" s="61"/>
      <c r="T37" s="63">
        <f t="shared" ref="T37:Y37" si="43">IFERROR(SUMIF($A$1:$A$1,$A37,T$1:T$1),0)</f>
        <v>0</v>
      </c>
      <c r="U37" s="63">
        <f t="shared" si="43"/>
        <v>0</v>
      </c>
      <c r="V37" s="63">
        <f t="shared" si="43"/>
        <v>0</v>
      </c>
      <c r="W37" s="63">
        <f t="shared" si="43"/>
        <v>0</v>
      </c>
      <c r="X37" s="63">
        <f t="shared" si="43"/>
        <v>0</v>
      </c>
      <c r="Y37" s="59">
        <f t="shared" si="43"/>
        <v>0</v>
      </c>
      <c r="Z37" s="61"/>
      <c r="AA37" s="63">
        <f>IFERROR(SUMIF($A$1:$A$1,$A37,AA$1:AA$1),0)</f>
        <v>0</v>
      </c>
      <c r="AB37" s="63">
        <f>IFERROR(SUMIF($A$1:$A$1,$A37,AB$1:AB$1),0)</f>
        <v>0</v>
      </c>
      <c r="AC37" s="63">
        <f>IFERROR(SUMIF($A$1:$A$1,$A37,AC$1:AC$1),0)</f>
        <v>0</v>
      </c>
      <c r="AD37" s="63">
        <f>IFERROR(SUMIF($A$1:$A$1,$A37,AD$1:AD$1),0)</f>
        <v>0</v>
      </c>
      <c r="AE37" s="111"/>
      <c r="AF37" s="112">
        <f>IFERROR(SUMIF($A$1:$A$1,$A37,AF$1:AF$1),0)</f>
        <v>0</v>
      </c>
      <c r="AG37" s="61"/>
      <c r="AH37" s="128">
        <f t="shared" ref="AH37:AH41" si="44">SUM(C37:AG37)</f>
        <v>0</v>
      </c>
      <c r="AK37" s="131"/>
    </row>
    <row r="38" spans="1:44">
      <c r="A38" s="344"/>
      <c r="B38" s="57" t="s">
        <v>15</v>
      </c>
      <c r="C38" s="58">
        <f>SUMIFS('退火anil '!$H$7:$H$1000,'退火anil '!$E$7:$E$1000,'04'!$A$37,'退火anil '!$A$7:$A$1000,'04'!C$30)</f>
        <v>0</v>
      </c>
      <c r="D38" s="59">
        <f>SUMIFS('退火anil '!$H$7:$H$1000,'退火anil '!$E$7:$E$1000,'04'!$A$37,'退火anil '!$A$7:$A$1000,'04'!D$30)</f>
        <v>0</v>
      </c>
      <c r="E38" s="61"/>
      <c r="F38" s="58">
        <f>SUMIFS('退火anil '!$H$7:$H$1000,'退火anil '!$E$7:$E$1000,'04'!$A$37,'退火anil '!$A$7:$A$1000,'04'!F$30)</f>
        <v>0</v>
      </c>
      <c r="G38" s="58">
        <f>SUMIFS('退火anil '!$H$7:$H$1000,'退火anil '!$E$7:$E$1000,'04'!$A$37,'退火anil '!$A$7:$A$1000,'04'!G$30)</f>
        <v>0</v>
      </c>
      <c r="H38" s="58">
        <f>SUMIFS('退火anil '!$H$7:$H$1000,'退火anil '!$E$7:$E$1000,'04'!$A$37,'退火anil '!$A$7:$A$1000,'04'!H$30)</f>
        <v>0</v>
      </c>
      <c r="I38" s="58">
        <f>SUMIFS('退火anil '!$H$7:$H$1000,'退火anil '!$E$7:$E$1000,'04'!$A$37,'退火anil '!$A$7:$A$1000,'04'!I$30)</f>
        <v>0</v>
      </c>
      <c r="J38" s="58">
        <f>SUMIFS('退火anil '!$H$7:$H$1000,'退火anil '!$E$7:$E$1000,'04'!$A$37,'退火anil '!$A$7:$A$1000,'04'!J$30)</f>
        <v>0</v>
      </c>
      <c r="K38" s="59">
        <f>SUMIFS('退火anil '!$H$7:$H$1000,'退火anil '!$E$7:$E$1000,'04'!$A$37,'退火anil '!$A$7:$A$1000,'04'!K$30)</f>
        <v>0</v>
      </c>
      <c r="L38" s="61"/>
      <c r="M38" s="100"/>
      <c r="N38" s="58">
        <f>SUMIFS('退火anil '!$H$7:$H$1000,'退火anil '!$E$7:$E$1000,'04'!$A$37,'退火anil '!$A$7:$A$1000,'04'!N$30)</f>
        <v>0</v>
      </c>
      <c r="O38" s="58">
        <f>SUMIFS('退火anil '!$H$7:$H$1000,'退火anil '!$E$7:$E$1000,'04'!$A$37,'退火anil '!$A$7:$A$1000,'04'!O$30)</f>
        <v>0</v>
      </c>
      <c r="P38" s="58">
        <f>SUMIFS('退火anil '!$H$7:$H$1000,'退火anil '!$E$7:$E$1000,'04'!$A$37,'退火anil '!$A$7:$A$1000,'04'!P$30)</f>
        <v>0</v>
      </c>
      <c r="Q38" s="58">
        <f>SUMIFS('退火anil '!$H$7:$H$1000,'退火anil '!$E$7:$E$1000,'04'!$A$37,'退火anil '!$A$7:$A$1000,'04'!Q$30)</f>
        <v>0</v>
      </c>
      <c r="R38" s="59">
        <f>SUMIFS('退火anil '!$H$7:$H$1000,'退火anil '!$E$7:$E$1000,'04'!$A$37,'退火anil '!$A$7:$A$1000,'04'!R$30)</f>
        <v>0</v>
      </c>
      <c r="S38" s="61"/>
      <c r="T38" s="58">
        <f>SUMIFS('退火anil '!$H$7:$H$1000,'退火anil '!$E$7:$E$1000,'04'!$A$37,'退火anil '!$A$7:$A$1000,'04'!T$30)</f>
        <v>0</v>
      </c>
      <c r="U38" s="58">
        <f>SUMIFS('退火anil '!$H$7:$H$1000,'退火anil '!$E$7:$E$1000,'04'!$A$37,'退火anil '!$A$7:$A$1000,'04'!U$30)</f>
        <v>0</v>
      </c>
      <c r="V38" s="58">
        <f>SUMIFS('退火anil '!$H$7:$H$1000,'退火anil '!$E$7:$E$1000,'04'!$A$37,'退火anil '!$A$7:$A$1000,'04'!V$30)</f>
        <v>0</v>
      </c>
      <c r="W38" s="58">
        <f>SUMIFS('退火anil '!$H$7:$H$1000,'退火anil '!$E$7:$E$1000,'04'!$A$37,'退火anil '!$A$7:$A$1000,'04'!W$30)</f>
        <v>0</v>
      </c>
      <c r="X38" s="58">
        <f>SUMIFS('退火anil '!$H$7:$H$1000,'退火anil '!$E$7:$E$1000,'04'!$A$37,'退火anil '!$A$7:$A$1000,'04'!X$30)</f>
        <v>0</v>
      </c>
      <c r="Y38" s="59">
        <f>SUMIFS('退火anil '!$H$7:$H$1000,'退火anil '!$E$7:$E$1000,'04'!$A$37,'退火anil '!$A$7:$A$1000,'04'!Y$30)</f>
        <v>0</v>
      </c>
      <c r="Z38" s="61"/>
      <c r="AA38" s="58">
        <f>SUMIFS('退火anil '!$H$7:$H$1000,'退火anil '!$E$7:$E$1000,'04'!$A$37,'退火anil '!$A$7:$A$1000,'04'!AA$30)</f>
        <v>0</v>
      </c>
      <c r="AB38" s="58">
        <f>SUMIFS('退火anil '!$H$7:$H$1000,'退火anil '!$E$7:$E$1000,'04'!$A$37,'退火anil '!$A$7:$A$1000,'04'!AB$30)</f>
        <v>0</v>
      </c>
      <c r="AC38" s="58">
        <f>SUMIFS('退火anil '!$H$7:$H$1000,'退火anil '!$E$7:$E$1000,'04'!$A$37,'退火anil '!$A$7:$A$1000,'04'!AC$30)</f>
        <v>0</v>
      </c>
      <c r="AD38" s="58">
        <f>SUMIFS('退火anil '!$H$7:$H$1000,'退火anil '!$E$7:$E$1000,'04'!$A$37,'退火anil '!$A$7:$A$1000,'04'!AD$30)</f>
        <v>0</v>
      </c>
      <c r="AE38" s="111"/>
      <c r="AF38" s="112"/>
      <c r="AG38" s="61"/>
      <c r="AH38" s="127">
        <f t="shared" si="44"/>
        <v>0</v>
      </c>
      <c r="AK38" s="131"/>
    </row>
    <row r="39" spans="1:44">
      <c r="A39" s="345"/>
      <c r="B39" s="57" t="s">
        <v>114</v>
      </c>
      <c r="C39" s="58">
        <f>C38-C37</f>
        <v>0</v>
      </c>
      <c r="D39" s="59">
        <f t="shared" ref="D39:K39" si="45">C39+(D38-D37)</f>
        <v>0</v>
      </c>
      <c r="E39" s="61"/>
      <c r="F39" s="58">
        <f>D39+(F38-F37)</f>
        <v>0</v>
      </c>
      <c r="G39" s="58">
        <f t="shared" si="45"/>
        <v>0</v>
      </c>
      <c r="H39" s="58">
        <f t="shared" si="45"/>
        <v>0</v>
      </c>
      <c r="I39" s="58">
        <f t="shared" si="45"/>
        <v>0</v>
      </c>
      <c r="J39" s="58">
        <f t="shared" si="45"/>
        <v>0</v>
      </c>
      <c r="K39" s="59">
        <f t="shared" si="45"/>
        <v>0</v>
      </c>
      <c r="L39" s="61"/>
      <c r="M39" s="100"/>
      <c r="N39" s="58">
        <f>K39+(N38-N37)</f>
        <v>0</v>
      </c>
      <c r="O39" s="58">
        <f t="shared" ref="O39:R39" si="46">N39+(O38-O37)</f>
        <v>0</v>
      </c>
      <c r="P39" s="58">
        <f t="shared" si="46"/>
        <v>0</v>
      </c>
      <c r="Q39" s="58">
        <f t="shared" si="46"/>
        <v>0</v>
      </c>
      <c r="R39" s="59">
        <f t="shared" si="46"/>
        <v>0</v>
      </c>
      <c r="S39" s="61"/>
      <c r="T39" s="58">
        <f>R39+(T38-T37)</f>
        <v>0</v>
      </c>
      <c r="U39" s="58">
        <f t="shared" ref="U39:Y39" si="47">T39+(U38-U37)</f>
        <v>0</v>
      </c>
      <c r="V39" s="58">
        <f t="shared" si="47"/>
        <v>0</v>
      </c>
      <c r="W39" s="58">
        <f t="shared" si="47"/>
        <v>0</v>
      </c>
      <c r="X39" s="58">
        <f t="shared" si="47"/>
        <v>0</v>
      </c>
      <c r="Y39" s="59">
        <f t="shared" si="47"/>
        <v>0</v>
      </c>
      <c r="Z39" s="61"/>
      <c r="AA39" s="58">
        <f>Y39+(AA38-AA37)</f>
        <v>0</v>
      </c>
      <c r="AB39" s="58">
        <f t="shared" ref="AB39:AD39" si="48">AA39+(AB38-AB37)</f>
        <v>0</v>
      </c>
      <c r="AC39" s="58">
        <f t="shared" si="48"/>
        <v>0</v>
      </c>
      <c r="AD39" s="58">
        <f t="shared" si="48"/>
        <v>0</v>
      </c>
      <c r="AE39" s="111"/>
      <c r="AF39" s="112">
        <f>AE39+(AF38-AF37)</f>
        <v>0</v>
      </c>
      <c r="AG39" s="61"/>
      <c r="AH39" s="127"/>
      <c r="AI39" s="94"/>
      <c r="AJ39" s="125"/>
      <c r="AK39" s="94"/>
      <c r="AL39" s="94"/>
      <c r="AM39" s="94"/>
      <c r="AN39" s="94"/>
      <c r="AO39" s="94"/>
      <c r="AP39" s="94"/>
      <c r="AQ39" s="94"/>
      <c r="AR39" s="94"/>
    </row>
    <row r="40" spans="1:44">
      <c r="A40" s="343" t="s">
        <v>117</v>
      </c>
      <c r="B40" s="81" t="s">
        <v>130</v>
      </c>
      <c r="C40" s="63">
        <f>IFERROR(SUMIF($A$1:$A$1,$A40,C$1:C$1),0)</f>
        <v>0</v>
      </c>
      <c r="D40" s="59">
        <f>IFERROR(SUMIF($A$1:$A$1,$A40,D$1:D$1),0)</f>
        <v>0</v>
      </c>
      <c r="E40" s="61"/>
      <c r="F40" s="63">
        <f t="shared" ref="F40:K40" si="49">IFERROR(SUMIF($A$1:$A$1,$A40,F$1:F$1),0)</f>
        <v>0</v>
      </c>
      <c r="G40" s="63">
        <f t="shared" si="49"/>
        <v>0</v>
      </c>
      <c r="H40" s="63">
        <f t="shared" si="49"/>
        <v>0</v>
      </c>
      <c r="I40" s="63">
        <f t="shared" si="49"/>
        <v>0</v>
      </c>
      <c r="J40" s="63">
        <f t="shared" si="49"/>
        <v>0</v>
      </c>
      <c r="K40" s="59">
        <f t="shared" si="49"/>
        <v>0</v>
      </c>
      <c r="L40" s="61"/>
      <c r="M40" s="100"/>
      <c r="N40" s="63">
        <f>IFERROR(SUMIF($A$1:$A$1,$A40,N$1:N$1),0)</f>
        <v>0</v>
      </c>
      <c r="O40" s="63">
        <f>IFERROR(SUMIF($A$1:$A$1,$A40,O$1:O$1),0)</f>
        <v>0</v>
      </c>
      <c r="P40" s="63">
        <f>IFERROR(SUMIF($A$1:$A$1,$A40,P$1:P$1),0)</f>
        <v>0</v>
      </c>
      <c r="Q40" s="63">
        <f>IFERROR(SUMIF($A$1:$A$1,$A40,Q$1:Q$1),0)</f>
        <v>0</v>
      </c>
      <c r="R40" s="59">
        <f>IFERROR(SUMIF($A$1:$A$1,$A40,R$1:R$1),0)</f>
        <v>0</v>
      </c>
      <c r="S40" s="61"/>
      <c r="T40" s="63">
        <f t="shared" ref="T40:Y40" si="50">IFERROR(SUMIF($A$1:$A$1,$A40,T$1:T$1),0)</f>
        <v>0</v>
      </c>
      <c r="U40" s="63">
        <f t="shared" si="50"/>
        <v>0</v>
      </c>
      <c r="V40" s="63">
        <f t="shared" si="50"/>
        <v>0</v>
      </c>
      <c r="W40" s="63">
        <f t="shared" si="50"/>
        <v>0</v>
      </c>
      <c r="X40" s="63">
        <f t="shared" si="50"/>
        <v>0</v>
      </c>
      <c r="Y40" s="59">
        <f t="shared" si="50"/>
        <v>0</v>
      </c>
      <c r="Z40" s="61"/>
      <c r="AA40" s="63">
        <f>IFERROR(SUMIF($A$1:$A$1,$A40,AA$1:AA$1),0)</f>
        <v>0</v>
      </c>
      <c r="AB40" s="63">
        <f>IFERROR(SUMIF($A$1:$A$1,$A40,AB$1:AB$1),0)</f>
        <v>0</v>
      </c>
      <c r="AC40" s="63">
        <f>IFERROR(SUMIF($A$1:$A$1,$A40,AC$1:AC$1),0)</f>
        <v>0</v>
      </c>
      <c r="AD40" s="63">
        <f>IFERROR(SUMIF($A$1:$A$1,$A40,AD$1:AD$1),0)</f>
        <v>0</v>
      </c>
      <c r="AE40" s="111"/>
      <c r="AF40" s="112">
        <f>IFERROR(SUMIF($A$1:$A$1,$A40,AF$1:AF$1),0)</f>
        <v>0</v>
      </c>
      <c r="AG40" s="61"/>
      <c r="AH40" s="128">
        <f t="shared" si="44"/>
        <v>0</v>
      </c>
      <c r="AK40" s="131"/>
    </row>
    <row r="41" spans="1:44">
      <c r="A41" s="344"/>
      <c r="B41" s="57" t="s">
        <v>15</v>
      </c>
      <c r="C41" s="58">
        <f>SUMIFS('退火anil '!$H$7:$H$1000,'退火anil '!$E$7:$E$1000,'04'!$A$40,'退火anil '!$A$7:$A$1000,'04'!C$30)</f>
        <v>0</v>
      </c>
      <c r="D41" s="59">
        <f>SUMIFS('退火anil '!$H$7:$H$1000,'退火anil '!$E$7:$E$1000,'04'!$A$40,'退火anil '!$A$7:$A$1000,'04'!D$30)</f>
        <v>0</v>
      </c>
      <c r="E41" s="61"/>
      <c r="F41" s="58">
        <f>SUMIFS('退火anil '!$H$7:$H$1000,'退火anil '!$E$7:$E$1000,'04'!$A$40,'退火anil '!$A$7:$A$1000,'04'!F$30)</f>
        <v>0</v>
      </c>
      <c r="G41" s="58">
        <f>SUMIFS('退火anil '!$H$7:$H$1000,'退火anil '!$E$7:$E$1000,'04'!$A$40,'退火anil '!$A$7:$A$1000,'04'!G$30)</f>
        <v>0</v>
      </c>
      <c r="H41" s="58">
        <f>SUMIFS('退火anil '!$H$7:$H$1000,'退火anil '!$E$7:$E$1000,'04'!$A$40,'退火anil '!$A$7:$A$1000,'04'!H$30)</f>
        <v>0</v>
      </c>
      <c r="I41" s="58">
        <f>SUMIFS('退火anil '!$H$7:$H$1000,'退火anil '!$E$7:$E$1000,'04'!$A$40,'退火anil '!$A$7:$A$1000,'04'!I$30)</f>
        <v>0</v>
      </c>
      <c r="J41" s="58">
        <f>SUMIFS('退火anil '!$H$7:$H$1000,'退火anil '!$E$7:$E$1000,'04'!$A$40,'退火anil '!$A$7:$A$1000,'04'!J$30)</f>
        <v>0</v>
      </c>
      <c r="K41" s="59">
        <f>SUMIFS('退火anil '!$H$7:$H$1000,'退火anil '!$E$7:$E$1000,'04'!$A$40,'退火anil '!$A$7:$A$1000,'04'!K$30)</f>
        <v>0</v>
      </c>
      <c r="L41" s="61"/>
      <c r="M41" s="100"/>
      <c r="N41" s="58">
        <f>SUMIFS('退火anil '!$H$7:$H$1000,'退火anil '!$E$7:$E$1000,'04'!$A$40,'退火anil '!$A$7:$A$1000,'04'!N$30)</f>
        <v>0</v>
      </c>
      <c r="O41" s="58">
        <f>SUMIFS('退火anil '!$H$7:$H$1000,'退火anil '!$E$7:$E$1000,'04'!$A$40,'退火anil '!$A$7:$A$1000,'04'!O$30)</f>
        <v>0</v>
      </c>
      <c r="P41" s="58">
        <f>SUMIFS('退火anil '!$H$7:$H$1000,'退火anil '!$E$7:$E$1000,'04'!$A$40,'退火anil '!$A$7:$A$1000,'04'!P$30)</f>
        <v>0</v>
      </c>
      <c r="Q41" s="58">
        <f>SUMIFS('退火anil '!$H$7:$H$1000,'退火anil '!$E$7:$E$1000,'04'!$A$40,'退火anil '!$A$7:$A$1000,'04'!Q$30)</f>
        <v>0</v>
      </c>
      <c r="R41" s="59">
        <f>SUMIFS('退火anil '!$H$7:$H$1000,'退火anil '!$E$7:$E$1000,'04'!$A$40,'退火anil '!$A$7:$A$1000,'04'!R$30)</f>
        <v>0</v>
      </c>
      <c r="S41" s="61"/>
      <c r="T41" s="58">
        <f>SUMIFS('退火anil '!$H$7:$H$1000,'退火anil '!$E$7:$E$1000,'04'!$A$40,'退火anil '!$A$7:$A$1000,'04'!T$30)</f>
        <v>0</v>
      </c>
      <c r="U41" s="58">
        <f>SUMIFS('退火anil '!$H$7:$H$1000,'退火anil '!$E$7:$E$1000,'04'!$A$40,'退火anil '!$A$7:$A$1000,'04'!U$30)</f>
        <v>0</v>
      </c>
      <c r="V41" s="58">
        <f>SUMIFS('退火anil '!$H$7:$H$1000,'退火anil '!$E$7:$E$1000,'04'!$A$40,'退火anil '!$A$7:$A$1000,'04'!V$30)</f>
        <v>0</v>
      </c>
      <c r="W41" s="58">
        <f>SUMIFS('退火anil '!$H$7:$H$1000,'退火anil '!$E$7:$E$1000,'04'!$A$40,'退火anil '!$A$7:$A$1000,'04'!W$30)</f>
        <v>0</v>
      </c>
      <c r="X41" s="58">
        <f>SUMIFS('退火anil '!$H$7:$H$1000,'退火anil '!$E$7:$E$1000,'04'!$A$40,'退火anil '!$A$7:$A$1000,'04'!X$30)</f>
        <v>0</v>
      </c>
      <c r="Y41" s="59">
        <f>SUMIFS('退火anil '!$H$7:$H$1000,'退火anil '!$E$7:$E$1000,'04'!$A$40,'退火anil '!$A$7:$A$1000,'04'!Y$30)</f>
        <v>1.94</v>
      </c>
      <c r="Z41" s="61"/>
      <c r="AA41" s="58">
        <f>SUMIFS('退火anil '!$H$7:$H$1000,'退火anil '!$E$7:$E$1000,'04'!$A$40,'退火anil '!$A$7:$A$1000,'04'!AA$30)</f>
        <v>0</v>
      </c>
      <c r="AB41" s="58">
        <f>SUMIFS('退火anil '!$H$7:$H$1000,'退火anil '!$E$7:$E$1000,'04'!$A$40,'退火anil '!$A$7:$A$1000,'04'!AB$30)</f>
        <v>0</v>
      </c>
      <c r="AC41" s="58">
        <f>SUMIFS('退火anil '!$H$7:$H$1000,'退火anil '!$E$7:$E$1000,'04'!$A$40,'退火anil '!$A$7:$A$1000,'04'!AC$30)</f>
        <v>0</v>
      </c>
      <c r="AD41" s="58">
        <f>SUMIFS('退火anil '!$H$7:$H$1000,'退火anil '!$E$7:$E$1000,'04'!$A$40,'退火anil '!$A$7:$A$1000,'04'!AD$30)</f>
        <v>0</v>
      </c>
      <c r="AE41" s="111"/>
      <c r="AF41" s="112"/>
      <c r="AG41" s="61"/>
      <c r="AH41" s="127">
        <f t="shared" si="44"/>
        <v>1.94</v>
      </c>
      <c r="AK41" s="131"/>
    </row>
    <row r="42" spans="1:44">
      <c r="A42" s="345"/>
      <c r="B42" s="57" t="s">
        <v>114</v>
      </c>
      <c r="C42" s="58">
        <f>C41-C40</f>
        <v>0</v>
      </c>
      <c r="D42" s="59">
        <f t="shared" ref="D42:K42" si="51">C42+(D41-D40)</f>
        <v>0</v>
      </c>
      <c r="E42" s="61"/>
      <c r="F42" s="58">
        <f>D42+(F41-F40)</f>
        <v>0</v>
      </c>
      <c r="G42" s="58">
        <f t="shared" si="51"/>
        <v>0</v>
      </c>
      <c r="H42" s="58">
        <f t="shared" si="51"/>
        <v>0</v>
      </c>
      <c r="I42" s="58">
        <f t="shared" si="51"/>
        <v>0</v>
      </c>
      <c r="J42" s="58">
        <f t="shared" si="51"/>
        <v>0</v>
      </c>
      <c r="K42" s="59">
        <f t="shared" si="51"/>
        <v>0</v>
      </c>
      <c r="L42" s="61"/>
      <c r="M42" s="100"/>
      <c r="N42" s="58">
        <f>K42+(N41-N40)</f>
        <v>0</v>
      </c>
      <c r="O42" s="58">
        <f t="shared" ref="O42:R42" si="52">N42+(O41-O40)</f>
        <v>0</v>
      </c>
      <c r="P42" s="58">
        <f t="shared" si="52"/>
        <v>0</v>
      </c>
      <c r="Q42" s="58">
        <f t="shared" si="52"/>
        <v>0</v>
      </c>
      <c r="R42" s="59">
        <f t="shared" si="52"/>
        <v>0</v>
      </c>
      <c r="S42" s="61"/>
      <c r="T42" s="58">
        <f>R42+(T41-T40)</f>
        <v>0</v>
      </c>
      <c r="U42" s="58">
        <f t="shared" ref="U42:Y42" si="53">T42+(U41-U40)</f>
        <v>0</v>
      </c>
      <c r="V42" s="58">
        <f t="shared" si="53"/>
        <v>0</v>
      </c>
      <c r="W42" s="58">
        <f t="shared" si="53"/>
        <v>0</v>
      </c>
      <c r="X42" s="58">
        <f t="shared" si="53"/>
        <v>0</v>
      </c>
      <c r="Y42" s="59">
        <f t="shared" si="53"/>
        <v>1.94</v>
      </c>
      <c r="Z42" s="61"/>
      <c r="AA42" s="58">
        <f>Y42+(AA41-AA40)</f>
        <v>1.94</v>
      </c>
      <c r="AB42" s="58">
        <f t="shared" ref="AB42:AD42" si="54">AA42+(AB41-AB40)</f>
        <v>1.94</v>
      </c>
      <c r="AC42" s="58">
        <f t="shared" si="54"/>
        <v>1.94</v>
      </c>
      <c r="AD42" s="58">
        <f t="shared" si="54"/>
        <v>1.94</v>
      </c>
      <c r="AE42" s="111"/>
      <c r="AF42" s="112">
        <f>AE42+(AF41-AF40)</f>
        <v>0</v>
      </c>
      <c r="AG42" s="61"/>
      <c r="AH42" s="127"/>
      <c r="AI42" s="94"/>
      <c r="AJ42" s="125"/>
      <c r="AK42" s="94"/>
      <c r="AL42" s="94"/>
      <c r="AM42" s="94"/>
      <c r="AN42" s="94"/>
      <c r="AO42" s="94"/>
      <c r="AP42" s="94"/>
      <c r="AQ42" s="94"/>
      <c r="AR42" s="94"/>
    </row>
    <row r="43" spans="1:44">
      <c r="A43" s="343" t="s">
        <v>133</v>
      </c>
      <c r="B43" s="81" t="s">
        <v>130</v>
      </c>
      <c r="C43" s="63">
        <v>0</v>
      </c>
      <c r="D43" s="59">
        <v>0</v>
      </c>
      <c r="E43" s="61"/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59">
        <v>0</v>
      </c>
      <c r="L43" s="61"/>
      <c r="M43" s="100"/>
      <c r="N43" s="63">
        <v>0</v>
      </c>
      <c r="O43" s="63">
        <v>0</v>
      </c>
      <c r="P43" s="63">
        <v>0</v>
      </c>
      <c r="Q43" s="63">
        <v>0</v>
      </c>
      <c r="R43" s="59"/>
      <c r="S43" s="61"/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59"/>
      <c r="Z43" s="61"/>
      <c r="AA43" s="63"/>
      <c r="AB43" s="63">
        <v>0</v>
      </c>
      <c r="AC43" s="63">
        <v>0</v>
      </c>
      <c r="AD43" s="63">
        <v>0</v>
      </c>
      <c r="AE43" s="100"/>
      <c r="AF43" s="112">
        <v>0</v>
      </c>
      <c r="AG43" s="61"/>
      <c r="AH43" s="128">
        <f t="shared" ref="AH43:AH47" si="55">SUM(C43:AG43)</f>
        <v>0</v>
      </c>
      <c r="AK43" s="131"/>
    </row>
    <row r="44" spans="1:44">
      <c r="A44" s="344"/>
      <c r="B44" s="57" t="s">
        <v>15</v>
      </c>
      <c r="C44" s="58">
        <f>SUMIFS('退火anil '!$H$7:$H$1000,'退火anil '!$E$7:$E$1000,'04'!$A$43,'退火anil '!$A$7:$A$1000,'04'!C$30)</f>
        <v>0</v>
      </c>
      <c r="D44" s="59">
        <f>SUMIFS('退火anil '!$H$7:$H$1000,'退火anil '!$E$7:$E$1000,'04'!$A$43,'退火anil '!$A$7:$A$1000,'04'!D$30)</f>
        <v>0</v>
      </c>
      <c r="E44" s="61"/>
      <c r="F44" s="58">
        <f>SUMIFS('退火anil '!$H$7:$H$1000,'退火anil '!$E$7:$E$1000,'04'!$A$43,'退火anil '!$A$7:$A$1000,'04'!F$30)</f>
        <v>0</v>
      </c>
      <c r="G44" s="58">
        <f>SUMIFS('退火anil '!$H$7:$H$1000,'退火anil '!$E$7:$E$1000,'04'!$A$43,'退火anil '!$A$7:$A$1000,'04'!G$30)</f>
        <v>0</v>
      </c>
      <c r="H44" s="58">
        <f>SUMIFS('退火anil '!$H$7:$H$1000,'退火anil '!$E$7:$E$1000,'04'!$A$43,'退火anil '!$A$7:$A$1000,'04'!H$30)</f>
        <v>0</v>
      </c>
      <c r="I44" s="58">
        <f>SUMIFS('退火anil '!$H$7:$H$1000,'退火anil '!$E$7:$E$1000,'04'!$A$43,'退火anil '!$A$7:$A$1000,'04'!I$30)</f>
        <v>0</v>
      </c>
      <c r="J44" s="58">
        <f>SUMIFS('退火anil '!$H$7:$H$1000,'退火anil '!$E$7:$E$1000,'04'!$A$43,'退火anil '!$A$7:$A$1000,'04'!J$30)</f>
        <v>0</v>
      </c>
      <c r="K44" s="59">
        <f>SUMIFS('退火anil '!$H$7:$H$1000,'退火anil '!$E$7:$E$1000,'04'!$A$43,'退火anil '!$A$7:$A$1000,'04'!K$30)</f>
        <v>0</v>
      </c>
      <c r="L44" s="61"/>
      <c r="M44" s="100"/>
      <c r="N44" s="58">
        <f>SUMIFS('退火anil '!$H$7:$H$1000,'退火anil '!$E$7:$E$1000,'04'!$A$43,'退火anil '!$A$7:$A$1000,'04'!N$30)</f>
        <v>0</v>
      </c>
      <c r="O44" s="58">
        <f>SUMIFS('退火anil '!$H$7:$H$1000,'退火anil '!$E$7:$E$1000,'04'!$A$43,'退火anil '!$A$7:$A$1000,'04'!O$30)</f>
        <v>0</v>
      </c>
      <c r="P44" s="58">
        <f>SUMIFS('退火anil '!$H$7:$H$1000,'退火anil '!$E$7:$E$1000,'04'!$A$43,'退火anil '!$A$7:$A$1000,'04'!P$30)</f>
        <v>0</v>
      </c>
      <c r="Q44" s="58">
        <f>SUMIFS('退火anil '!$H$7:$H$1000,'退火anil '!$E$7:$E$1000,'04'!$A$43,'退火anil '!$A$7:$A$1000,'04'!Q$30)</f>
        <v>0</v>
      </c>
      <c r="R44" s="59">
        <f>SUMIFS('退火anil '!$H$7:$H$1000,'退火anil '!$E$7:$E$1000,'04'!$A$43,'退火anil '!$A$7:$A$1000,'04'!R$30)</f>
        <v>0</v>
      </c>
      <c r="S44" s="61"/>
      <c r="T44" s="58">
        <f>SUMIFS('退火anil '!$H$7:$H$1000,'退火anil '!$E$7:$E$1000,'04'!$A$43,'退火anil '!$A$7:$A$1000,'04'!T$30)</f>
        <v>0</v>
      </c>
      <c r="U44" s="58">
        <f>SUMIFS('退火anil '!$H$7:$H$1000,'退火anil '!$E$7:$E$1000,'04'!$A$43,'退火anil '!$A$7:$A$1000,'04'!U$30)</f>
        <v>0</v>
      </c>
      <c r="V44" s="58">
        <f>SUMIFS('退火anil '!$H$7:$H$1000,'退火anil '!$E$7:$E$1000,'04'!$A$43,'退火anil '!$A$7:$A$1000,'04'!V$30)</f>
        <v>0</v>
      </c>
      <c r="W44" s="58">
        <f>SUMIFS('退火anil '!$H$7:$H$1000,'退火anil '!$E$7:$E$1000,'04'!$A$43,'退火anil '!$A$7:$A$1000,'04'!W$30)</f>
        <v>0</v>
      </c>
      <c r="X44" s="58">
        <f>SUMIFS('退火anil '!$H$7:$H$1000,'退火anil '!$E$7:$E$1000,'04'!$A$43,'退火anil '!$A$7:$A$1000,'04'!X$30)</f>
        <v>0</v>
      </c>
      <c r="Y44" s="59">
        <f>SUMIFS('退火anil '!$H$7:$H$1000,'退火anil '!$E$7:$E$1000,'04'!$A$43,'退火anil '!$A$7:$A$1000,'04'!Y$30)</f>
        <v>0</v>
      </c>
      <c r="Z44" s="61"/>
      <c r="AA44" s="58">
        <f>SUMIFS('退火anil '!$H$7:$H$1000,'退火anil '!$E$7:$E$1000,'04'!$A$43,'退火anil '!$A$7:$A$1000,'04'!AA$30)</f>
        <v>0</v>
      </c>
      <c r="AB44" s="58">
        <f>SUMIFS('退火anil '!$H$7:$H$1000,'退火anil '!$E$7:$E$1000,'04'!$A$43,'退火anil '!$A$7:$A$1000,'04'!AB$30)</f>
        <v>0</v>
      </c>
      <c r="AC44" s="58">
        <f>SUMIFS('退火anil '!$H$7:$H$1000,'退火anil '!$E$7:$E$1000,'04'!$A$43,'退火anil '!$A$7:$A$1000,'04'!AC$30)</f>
        <v>0</v>
      </c>
      <c r="AD44" s="58">
        <f>SUMIFS('退火anil '!$H$7:$H$1000,'退火anil '!$E$7:$E$1000,'04'!$A$43,'退火anil '!$A$7:$A$1000,'04'!AD$30)</f>
        <v>0</v>
      </c>
      <c r="AE44" s="111"/>
      <c r="AF44" s="112">
        <v>0</v>
      </c>
      <c r="AG44" s="61"/>
      <c r="AH44" s="127">
        <f t="shared" si="55"/>
        <v>0</v>
      </c>
      <c r="AK44" s="131"/>
    </row>
    <row r="45" spans="1:44">
      <c r="A45" s="345"/>
      <c r="B45" s="57" t="s">
        <v>114</v>
      </c>
      <c r="C45" s="58">
        <f>C44-C43</f>
        <v>0</v>
      </c>
      <c r="D45" s="59">
        <f t="shared" ref="D45:K45" si="56">C45+(D44-D43)</f>
        <v>0</v>
      </c>
      <c r="E45" s="61"/>
      <c r="F45" s="58">
        <f>D45+(F44-F43)</f>
        <v>0</v>
      </c>
      <c r="G45" s="58">
        <f t="shared" si="56"/>
        <v>0</v>
      </c>
      <c r="H45" s="58">
        <f t="shared" si="56"/>
        <v>0</v>
      </c>
      <c r="I45" s="58">
        <f t="shared" si="56"/>
        <v>0</v>
      </c>
      <c r="J45" s="58">
        <f t="shared" si="56"/>
        <v>0</v>
      </c>
      <c r="K45" s="59">
        <f t="shared" si="56"/>
        <v>0</v>
      </c>
      <c r="L45" s="61"/>
      <c r="M45" s="100"/>
      <c r="N45" s="58">
        <f>K45+(N44-N43)</f>
        <v>0</v>
      </c>
      <c r="O45" s="58">
        <f t="shared" ref="O45:R45" si="57">N45+(O44-O43)</f>
        <v>0</v>
      </c>
      <c r="P45" s="58">
        <f t="shared" si="57"/>
        <v>0</v>
      </c>
      <c r="Q45" s="58">
        <f t="shared" si="57"/>
        <v>0</v>
      </c>
      <c r="R45" s="59">
        <f t="shared" si="57"/>
        <v>0</v>
      </c>
      <c r="S45" s="61"/>
      <c r="T45" s="58">
        <f>R45+(T44-T43)</f>
        <v>0</v>
      </c>
      <c r="U45" s="58">
        <f t="shared" ref="U45:Y45" si="58">T45+(U44-U43)</f>
        <v>0</v>
      </c>
      <c r="V45" s="58">
        <f t="shared" si="58"/>
        <v>0</v>
      </c>
      <c r="W45" s="58">
        <f t="shared" si="58"/>
        <v>0</v>
      </c>
      <c r="X45" s="58">
        <f t="shared" si="58"/>
        <v>0</v>
      </c>
      <c r="Y45" s="59">
        <f t="shared" si="58"/>
        <v>0</v>
      </c>
      <c r="Z45" s="61"/>
      <c r="AA45" s="58">
        <f>Y45+(AA44-AA43)</f>
        <v>0</v>
      </c>
      <c r="AB45" s="58">
        <f t="shared" ref="AB45:AD45" si="59">AA45+(AB44-AB43)</f>
        <v>0</v>
      </c>
      <c r="AC45" s="58">
        <f t="shared" si="59"/>
        <v>0</v>
      </c>
      <c r="AD45" s="58">
        <f t="shared" si="59"/>
        <v>0</v>
      </c>
      <c r="AE45" s="111"/>
      <c r="AF45" s="112">
        <f>AE45+(AF44-AF43)</f>
        <v>0</v>
      </c>
      <c r="AG45" s="61"/>
      <c r="AH45" s="127"/>
      <c r="AI45" s="94"/>
      <c r="AJ45" s="125"/>
      <c r="AK45" s="94"/>
      <c r="AL45" s="94"/>
      <c r="AM45" s="94"/>
      <c r="AN45" s="94"/>
      <c r="AO45" s="94"/>
      <c r="AP45" s="94"/>
      <c r="AQ45" s="94"/>
      <c r="AR45" s="94"/>
    </row>
    <row r="46" spans="1:44">
      <c r="A46" s="343" t="s">
        <v>119</v>
      </c>
      <c r="B46" s="81" t="s">
        <v>134</v>
      </c>
      <c r="C46" s="63">
        <v>0</v>
      </c>
      <c r="D46" s="59">
        <v>0</v>
      </c>
      <c r="E46" s="61"/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59">
        <v>0</v>
      </c>
      <c r="L46" s="61"/>
      <c r="M46" s="100"/>
      <c r="N46" s="63">
        <v>20</v>
      </c>
      <c r="O46" s="63">
        <v>20</v>
      </c>
      <c r="P46" s="63">
        <v>20</v>
      </c>
      <c r="Q46" s="63">
        <v>20</v>
      </c>
      <c r="R46" s="59">
        <v>20</v>
      </c>
      <c r="S46" s="61"/>
      <c r="T46" s="63">
        <v>20</v>
      </c>
      <c r="U46" s="63">
        <v>20</v>
      </c>
      <c r="V46" s="63">
        <v>20</v>
      </c>
      <c r="W46" s="63">
        <v>0</v>
      </c>
      <c r="X46" s="63">
        <v>0</v>
      </c>
      <c r="Y46" s="59">
        <v>0</v>
      </c>
      <c r="Z46" s="61"/>
      <c r="AA46" s="63">
        <v>0</v>
      </c>
      <c r="AB46" s="63">
        <v>0</v>
      </c>
      <c r="AC46" s="63">
        <v>0</v>
      </c>
      <c r="AD46" s="63">
        <v>0</v>
      </c>
      <c r="AE46" s="100"/>
      <c r="AF46" s="112">
        <v>0</v>
      </c>
      <c r="AG46" s="61"/>
      <c r="AH46" s="132">
        <f t="shared" si="55"/>
        <v>160</v>
      </c>
      <c r="AK46" s="131"/>
    </row>
    <row r="47" spans="1:44">
      <c r="A47" s="344"/>
      <c r="B47" s="57" t="s">
        <v>15</v>
      </c>
      <c r="C47" s="58">
        <f>SUMIFS('退火anil '!$H$7:$H$1000,'退火anil '!$E$7:$E$1000,'04'!$A$46,'退火anil '!$A$7:$A$1000,'04'!C$30)</f>
        <v>0</v>
      </c>
      <c r="D47" s="59">
        <f>SUMIFS('退火anil '!$H$7:$H$1000,'退火anil '!$E$7:$E$1000,'04'!$A$46,'退火anil '!$A$7:$A$1000,'04'!D$30)</f>
        <v>0</v>
      </c>
      <c r="E47" s="61"/>
      <c r="F47" s="58">
        <f>SUMIFS('退火anil '!$H$7:$H$1000,'退火anil '!$E$7:$E$1000,'04'!$A$46,'退火anil '!$A$7:$A$1000,'04'!F$30)</f>
        <v>0</v>
      </c>
      <c r="G47" s="58">
        <f>SUMIFS('退火anil '!$H$7:$H$1000,'退火anil '!$E$7:$E$1000,'04'!$A$46,'退火anil '!$A$7:$A$1000,'04'!G$30)</f>
        <v>9.02</v>
      </c>
      <c r="H47" s="58">
        <f>SUMIFS('退火anil '!$H$7:$H$1000,'退火anil '!$E$7:$E$1000,'04'!$A$46,'退火anil '!$A$7:$A$1000,'04'!H$30)</f>
        <v>6.2</v>
      </c>
      <c r="I47" s="58">
        <f>SUMIFS('退火anil '!$H$7:$H$1000,'退火anil '!$E$7:$E$1000,'04'!$A$46,'退火anil '!$A$7:$A$1000,'04'!I$30)</f>
        <v>0</v>
      </c>
      <c r="J47" s="58">
        <f>SUMIFS('退火anil '!$H$7:$H$1000,'退火anil '!$E$7:$E$1000,'04'!$A$46,'退火anil '!$A$7:$A$1000,'04'!J$30)</f>
        <v>3.76</v>
      </c>
      <c r="K47" s="59">
        <f>SUMIFS('退火anil '!$H$7:$H$1000,'退火anil '!$E$7:$E$1000,'04'!$A$46,'退火anil '!$A$7:$A$1000,'04'!K$30)</f>
        <v>0</v>
      </c>
      <c r="L47" s="61"/>
      <c r="M47" s="100"/>
      <c r="N47" s="58">
        <f>SUMIFS('退火anil '!$H$7:$H$1000,'退火anil '!$E$7:$E$1000,'04'!$A$46,'退火anil '!$A$7:$A$1000,'04'!N$30)</f>
        <v>0</v>
      </c>
      <c r="O47" s="58">
        <f>SUMIFS('退火anil '!$H$7:$H$1000,'退火anil '!$E$7:$E$1000,'04'!$A$46,'退火anil '!$A$7:$A$1000,'04'!O$30)</f>
        <v>0</v>
      </c>
      <c r="P47" s="58">
        <f>SUMIFS('退火anil '!$H$7:$H$1000,'退火anil '!$E$7:$E$1000,'04'!$A$46,'退火anil '!$A$7:$A$1000,'04'!P$30)</f>
        <v>0</v>
      </c>
      <c r="Q47" s="58">
        <f>SUMIFS('退火anil '!$H$7:$H$1000,'退火anil '!$E$7:$E$1000,'04'!$A$46,'退火anil '!$A$7:$A$1000,'04'!Q$30)</f>
        <v>0</v>
      </c>
      <c r="R47" s="59">
        <f>SUMIFS('退火anil '!$H$7:$H$1000,'退火anil '!$E$7:$E$1000,'04'!$A$46,'退火anil '!$A$7:$A$1000,'04'!R$30)</f>
        <v>0</v>
      </c>
      <c r="S47" s="61"/>
      <c r="T47" s="58">
        <f>SUMIFS('退火anil '!$H$7:$H$1000,'退火anil '!$E$7:$E$1000,'04'!$A$46,'退火anil '!$A$7:$A$1000,'04'!T$30)</f>
        <v>0</v>
      </c>
      <c r="U47" s="58">
        <f>SUMIFS('退火anil '!$H$7:$H$1000,'退火anil '!$E$7:$E$1000,'04'!$A$46,'退火anil '!$A$7:$A$1000,'04'!U$30)</f>
        <v>0</v>
      </c>
      <c r="V47" s="58">
        <f>SUMIFS('退火anil '!$H$7:$H$1000,'退火anil '!$E$7:$E$1000,'04'!$A$46,'退火anil '!$A$7:$A$1000,'04'!V$30)</f>
        <v>0</v>
      </c>
      <c r="W47" s="58">
        <f>SUMIFS('退火anil '!$H$7:$H$1000,'退火anil '!$E$7:$E$1000,'04'!$A$46,'退火anil '!$A$7:$A$1000,'04'!W$30)</f>
        <v>8.5</v>
      </c>
      <c r="X47" s="58">
        <f>SUMIFS('退火anil '!$H$7:$H$1000,'退火anil '!$E$7:$E$1000,'04'!$A$46,'退火anil '!$A$7:$A$1000,'04'!X$30)</f>
        <v>12</v>
      </c>
      <c r="Y47" s="59">
        <f>SUMIFS('退火anil '!$H$7:$H$1000,'退火anil '!$E$7:$E$1000,'04'!$A$46,'退火anil '!$A$7:$A$1000,'04'!Y$30)</f>
        <v>0</v>
      </c>
      <c r="Z47" s="61"/>
      <c r="AA47" s="58">
        <f>SUMIFS('退火anil '!$H$7:$H$1000,'退火anil '!$E$7:$E$1000,'04'!$A$46,'退火anil '!$A$7:$A$1000,'04'!AA$30)</f>
        <v>12.96</v>
      </c>
      <c r="AB47" s="58">
        <f>SUMIFS('退火anil '!$H$7:$H$1000,'退火anil '!$E$7:$E$1000,'04'!$A$46,'退火anil '!$A$7:$A$1000,'04'!AB$30)</f>
        <v>0</v>
      </c>
      <c r="AC47" s="58">
        <f>SUMIFS('退火anil '!$H$7:$H$1000,'退火anil '!$E$7:$E$1000,'04'!$A$46,'退火anil '!$A$7:$A$1000,'04'!AC$30)</f>
        <v>0</v>
      </c>
      <c r="AD47" s="58">
        <f>SUMIFS('退火anil '!$H$7:$H$1000,'退火anil '!$E$7:$E$1000,'04'!$A$46,'退火anil '!$A$7:$A$1000,'04'!AD$30)</f>
        <v>0</v>
      </c>
      <c r="AE47" s="111"/>
      <c r="AF47" s="112"/>
      <c r="AG47" s="61"/>
      <c r="AH47" s="127">
        <f t="shared" si="55"/>
        <v>52.44</v>
      </c>
      <c r="AK47" s="131"/>
    </row>
    <row r="48" spans="1:44">
      <c r="A48" s="345"/>
      <c r="B48" s="57" t="s">
        <v>114</v>
      </c>
      <c r="C48" s="58">
        <f>C47-C46</f>
        <v>0</v>
      </c>
      <c r="D48" s="59">
        <f t="shared" ref="D48:K48" si="60">C48+(D47-D46)</f>
        <v>0</v>
      </c>
      <c r="E48" s="61"/>
      <c r="F48" s="58">
        <f>D48+(F47-F46)</f>
        <v>0</v>
      </c>
      <c r="G48" s="58">
        <f t="shared" si="60"/>
        <v>9.02</v>
      </c>
      <c r="H48" s="58">
        <f t="shared" si="60"/>
        <v>15.219999999999999</v>
      </c>
      <c r="I48" s="58">
        <f t="shared" si="60"/>
        <v>15.219999999999999</v>
      </c>
      <c r="J48" s="58">
        <f t="shared" si="60"/>
        <v>18.979999999999997</v>
      </c>
      <c r="K48" s="59">
        <f t="shared" si="60"/>
        <v>18.979999999999997</v>
      </c>
      <c r="L48" s="61"/>
      <c r="M48" s="100"/>
      <c r="N48" s="58">
        <f>K48+(N47-N46)</f>
        <v>-1.0200000000000031</v>
      </c>
      <c r="O48" s="58">
        <f t="shared" ref="O48:R48" si="61">N48+(O47-O46)</f>
        <v>-21.020000000000003</v>
      </c>
      <c r="P48" s="58">
        <f t="shared" si="61"/>
        <v>-41.02</v>
      </c>
      <c r="Q48" s="58">
        <f t="shared" si="61"/>
        <v>-61.02</v>
      </c>
      <c r="R48" s="59">
        <f t="shared" si="61"/>
        <v>-81.02000000000001</v>
      </c>
      <c r="S48" s="61"/>
      <c r="T48" s="58">
        <f>R48+(T47-T46)</f>
        <v>-101.02000000000001</v>
      </c>
      <c r="U48" s="58">
        <f t="shared" ref="U48:Y48" si="62">T48+(U47-U46)</f>
        <v>-121.02000000000001</v>
      </c>
      <c r="V48" s="58">
        <f t="shared" si="62"/>
        <v>-141.02000000000001</v>
      </c>
      <c r="W48" s="58">
        <f t="shared" si="62"/>
        <v>-132.52000000000001</v>
      </c>
      <c r="X48" s="58">
        <f t="shared" si="62"/>
        <v>-120.52000000000001</v>
      </c>
      <c r="Y48" s="59">
        <f t="shared" si="62"/>
        <v>-120.52000000000001</v>
      </c>
      <c r="Z48" s="61"/>
      <c r="AA48" s="58">
        <f>Y48+(AA47-AA46)</f>
        <v>-107.56</v>
      </c>
      <c r="AB48" s="58">
        <f t="shared" ref="AB48:AD48" si="63">AA48+(AB47-AB46)</f>
        <v>-107.56</v>
      </c>
      <c r="AC48" s="58">
        <f t="shared" si="63"/>
        <v>-107.56</v>
      </c>
      <c r="AD48" s="58">
        <f t="shared" si="63"/>
        <v>-107.56</v>
      </c>
      <c r="AE48" s="111"/>
      <c r="AF48" s="112">
        <f>AE48+(AF47-AF46)</f>
        <v>0</v>
      </c>
      <c r="AG48" s="61"/>
      <c r="AH48" s="127"/>
      <c r="AI48" s="94"/>
      <c r="AJ48" s="125"/>
      <c r="AK48" s="94"/>
      <c r="AL48" s="94"/>
      <c r="AM48" s="94"/>
      <c r="AN48" s="94"/>
      <c r="AO48" s="94"/>
      <c r="AP48" s="94"/>
      <c r="AQ48" s="94"/>
      <c r="AR48" s="94"/>
    </row>
    <row r="49" spans="1:44">
      <c r="A49" s="343" t="s">
        <v>121</v>
      </c>
      <c r="B49" s="81" t="s">
        <v>134</v>
      </c>
      <c r="C49" s="63">
        <v>0</v>
      </c>
      <c r="D49" s="59">
        <v>0</v>
      </c>
      <c r="E49" s="61"/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59">
        <v>0</v>
      </c>
      <c r="L49" s="61"/>
      <c r="M49" s="100"/>
      <c r="N49" s="63">
        <v>0</v>
      </c>
      <c r="O49" s="63">
        <v>0</v>
      </c>
      <c r="P49" s="63">
        <v>0</v>
      </c>
      <c r="Q49" s="63">
        <v>0</v>
      </c>
      <c r="R49" s="59">
        <v>0</v>
      </c>
      <c r="S49" s="61"/>
      <c r="T49" s="63">
        <v>0</v>
      </c>
      <c r="U49" s="63">
        <v>0</v>
      </c>
      <c r="V49" s="63">
        <v>0</v>
      </c>
      <c r="W49" s="63"/>
      <c r="X49" s="63"/>
      <c r="Y49" s="59">
        <v>0</v>
      </c>
      <c r="Z49" s="61"/>
      <c r="AA49" s="63">
        <v>0</v>
      </c>
      <c r="AB49" s="63">
        <v>0</v>
      </c>
      <c r="AC49" s="63">
        <v>0</v>
      </c>
      <c r="AD49" s="63">
        <v>0</v>
      </c>
      <c r="AE49" s="111"/>
      <c r="AF49" s="112">
        <v>0</v>
      </c>
      <c r="AG49" s="61"/>
      <c r="AH49" s="132">
        <f>SUM(C49:AG49)</f>
        <v>0</v>
      </c>
      <c r="AK49" s="131"/>
    </row>
    <row r="50" spans="1:44">
      <c r="A50" s="344"/>
      <c r="B50" s="57" t="s">
        <v>15</v>
      </c>
      <c r="C50" s="58">
        <f>SUMIFS('退火anil '!$H$7:$H$1000,'退火anil '!$E$7:$E$1000,'04'!$A$49,'退火anil '!$A$7:$A$1000,'04'!C$30)</f>
        <v>0</v>
      </c>
      <c r="D50" s="59">
        <f>SUMIFS('退火anil '!$H$7:$H$1000,'退火anil '!$E$7:$E$1000,'04'!$A$49,'退火anil '!$A$7:$A$1000,'04'!D$30)</f>
        <v>0</v>
      </c>
      <c r="E50" s="61"/>
      <c r="F50" s="58">
        <f>SUMIFS('退火anil '!$H$7:$H$1000,'退火anil '!$E$7:$E$1000,'04'!$A$49,'退火anil '!$A$7:$A$1000,'04'!F$30)</f>
        <v>0</v>
      </c>
      <c r="G50" s="58">
        <f>SUMIFS('退火anil '!$H$7:$H$1000,'退火anil '!$E$7:$E$1000,'04'!$A$49,'退火anil '!$A$7:$A$1000,'04'!G$30)</f>
        <v>12.44</v>
      </c>
      <c r="H50" s="58">
        <f>SUMIFS('退火anil '!$H$7:$H$1000,'退火anil '!$E$7:$E$1000,'04'!$A$49,'退火anil '!$A$7:$A$1000,'04'!H$30)</f>
        <v>3.66</v>
      </c>
      <c r="I50" s="58">
        <f>SUMIFS('退火anil '!$H$7:$H$1000,'退火anil '!$E$7:$E$1000,'04'!$A$49,'退火anil '!$A$7:$A$1000,'04'!I$30)</f>
        <v>0</v>
      </c>
      <c r="J50" s="58">
        <f>SUMIFS('退火anil '!$H$7:$H$1000,'退火anil '!$E$7:$E$1000,'04'!$A$49,'退火anil '!$A$7:$A$1000,'04'!J$30)</f>
        <v>0</v>
      </c>
      <c r="K50" s="59">
        <f>SUMIFS('退火anil '!$H$7:$H$1000,'退火anil '!$E$7:$E$1000,'04'!$A$49,'退火anil '!$A$7:$A$1000,'04'!K$30)</f>
        <v>0</v>
      </c>
      <c r="L50" s="61"/>
      <c r="M50" s="100"/>
      <c r="N50" s="58">
        <f>SUMIFS('退火anil '!$H$7:$H$1000,'退火anil '!$E$7:$E$1000,'04'!$A$49,'退火anil '!$A$7:$A$1000,'04'!N$30)</f>
        <v>0</v>
      </c>
      <c r="O50" s="58">
        <f>SUMIFS('退火anil '!$H$7:$H$1000,'退火anil '!$E$7:$E$1000,'04'!$A$49,'退火anil '!$A$7:$A$1000,'04'!O$30)</f>
        <v>0</v>
      </c>
      <c r="P50" s="58">
        <f>SUMIFS('退火anil '!$H$7:$H$1000,'退火anil '!$E$7:$E$1000,'04'!$A$49,'退火anil '!$A$7:$A$1000,'04'!P$30)</f>
        <v>0</v>
      </c>
      <c r="Q50" s="58">
        <f>SUMIFS('退火anil '!$H$7:$H$1000,'退火anil '!$E$7:$E$1000,'04'!$A$49,'退火anil '!$A$7:$A$1000,'04'!Q$30)</f>
        <v>0</v>
      </c>
      <c r="R50" s="59">
        <f>SUMIFS('退火anil '!$H$7:$H$1000,'退火anil '!$E$7:$E$1000,'04'!$A$49,'退火anil '!$A$7:$A$1000,'04'!R$30)</f>
        <v>0</v>
      </c>
      <c r="S50" s="61"/>
      <c r="T50" s="58">
        <f>SUMIFS('退火anil '!$H$7:$H$1000,'退火anil '!$E$7:$E$1000,'04'!$A$49,'退火anil '!$A$7:$A$1000,'04'!T$30)</f>
        <v>0</v>
      </c>
      <c r="U50" s="58">
        <f>SUMIFS('退火anil '!$H$7:$H$1000,'退火anil '!$E$7:$E$1000,'04'!$A$49,'退火anil '!$A$7:$A$1000,'04'!U$30)</f>
        <v>0</v>
      </c>
      <c r="V50" s="58">
        <f>SUMIFS('退火anil '!$H$7:$H$1000,'退火anil '!$E$7:$E$1000,'04'!$A$49,'退火anil '!$A$7:$A$1000,'04'!V$30)</f>
        <v>0</v>
      </c>
      <c r="W50" s="58">
        <f>SUMIFS('退火anil '!$H$7:$H$1000,'退火anil '!$E$7:$E$1000,'04'!$A$49,'退火anil '!$A$7:$A$1000,'04'!W$30)</f>
        <v>0</v>
      </c>
      <c r="X50" s="58">
        <f>SUMIFS('退火anil '!$H$7:$H$1000,'退火anil '!$E$7:$E$1000,'04'!$A$49,'退火anil '!$A$7:$A$1000,'04'!X$30)</f>
        <v>0</v>
      </c>
      <c r="Y50" s="59">
        <f>SUMIFS('退火anil '!$H$7:$H$1000,'退火anil '!$E$7:$E$1000,'04'!$A$49,'退火anil '!$A$7:$A$1000,'04'!Y$30)</f>
        <v>0</v>
      </c>
      <c r="Z50" s="61"/>
      <c r="AA50" s="58">
        <f>SUMIFS('退火anil '!$H$7:$H$1000,'退火anil '!$E$7:$E$1000,'04'!$A$49,'退火anil '!$A$7:$A$1000,'04'!AA$30)</f>
        <v>0</v>
      </c>
      <c r="AB50" s="58">
        <f>SUMIFS('退火anil '!$H$7:$H$1000,'退火anil '!$E$7:$E$1000,'04'!$A$49,'退火anil '!$A$7:$A$1000,'04'!AB$30)</f>
        <v>0</v>
      </c>
      <c r="AC50" s="58">
        <f>SUMIFS('退火anil '!$H$7:$H$1000,'退火anil '!$E$7:$E$1000,'04'!$A$49,'退火anil '!$A$7:$A$1000,'04'!AC$30)</f>
        <v>0</v>
      </c>
      <c r="AD50" s="58">
        <f>SUMIFS('退火anil '!$H$7:$H$1000,'退火anil '!$E$7:$E$1000,'04'!$A$49,'退火anil '!$A$7:$A$1000,'04'!AD$30)</f>
        <v>0</v>
      </c>
      <c r="AE50" s="111"/>
      <c r="AF50" s="112"/>
      <c r="AG50" s="61"/>
      <c r="AH50" s="127">
        <f>SUM(C50:AG50)</f>
        <v>16.100000000000001</v>
      </c>
      <c r="AK50" s="131"/>
    </row>
    <row r="51" spans="1:44">
      <c r="A51" s="345"/>
      <c r="B51" s="57" t="s">
        <v>114</v>
      </c>
      <c r="C51" s="58">
        <f>C50-C49</f>
        <v>0</v>
      </c>
      <c r="D51" s="59">
        <f t="shared" ref="D51:K51" si="64">C51+(D50-D49)</f>
        <v>0</v>
      </c>
      <c r="E51" s="61"/>
      <c r="F51" s="58">
        <f>D51+(F50-F49)</f>
        <v>0</v>
      </c>
      <c r="G51" s="58">
        <f t="shared" si="64"/>
        <v>12.44</v>
      </c>
      <c r="H51" s="58">
        <f t="shared" si="64"/>
        <v>16.100000000000001</v>
      </c>
      <c r="I51" s="58">
        <f t="shared" si="64"/>
        <v>16.100000000000001</v>
      </c>
      <c r="J51" s="58">
        <f t="shared" si="64"/>
        <v>16.100000000000001</v>
      </c>
      <c r="K51" s="59">
        <f t="shared" si="64"/>
        <v>16.100000000000001</v>
      </c>
      <c r="L51" s="61"/>
      <c r="M51" s="100"/>
      <c r="N51" s="58">
        <f>K51+(N50-N49)</f>
        <v>16.100000000000001</v>
      </c>
      <c r="O51" s="58">
        <f t="shared" ref="O51:R51" si="65">N51+(O50-O49)</f>
        <v>16.100000000000001</v>
      </c>
      <c r="P51" s="58">
        <f t="shared" si="65"/>
        <v>16.100000000000001</v>
      </c>
      <c r="Q51" s="58">
        <f t="shared" si="65"/>
        <v>16.100000000000001</v>
      </c>
      <c r="R51" s="59">
        <f t="shared" si="65"/>
        <v>16.100000000000001</v>
      </c>
      <c r="S51" s="61"/>
      <c r="T51" s="58">
        <f>R51+(T50-T49)</f>
        <v>16.100000000000001</v>
      </c>
      <c r="U51" s="58">
        <f t="shared" ref="U51:Y51" si="66">T51+(U50-U49)</f>
        <v>16.100000000000001</v>
      </c>
      <c r="V51" s="58">
        <f t="shared" si="66"/>
        <v>16.100000000000001</v>
      </c>
      <c r="W51" s="58">
        <f t="shared" si="66"/>
        <v>16.100000000000001</v>
      </c>
      <c r="X51" s="58">
        <f t="shared" si="66"/>
        <v>16.100000000000001</v>
      </c>
      <c r="Y51" s="59">
        <f t="shared" si="66"/>
        <v>16.100000000000001</v>
      </c>
      <c r="Z51" s="61"/>
      <c r="AA51" s="58">
        <f>Y51+(AA50-AA49)</f>
        <v>16.100000000000001</v>
      </c>
      <c r="AB51" s="58">
        <f t="shared" ref="AB51:AD51" si="67">AA51+(AB50-AB49)</f>
        <v>16.100000000000001</v>
      </c>
      <c r="AC51" s="58">
        <f t="shared" si="67"/>
        <v>16.100000000000001</v>
      </c>
      <c r="AD51" s="58">
        <f t="shared" si="67"/>
        <v>16.100000000000001</v>
      </c>
      <c r="AE51" s="111"/>
      <c r="AF51" s="112">
        <f>AE51+(AF50-AF49)</f>
        <v>0</v>
      </c>
      <c r="AG51" s="61"/>
      <c r="AH51" s="127"/>
      <c r="AI51" s="94"/>
      <c r="AJ51" s="125"/>
      <c r="AK51" s="94"/>
      <c r="AL51" s="94"/>
      <c r="AM51" s="94"/>
      <c r="AN51" s="94"/>
      <c r="AO51" s="94"/>
      <c r="AP51" s="94"/>
      <c r="AQ51" s="94"/>
      <c r="AR51" s="94"/>
    </row>
    <row r="52" spans="1:44">
      <c r="A52" s="343" t="s">
        <v>123</v>
      </c>
      <c r="B52" s="81" t="s">
        <v>134</v>
      </c>
      <c r="C52" s="63">
        <v>0</v>
      </c>
      <c r="D52" s="59">
        <v>0</v>
      </c>
      <c r="E52" s="61"/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59">
        <v>0</v>
      </c>
      <c r="L52" s="61"/>
      <c r="M52" s="100"/>
      <c r="N52" s="63">
        <v>0</v>
      </c>
      <c r="O52" s="63">
        <v>0</v>
      </c>
      <c r="P52" s="63">
        <v>0</v>
      </c>
      <c r="Q52" s="63">
        <v>0</v>
      </c>
      <c r="R52" s="59">
        <v>0</v>
      </c>
      <c r="S52" s="61"/>
      <c r="T52" s="63">
        <v>0</v>
      </c>
      <c r="U52" s="63">
        <v>0</v>
      </c>
      <c r="V52" s="63">
        <v>0</v>
      </c>
      <c r="W52" s="63">
        <v>0</v>
      </c>
      <c r="X52" s="63">
        <v>0</v>
      </c>
      <c r="Y52" s="59">
        <v>0</v>
      </c>
      <c r="Z52" s="61"/>
      <c r="AA52" s="63">
        <v>0</v>
      </c>
      <c r="AB52" s="63">
        <v>0</v>
      </c>
      <c r="AC52" s="63">
        <v>0</v>
      </c>
      <c r="AD52" s="63">
        <v>0</v>
      </c>
      <c r="AE52" s="100"/>
      <c r="AF52" s="112">
        <v>0</v>
      </c>
      <c r="AG52" s="61"/>
      <c r="AH52" s="132"/>
      <c r="AK52" s="131"/>
    </row>
    <row r="53" spans="1:44">
      <c r="A53" s="344"/>
      <c r="B53" s="57" t="s">
        <v>15</v>
      </c>
      <c r="C53" s="58">
        <f>SUMIFS('退火anil '!$H$7:$H$1000,'退火anil '!$E$7:$E$1000,'04'!$A$52,'退火anil '!$A$7:$A$1000,'04'!C$30)</f>
        <v>0</v>
      </c>
      <c r="D53" s="59">
        <f>SUMIFS('退火anil '!$H$7:$H$1000,'退火anil '!$E$7:$E$1000,'04'!$A$52,'退火anil '!$A$7:$A$1000,'04'!D$30)</f>
        <v>0</v>
      </c>
      <c r="E53" s="61"/>
      <c r="F53" s="58">
        <f>SUMIFS('退火anil '!$H$7:$H$1000,'退火anil '!$E$7:$E$1000,'04'!$A$52,'退火anil '!$A$7:$A$1000,'04'!F$30)</f>
        <v>0</v>
      </c>
      <c r="G53" s="58">
        <f>SUMIFS('退火anil '!$H$7:$H$1000,'退火anil '!$E$7:$E$1000,'04'!$A$52,'退火anil '!$A$7:$A$1000,'04'!G$30)</f>
        <v>0</v>
      </c>
      <c r="H53" s="58">
        <f>SUMIFS('退火anil '!$H$7:$H$1000,'退火anil '!$E$7:$E$1000,'04'!$A$52,'退火anil '!$A$7:$A$1000,'04'!H$30)</f>
        <v>0</v>
      </c>
      <c r="I53" s="58">
        <f>SUMIFS('退火anil '!$H$7:$H$1000,'退火anil '!$E$7:$E$1000,'04'!$A$52,'退火anil '!$A$7:$A$1000,'04'!I$30)</f>
        <v>0</v>
      </c>
      <c r="J53" s="58">
        <f>SUMIFS('退火anil '!$H$7:$H$1000,'退火anil '!$E$7:$E$1000,'04'!$A$52,'退火anil '!$A$7:$A$1000,'04'!J$30)</f>
        <v>0</v>
      </c>
      <c r="K53" s="59">
        <f>SUMIFS('退火anil '!$H$7:$H$1000,'退火anil '!$E$7:$E$1000,'04'!$A$52,'退火anil '!$A$7:$A$1000,'04'!K$30)</f>
        <v>0</v>
      </c>
      <c r="L53" s="61"/>
      <c r="M53" s="100"/>
      <c r="N53" s="58">
        <f>SUMIFS('退火anil '!$H$7:$H$1000,'退火anil '!$E$7:$E$1000,'04'!$A$52,'退火anil '!$A$7:$A$1000,'04'!N$30)</f>
        <v>0</v>
      </c>
      <c r="O53" s="58">
        <f>SUMIFS('退火anil '!$H$7:$H$1000,'退火anil '!$E$7:$E$1000,'04'!$A$52,'退火anil '!$A$7:$A$1000,'04'!O$30)</f>
        <v>44.62</v>
      </c>
      <c r="P53" s="58">
        <f>SUMIFS('退火anil '!$H$7:$H$1000,'退火anil '!$E$7:$E$1000,'04'!$A$52,'退火anil '!$A$7:$A$1000,'04'!P$30)</f>
        <v>18.079999999999998</v>
      </c>
      <c r="Q53" s="58">
        <f>SUMIFS('退火anil '!$H$7:$H$1000,'退火anil '!$E$7:$E$1000,'04'!$A$52,'退火anil '!$A$7:$A$1000,'04'!Q$30)</f>
        <v>0</v>
      </c>
      <c r="R53" s="59">
        <f>SUMIFS('退火anil '!$H$7:$H$1000,'退火anil '!$E$7:$E$1000,'04'!$A$52,'退火anil '!$A$7:$A$1000,'04'!R$30)</f>
        <v>0</v>
      </c>
      <c r="S53" s="61"/>
      <c r="T53" s="58">
        <f>SUMIFS('退火anil '!$H$7:$H$1000,'退火anil '!$E$7:$E$1000,'04'!$A$52,'退火anil '!$A$7:$A$1000,'04'!T$30)</f>
        <v>0</v>
      </c>
      <c r="U53" s="58">
        <f>SUMIFS('退火anil '!$H$7:$H$1000,'退火anil '!$E$7:$E$1000,'04'!$A$52,'退火anil '!$A$7:$A$1000,'04'!U$30)</f>
        <v>0</v>
      </c>
      <c r="V53" s="58">
        <f>SUMIFS('退火anil '!$H$7:$H$1000,'退火anil '!$E$7:$E$1000,'04'!$A$52,'退火anil '!$A$7:$A$1000,'04'!V$30)</f>
        <v>0</v>
      </c>
      <c r="W53" s="58">
        <f>SUMIFS('退火anil '!$H$7:$H$1000,'退火anil '!$E$7:$E$1000,'04'!$A$52,'退火anil '!$A$7:$A$1000,'04'!W$30)</f>
        <v>24.02</v>
      </c>
      <c r="X53" s="58">
        <f>SUMIFS('退火anil '!$H$7:$H$1000,'退火anil '!$E$7:$E$1000,'04'!$A$52,'退火anil '!$A$7:$A$1000,'04'!X$30)</f>
        <v>27.7</v>
      </c>
      <c r="Y53" s="59">
        <f>SUMIFS('退火anil '!$H$7:$H$1000,'退火anil '!$E$7:$E$1000,'04'!$A$52,'退火anil '!$A$7:$A$1000,'04'!Y$30)</f>
        <v>58.24</v>
      </c>
      <c r="Z53" s="61"/>
      <c r="AA53" s="58">
        <f>SUMIFS('退火anil '!$H$7:$H$1000,'退火anil '!$E$7:$E$1000,'04'!$A$52,'退火anil '!$A$7:$A$1000,'04'!AA$30)</f>
        <v>0</v>
      </c>
      <c r="AB53" s="58">
        <f>SUMIFS('退火anil '!$H$7:$H$1000,'退火anil '!$E$7:$E$1000,'04'!$A$52,'退火anil '!$A$7:$A$1000,'04'!AB$30)</f>
        <v>0</v>
      </c>
      <c r="AC53" s="58">
        <f>SUMIFS('退火anil '!$H$7:$H$1000,'退火anil '!$E$7:$E$1000,'04'!$A$52,'退火anil '!$A$7:$A$1000,'04'!AC$30)</f>
        <v>0</v>
      </c>
      <c r="AD53" s="58">
        <f>SUMIFS('退火anil '!$H$7:$H$1000,'退火anil '!$E$7:$E$1000,'04'!$A$52,'退火anil '!$A$7:$A$1000,'04'!AD$30)</f>
        <v>0</v>
      </c>
      <c r="AE53" s="111"/>
      <c r="AF53" s="112"/>
      <c r="AG53" s="61"/>
      <c r="AH53" s="127"/>
      <c r="AK53" s="131"/>
    </row>
    <row r="54" spans="1:44">
      <c r="A54" s="345"/>
      <c r="B54" s="57" t="s">
        <v>114</v>
      </c>
      <c r="C54" s="58">
        <f>C53-C52</f>
        <v>0</v>
      </c>
      <c r="D54" s="59">
        <f t="shared" ref="D54:K54" si="68">C54+(D53-D52)</f>
        <v>0</v>
      </c>
      <c r="E54" s="61"/>
      <c r="F54" s="58">
        <f>D54+(F53-F52)</f>
        <v>0</v>
      </c>
      <c r="G54" s="58">
        <f t="shared" si="68"/>
        <v>0</v>
      </c>
      <c r="H54" s="58">
        <f t="shared" si="68"/>
        <v>0</v>
      </c>
      <c r="I54" s="58">
        <f t="shared" si="68"/>
        <v>0</v>
      </c>
      <c r="J54" s="58">
        <f t="shared" si="68"/>
        <v>0</v>
      </c>
      <c r="K54" s="59">
        <f t="shared" si="68"/>
        <v>0</v>
      </c>
      <c r="L54" s="61"/>
      <c r="M54" s="100"/>
      <c r="N54" s="58">
        <f>K54+(N53-N52)</f>
        <v>0</v>
      </c>
      <c r="O54" s="58">
        <f t="shared" ref="O54:R54" si="69">N54+(O53-O52)</f>
        <v>44.62</v>
      </c>
      <c r="P54" s="58">
        <f t="shared" si="69"/>
        <v>62.699999999999996</v>
      </c>
      <c r="Q54" s="58">
        <f t="shared" si="69"/>
        <v>62.699999999999996</v>
      </c>
      <c r="R54" s="59">
        <f t="shared" si="69"/>
        <v>62.699999999999996</v>
      </c>
      <c r="S54" s="61"/>
      <c r="T54" s="58">
        <f>R54+(T53-T52)</f>
        <v>62.699999999999996</v>
      </c>
      <c r="U54" s="58">
        <f t="shared" ref="U54:Y54" si="70">T54+(U53-U52)</f>
        <v>62.699999999999996</v>
      </c>
      <c r="V54" s="58">
        <f t="shared" si="70"/>
        <v>62.699999999999996</v>
      </c>
      <c r="W54" s="58">
        <f t="shared" si="70"/>
        <v>86.72</v>
      </c>
      <c r="X54" s="58">
        <f t="shared" si="70"/>
        <v>114.42</v>
      </c>
      <c r="Y54" s="59">
        <f t="shared" si="70"/>
        <v>172.66</v>
      </c>
      <c r="Z54" s="61"/>
      <c r="AA54" s="58">
        <f>Y54+(AA53-AA52)</f>
        <v>172.66</v>
      </c>
      <c r="AB54" s="58">
        <f t="shared" ref="AB54:AD54" si="71">AA54+(AB53-AB52)</f>
        <v>172.66</v>
      </c>
      <c r="AC54" s="58">
        <f t="shared" si="71"/>
        <v>172.66</v>
      </c>
      <c r="AD54" s="58">
        <f t="shared" si="71"/>
        <v>172.66</v>
      </c>
      <c r="AE54" s="111"/>
      <c r="AF54" s="112">
        <f>AE54+(AF53-AF52)</f>
        <v>0</v>
      </c>
      <c r="AG54" s="61"/>
      <c r="AH54" s="127"/>
      <c r="AI54" s="94"/>
      <c r="AJ54" s="125"/>
      <c r="AK54" s="94"/>
      <c r="AL54" s="94"/>
      <c r="AM54" s="94"/>
      <c r="AN54" s="94"/>
      <c r="AO54" s="94"/>
      <c r="AP54" s="94"/>
      <c r="AQ54" s="94"/>
      <c r="AR54" s="94"/>
    </row>
    <row r="55" spans="1:44">
      <c r="A55" s="343" t="s">
        <v>124</v>
      </c>
      <c r="B55" s="81" t="s">
        <v>134</v>
      </c>
      <c r="C55" s="63"/>
      <c r="D55" s="59"/>
      <c r="E55" s="61"/>
      <c r="F55" s="63"/>
      <c r="G55" s="63"/>
      <c r="H55" s="63"/>
      <c r="I55" s="63"/>
      <c r="J55" s="63"/>
      <c r="K55" s="59"/>
      <c r="L55" s="61"/>
      <c r="M55" s="100"/>
      <c r="N55" s="63">
        <v>0</v>
      </c>
      <c r="O55" s="63">
        <v>0</v>
      </c>
      <c r="P55" s="63">
        <v>0</v>
      </c>
      <c r="Q55" s="63">
        <v>0</v>
      </c>
      <c r="R55" s="59"/>
      <c r="S55" s="61"/>
      <c r="T55" s="63">
        <v>0</v>
      </c>
      <c r="U55" s="63">
        <v>0</v>
      </c>
      <c r="V55" s="63">
        <v>0</v>
      </c>
      <c r="W55" s="63">
        <v>0</v>
      </c>
      <c r="X55" s="63">
        <v>0</v>
      </c>
      <c r="Y55" s="59"/>
      <c r="Z55" s="61"/>
      <c r="AA55" s="63">
        <v>0</v>
      </c>
      <c r="AB55" s="63">
        <v>0</v>
      </c>
      <c r="AC55" s="63">
        <v>0</v>
      </c>
      <c r="AD55" s="63">
        <v>0</v>
      </c>
      <c r="AE55" s="111"/>
      <c r="AF55" s="112">
        <f>300/20</f>
        <v>15</v>
      </c>
      <c r="AG55" s="61"/>
      <c r="AH55" s="132"/>
      <c r="AK55" s="131"/>
    </row>
    <row r="56" spans="1:44">
      <c r="A56" s="344"/>
      <c r="B56" s="57" t="s">
        <v>15</v>
      </c>
      <c r="C56" s="58">
        <f>SUMIFS('退火anil '!$H$7:$H$1000,'退火anil '!$E$7:$E$1000,'04'!$A$55,'退火anil '!$A$7:$A$1000,'04'!C$30)</f>
        <v>0</v>
      </c>
      <c r="D56" s="59">
        <f>SUMIFS('退火anil '!$H$7:$H$1000,'退火anil '!$E$7:$E$1000,'04'!$A$55,'退火anil '!$A$7:$A$1000,'04'!D$30)</f>
        <v>0</v>
      </c>
      <c r="E56" s="61"/>
      <c r="F56" s="58">
        <f>SUMIFS('退火anil '!$H$7:$H$1000,'退火anil '!$E$7:$E$1000,'04'!$A$55,'退火anil '!$A$7:$A$1000,'04'!F$30)</f>
        <v>0</v>
      </c>
      <c r="G56" s="58">
        <f>SUMIFS('退火anil '!$H$7:$H$1000,'退火anil '!$E$7:$E$1000,'04'!$A$55,'退火anil '!$A$7:$A$1000,'04'!G$30)</f>
        <v>0</v>
      </c>
      <c r="H56" s="58">
        <f>SUMIFS('退火anil '!$H$7:$H$1000,'退火anil '!$E$7:$E$1000,'04'!$A$55,'退火anil '!$A$7:$A$1000,'04'!H$30)</f>
        <v>0</v>
      </c>
      <c r="I56" s="58">
        <f>SUMIFS('退火anil '!$H$7:$H$1000,'退火anil '!$E$7:$E$1000,'04'!$A$55,'退火anil '!$A$7:$A$1000,'04'!I$30)</f>
        <v>0</v>
      </c>
      <c r="J56" s="58">
        <f>SUMIFS('退火anil '!$H$7:$H$1000,'退火anil '!$E$7:$E$1000,'04'!$A$55,'退火anil '!$A$7:$A$1000,'04'!J$30)</f>
        <v>0</v>
      </c>
      <c r="K56" s="59">
        <f>SUMIFS('退火anil '!$H$7:$H$1000,'退火anil '!$E$7:$E$1000,'04'!$A$55,'退火anil '!$A$7:$A$1000,'04'!K$30)</f>
        <v>0</v>
      </c>
      <c r="L56" s="61"/>
      <c r="M56" s="100"/>
      <c r="N56" s="58">
        <f>SUMIFS('退火anil '!$H$7:$H$1000,'退火anil '!$E$7:$E$1000,'04'!$A$55,'退火anil '!$A$7:$A$1000,'04'!N$30)</f>
        <v>0</v>
      </c>
      <c r="O56" s="58">
        <f>SUMIFS('退火anil '!$H$7:$H$1000,'退火anil '!$E$7:$E$1000,'04'!$A$55,'退火anil '!$A$7:$A$1000,'04'!O$30)</f>
        <v>0</v>
      </c>
      <c r="P56" s="58">
        <f>SUMIFS('退火anil '!$H$7:$H$1000,'退火anil '!$E$7:$E$1000,'04'!$A$55,'退火anil '!$A$7:$A$1000,'04'!P$30)</f>
        <v>0</v>
      </c>
      <c r="Q56" s="58">
        <f>SUMIFS('退火anil '!$H$7:$H$1000,'退火anil '!$E$7:$E$1000,'04'!$A$55,'退火anil '!$A$7:$A$1000,'04'!Q$30)</f>
        <v>0</v>
      </c>
      <c r="R56" s="59">
        <f>SUMIFS('退火anil '!$H$7:$H$1000,'退火anil '!$E$7:$E$1000,'04'!$A$55,'退火anil '!$A$7:$A$1000,'04'!R$30)</f>
        <v>0</v>
      </c>
      <c r="S56" s="61"/>
      <c r="T56" s="58">
        <f>SUMIFS('退火anil '!$H$7:$H$1000,'退火anil '!$E$7:$E$1000,'04'!$A$55,'退火anil '!$A$7:$A$1000,'04'!T$30)</f>
        <v>0</v>
      </c>
      <c r="U56" s="58">
        <f>SUMIFS('退火anil '!$H$7:$H$1000,'退火anil '!$E$7:$E$1000,'04'!$A$55,'退火anil '!$A$7:$A$1000,'04'!U$30)</f>
        <v>0</v>
      </c>
      <c r="V56" s="58">
        <f>SUMIFS('退火anil '!$H$7:$H$1000,'退火anil '!$E$7:$E$1000,'04'!$A$55,'退火anil '!$A$7:$A$1000,'04'!V$30)</f>
        <v>0</v>
      </c>
      <c r="W56" s="58">
        <f>SUMIFS('退火anil '!$H$7:$H$1000,'退火anil '!$E$7:$E$1000,'04'!$A$55,'退火anil '!$A$7:$A$1000,'04'!W$30)</f>
        <v>0</v>
      </c>
      <c r="X56" s="58">
        <f>SUMIFS('退火anil '!$H$7:$H$1000,'退火anil '!$E$7:$E$1000,'04'!$A$55,'退火anil '!$A$7:$A$1000,'04'!X$30)</f>
        <v>0</v>
      </c>
      <c r="Y56" s="59">
        <f>SUMIFS('退火anil '!$H$7:$H$1000,'退火anil '!$E$7:$E$1000,'04'!$A$55,'退火anil '!$A$7:$A$1000,'04'!Y$30)</f>
        <v>0</v>
      </c>
      <c r="Z56" s="61"/>
      <c r="AA56" s="58">
        <f>SUMIFS('退火anil '!$H$7:$H$1000,'退火anil '!$E$7:$E$1000,'04'!$A$55,'退火anil '!$A$7:$A$1000,'04'!AA$30)</f>
        <v>0</v>
      </c>
      <c r="AB56" s="58">
        <f>SUMIFS('退火anil '!$H$7:$H$1000,'退火anil '!$E$7:$E$1000,'04'!$A$55,'退火anil '!$A$7:$A$1000,'04'!AB$30)</f>
        <v>0</v>
      </c>
      <c r="AC56" s="58">
        <f>SUMIFS('退火anil '!$H$7:$H$1000,'退火anil '!$E$7:$E$1000,'04'!$A$55,'退火anil '!$A$7:$A$1000,'04'!AC$30)</f>
        <v>0</v>
      </c>
      <c r="AD56" s="58">
        <f>SUMIFS('退火anil '!$H$7:$H$1000,'退火anil '!$E$7:$E$1000,'04'!$A$55,'退火anil '!$A$7:$A$1000,'04'!AD$30)</f>
        <v>0</v>
      </c>
      <c r="AE56" s="111"/>
      <c r="AF56" s="112"/>
      <c r="AG56" s="61"/>
      <c r="AH56" s="127"/>
      <c r="AK56" s="131"/>
    </row>
    <row r="57" spans="1:44">
      <c r="A57" s="345"/>
      <c r="B57" s="57" t="s">
        <v>114</v>
      </c>
      <c r="C57" s="58">
        <f>C56-C55</f>
        <v>0</v>
      </c>
      <c r="D57" s="59">
        <f t="shared" ref="D57:K57" si="72">C57+(D56-D55)</f>
        <v>0</v>
      </c>
      <c r="E57" s="61"/>
      <c r="F57" s="58">
        <f>D57+(F56-F55)</f>
        <v>0</v>
      </c>
      <c r="G57" s="58">
        <f t="shared" si="72"/>
        <v>0</v>
      </c>
      <c r="H57" s="58">
        <f t="shared" si="72"/>
        <v>0</v>
      </c>
      <c r="I57" s="58">
        <f t="shared" si="72"/>
        <v>0</v>
      </c>
      <c r="J57" s="58">
        <f t="shared" si="72"/>
        <v>0</v>
      </c>
      <c r="K57" s="59">
        <f t="shared" si="72"/>
        <v>0</v>
      </c>
      <c r="L57" s="61"/>
      <c r="M57" s="100"/>
      <c r="N57" s="58">
        <f>K57+(N56-N55)</f>
        <v>0</v>
      </c>
      <c r="O57" s="58">
        <f t="shared" ref="O57:R57" si="73">N57+(O56-O55)</f>
        <v>0</v>
      </c>
      <c r="P57" s="58">
        <f t="shared" si="73"/>
        <v>0</v>
      </c>
      <c r="Q57" s="58">
        <f t="shared" si="73"/>
        <v>0</v>
      </c>
      <c r="R57" s="59">
        <f t="shared" si="73"/>
        <v>0</v>
      </c>
      <c r="S57" s="61"/>
      <c r="T57" s="58">
        <f>R57+(T56-T55)</f>
        <v>0</v>
      </c>
      <c r="U57" s="58">
        <f t="shared" ref="U57:Y57" si="74">T57+(U56-U55)</f>
        <v>0</v>
      </c>
      <c r="V57" s="58">
        <f t="shared" si="74"/>
        <v>0</v>
      </c>
      <c r="W57" s="58">
        <f t="shared" si="74"/>
        <v>0</v>
      </c>
      <c r="X57" s="58">
        <f t="shared" si="74"/>
        <v>0</v>
      </c>
      <c r="Y57" s="59">
        <f t="shared" si="74"/>
        <v>0</v>
      </c>
      <c r="Z57" s="61"/>
      <c r="AA57" s="58">
        <f>Y57+(AA56-AA55)</f>
        <v>0</v>
      </c>
      <c r="AB57" s="58">
        <f t="shared" ref="AB57:AD57" si="75">AA57+(AB56-AB55)</f>
        <v>0</v>
      </c>
      <c r="AC57" s="58">
        <f t="shared" si="75"/>
        <v>0</v>
      </c>
      <c r="AD57" s="58">
        <f t="shared" si="75"/>
        <v>0</v>
      </c>
      <c r="AE57" s="111"/>
      <c r="AF57" s="112">
        <f>AE57+(AF56-AF55)</f>
        <v>-15</v>
      </c>
      <c r="AG57" s="61"/>
      <c r="AH57" s="127"/>
      <c r="AI57" s="94"/>
      <c r="AJ57" s="125"/>
      <c r="AK57" s="94"/>
      <c r="AL57" s="94"/>
      <c r="AM57" s="94"/>
      <c r="AN57" s="94"/>
      <c r="AO57" s="94"/>
      <c r="AP57" s="94"/>
      <c r="AQ57" s="94"/>
      <c r="AR57" s="94"/>
    </row>
    <row r="58" spans="1:44">
      <c r="A58" s="343" t="s">
        <v>126</v>
      </c>
      <c r="B58" s="81" t="s">
        <v>135</v>
      </c>
      <c r="C58" s="63">
        <v>250</v>
      </c>
      <c r="D58" s="59">
        <v>200</v>
      </c>
      <c r="E58" s="61"/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59">
        <v>0</v>
      </c>
      <c r="L58" s="61"/>
      <c r="M58" s="100"/>
      <c r="N58" s="63">
        <v>180</v>
      </c>
      <c r="O58" s="63">
        <v>200</v>
      </c>
      <c r="P58" s="63">
        <v>0</v>
      </c>
      <c r="Q58" s="63">
        <v>0</v>
      </c>
      <c r="R58" s="59">
        <v>0</v>
      </c>
      <c r="S58" s="61"/>
      <c r="T58" s="63">
        <v>100</v>
      </c>
      <c r="U58" s="63">
        <v>150</v>
      </c>
      <c r="V58" s="63">
        <v>150</v>
      </c>
      <c r="W58" s="63">
        <v>150</v>
      </c>
      <c r="X58" s="63">
        <v>150</v>
      </c>
      <c r="Y58" s="59">
        <v>0</v>
      </c>
      <c r="Z58" s="61"/>
      <c r="AA58" s="63">
        <v>150</v>
      </c>
      <c r="AB58" s="63">
        <v>200</v>
      </c>
      <c r="AC58" s="63">
        <v>200</v>
      </c>
      <c r="AD58" s="63">
        <v>200</v>
      </c>
      <c r="AE58" s="100"/>
      <c r="AF58" s="112">
        <v>0</v>
      </c>
      <c r="AG58" s="61"/>
      <c r="AH58" s="132">
        <f>SUM(C58:AG58)</f>
        <v>2280</v>
      </c>
      <c r="AK58" s="131"/>
    </row>
    <row r="59" spans="1:44">
      <c r="A59" s="344"/>
      <c r="B59" s="57" t="s">
        <v>15</v>
      </c>
      <c r="C59" s="58">
        <f>SUMIFS('退火anil '!$H$7:$H$1000,'退火anil '!$E$7:$E$1000,'04'!$A$58,'退火anil '!$A$7:$A$1000,'04'!C$30)</f>
        <v>224.62</v>
      </c>
      <c r="D59" s="59">
        <f>SUMIFS('退火anil '!$H$7:$H$1000,'退火anil '!$E$7:$E$1000,'04'!$A$58,'退火anil '!$A$7:$A$1000,'04'!D$30)</f>
        <v>161.74</v>
      </c>
      <c r="E59" s="82"/>
      <c r="F59" s="58">
        <f>SUMIFS('退火anil '!$H$7:$H$1000,'退火anil '!$E$7:$E$1000,'04'!$A$58,'退火anil '!$A$7:$A$1000,'04'!F$30)</f>
        <v>3.86</v>
      </c>
      <c r="G59" s="58">
        <f>SUMIFS('退火anil '!$H$7:$H$1000,'退火anil '!$E$7:$E$1000,'04'!$A$58,'退火anil '!$A$7:$A$1000,'04'!G$30)</f>
        <v>0</v>
      </c>
      <c r="H59" s="58">
        <f>SUMIFS('退火anil '!$H$7:$H$1000,'退火anil '!$E$7:$E$1000,'04'!$A$58,'退火anil '!$A$7:$A$1000,'04'!H$30)</f>
        <v>0</v>
      </c>
      <c r="I59" s="58">
        <f>SUMIFS('退火anil '!$H$7:$H$1000,'退火anil '!$E$7:$E$1000,'04'!$A$58,'退火anil '!$A$7:$A$1000,'04'!I$30)</f>
        <v>0</v>
      </c>
      <c r="J59" s="58">
        <f>SUMIFS('退火anil '!$H$7:$H$1000,'退火anil '!$E$7:$E$1000,'04'!$A$58,'退火anil '!$A$7:$A$1000,'04'!J$30)</f>
        <v>0</v>
      </c>
      <c r="K59" s="59">
        <f>SUMIFS('退火anil '!$H$7:$H$1000,'退火anil '!$E$7:$E$1000,'04'!$A$58,'退火anil '!$A$7:$A$1000,'04'!K$30)</f>
        <v>0</v>
      </c>
      <c r="L59" s="82"/>
      <c r="M59" s="105"/>
      <c r="N59" s="58">
        <f>SUMIFS('退火anil '!$H$7:$H$1000,'退火anil '!$E$7:$E$1000,'04'!$A$58,'退火anil '!$A$7:$A$1000,'04'!N$30)</f>
        <v>146.80000000000001</v>
      </c>
      <c r="O59" s="58">
        <f>SUMIFS('退火anil '!$H$7:$H$1000,'退火anil '!$E$7:$E$1000,'04'!$A$58,'退火anil '!$A$7:$A$1000,'04'!O$30)</f>
        <v>154.6</v>
      </c>
      <c r="P59" s="58">
        <f>SUMIFS('退火anil '!$H$7:$H$1000,'退火anil '!$E$7:$E$1000,'04'!$A$58,'退火anil '!$A$7:$A$1000,'04'!P$30)</f>
        <v>0</v>
      </c>
      <c r="Q59" s="58">
        <f>SUMIFS('退火anil '!$H$7:$H$1000,'退火anil '!$E$7:$E$1000,'04'!$A$58,'退火anil '!$A$7:$A$1000,'04'!Q$30)</f>
        <v>0</v>
      </c>
      <c r="R59" s="59">
        <f>SUMIFS('退火anil '!$H$7:$H$1000,'退火anil '!$E$7:$E$1000,'04'!$A$58,'退火anil '!$A$7:$A$1000,'04'!R$30)</f>
        <v>0</v>
      </c>
      <c r="S59" s="82"/>
      <c r="T59" s="58">
        <f>SUMIFS('退火anil '!$H$7:$H$1000,'退火anil '!$E$7:$E$1000,'04'!$A$58,'退火anil '!$A$7:$A$1000,'04'!T$30)</f>
        <v>0</v>
      </c>
      <c r="U59" s="58">
        <f>SUMIFS('退火anil '!$H$7:$H$1000,'退火anil '!$E$7:$E$1000,'04'!$A$58,'退火anil '!$A$7:$A$1000,'04'!U$30)</f>
        <v>0</v>
      </c>
      <c r="V59" s="58">
        <f>SUMIFS('退火anil '!$H$7:$H$1000,'退火anil '!$E$7:$E$1000,'04'!$A$58,'退火anil '!$A$7:$A$1000,'04'!V$30)</f>
        <v>131.66</v>
      </c>
      <c r="W59" s="58">
        <f>SUMIFS('退火anil '!$H$7:$H$1000,'退火anil '!$E$7:$E$1000,'04'!$A$58,'退火anil '!$A$7:$A$1000,'04'!W$30)</f>
        <v>98.02</v>
      </c>
      <c r="X59" s="58">
        <f>SUMIFS('退火anil '!$H$7:$H$1000,'退火anil '!$E$7:$E$1000,'04'!$A$58,'退火anil '!$A$7:$A$1000,'04'!X$30)</f>
        <v>65.72</v>
      </c>
      <c r="Y59" s="59">
        <f>SUMIFS('退火anil '!$H$7:$H$1000,'退火anil '!$E$7:$E$1000,'04'!$A$58,'退火anil '!$A$7:$A$1000,'04'!Y$30)</f>
        <v>0</v>
      </c>
      <c r="Z59" s="82"/>
      <c r="AA59" s="58">
        <f>SUMIFS('退火anil '!$H$7:$H$1000,'退火anil '!$E$7:$E$1000,'04'!$A$58,'退火anil '!$A$7:$A$1000,'04'!AA$30)</f>
        <v>125.86</v>
      </c>
      <c r="AB59" s="58">
        <f>SUMIFS('退火anil '!$H$7:$H$1000,'退火anil '!$E$7:$E$1000,'04'!$A$58,'退火anil '!$A$7:$A$1000,'04'!AB$30)</f>
        <v>0</v>
      </c>
      <c r="AC59" s="58">
        <f>SUMIFS('退火anil '!$H$7:$H$1000,'退火anil '!$E$7:$E$1000,'04'!$A$58,'退火anil '!$A$7:$A$1000,'04'!AC$30)</f>
        <v>0</v>
      </c>
      <c r="AD59" s="58">
        <f>SUMIFS('退火anil '!$H$7:$H$1000,'退火anil '!$E$7:$E$1000,'04'!$A$58,'退火anil '!$A$7:$A$1000,'04'!AD$30)</f>
        <v>0</v>
      </c>
      <c r="AE59" s="119"/>
      <c r="AF59" s="116"/>
      <c r="AG59" s="82"/>
      <c r="AH59" s="127">
        <f>SUM(C59:AG59)</f>
        <v>1112.8799999999999</v>
      </c>
      <c r="AK59" s="131"/>
    </row>
    <row r="60" spans="1:44">
      <c r="A60" s="345"/>
      <c r="B60" s="67" t="s">
        <v>114</v>
      </c>
      <c r="C60" s="83">
        <f>C59-C58</f>
        <v>-25.379999999999995</v>
      </c>
      <c r="D60" s="84">
        <f t="shared" ref="D60:K60" si="76">C60+(D59-D58)</f>
        <v>-63.639999999999986</v>
      </c>
      <c r="E60" s="85"/>
      <c r="F60" s="83">
        <f>D60+(F59-F58)</f>
        <v>-59.779999999999987</v>
      </c>
      <c r="G60" s="83">
        <f t="shared" si="76"/>
        <v>-59.779999999999987</v>
      </c>
      <c r="H60" s="83">
        <f t="shared" si="76"/>
        <v>-59.779999999999987</v>
      </c>
      <c r="I60" s="83">
        <f t="shared" si="76"/>
        <v>-59.779999999999987</v>
      </c>
      <c r="J60" s="83">
        <f t="shared" si="76"/>
        <v>-59.779999999999987</v>
      </c>
      <c r="K60" s="84">
        <f t="shared" si="76"/>
        <v>-59.779999999999987</v>
      </c>
      <c r="L60" s="85"/>
      <c r="M60" s="106"/>
      <c r="N60" s="83">
        <f>K60+(N59-N58)</f>
        <v>-92.979999999999976</v>
      </c>
      <c r="O60" s="83">
        <f t="shared" ref="O60:R60" si="77">N60+(O59-O58)</f>
        <v>-138.38</v>
      </c>
      <c r="P60" s="83">
        <f t="shared" si="77"/>
        <v>-138.38</v>
      </c>
      <c r="Q60" s="83">
        <f t="shared" si="77"/>
        <v>-138.38</v>
      </c>
      <c r="R60" s="84">
        <f t="shared" si="77"/>
        <v>-138.38</v>
      </c>
      <c r="S60" s="85"/>
      <c r="T60" s="83">
        <f>R60+(T59-T58)</f>
        <v>-238.38</v>
      </c>
      <c r="U60" s="83">
        <f t="shared" ref="U60:Y60" si="78">T60+(U59-U58)</f>
        <v>-388.38</v>
      </c>
      <c r="V60" s="83">
        <f t="shared" si="78"/>
        <v>-406.72</v>
      </c>
      <c r="W60" s="83">
        <f t="shared" si="78"/>
        <v>-458.70000000000005</v>
      </c>
      <c r="X60" s="83">
        <f t="shared" si="78"/>
        <v>-542.98</v>
      </c>
      <c r="Y60" s="84">
        <f t="shared" si="78"/>
        <v>-542.98</v>
      </c>
      <c r="Z60" s="85"/>
      <c r="AA60" s="83">
        <f>Y60+(AA59-AA58)</f>
        <v>-567.12</v>
      </c>
      <c r="AB60" s="83">
        <f t="shared" ref="AB60:AD60" si="79">AA60+(AB59-AB58)</f>
        <v>-767.12</v>
      </c>
      <c r="AC60" s="83">
        <f t="shared" si="79"/>
        <v>-967.12</v>
      </c>
      <c r="AD60" s="83">
        <f t="shared" si="79"/>
        <v>-1167.1199999999999</v>
      </c>
      <c r="AE60" s="106"/>
      <c r="AF60" s="116">
        <f>AE60+(AF59-AF58)</f>
        <v>0</v>
      </c>
      <c r="AG60" s="82"/>
      <c r="AH60" s="133"/>
      <c r="AI60" s="94"/>
      <c r="AJ60" s="125"/>
      <c r="AK60" s="94"/>
      <c r="AL60" s="94"/>
      <c r="AM60" s="94"/>
      <c r="AN60" s="94"/>
      <c r="AO60" s="94"/>
      <c r="AP60" s="94"/>
      <c r="AQ60" s="94"/>
      <c r="AR60" s="94"/>
    </row>
    <row r="61" spans="1:44">
      <c r="B61" s="69" t="s">
        <v>111</v>
      </c>
      <c r="C61" s="86">
        <f t="shared" ref="C61:K61" si="80">SUM(C31,C34,C37,C40,C43,C46,C49,C52,C55,C58)</f>
        <v>250</v>
      </c>
      <c r="D61" s="87">
        <f t="shared" si="80"/>
        <v>200</v>
      </c>
      <c r="E61" s="88"/>
      <c r="F61" s="89">
        <f t="shared" si="80"/>
        <v>306</v>
      </c>
      <c r="G61" s="89">
        <f t="shared" si="80"/>
        <v>406</v>
      </c>
      <c r="H61" s="89">
        <f t="shared" si="80"/>
        <v>406</v>
      </c>
      <c r="I61" s="89">
        <f t="shared" si="80"/>
        <v>406</v>
      </c>
      <c r="J61" s="89">
        <f t="shared" si="80"/>
        <v>406</v>
      </c>
      <c r="K61" s="87">
        <f t="shared" si="80"/>
        <v>265</v>
      </c>
      <c r="L61" s="88"/>
      <c r="M61" s="107"/>
      <c r="N61" s="89">
        <f t="shared" ref="N61:R61" si="81">SUM(N31,N34,N37,N40,N43,N46,N49,N52,N55,N58)</f>
        <v>606</v>
      </c>
      <c r="O61" s="89">
        <f t="shared" si="81"/>
        <v>626</v>
      </c>
      <c r="P61" s="89">
        <f t="shared" si="81"/>
        <v>426</v>
      </c>
      <c r="Q61" s="89">
        <f t="shared" si="81"/>
        <v>426</v>
      </c>
      <c r="R61" s="87">
        <f t="shared" si="81"/>
        <v>285</v>
      </c>
      <c r="S61" s="88"/>
      <c r="T61" s="89">
        <f t="shared" ref="T61:Y61" si="82">SUM(T31,T34,T37,T40,T43,T46,T49,T52,T55,T58)</f>
        <v>540</v>
      </c>
      <c r="U61" s="89">
        <f t="shared" si="82"/>
        <v>720</v>
      </c>
      <c r="V61" s="89">
        <f t="shared" si="82"/>
        <v>720</v>
      </c>
      <c r="W61" s="89">
        <f t="shared" si="82"/>
        <v>700</v>
      </c>
      <c r="X61" s="89">
        <f t="shared" si="82"/>
        <v>700</v>
      </c>
      <c r="Y61" s="120">
        <f t="shared" si="82"/>
        <v>350</v>
      </c>
      <c r="Z61" s="88"/>
      <c r="AA61" s="89">
        <f t="shared" ref="AA61:AD61" si="83">SUM(AA31,AA34,AA37,AA40,AA43,AA46,AA49,AA52,AA55,AA58)</f>
        <v>500</v>
      </c>
      <c r="AB61" s="89">
        <f t="shared" si="83"/>
        <v>550</v>
      </c>
      <c r="AC61" s="89">
        <f t="shared" si="83"/>
        <v>550</v>
      </c>
      <c r="AD61" s="89">
        <f t="shared" si="83"/>
        <v>550</v>
      </c>
      <c r="AE61" s="121"/>
      <c r="AF61" s="87">
        <f>SUM(AF31,AF34,AF37,AF40,AF43,AF46,AF49,AF52,AF55,AF58)</f>
        <v>15</v>
      </c>
      <c r="AG61" s="88"/>
      <c r="AH61" s="134">
        <f>SUM(AH31,AH34,AH37,AH40,AH43,AH46,AH55,AH58)</f>
        <v>10894</v>
      </c>
      <c r="AK61" s="131"/>
    </row>
    <row r="62" spans="1:44">
      <c r="B62" s="74" t="s">
        <v>112</v>
      </c>
      <c r="C62" s="90">
        <f t="shared" ref="C62:K62" si="84">SUM(C32,C35,C38,C41,C44,C47,C50,C53,C56,C59)</f>
        <v>224.62</v>
      </c>
      <c r="D62" s="91">
        <f t="shared" si="84"/>
        <v>161.74</v>
      </c>
      <c r="E62" s="92"/>
      <c r="F62" s="93">
        <f t="shared" si="84"/>
        <v>376.24</v>
      </c>
      <c r="G62" s="93">
        <f t="shared" si="84"/>
        <v>536.42000000000007</v>
      </c>
      <c r="H62" s="93">
        <f t="shared" si="84"/>
        <v>468.72</v>
      </c>
      <c r="I62" s="93">
        <f t="shared" si="84"/>
        <v>502.94</v>
      </c>
      <c r="J62" s="93">
        <f t="shared" si="84"/>
        <v>490.18</v>
      </c>
      <c r="K62" s="91">
        <f t="shared" si="84"/>
        <v>337.68</v>
      </c>
      <c r="L62" s="92"/>
      <c r="M62" s="108"/>
      <c r="N62" s="93">
        <f t="shared" ref="N62:R62" si="85">SUM(N32,N35,N38,N41,N44,N47,N50,N53,N56,N59)</f>
        <v>232.60000000000002</v>
      </c>
      <c r="O62" s="93">
        <f t="shared" si="85"/>
        <v>686.06000000000006</v>
      </c>
      <c r="P62" s="93">
        <f t="shared" si="85"/>
        <v>563.92000000000007</v>
      </c>
      <c r="Q62" s="93">
        <f t="shared" si="85"/>
        <v>762.33999999999992</v>
      </c>
      <c r="R62" s="91">
        <f t="shared" si="85"/>
        <v>519.84</v>
      </c>
      <c r="S62" s="92"/>
      <c r="T62" s="93">
        <f t="shared" ref="T62:Y62" si="86">SUM(T32,T35,T38,T41,T44,T47,T50,T53,T56,T59)</f>
        <v>603.9</v>
      </c>
      <c r="U62" s="93">
        <f t="shared" si="86"/>
        <v>400.38</v>
      </c>
      <c r="V62" s="93">
        <f t="shared" si="86"/>
        <v>472.65999999999997</v>
      </c>
      <c r="W62" s="93">
        <f t="shared" si="86"/>
        <v>688.4</v>
      </c>
      <c r="X62" s="93">
        <f t="shared" si="86"/>
        <v>480.6</v>
      </c>
      <c r="Y62" s="122">
        <f t="shared" si="86"/>
        <v>307.2</v>
      </c>
      <c r="Z62" s="92"/>
      <c r="AA62" s="93">
        <f t="shared" ref="AA62:AD62" si="87">SUM(AA32,AA35,AA38,AA41,AA44,AA47,AA50,AA53,AA56,AA59)</f>
        <v>494.76</v>
      </c>
      <c r="AB62" s="93">
        <f t="shared" si="87"/>
        <v>0</v>
      </c>
      <c r="AC62" s="93">
        <f t="shared" si="87"/>
        <v>0</v>
      </c>
      <c r="AD62" s="93">
        <f t="shared" si="87"/>
        <v>0</v>
      </c>
      <c r="AE62" s="123"/>
      <c r="AF62" s="91">
        <f>SUM(AF32,AF35,AF38,AF41,AF44,AF47,AF50,AF53,AF56,AF59)</f>
        <v>0</v>
      </c>
      <c r="AG62" s="92"/>
      <c r="AH62" s="130">
        <f>SUM(AH32,AH35,AH38,AH41,AH44,AH47,AH56,AH59)</f>
        <v>9122.4399999999987</v>
      </c>
      <c r="AK62" s="131"/>
    </row>
    <row r="63" spans="1:44">
      <c r="A63" s="94"/>
      <c r="D63" s="95"/>
      <c r="E63" s="96"/>
      <c r="F63" s="94"/>
      <c r="G63" s="94"/>
      <c r="H63" s="94"/>
      <c r="I63" s="94"/>
      <c r="J63" s="94"/>
      <c r="K63" s="95"/>
      <c r="L63" s="96"/>
      <c r="M63" s="109"/>
      <c r="N63" s="94"/>
      <c r="O63" s="94"/>
      <c r="P63" s="94"/>
      <c r="Q63" s="94"/>
      <c r="R63" s="95"/>
      <c r="S63" s="96"/>
      <c r="T63" s="94"/>
      <c r="U63" s="94"/>
      <c r="V63" s="94"/>
      <c r="W63" s="94"/>
      <c r="X63" s="94"/>
      <c r="Y63" s="95"/>
      <c r="Z63" s="96"/>
      <c r="AA63" s="94"/>
      <c r="AB63" s="94"/>
      <c r="AC63" s="94"/>
      <c r="AD63" s="94"/>
      <c r="AE63" s="109"/>
      <c r="AF63" s="95"/>
      <c r="AG63" s="96"/>
      <c r="AI63" s="264"/>
      <c r="AJ63" s="264"/>
      <c r="AK63" s="94"/>
    </row>
    <row r="64" spans="1:44">
      <c r="AI64" s="264"/>
      <c r="AJ64" s="264"/>
      <c r="AK64" s="94"/>
    </row>
    <row r="65" spans="1:44">
      <c r="AI65" s="264"/>
      <c r="AJ65" s="264"/>
      <c r="AK65" s="94"/>
    </row>
    <row r="66" spans="1:44">
      <c r="AI66" s="264"/>
      <c r="AJ66" s="264"/>
      <c r="AK66" s="94"/>
    </row>
    <row r="67" spans="1:44">
      <c r="AI67" s="264"/>
      <c r="AJ67" s="264"/>
      <c r="AK67" s="94"/>
    </row>
    <row r="68" spans="1:44">
      <c r="AI68" s="264"/>
      <c r="AJ68" s="264"/>
      <c r="AK68" s="94"/>
    </row>
    <row r="69" spans="1:44">
      <c r="AI69" s="264"/>
      <c r="AJ69" s="264"/>
      <c r="AK69" s="135"/>
    </row>
    <row r="70" spans="1:44">
      <c r="A70" s="136"/>
      <c r="B70" s="136"/>
      <c r="C70" s="136"/>
      <c r="D70" s="137"/>
      <c r="E70" s="138"/>
      <c r="F70" s="136"/>
      <c r="G70" s="136"/>
      <c r="H70" s="136"/>
      <c r="I70" s="136"/>
      <c r="J70" s="136"/>
      <c r="K70" s="137"/>
      <c r="L70" s="138"/>
      <c r="M70" s="143"/>
      <c r="N70" s="136"/>
      <c r="O70" s="136"/>
      <c r="P70" s="136"/>
      <c r="Q70" s="136"/>
      <c r="R70" s="137"/>
      <c r="S70" s="138"/>
      <c r="T70" s="136"/>
      <c r="U70" s="136"/>
      <c r="V70" s="136"/>
      <c r="W70" s="136"/>
      <c r="X70" s="136"/>
      <c r="Y70" s="137"/>
      <c r="Z70" s="138"/>
      <c r="AA70" s="136"/>
      <c r="AB70" s="136"/>
      <c r="AC70" s="136"/>
      <c r="AD70" s="136"/>
      <c r="AE70" s="143"/>
      <c r="AF70" s="137"/>
      <c r="AG70" s="138"/>
      <c r="AI70" s="264"/>
      <c r="AJ70" s="264"/>
      <c r="AK70" s="94"/>
    </row>
    <row r="72" spans="1:44">
      <c r="A72" s="94"/>
      <c r="B72" s="94"/>
      <c r="C72" s="94"/>
      <c r="D72" s="95"/>
      <c r="E72" s="96"/>
      <c r="F72" s="94"/>
      <c r="G72" s="94"/>
      <c r="H72" s="94"/>
      <c r="I72" s="94"/>
      <c r="J72" s="94"/>
      <c r="K72" s="95"/>
      <c r="L72" s="96"/>
      <c r="M72" s="109"/>
      <c r="N72" s="94"/>
      <c r="O72" s="94"/>
      <c r="P72" s="94"/>
      <c r="Q72" s="94"/>
      <c r="R72" s="95"/>
      <c r="S72" s="96"/>
      <c r="T72" s="94"/>
      <c r="U72" s="94"/>
      <c r="V72" s="94"/>
      <c r="W72" s="94"/>
      <c r="X72" s="94"/>
      <c r="Y72" s="95"/>
      <c r="Z72" s="96"/>
      <c r="AA72" s="94"/>
      <c r="AB72" s="94"/>
      <c r="AC72" s="94"/>
      <c r="AD72" s="94"/>
      <c r="AE72" s="109"/>
      <c r="AF72" s="95"/>
      <c r="AG72" s="96"/>
    </row>
    <row r="73" spans="1:44"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 spans="1:44"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 spans="1:44"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 spans="1:44"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 spans="1:44"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 spans="1:44"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 spans="1:44"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 spans="1:44"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 spans="1:44"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 spans="1:44"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 spans="1:44"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 spans="1:44">
      <c r="A84" s="139"/>
      <c r="B84" s="139"/>
      <c r="C84" s="139"/>
      <c r="D84" s="140"/>
      <c r="E84" s="141"/>
      <c r="F84" s="139"/>
      <c r="G84" s="139"/>
      <c r="H84" s="139"/>
      <c r="I84" s="139"/>
      <c r="J84" s="139"/>
      <c r="K84" s="140"/>
      <c r="L84" s="141"/>
      <c r="M84" s="144"/>
      <c r="N84" s="139"/>
      <c r="O84" s="139"/>
      <c r="P84" s="139"/>
      <c r="Q84" s="139"/>
      <c r="R84" s="140"/>
      <c r="S84" s="141"/>
      <c r="T84" s="139"/>
      <c r="U84" s="139"/>
      <c r="V84" s="139"/>
      <c r="W84" s="139"/>
      <c r="X84" s="139"/>
      <c r="Y84" s="140"/>
      <c r="Z84" s="141"/>
      <c r="AA84" s="139"/>
      <c r="AB84" s="139"/>
      <c r="AC84" s="139"/>
      <c r="AD84" s="139"/>
      <c r="AE84" s="144"/>
      <c r="AF84" s="140"/>
      <c r="AG84" s="141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6" spans="1:44"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 spans="1:44"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spans="1:44"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 spans="1:44">
      <c r="A89" s="142"/>
      <c r="B89" s="142"/>
      <c r="C89" s="142"/>
      <c r="D89" s="140"/>
      <c r="E89" s="141"/>
      <c r="F89" s="142"/>
      <c r="G89" s="142"/>
      <c r="H89" s="142"/>
      <c r="I89" s="142"/>
      <c r="J89" s="142"/>
      <c r="K89" s="140"/>
      <c r="L89" s="141"/>
      <c r="M89" s="144"/>
      <c r="N89" s="142"/>
      <c r="O89" s="142"/>
      <c r="P89" s="142"/>
      <c r="Q89" s="142"/>
      <c r="R89" s="140"/>
      <c r="S89" s="141"/>
      <c r="T89" s="142"/>
      <c r="U89" s="142"/>
      <c r="V89" s="142"/>
      <c r="W89" s="142"/>
      <c r="X89" s="142"/>
      <c r="Y89" s="140"/>
      <c r="Z89" s="141"/>
      <c r="AA89" s="142"/>
      <c r="AB89" s="142"/>
      <c r="AC89" s="142"/>
      <c r="AD89" s="142"/>
      <c r="AE89" s="144"/>
      <c r="AF89" s="140"/>
      <c r="AG89" s="141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</sheetData>
  <mergeCells count="25">
    <mergeCell ref="A49:A51"/>
    <mergeCell ref="A52:A54"/>
    <mergeCell ref="A55:A57"/>
    <mergeCell ref="A58:A60"/>
    <mergeCell ref="AI68:AJ68"/>
    <mergeCell ref="AI69:AJ69"/>
    <mergeCell ref="AI70:AJ70"/>
    <mergeCell ref="A3:A5"/>
    <mergeCell ref="A6:A8"/>
    <mergeCell ref="A9:A11"/>
    <mergeCell ref="A12:A14"/>
    <mergeCell ref="A15:A17"/>
    <mergeCell ref="A18:A20"/>
    <mergeCell ref="A21:A23"/>
    <mergeCell ref="A31:A33"/>
    <mergeCell ref="A34:A36"/>
    <mergeCell ref="A37:A39"/>
    <mergeCell ref="A40:A42"/>
    <mergeCell ref="A43:A45"/>
    <mergeCell ref="A46:A48"/>
    <mergeCell ref="AI63:AJ63"/>
    <mergeCell ref="AI64:AJ64"/>
    <mergeCell ref="AI65:AJ65"/>
    <mergeCell ref="AI66:AJ66"/>
    <mergeCell ref="AI67:AJ67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topLeftCell="A4" workbookViewId="0">
      <selection activeCell="G18" sqref="G18"/>
    </sheetView>
  </sheetViews>
  <sheetFormatPr defaultColWidth="9.140625" defaultRowHeight="15"/>
  <cols>
    <col min="1" max="1" width="13.7109375" style="10" customWidth="1"/>
    <col min="2" max="2" width="18.140625" style="10" customWidth="1"/>
    <col min="3" max="3" width="12" style="11" customWidth="1"/>
    <col min="4" max="4" width="19.28515625" style="11" customWidth="1"/>
    <col min="5" max="5" width="22.42578125" style="10" customWidth="1"/>
    <col min="6" max="7" width="11.7109375" style="11" customWidth="1"/>
    <col min="8" max="8" width="13.42578125" style="11" customWidth="1"/>
    <col min="9" max="16" width="11.7109375" style="11" customWidth="1"/>
    <col min="17" max="16384" width="9.140625" style="10"/>
  </cols>
  <sheetData>
    <row r="1" spans="1:16" s="9" customFormat="1" ht="51">
      <c r="A1" s="12" t="s">
        <v>1</v>
      </c>
      <c r="B1" s="12" t="s">
        <v>2</v>
      </c>
      <c r="C1" s="13" t="s">
        <v>3</v>
      </c>
      <c r="D1" s="14" t="s">
        <v>6</v>
      </c>
      <c r="E1" s="12" t="s">
        <v>7</v>
      </c>
      <c r="F1" s="15" t="s">
        <v>136</v>
      </c>
      <c r="G1" s="15" t="s">
        <v>137</v>
      </c>
      <c r="H1" s="15" t="s">
        <v>138</v>
      </c>
      <c r="I1" s="15" t="s">
        <v>139</v>
      </c>
      <c r="J1" s="15" t="s">
        <v>140</v>
      </c>
      <c r="K1" s="15" t="s">
        <v>141</v>
      </c>
      <c r="L1" s="15" t="s">
        <v>142</v>
      </c>
      <c r="M1" s="15" t="s">
        <v>143</v>
      </c>
      <c r="N1" s="15" t="s">
        <v>144</v>
      </c>
      <c r="O1" s="15" t="s">
        <v>145</v>
      </c>
      <c r="P1" s="15" t="s">
        <v>146</v>
      </c>
    </row>
    <row r="2" spans="1:16">
      <c r="A2" s="349" t="s">
        <v>13</v>
      </c>
      <c r="B2" s="349" t="s">
        <v>10</v>
      </c>
      <c r="C2" s="358">
        <v>8000</v>
      </c>
      <c r="D2" s="365" t="s">
        <v>147</v>
      </c>
      <c r="E2" s="16" t="s">
        <v>18</v>
      </c>
      <c r="F2" s="17">
        <f>1.59*$C$2*4</f>
        <v>50880</v>
      </c>
      <c r="G2" s="373">
        <f>83.69+0.24</f>
        <v>83.93</v>
      </c>
      <c r="H2" s="375">
        <f>G2/72</f>
        <v>1.1656944444444399</v>
      </c>
      <c r="I2" s="18">
        <f>F2/1658/16</f>
        <v>1.91797346200241</v>
      </c>
      <c r="J2" s="18"/>
      <c r="K2" s="18"/>
      <c r="L2" s="18"/>
      <c r="M2" s="373">
        <v>0.5</v>
      </c>
      <c r="N2" s="37"/>
      <c r="O2" s="37"/>
      <c r="P2" s="373">
        <v>0.3</v>
      </c>
    </row>
    <row r="3" spans="1:16">
      <c r="A3" s="350"/>
      <c r="B3" s="350"/>
      <c r="C3" s="359"/>
      <c r="D3" s="359"/>
      <c r="E3" s="16" t="s">
        <v>21</v>
      </c>
      <c r="F3" s="17">
        <f>1.59*$C$2</f>
        <v>12720</v>
      </c>
      <c r="G3" s="374"/>
      <c r="H3" s="375"/>
      <c r="I3" s="18">
        <f>F3/765/16</f>
        <v>1.0392156862745101</v>
      </c>
      <c r="J3" s="18"/>
      <c r="K3" s="18"/>
      <c r="L3" s="18"/>
      <c r="M3" s="376"/>
      <c r="N3" s="37"/>
      <c r="O3" s="37"/>
      <c r="P3" s="376"/>
    </row>
    <row r="4" spans="1:16">
      <c r="A4" s="350"/>
      <c r="B4" s="350"/>
      <c r="C4" s="359"/>
      <c r="D4" s="359"/>
      <c r="E4" s="16" t="s">
        <v>23</v>
      </c>
      <c r="F4" s="17">
        <f>1.59*$C$2*2</f>
        <v>25440</v>
      </c>
      <c r="G4" s="19"/>
      <c r="H4" s="20"/>
      <c r="I4" s="20"/>
      <c r="J4" s="373">
        <v>0.25</v>
      </c>
      <c r="K4" s="24"/>
      <c r="L4" s="24"/>
      <c r="M4" s="376"/>
      <c r="N4" s="37"/>
      <c r="O4" s="37"/>
      <c r="P4" s="376"/>
    </row>
    <row r="5" spans="1:16">
      <c r="A5" s="350"/>
      <c r="B5" s="350"/>
      <c r="C5" s="359"/>
      <c r="D5" s="359"/>
      <c r="E5" s="16" t="s">
        <v>25</v>
      </c>
      <c r="F5" s="17">
        <f>1.59*$C$2*2</f>
        <v>25440</v>
      </c>
      <c r="G5" s="19"/>
      <c r="H5" s="20"/>
      <c r="I5" s="20"/>
      <c r="J5" s="376"/>
      <c r="K5" s="24"/>
      <c r="L5" s="24"/>
      <c r="M5" s="376"/>
      <c r="N5" s="37"/>
      <c r="O5" s="37"/>
      <c r="P5" s="376"/>
    </row>
    <row r="6" spans="1:16">
      <c r="A6" s="350"/>
      <c r="B6" s="350"/>
      <c r="C6" s="359"/>
      <c r="D6" s="366"/>
      <c r="E6" s="16" t="s">
        <v>28</v>
      </c>
      <c r="F6" s="17">
        <f>1.59*$C$2</f>
        <v>12720</v>
      </c>
      <c r="G6" s="19"/>
      <c r="H6" s="20"/>
      <c r="I6" s="20"/>
      <c r="J6" s="374"/>
      <c r="K6" s="24"/>
      <c r="L6" s="24"/>
      <c r="M6" s="374"/>
      <c r="N6" s="37"/>
      <c r="O6" s="37"/>
      <c r="P6" s="374"/>
    </row>
    <row r="7" spans="1:16">
      <c r="A7" s="351" t="s">
        <v>34</v>
      </c>
      <c r="B7" s="349" t="s">
        <v>35</v>
      </c>
      <c r="C7" s="360">
        <v>12000</v>
      </c>
      <c r="D7" s="365" t="s">
        <v>147</v>
      </c>
      <c r="E7" s="16" t="s">
        <v>36</v>
      </c>
      <c r="F7" s="17">
        <f>1.275*$C$7*2</f>
        <v>30600</v>
      </c>
      <c r="G7" s="373">
        <v>116.51</v>
      </c>
      <c r="H7" s="375">
        <f>G7/72</f>
        <v>1.61819444444444</v>
      </c>
      <c r="I7" s="18">
        <f>F7/4039/16</f>
        <v>0.47350829413221102</v>
      </c>
      <c r="J7" s="18"/>
      <c r="K7" s="18"/>
      <c r="L7" s="18"/>
      <c r="M7" s="373">
        <v>1</v>
      </c>
      <c r="N7" s="37"/>
      <c r="O7" s="37"/>
      <c r="P7" s="373">
        <v>0.5</v>
      </c>
    </row>
    <row r="8" spans="1:16">
      <c r="A8" s="351"/>
      <c r="B8" s="350"/>
      <c r="C8" s="360"/>
      <c r="D8" s="359"/>
      <c r="E8" s="16" t="s">
        <v>37</v>
      </c>
      <c r="F8" s="17">
        <f>1.275*$C$7*2</f>
        <v>30600</v>
      </c>
      <c r="G8" s="374"/>
      <c r="H8" s="375"/>
      <c r="I8" s="18">
        <f>F8/765/16</f>
        <v>2.5</v>
      </c>
      <c r="J8" s="18"/>
      <c r="K8" s="18"/>
      <c r="L8" s="18"/>
      <c r="M8" s="376"/>
      <c r="N8" s="37"/>
      <c r="O8" s="37"/>
      <c r="P8" s="376"/>
    </row>
    <row r="9" spans="1:16">
      <c r="A9" s="351"/>
      <c r="B9" s="350"/>
      <c r="C9" s="360"/>
      <c r="D9" s="359"/>
      <c r="E9" s="16" t="s">
        <v>23</v>
      </c>
      <c r="F9" s="17">
        <f>1.275*$C$7</f>
        <v>15300</v>
      </c>
      <c r="G9" s="17"/>
      <c r="H9" s="17"/>
      <c r="I9" s="17"/>
      <c r="J9" s="373">
        <v>0.5</v>
      </c>
      <c r="K9" s="24"/>
      <c r="L9" s="24"/>
      <c r="M9" s="376"/>
      <c r="N9" s="37"/>
      <c r="O9" s="37"/>
      <c r="P9" s="376"/>
    </row>
    <row r="10" spans="1:16">
      <c r="A10" s="351"/>
      <c r="B10" s="350"/>
      <c r="C10" s="360"/>
      <c r="D10" s="359"/>
      <c r="E10" s="16" t="s">
        <v>25</v>
      </c>
      <c r="F10" s="17">
        <f>1.275*$C$7</f>
        <v>15300</v>
      </c>
      <c r="G10" s="17"/>
      <c r="H10" s="17"/>
      <c r="I10" s="17"/>
      <c r="J10" s="376"/>
      <c r="K10" s="24"/>
      <c r="L10" s="24"/>
      <c r="M10" s="376"/>
      <c r="N10" s="37"/>
      <c r="O10" s="37"/>
      <c r="P10" s="376"/>
    </row>
    <row r="11" spans="1:16">
      <c r="A11" s="351"/>
      <c r="B11" s="350"/>
      <c r="C11" s="360"/>
      <c r="D11" s="359"/>
      <c r="E11" s="16" t="s">
        <v>148</v>
      </c>
      <c r="F11" s="17">
        <f>1.275*$C$7</f>
        <v>15300</v>
      </c>
      <c r="G11" s="17"/>
      <c r="H11" s="17"/>
      <c r="I11" s="17"/>
      <c r="J11" s="376"/>
      <c r="K11" s="24"/>
      <c r="L11" s="24"/>
      <c r="M11" s="376"/>
      <c r="N11" s="37"/>
      <c r="O11" s="37"/>
      <c r="P11" s="376"/>
    </row>
    <row r="12" spans="1:16">
      <c r="A12" s="351"/>
      <c r="B12" s="350"/>
      <c r="C12" s="360"/>
      <c r="D12" s="366"/>
      <c r="E12" s="16" t="s">
        <v>28</v>
      </c>
      <c r="F12" s="17">
        <f>1.275*$C$7</f>
        <v>15300</v>
      </c>
      <c r="G12" s="17"/>
      <c r="H12" s="17"/>
      <c r="I12" s="17"/>
      <c r="J12" s="374"/>
      <c r="K12" s="24"/>
      <c r="L12" s="24"/>
      <c r="M12" s="374"/>
      <c r="N12" s="37"/>
      <c r="O12" s="37"/>
      <c r="P12" s="374"/>
    </row>
    <row r="13" spans="1:16">
      <c r="A13" s="352" t="s">
        <v>41</v>
      </c>
      <c r="B13" s="353" t="s">
        <v>42</v>
      </c>
      <c r="C13" s="361">
        <f>50000/20</f>
        <v>2500</v>
      </c>
      <c r="D13" s="367" t="s">
        <v>43</v>
      </c>
      <c r="E13" s="23" t="s">
        <v>44</v>
      </c>
      <c r="F13" s="17">
        <f>1.59*$C$13</f>
        <v>3975</v>
      </c>
      <c r="G13" s="373">
        <v>39.83</v>
      </c>
      <c r="H13" s="375">
        <f>G13/72</f>
        <v>0.55319444444444399</v>
      </c>
      <c r="I13" s="18">
        <f>F13/3488/16</f>
        <v>7.1226347477064203E-2</v>
      </c>
      <c r="J13" s="18"/>
      <c r="K13" s="18"/>
      <c r="L13" s="18"/>
      <c r="M13" s="373">
        <v>0.25</v>
      </c>
      <c r="N13" s="37"/>
      <c r="O13" s="373">
        <v>1</v>
      </c>
      <c r="P13" s="373">
        <v>0.25</v>
      </c>
    </row>
    <row r="14" spans="1:16">
      <c r="A14" s="352"/>
      <c r="B14" s="354"/>
      <c r="C14" s="361"/>
      <c r="D14" s="363"/>
      <c r="E14" s="23" t="s">
        <v>37</v>
      </c>
      <c r="F14" s="17">
        <f>1.59*$C$13*2</f>
        <v>7950</v>
      </c>
      <c r="G14" s="374"/>
      <c r="H14" s="375"/>
      <c r="I14" s="18">
        <f>F14/765/16</f>
        <v>0.64950980392156898</v>
      </c>
      <c r="J14" s="18"/>
      <c r="K14" s="18"/>
      <c r="L14" s="18"/>
      <c r="M14" s="376"/>
      <c r="N14" s="37"/>
      <c r="O14" s="376"/>
      <c r="P14" s="376"/>
    </row>
    <row r="15" spans="1:16">
      <c r="A15" s="352"/>
      <c r="B15" s="354"/>
      <c r="C15" s="361"/>
      <c r="D15" s="363"/>
      <c r="E15" s="23" t="s">
        <v>23</v>
      </c>
      <c r="F15" s="17">
        <f>1.59*$C$13</f>
        <v>3975</v>
      </c>
      <c r="G15" s="17"/>
      <c r="H15" s="17"/>
      <c r="I15" s="17"/>
      <c r="J15" s="373">
        <v>0.15</v>
      </c>
      <c r="K15" s="24"/>
      <c r="L15" s="24"/>
      <c r="M15" s="376"/>
      <c r="N15" s="37"/>
      <c r="O15" s="376"/>
      <c r="P15" s="376"/>
    </row>
    <row r="16" spans="1:16">
      <c r="A16" s="352"/>
      <c r="B16" s="354"/>
      <c r="C16" s="361"/>
      <c r="D16" s="363"/>
      <c r="E16" s="23" t="s">
        <v>47</v>
      </c>
      <c r="F16" s="17">
        <f t="shared" ref="F16:F17" si="0">1.59*$C$13</f>
        <v>3975</v>
      </c>
      <c r="G16" s="17"/>
      <c r="H16" s="17"/>
      <c r="I16" s="17"/>
      <c r="J16" s="376"/>
      <c r="K16" s="24"/>
      <c r="L16" s="24"/>
      <c r="M16" s="376"/>
      <c r="N16" s="37"/>
      <c r="O16" s="376"/>
      <c r="P16" s="376"/>
    </row>
    <row r="17" spans="1:16">
      <c r="A17" s="352"/>
      <c r="B17" s="354"/>
      <c r="C17" s="361"/>
      <c r="D17" s="364"/>
      <c r="E17" s="23" t="s">
        <v>28</v>
      </c>
      <c r="F17" s="17">
        <f t="shared" si="0"/>
        <v>3975</v>
      </c>
      <c r="G17" s="17"/>
      <c r="H17" s="17"/>
      <c r="I17" s="17"/>
      <c r="J17" s="374"/>
      <c r="K17" s="24"/>
      <c r="L17" s="24"/>
      <c r="M17" s="374"/>
      <c r="N17" s="37"/>
      <c r="O17" s="374"/>
      <c r="P17" s="374"/>
    </row>
    <row r="18" spans="1:16">
      <c r="A18" s="352" t="s">
        <v>52</v>
      </c>
      <c r="B18" s="352" t="s">
        <v>53</v>
      </c>
      <c r="C18" s="361">
        <f>40000/20</f>
        <v>2000</v>
      </c>
      <c r="D18" s="362" t="s">
        <v>54</v>
      </c>
      <c r="E18" s="23" t="s">
        <v>55</v>
      </c>
      <c r="F18" s="17">
        <f>1.56*$C$18</f>
        <v>3120</v>
      </c>
      <c r="G18" s="24">
        <v>6.28</v>
      </c>
      <c r="H18" s="24">
        <f>G18/288</f>
        <v>2.1805555555555599E-2</v>
      </c>
      <c r="I18" s="24">
        <f>F18/2827/16</f>
        <v>6.8977714892111797E-2</v>
      </c>
      <c r="J18" s="24"/>
      <c r="K18" s="24"/>
      <c r="L18" s="24"/>
      <c r="M18" s="24"/>
      <c r="N18" s="24"/>
      <c r="O18" s="373">
        <v>1</v>
      </c>
      <c r="P18" s="373">
        <v>0.25</v>
      </c>
    </row>
    <row r="19" spans="1:16">
      <c r="A19" s="352"/>
      <c r="B19" s="352"/>
      <c r="C19" s="361"/>
      <c r="D19" s="363"/>
      <c r="E19" s="23" t="s">
        <v>28</v>
      </c>
      <c r="F19" s="17">
        <f t="shared" ref="F19:F20" si="1">1.56*$C$18</f>
        <v>3120</v>
      </c>
      <c r="G19" s="17"/>
      <c r="H19" s="17"/>
      <c r="I19" s="17"/>
      <c r="J19" s="24">
        <v>0.1</v>
      </c>
      <c r="K19" s="24"/>
      <c r="L19" s="24"/>
      <c r="M19" s="24"/>
      <c r="N19" s="24"/>
      <c r="O19" s="376"/>
      <c r="P19" s="376"/>
    </row>
    <row r="20" spans="1:16">
      <c r="A20" s="352"/>
      <c r="B20" s="352"/>
      <c r="C20" s="361"/>
      <c r="D20" s="364"/>
      <c r="E20" s="23" t="s">
        <v>149</v>
      </c>
      <c r="F20" s="17">
        <f t="shared" si="1"/>
        <v>3120</v>
      </c>
      <c r="G20" s="24">
        <v>7.3</v>
      </c>
      <c r="H20" s="24">
        <f>G20/168</f>
        <v>4.3452380952380999E-2</v>
      </c>
      <c r="I20" s="24"/>
      <c r="J20" s="24"/>
      <c r="K20" s="24"/>
      <c r="L20" s="24"/>
      <c r="M20" s="24"/>
      <c r="N20" s="24"/>
      <c r="O20" s="374"/>
      <c r="P20" s="376"/>
    </row>
    <row r="21" spans="1:16">
      <c r="A21" s="352" t="s">
        <v>56</v>
      </c>
      <c r="B21" s="352" t="s">
        <v>57</v>
      </c>
      <c r="C21" s="361">
        <f>20000/20</f>
        <v>1000</v>
      </c>
      <c r="D21" s="362" t="s">
        <v>54</v>
      </c>
      <c r="E21" s="23" t="s">
        <v>55</v>
      </c>
      <c r="F21" s="17">
        <f>1.09*$C$21</f>
        <v>1090</v>
      </c>
      <c r="G21" s="24">
        <v>2.19</v>
      </c>
      <c r="H21" s="24">
        <f>G21/288</f>
        <v>7.6041666666666697E-3</v>
      </c>
      <c r="I21" s="24">
        <f>F21/2827/16</f>
        <v>2.40979837283339E-2</v>
      </c>
      <c r="J21" s="24"/>
      <c r="K21" s="24"/>
      <c r="L21" s="24"/>
      <c r="M21" s="24"/>
      <c r="N21" s="24"/>
      <c r="O21" s="373">
        <v>1</v>
      </c>
      <c r="P21" s="376"/>
    </row>
    <row r="22" spans="1:16">
      <c r="A22" s="352"/>
      <c r="B22" s="352"/>
      <c r="C22" s="361"/>
      <c r="D22" s="363"/>
      <c r="E22" s="23" t="s">
        <v>28</v>
      </c>
      <c r="F22" s="17">
        <f>1.09*$C$21</f>
        <v>1090</v>
      </c>
      <c r="G22" s="17"/>
      <c r="H22" s="17"/>
      <c r="I22" s="17"/>
      <c r="J22" s="24">
        <v>0.1</v>
      </c>
      <c r="K22" s="24"/>
      <c r="L22" s="24"/>
      <c r="M22" s="24"/>
      <c r="N22" s="24"/>
      <c r="O22" s="376"/>
      <c r="P22" s="376"/>
    </row>
    <row r="23" spans="1:16">
      <c r="A23" s="352"/>
      <c r="B23" s="352"/>
      <c r="C23" s="361"/>
      <c r="D23" s="364"/>
      <c r="E23" s="23" t="s">
        <v>149</v>
      </c>
      <c r="F23" s="17">
        <f>1.09*$C$21</f>
        <v>1090</v>
      </c>
      <c r="G23" s="24">
        <v>2.5499999999999998</v>
      </c>
      <c r="H23" s="24">
        <f>G23/168</f>
        <v>1.5178571428571401E-2</v>
      </c>
      <c r="I23" s="24"/>
      <c r="J23" s="24"/>
      <c r="K23" s="24"/>
      <c r="L23" s="24"/>
      <c r="M23" s="24"/>
      <c r="N23" s="24"/>
      <c r="O23" s="374"/>
      <c r="P23" s="374"/>
    </row>
    <row r="24" spans="1:16">
      <c r="A24" s="351" t="s">
        <v>59</v>
      </c>
      <c r="B24" s="356" t="s">
        <v>60</v>
      </c>
      <c r="C24" s="360">
        <v>9000</v>
      </c>
      <c r="D24" s="358" t="s">
        <v>61</v>
      </c>
      <c r="E24" s="16" t="s">
        <v>64</v>
      </c>
      <c r="F24" s="17">
        <f>1.56*$C$24</f>
        <v>14040</v>
      </c>
      <c r="G24" s="24">
        <v>43.02</v>
      </c>
      <c r="H24" s="24">
        <f>G24/72</f>
        <v>0.59750000000000003</v>
      </c>
      <c r="I24" s="24">
        <f>F24/2827/16</f>
        <v>0.31039971701450297</v>
      </c>
      <c r="J24" s="24"/>
      <c r="K24" s="24"/>
      <c r="L24" s="24"/>
      <c r="M24" s="24"/>
      <c r="N24" s="24"/>
      <c r="O24" s="373">
        <v>4</v>
      </c>
      <c r="P24" s="373">
        <v>0.25</v>
      </c>
    </row>
    <row r="25" spans="1:16">
      <c r="A25" s="351"/>
      <c r="B25" s="357"/>
      <c r="C25" s="360"/>
      <c r="D25" s="359"/>
      <c r="E25" s="16" t="s">
        <v>28</v>
      </c>
      <c r="F25" s="17">
        <f t="shared" ref="F25:F26" si="2">1.56*$C$24</f>
        <v>14040</v>
      </c>
      <c r="G25" s="17"/>
      <c r="H25" s="17"/>
      <c r="I25" s="17"/>
      <c r="J25" s="24">
        <v>0.15</v>
      </c>
      <c r="K25" s="24"/>
      <c r="L25" s="24"/>
      <c r="M25" s="24"/>
      <c r="N25" s="24"/>
      <c r="O25" s="376"/>
      <c r="P25" s="376"/>
    </row>
    <row r="26" spans="1:16">
      <c r="A26" s="351"/>
      <c r="B26" s="357"/>
      <c r="C26" s="358"/>
      <c r="D26" s="366"/>
      <c r="E26" s="25"/>
      <c r="F26" s="26">
        <f t="shared" si="2"/>
        <v>14040</v>
      </c>
      <c r="G26" s="26"/>
      <c r="H26" s="17"/>
      <c r="I26" s="26"/>
      <c r="J26" s="38"/>
      <c r="K26" s="38"/>
      <c r="L26" s="38"/>
      <c r="M26" s="38"/>
      <c r="N26" s="38"/>
      <c r="O26" s="374"/>
      <c r="P26" s="374"/>
    </row>
    <row r="27" spans="1:16">
      <c r="A27" s="352" t="s">
        <v>65</v>
      </c>
      <c r="B27" s="352" t="s">
        <v>66</v>
      </c>
      <c r="C27" s="361">
        <f>30000/20</f>
        <v>1500</v>
      </c>
      <c r="D27" s="362" t="s">
        <v>67</v>
      </c>
      <c r="E27" s="23" t="s">
        <v>68</v>
      </c>
      <c r="F27" s="17">
        <f>1.525*$C$27</f>
        <v>2287.5</v>
      </c>
      <c r="G27" s="24">
        <v>54.78</v>
      </c>
      <c r="H27" s="24">
        <f>G27/288</f>
        <v>0.19020833333333301</v>
      </c>
      <c r="I27" s="24">
        <f>F27/6610/16</f>
        <v>2.1629160363086201E-2</v>
      </c>
      <c r="J27" s="24"/>
      <c r="K27" s="24"/>
      <c r="L27" s="24"/>
      <c r="M27" s="24"/>
      <c r="N27" s="24"/>
      <c r="O27" s="373">
        <v>1</v>
      </c>
      <c r="P27" s="373">
        <v>0.15</v>
      </c>
    </row>
    <row r="28" spans="1:16">
      <c r="A28" s="352"/>
      <c r="B28" s="352"/>
      <c r="C28" s="361"/>
      <c r="D28" s="363"/>
      <c r="E28" s="23" t="s">
        <v>28</v>
      </c>
      <c r="F28" s="17">
        <f t="shared" ref="F28:F29" si="3">1.525*$C$27</f>
        <v>2287.5</v>
      </c>
      <c r="G28" s="17"/>
      <c r="H28" s="17"/>
      <c r="I28" s="17"/>
      <c r="J28" s="24">
        <v>0.1</v>
      </c>
      <c r="K28" s="24"/>
      <c r="L28" s="24"/>
      <c r="M28" s="24"/>
      <c r="N28" s="24"/>
      <c r="O28" s="376"/>
      <c r="P28" s="376"/>
    </row>
    <row r="29" spans="1:16">
      <c r="A29" s="352"/>
      <c r="B29" s="352"/>
      <c r="C29" s="361"/>
      <c r="D29" s="364"/>
      <c r="E29" s="23"/>
      <c r="F29" s="17">
        <f t="shared" si="3"/>
        <v>2287.5</v>
      </c>
      <c r="G29" s="17"/>
      <c r="H29" s="17"/>
      <c r="I29" s="17"/>
      <c r="J29" s="24"/>
      <c r="K29" s="24"/>
      <c r="L29" s="24"/>
      <c r="M29" s="24"/>
      <c r="N29" s="24"/>
      <c r="O29" s="374"/>
      <c r="P29" s="374"/>
    </row>
    <row r="30" spans="1:16">
      <c r="A30" s="353" t="s">
        <v>86</v>
      </c>
      <c r="B30" s="23"/>
      <c r="C30" s="17"/>
      <c r="D30" s="368"/>
      <c r="E30" s="23" t="s">
        <v>73</v>
      </c>
      <c r="F30" s="17">
        <f>3350*2</f>
        <v>6700</v>
      </c>
      <c r="G30" s="24">
        <v>5.61</v>
      </c>
      <c r="H30" s="24">
        <f>G30/192</f>
        <v>2.9218750000000002E-2</v>
      </c>
      <c r="I30" s="24">
        <f>F30/1658/16</f>
        <v>0.25256332931242498</v>
      </c>
      <c r="J30" s="24"/>
      <c r="K30" s="24"/>
      <c r="L30" s="24"/>
      <c r="M30" s="373">
        <v>0.25</v>
      </c>
      <c r="N30" s="373">
        <v>2</v>
      </c>
      <c r="O30" s="37"/>
      <c r="P30" s="373">
        <v>0.15</v>
      </c>
    </row>
    <row r="31" spans="1:16">
      <c r="A31" s="354"/>
      <c r="B31" s="23"/>
      <c r="C31" s="17"/>
      <c r="D31" s="369"/>
      <c r="E31" s="23" t="s">
        <v>71</v>
      </c>
      <c r="F31" s="17">
        <v>3350</v>
      </c>
      <c r="G31" s="24">
        <v>2.4700000000000002</v>
      </c>
      <c r="H31" s="24">
        <f>G31/168</f>
        <v>1.4702380952381E-2</v>
      </c>
      <c r="I31" s="24">
        <f>F31/1658/16</f>
        <v>0.12628166465621199</v>
      </c>
      <c r="J31" s="24"/>
      <c r="K31" s="24"/>
      <c r="L31" s="24"/>
      <c r="M31" s="376"/>
      <c r="N31" s="376"/>
      <c r="O31" s="37"/>
      <c r="P31" s="376"/>
    </row>
    <row r="32" spans="1:16">
      <c r="A32" s="354"/>
      <c r="B32" s="23"/>
      <c r="C32" s="17"/>
      <c r="D32" s="369"/>
      <c r="E32" s="23" t="s">
        <v>70</v>
      </c>
      <c r="F32" s="17">
        <f>3350*2</f>
        <v>6700</v>
      </c>
      <c r="G32" s="24">
        <v>13.92</v>
      </c>
      <c r="H32" s="24">
        <f>G32/408</f>
        <v>3.4117647058823503E-2</v>
      </c>
      <c r="I32" s="24">
        <f>F32/2938/16</f>
        <v>0.14252893124574501</v>
      </c>
      <c r="J32" s="24"/>
      <c r="K32" s="24"/>
      <c r="L32" s="24"/>
      <c r="M32" s="376"/>
      <c r="N32" s="376"/>
      <c r="O32" s="37"/>
      <c r="P32" s="376"/>
    </row>
    <row r="33" spans="1:16">
      <c r="A33" s="354"/>
      <c r="B33" s="23"/>
      <c r="C33" s="17"/>
      <c r="D33" s="369"/>
      <c r="E33" s="23" t="s">
        <v>23</v>
      </c>
      <c r="F33" s="17">
        <v>3350</v>
      </c>
      <c r="G33" s="24"/>
      <c r="H33" s="24"/>
      <c r="I33" s="24"/>
      <c r="J33" s="373">
        <v>0.15</v>
      </c>
      <c r="K33" s="24"/>
      <c r="L33" s="24"/>
      <c r="M33" s="376"/>
      <c r="N33" s="376"/>
      <c r="O33" s="37"/>
      <c r="P33" s="376"/>
    </row>
    <row r="34" spans="1:16">
      <c r="A34" s="354"/>
      <c r="B34" s="23"/>
      <c r="C34" s="17"/>
      <c r="D34" s="369"/>
      <c r="E34" s="23" t="s">
        <v>25</v>
      </c>
      <c r="F34" s="17">
        <v>3350</v>
      </c>
      <c r="G34" s="24"/>
      <c r="H34" s="24"/>
      <c r="I34" s="24"/>
      <c r="J34" s="376"/>
      <c r="K34" s="24"/>
      <c r="L34" s="24"/>
      <c r="M34" s="376"/>
      <c r="N34" s="376"/>
      <c r="O34" s="37"/>
      <c r="P34" s="376"/>
    </row>
    <row r="35" spans="1:16">
      <c r="A35" s="354"/>
      <c r="B35" s="23"/>
      <c r="C35" s="17"/>
      <c r="D35" s="369"/>
      <c r="E35" s="23" t="s">
        <v>28</v>
      </c>
      <c r="F35" s="17">
        <v>3350</v>
      </c>
      <c r="G35" s="24"/>
      <c r="H35" s="24"/>
      <c r="I35" s="24"/>
      <c r="J35" s="376"/>
      <c r="K35" s="24"/>
      <c r="L35" s="24"/>
      <c r="M35" s="376"/>
      <c r="N35" s="376"/>
      <c r="O35" s="37"/>
      <c r="P35" s="376"/>
    </row>
    <row r="36" spans="1:16">
      <c r="A36" s="355"/>
      <c r="B36" s="23"/>
      <c r="C36" s="17"/>
      <c r="D36" s="370"/>
      <c r="E36" s="23" t="s">
        <v>150</v>
      </c>
      <c r="F36" s="17">
        <v>3350</v>
      </c>
      <c r="G36" s="24"/>
      <c r="H36" s="24"/>
      <c r="I36" s="24"/>
      <c r="J36" s="374"/>
      <c r="K36" s="24"/>
      <c r="L36" s="24"/>
      <c r="M36" s="374"/>
      <c r="N36" s="374"/>
      <c r="O36" s="37"/>
      <c r="P36" s="374"/>
    </row>
    <row r="37" spans="1:16">
      <c r="A37" s="353" t="s">
        <v>87</v>
      </c>
      <c r="B37" s="23"/>
      <c r="C37" s="17"/>
      <c r="D37" s="368"/>
      <c r="E37" s="23" t="s">
        <v>73</v>
      </c>
      <c r="F37" s="17">
        <f>3350*4</f>
        <v>13400</v>
      </c>
      <c r="G37" s="24">
        <v>11.4</v>
      </c>
      <c r="H37" s="24">
        <f>G37/192</f>
        <v>5.9374999999999997E-2</v>
      </c>
      <c r="I37" s="24">
        <f>F37/1658/16</f>
        <v>0.50512665862484896</v>
      </c>
      <c r="J37" s="24"/>
      <c r="K37" s="24"/>
      <c r="L37" s="24"/>
      <c r="M37" s="373">
        <v>0.25</v>
      </c>
      <c r="N37" s="373">
        <v>2</v>
      </c>
      <c r="O37" s="37"/>
      <c r="P37" s="373">
        <v>0.15</v>
      </c>
    </row>
    <row r="38" spans="1:16">
      <c r="A38" s="354"/>
      <c r="B38" s="23"/>
      <c r="C38" s="17"/>
      <c r="D38" s="369"/>
      <c r="E38" s="23" t="s">
        <v>71</v>
      </c>
      <c r="F38" s="17">
        <v>3350</v>
      </c>
      <c r="G38" s="24">
        <v>2.44</v>
      </c>
      <c r="H38" s="24">
        <f>G38/168</f>
        <v>1.45238095238095E-2</v>
      </c>
      <c r="I38" s="24">
        <f>F38/1658/16</f>
        <v>0.12628166465621199</v>
      </c>
      <c r="J38" s="24"/>
      <c r="K38" s="24"/>
      <c r="L38" s="24"/>
      <c r="M38" s="376"/>
      <c r="N38" s="376"/>
      <c r="O38" s="37"/>
      <c r="P38" s="376"/>
    </row>
    <row r="39" spans="1:16">
      <c r="A39" s="354"/>
      <c r="B39" s="27"/>
      <c r="C39" s="26"/>
      <c r="D39" s="369"/>
      <c r="E39" s="23" t="s">
        <v>23</v>
      </c>
      <c r="F39" s="17">
        <v>3350</v>
      </c>
      <c r="G39" s="24"/>
      <c r="H39" s="24"/>
      <c r="I39" s="24"/>
      <c r="J39" s="373">
        <v>0.15</v>
      </c>
      <c r="K39" s="24"/>
      <c r="L39" s="24"/>
      <c r="M39" s="376"/>
      <c r="N39" s="376"/>
      <c r="O39" s="37"/>
      <c r="P39" s="376"/>
    </row>
    <row r="40" spans="1:16">
      <c r="A40" s="354"/>
      <c r="B40" s="27"/>
      <c r="C40" s="26"/>
      <c r="D40" s="369"/>
      <c r="E40" s="23" t="s">
        <v>25</v>
      </c>
      <c r="F40" s="17">
        <v>3350</v>
      </c>
      <c r="G40" s="24"/>
      <c r="H40" s="24"/>
      <c r="I40" s="24"/>
      <c r="J40" s="376"/>
      <c r="K40" s="24"/>
      <c r="L40" s="24"/>
      <c r="M40" s="376"/>
      <c r="N40" s="376"/>
      <c r="O40" s="37"/>
      <c r="P40" s="376"/>
    </row>
    <row r="41" spans="1:16">
      <c r="A41" s="354"/>
      <c r="B41" s="27"/>
      <c r="C41" s="26"/>
      <c r="D41" s="369"/>
      <c r="E41" s="23" t="s">
        <v>28</v>
      </c>
      <c r="F41" s="17">
        <v>3350</v>
      </c>
      <c r="G41" s="24"/>
      <c r="H41" s="24"/>
      <c r="I41" s="24"/>
      <c r="J41" s="376"/>
      <c r="K41" s="24"/>
      <c r="L41" s="24"/>
      <c r="M41" s="376"/>
      <c r="N41" s="376"/>
      <c r="O41" s="37"/>
      <c r="P41" s="376"/>
    </row>
    <row r="42" spans="1:16">
      <c r="A42" s="355"/>
      <c r="B42" s="27"/>
      <c r="C42" s="26"/>
      <c r="D42" s="370"/>
      <c r="E42" s="23" t="s">
        <v>150</v>
      </c>
      <c r="F42" s="17">
        <v>3350</v>
      </c>
      <c r="G42" s="24"/>
      <c r="H42" s="24"/>
      <c r="I42" s="24"/>
      <c r="J42" s="374"/>
      <c r="K42" s="24"/>
      <c r="L42" s="24"/>
      <c r="M42" s="374"/>
      <c r="N42" s="374"/>
      <c r="O42" s="37"/>
      <c r="P42" s="374"/>
    </row>
    <row r="43" spans="1:16">
      <c r="A43" s="353" t="s">
        <v>88</v>
      </c>
      <c r="B43" s="353" t="s">
        <v>89</v>
      </c>
      <c r="C43" s="362">
        <v>3350</v>
      </c>
      <c r="D43" s="367" t="s">
        <v>151</v>
      </c>
      <c r="E43" s="23" t="s">
        <v>94</v>
      </c>
      <c r="F43" s="17">
        <f>1.475*$C$43*14</f>
        <v>69177.5</v>
      </c>
      <c r="G43" s="24">
        <v>23.36</v>
      </c>
      <c r="H43" s="24">
        <f>G43/72</f>
        <v>0.32444444444444398</v>
      </c>
      <c r="I43" s="24">
        <f>F43/1275/16</f>
        <v>3.3910539215686302</v>
      </c>
      <c r="J43" s="24"/>
      <c r="K43" s="24"/>
      <c r="L43" s="24"/>
      <c r="M43" s="373">
        <v>0.25</v>
      </c>
      <c r="N43" s="373">
        <v>3</v>
      </c>
      <c r="O43" s="37"/>
      <c r="P43" s="373">
        <v>0.15</v>
      </c>
    </row>
    <row r="44" spans="1:16">
      <c r="A44" s="354"/>
      <c r="B44" s="354"/>
      <c r="C44" s="363"/>
      <c r="D44" s="371"/>
      <c r="E44" s="23" t="s">
        <v>93</v>
      </c>
      <c r="F44" s="17">
        <f>1.475*$C$43*5</f>
        <v>24706.25</v>
      </c>
      <c r="G44" s="24">
        <v>12.02</v>
      </c>
      <c r="H44" s="24">
        <f>G44/648</f>
        <v>1.85493827160494E-2</v>
      </c>
      <c r="I44" s="24"/>
      <c r="J44" s="24"/>
      <c r="K44" s="373">
        <v>2</v>
      </c>
      <c r="L44" s="373">
        <v>5</v>
      </c>
      <c r="M44" s="376"/>
      <c r="N44" s="376"/>
      <c r="O44" s="37"/>
      <c r="P44" s="376"/>
    </row>
    <row r="45" spans="1:16">
      <c r="A45" s="354"/>
      <c r="B45" s="354"/>
      <c r="C45" s="363"/>
      <c r="D45" s="371"/>
      <c r="E45" s="23" t="s">
        <v>99</v>
      </c>
      <c r="F45" s="17">
        <f>1.475*$C$43*5</f>
        <v>24706.25</v>
      </c>
      <c r="G45" s="24"/>
      <c r="H45" s="24"/>
      <c r="I45" s="24"/>
      <c r="J45" s="373">
        <v>0.25</v>
      </c>
      <c r="K45" s="376"/>
      <c r="L45" s="376"/>
      <c r="M45" s="376"/>
      <c r="N45" s="376"/>
      <c r="O45" s="37"/>
      <c r="P45" s="376"/>
    </row>
    <row r="46" spans="1:16">
      <c r="A46" s="354"/>
      <c r="B46" s="354"/>
      <c r="C46" s="363"/>
      <c r="D46" s="371"/>
      <c r="E46" s="23" t="s">
        <v>97</v>
      </c>
      <c r="F46" s="17">
        <f>1.475*$C$43*5</f>
        <v>24706.25</v>
      </c>
      <c r="G46" s="24"/>
      <c r="H46" s="24"/>
      <c r="I46" s="24"/>
      <c r="J46" s="374"/>
      <c r="K46" s="374"/>
      <c r="L46" s="374"/>
      <c r="M46" s="376"/>
      <c r="N46" s="376"/>
      <c r="O46" s="37"/>
      <c r="P46" s="376"/>
    </row>
    <row r="47" spans="1:16">
      <c r="A47" s="354"/>
      <c r="B47" s="354"/>
      <c r="C47" s="363"/>
      <c r="D47" s="371"/>
      <c r="E47" s="23" t="s">
        <v>23</v>
      </c>
      <c r="F47" s="17">
        <f>1.475*$C$43</f>
        <v>4941.25</v>
      </c>
      <c r="G47" s="24"/>
      <c r="H47" s="24"/>
      <c r="I47" s="24"/>
      <c r="J47" s="373">
        <v>0.15</v>
      </c>
      <c r="K47" s="24"/>
      <c r="L47" s="24"/>
      <c r="M47" s="376"/>
      <c r="N47" s="376"/>
      <c r="O47" s="37"/>
      <c r="P47" s="376"/>
    </row>
    <row r="48" spans="1:16">
      <c r="A48" s="354"/>
      <c r="B48" s="354"/>
      <c r="C48" s="363"/>
      <c r="D48" s="371"/>
      <c r="E48" s="23" t="s">
        <v>39</v>
      </c>
      <c r="F48" s="17">
        <f>1.475*$C$43</f>
        <v>4941.25</v>
      </c>
      <c r="G48" s="24"/>
      <c r="H48" s="24"/>
      <c r="I48" s="24"/>
      <c r="J48" s="376"/>
      <c r="K48" s="24"/>
      <c r="L48" s="24"/>
      <c r="M48" s="376"/>
      <c r="N48" s="376"/>
      <c r="O48" s="37"/>
      <c r="P48" s="376"/>
    </row>
    <row r="49" spans="1:16">
      <c r="A49" s="354"/>
      <c r="B49" s="354"/>
      <c r="C49" s="363"/>
      <c r="D49" s="371"/>
      <c r="E49" s="23" t="s">
        <v>102</v>
      </c>
      <c r="F49" s="17">
        <f>1.475*$C$43</f>
        <v>4941.25</v>
      </c>
      <c r="G49" s="24"/>
      <c r="H49" s="24"/>
      <c r="I49" s="24"/>
      <c r="J49" s="376"/>
      <c r="K49" s="24"/>
      <c r="L49" s="24"/>
      <c r="M49" s="376"/>
      <c r="N49" s="376"/>
      <c r="O49" s="37"/>
      <c r="P49" s="376"/>
    </row>
    <row r="50" spans="1:16">
      <c r="A50" s="355"/>
      <c r="B50" s="355"/>
      <c r="C50" s="364"/>
      <c r="D50" s="372"/>
      <c r="E50" s="23" t="s">
        <v>28</v>
      </c>
      <c r="F50" s="17">
        <f>1.475*$C$43</f>
        <v>4941.25</v>
      </c>
      <c r="G50" s="24"/>
      <c r="H50" s="24"/>
      <c r="I50" s="24"/>
      <c r="J50" s="374"/>
      <c r="K50" s="24"/>
      <c r="L50" s="24"/>
      <c r="M50" s="374"/>
      <c r="N50" s="374"/>
      <c r="O50" s="37"/>
      <c r="P50" s="374"/>
    </row>
    <row r="51" spans="1:16">
      <c r="A51" s="28"/>
      <c r="B51" s="28"/>
      <c r="C51" s="29"/>
      <c r="D51" s="29"/>
      <c r="G51" s="30"/>
      <c r="H51" s="31" t="s">
        <v>152</v>
      </c>
      <c r="I51" s="30"/>
      <c r="J51" s="30"/>
      <c r="K51" s="30"/>
      <c r="L51" s="30"/>
      <c r="M51" s="30"/>
      <c r="N51" s="30"/>
      <c r="O51" s="30"/>
      <c r="P51" s="30"/>
    </row>
    <row r="52" spans="1:16">
      <c r="A52" s="28"/>
      <c r="B52" s="28"/>
      <c r="C52" s="29"/>
      <c r="D52" s="29"/>
      <c r="G52" s="30">
        <f>SUM(G2:G44)</f>
        <v>427.61</v>
      </c>
      <c r="H52" s="30">
        <f>G52*26*1.2</f>
        <v>13341.432000000001</v>
      </c>
      <c r="I52" s="30"/>
      <c r="J52" s="30"/>
      <c r="K52" s="30"/>
      <c r="L52" s="30"/>
      <c r="M52" s="30"/>
      <c r="N52" s="30"/>
      <c r="O52" s="30"/>
      <c r="P52" s="30"/>
    </row>
    <row r="54" spans="1:16">
      <c r="G54" s="30"/>
    </row>
    <row r="55" spans="1:16">
      <c r="I55" s="39" t="s">
        <v>153</v>
      </c>
    </row>
    <row r="56" spans="1:16">
      <c r="B56" s="30" t="s">
        <v>7</v>
      </c>
      <c r="C56" s="347" t="s">
        <v>154</v>
      </c>
      <c r="D56" s="347"/>
      <c r="E56" s="347"/>
      <c r="G56" s="348" t="s">
        <v>155</v>
      </c>
      <c r="H56" s="348"/>
      <c r="I56" s="30">
        <f>SUM(J2:J44,J47)*1.3</f>
        <v>2.34</v>
      </c>
    </row>
    <row r="57" spans="1:16">
      <c r="B57" s="11" t="s">
        <v>156</v>
      </c>
      <c r="C57" s="33">
        <f>SUM(H2,H7,H13,H24,H43)</f>
        <v>4.2590277777777796</v>
      </c>
      <c r="D57" s="33"/>
      <c r="E57" s="10">
        <v>5</v>
      </c>
      <c r="G57" s="348" t="s">
        <v>157</v>
      </c>
      <c r="H57" s="348"/>
      <c r="I57" s="30">
        <f>J45</f>
        <v>0.25</v>
      </c>
    </row>
    <row r="58" spans="1:16">
      <c r="B58" s="11" t="s">
        <v>158</v>
      </c>
      <c r="C58" s="33">
        <f>SUM(H18,H21,H27)</f>
        <v>0.219618055555556</v>
      </c>
      <c r="D58" s="33"/>
      <c r="E58" s="10">
        <v>0.25</v>
      </c>
      <c r="G58" s="348" t="s">
        <v>159</v>
      </c>
      <c r="H58" s="348"/>
      <c r="I58" s="30">
        <f>SUM(K2:K50)</f>
        <v>2</v>
      </c>
    </row>
    <row r="59" spans="1:16">
      <c r="B59" s="11" t="s">
        <v>160</v>
      </c>
      <c r="C59" s="33">
        <f>SUM(H30,H37)</f>
        <v>8.8593749999999999E-2</v>
      </c>
      <c r="D59" s="33"/>
      <c r="E59" s="10">
        <v>0.5</v>
      </c>
      <c r="G59" s="348" t="s">
        <v>161</v>
      </c>
      <c r="H59" s="348"/>
      <c r="I59" s="30">
        <f>SUM(L2:L50)</f>
        <v>5</v>
      </c>
    </row>
    <row r="60" spans="1:16">
      <c r="B60" s="11" t="s">
        <v>162</v>
      </c>
      <c r="C60" s="33">
        <f>SUM(H20,H23,H31,H38)</f>
        <v>8.7857142857142898E-2</v>
      </c>
      <c r="D60" s="33"/>
      <c r="E60" s="10">
        <v>0.5</v>
      </c>
      <c r="G60" s="348" t="s">
        <v>163</v>
      </c>
      <c r="H60" s="348"/>
      <c r="I60" s="30">
        <f>SUM(M2:M50)</f>
        <v>2.5</v>
      </c>
    </row>
    <row r="61" spans="1:16">
      <c r="B61" s="11" t="s">
        <v>164</v>
      </c>
      <c r="C61" s="33">
        <f>H32</f>
        <v>3.4117647058823503E-2</v>
      </c>
      <c r="D61" s="33"/>
      <c r="E61" s="10">
        <v>0.25</v>
      </c>
      <c r="G61" s="348" t="s">
        <v>165</v>
      </c>
      <c r="H61" s="348"/>
      <c r="I61" s="30">
        <f>SUM(N2:N50)</f>
        <v>7</v>
      </c>
    </row>
    <row r="62" spans="1:16">
      <c r="B62" s="11" t="s">
        <v>166</v>
      </c>
      <c r="C62" s="33">
        <f>H44</f>
        <v>1.85493827160494E-2</v>
      </c>
      <c r="D62" s="33"/>
      <c r="E62" s="10">
        <v>0.25</v>
      </c>
      <c r="G62" s="348" t="s">
        <v>167</v>
      </c>
      <c r="H62" s="348"/>
      <c r="I62" s="32">
        <f>SUM(O2:O50)</f>
        <v>8</v>
      </c>
    </row>
    <row r="63" spans="1:16">
      <c r="B63" s="34" t="s">
        <v>9</v>
      </c>
      <c r="C63" s="35">
        <f>SUM(C57:C62)</f>
        <v>4.7077637559653498</v>
      </c>
      <c r="D63" s="35"/>
      <c r="E63" s="36">
        <f>SUM(E57:E62)</f>
        <v>6.75</v>
      </c>
      <c r="G63" s="348" t="s">
        <v>146</v>
      </c>
      <c r="H63" s="348"/>
      <c r="I63" s="30">
        <f>SUM(P2:P50)</f>
        <v>2.15</v>
      </c>
    </row>
    <row r="65" spans="2:16">
      <c r="B65" s="30" t="s">
        <v>7</v>
      </c>
      <c r="C65" s="347" t="s">
        <v>168</v>
      </c>
      <c r="D65" s="347"/>
      <c r="E65" s="347"/>
    </row>
    <row r="66" spans="2:16">
      <c r="B66" s="10" t="s">
        <v>169</v>
      </c>
      <c r="C66" s="33">
        <f>SUM(I3,I8,I14)</f>
        <v>4.18872549019608</v>
      </c>
      <c r="D66" s="33"/>
      <c r="E66" s="10">
        <v>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>
      <c r="B67" s="10" t="s">
        <v>18</v>
      </c>
      <c r="C67" s="33">
        <f t="shared" ref="C67:C76" si="4">IFERROR(SUMIF($E:$E,$B67,$I:$I),0)</f>
        <v>1.91797346200241</v>
      </c>
      <c r="D67" s="33"/>
      <c r="E67" s="10">
        <v>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>
      <c r="B68" s="10" t="s">
        <v>36</v>
      </c>
      <c r="C68" s="33">
        <f t="shared" si="4"/>
        <v>0.47350829413221102</v>
      </c>
      <c r="D68" s="33"/>
      <c r="E68" s="10">
        <v>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>
      <c r="B69" s="10" t="s">
        <v>44</v>
      </c>
      <c r="C69" s="33">
        <f t="shared" si="4"/>
        <v>7.1226347477064203E-2</v>
      </c>
      <c r="D69" s="33"/>
      <c r="E69" s="10">
        <v>1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>
      <c r="B70" s="10" t="s">
        <v>55</v>
      </c>
      <c r="C70" s="33">
        <f t="shared" si="4"/>
        <v>9.3075698620445693E-2</v>
      </c>
      <c r="D70" s="33"/>
      <c r="E70" s="10">
        <v>1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>
      <c r="B71" s="10" t="s">
        <v>64</v>
      </c>
      <c r="C71" s="33">
        <f t="shared" si="4"/>
        <v>0.31039971701450297</v>
      </c>
      <c r="D71" s="33"/>
      <c r="E71" s="10">
        <v>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>
      <c r="B72" s="10" t="s">
        <v>68</v>
      </c>
      <c r="C72" s="33">
        <f t="shared" si="4"/>
        <v>2.1629160363086201E-2</v>
      </c>
      <c r="D72" s="33"/>
      <c r="E72" s="10">
        <v>1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>
      <c r="B73" s="10" t="s">
        <v>73</v>
      </c>
      <c r="C73" s="33">
        <f t="shared" si="4"/>
        <v>0.75768998793727405</v>
      </c>
      <c r="D73" s="33"/>
      <c r="E73" s="10">
        <v>1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2:16">
      <c r="B74" s="10" t="s">
        <v>71</v>
      </c>
      <c r="C74" s="33">
        <f t="shared" si="4"/>
        <v>0.25256332931242498</v>
      </c>
      <c r="D74" s="33"/>
      <c r="E74" s="10">
        <v>1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2:16">
      <c r="B75" s="10" t="s">
        <v>70</v>
      </c>
      <c r="C75" s="33">
        <f t="shared" si="4"/>
        <v>0.14252893124574501</v>
      </c>
      <c r="D75" s="33"/>
      <c r="E75" s="10">
        <v>1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2:16">
      <c r="B76" s="10" t="s">
        <v>94</v>
      </c>
      <c r="C76" s="33">
        <f t="shared" si="4"/>
        <v>3.3910539215686302</v>
      </c>
      <c r="D76" s="33"/>
      <c r="E76" s="10">
        <v>1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2:16">
      <c r="B77" s="34" t="s">
        <v>9</v>
      </c>
      <c r="C77" s="35">
        <f>SUM(C66:C76)</f>
        <v>11.620374339869899</v>
      </c>
      <c r="D77" s="35"/>
      <c r="E77" s="40">
        <f>SUM(E66:E76)</f>
        <v>16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9" spans="2:16">
      <c r="B79" s="30"/>
      <c r="C79" s="30"/>
      <c r="D79" s="3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2:16">
      <c r="C80" s="33"/>
      <c r="D80" s="33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2:16">
      <c r="C81" s="33"/>
      <c r="D81" s="3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2:16">
      <c r="B82" s="32"/>
      <c r="C82" s="30"/>
      <c r="D82" s="30"/>
      <c r="E82" s="4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</sheetData>
  <autoFilter ref="A1:P52"/>
  <mergeCells count="84"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  <mergeCell ref="N30:N36"/>
    <mergeCell ref="N37:N42"/>
    <mergeCell ref="N43:N50"/>
    <mergeCell ref="O13:O17"/>
    <mergeCell ref="O18:O20"/>
    <mergeCell ref="O21:O23"/>
    <mergeCell ref="O24:O26"/>
    <mergeCell ref="O27:O29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G2:G3"/>
    <mergeCell ref="G7:G8"/>
    <mergeCell ref="G13:G14"/>
    <mergeCell ref="H2:H3"/>
    <mergeCell ref="H7:H8"/>
    <mergeCell ref="H13:H14"/>
    <mergeCell ref="D24:D26"/>
    <mergeCell ref="D27:D29"/>
    <mergeCell ref="D30:D36"/>
    <mergeCell ref="D37:D42"/>
    <mergeCell ref="D43:D50"/>
    <mergeCell ref="D2:D6"/>
    <mergeCell ref="D7:D12"/>
    <mergeCell ref="D13:D17"/>
    <mergeCell ref="D18:D20"/>
    <mergeCell ref="D21:D23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A24:A26"/>
    <mergeCell ref="A27:A29"/>
    <mergeCell ref="A30:A36"/>
    <mergeCell ref="A37:A42"/>
    <mergeCell ref="A43:A50"/>
    <mergeCell ref="A2:A6"/>
    <mergeCell ref="A7:A12"/>
    <mergeCell ref="A13:A17"/>
    <mergeCell ref="A18:A20"/>
    <mergeCell ref="A21:A23"/>
    <mergeCell ref="G60:H60"/>
    <mergeCell ref="G61:H61"/>
    <mergeCell ref="G62:H62"/>
    <mergeCell ref="G63:H63"/>
    <mergeCell ref="C65:E65"/>
    <mergeCell ref="C56:E56"/>
    <mergeCell ref="G56:H56"/>
    <mergeCell ref="G57:H57"/>
    <mergeCell ref="G58:H58"/>
    <mergeCell ref="G59:H59"/>
  </mergeCells>
  <pageMargins left="0.7" right="0.7" top="0.75" bottom="0.75" header="0.3" footer="0.3"/>
  <pageSetup paperSize="9" orientation="portrait"/>
  <ignoredErrors>
    <ignoredError sqref="I32 F1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showGridLines="0" zoomScale="84" zoomScaleNormal="84" workbookViewId="0">
      <pane ySplit="6" topLeftCell="A7" activePane="bottomLeft" state="frozen"/>
      <selection pane="bottomLeft" sqref="A1:XFD1048576"/>
    </sheetView>
  </sheetViews>
  <sheetFormatPr defaultColWidth="10.28515625" defaultRowHeight="15"/>
  <cols>
    <col min="1" max="1" width="10.28515625" style="2"/>
    <col min="2" max="2" width="15.140625" style="2" customWidth="1"/>
    <col min="3" max="3" width="10.5703125" style="2" customWidth="1"/>
    <col min="4" max="4" width="13.28515625" style="2" customWidth="1"/>
    <col min="5" max="5" width="7.85546875" style="3" customWidth="1"/>
    <col min="6" max="6" width="2.28515625" style="3" customWidth="1"/>
    <col min="7" max="7" width="7.7109375" style="3" customWidth="1"/>
    <col min="8" max="8" width="10.28515625" style="3" customWidth="1"/>
    <col min="9" max="9" width="15.7109375" style="3" customWidth="1"/>
    <col min="10" max="10" width="12.42578125" style="3" customWidth="1"/>
    <col min="11" max="11" width="13.5703125" style="3" customWidth="1"/>
    <col min="12" max="12" width="13.140625" style="3" customWidth="1"/>
    <col min="13" max="13" width="10.85546875" style="3" customWidth="1"/>
    <col min="14" max="14" width="11" style="3" customWidth="1"/>
    <col min="15" max="15" width="12.7109375" style="3" customWidth="1"/>
    <col min="16" max="16" width="18" style="3" customWidth="1"/>
    <col min="17" max="17" width="9.140625" style="3" customWidth="1"/>
    <col min="18" max="19" width="9.28515625" style="3" customWidth="1"/>
    <col min="20" max="20" width="9.140625" style="3" customWidth="1"/>
    <col min="21" max="21" width="8" style="3" customWidth="1"/>
    <col min="22" max="22" width="8.7109375" style="3" customWidth="1"/>
    <col min="23" max="23" width="12.85546875" style="3" customWidth="1"/>
    <col min="24" max="24" width="11" style="3" customWidth="1"/>
    <col min="25" max="25" width="10.28515625" style="3" customWidth="1"/>
    <col min="26" max="26" width="22.5703125" style="3" customWidth="1"/>
    <col min="27" max="268" width="10.28515625" style="2"/>
    <col min="269" max="269" width="15.140625" style="2" customWidth="1"/>
    <col min="270" max="270" width="9" style="2" customWidth="1"/>
    <col min="271" max="271" width="13.28515625" style="2" customWidth="1"/>
    <col min="272" max="272" width="15.7109375" style="2" customWidth="1"/>
    <col min="273" max="273" width="12.28515625" style="2" customWidth="1"/>
    <col min="274" max="274" width="12.42578125" style="2" customWidth="1"/>
    <col min="275" max="275" width="12.140625" style="2" customWidth="1"/>
    <col min="276" max="276" width="13.85546875" style="2" customWidth="1"/>
    <col min="277" max="277" width="10.5703125" style="2" customWidth="1"/>
    <col min="278" max="278" width="12.7109375" style="2" customWidth="1"/>
    <col min="279" max="279" width="10.7109375" style="2" customWidth="1"/>
    <col min="280" max="280" width="10.140625" style="2" customWidth="1"/>
    <col min="281" max="281" width="18.28515625" style="2" customWidth="1"/>
    <col min="282" max="524" width="10.28515625" style="2"/>
    <col min="525" max="525" width="15.140625" style="2" customWidth="1"/>
    <col min="526" max="526" width="9" style="2" customWidth="1"/>
    <col min="527" max="527" width="13.28515625" style="2" customWidth="1"/>
    <col min="528" max="528" width="15.7109375" style="2" customWidth="1"/>
    <col min="529" max="529" width="12.28515625" style="2" customWidth="1"/>
    <col min="530" max="530" width="12.42578125" style="2" customWidth="1"/>
    <col min="531" max="531" width="12.140625" style="2" customWidth="1"/>
    <col min="532" max="532" width="13.85546875" style="2" customWidth="1"/>
    <col min="533" max="533" width="10.5703125" style="2" customWidth="1"/>
    <col min="534" max="534" width="12.7109375" style="2" customWidth="1"/>
    <col min="535" max="535" width="10.7109375" style="2" customWidth="1"/>
    <col min="536" max="536" width="10.140625" style="2" customWidth="1"/>
    <col min="537" max="537" width="18.28515625" style="2" customWidth="1"/>
    <col min="538" max="780" width="10.28515625" style="2"/>
    <col min="781" max="781" width="15.140625" style="2" customWidth="1"/>
    <col min="782" max="782" width="9" style="2" customWidth="1"/>
    <col min="783" max="783" width="13.28515625" style="2" customWidth="1"/>
    <col min="784" max="784" width="15.7109375" style="2" customWidth="1"/>
    <col min="785" max="785" width="12.28515625" style="2" customWidth="1"/>
    <col min="786" max="786" width="12.42578125" style="2" customWidth="1"/>
    <col min="787" max="787" width="12.140625" style="2" customWidth="1"/>
    <col min="788" max="788" width="13.85546875" style="2" customWidth="1"/>
    <col min="789" max="789" width="10.5703125" style="2" customWidth="1"/>
    <col min="790" max="790" width="12.7109375" style="2" customWidth="1"/>
    <col min="791" max="791" width="10.7109375" style="2" customWidth="1"/>
    <col min="792" max="792" width="10.140625" style="2" customWidth="1"/>
    <col min="793" max="793" width="18.28515625" style="2" customWidth="1"/>
    <col min="794" max="1036" width="10.28515625" style="2"/>
    <col min="1037" max="1037" width="15.140625" style="2" customWidth="1"/>
    <col min="1038" max="1038" width="9" style="2" customWidth="1"/>
    <col min="1039" max="1039" width="13.28515625" style="2" customWidth="1"/>
    <col min="1040" max="1040" width="15.7109375" style="2" customWidth="1"/>
    <col min="1041" max="1041" width="12.28515625" style="2" customWidth="1"/>
    <col min="1042" max="1042" width="12.42578125" style="2" customWidth="1"/>
    <col min="1043" max="1043" width="12.140625" style="2" customWidth="1"/>
    <col min="1044" max="1044" width="13.85546875" style="2" customWidth="1"/>
    <col min="1045" max="1045" width="10.5703125" style="2" customWidth="1"/>
    <col min="1046" max="1046" width="12.7109375" style="2" customWidth="1"/>
    <col min="1047" max="1047" width="10.7109375" style="2" customWidth="1"/>
    <col min="1048" max="1048" width="10.140625" style="2" customWidth="1"/>
    <col min="1049" max="1049" width="18.28515625" style="2" customWidth="1"/>
    <col min="1050" max="1292" width="10.28515625" style="2"/>
    <col min="1293" max="1293" width="15.140625" style="2" customWidth="1"/>
    <col min="1294" max="1294" width="9" style="2" customWidth="1"/>
    <col min="1295" max="1295" width="13.28515625" style="2" customWidth="1"/>
    <col min="1296" max="1296" width="15.7109375" style="2" customWidth="1"/>
    <col min="1297" max="1297" width="12.28515625" style="2" customWidth="1"/>
    <col min="1298" max="1298" width="12.42578125" style="2" customWidth="1"/>
    <col min="1299" max="1299" width="12.140625" style="2" customWidth="1"/>
    <col min="1300" max="1300" width="13.85546875" style="2" customWidth="1"/>
    <col min="1301" max="1301" width="10.5703125" style="2" customWidth="1"/>
    <col min="1302" max="1302" width="12.7109375" style="2" customWidth="1"/>
    <col min="1303" max="1303" width="10.7109375" style="2" customWidth="1"/>
    <col min="1304" max="1304" width="10.140625" style="2" customWidth="1"/>
    <col min="1305" max="1305" width="18.28515625" style="2" customWidth="1"/>
    <col min="1306" max="1548" width="10.28515625" style="2"/>
    <col min="1549" max="1549" width="15.140625" style="2" customWidth="1"/>
    <col min="1550" max="1550" width="9" style="2" customWidth="1"/>
    <col min="1551" max="1551" width="13.28515625" style="2" customWidth="1"/>
    <col min="1552" max="1552" width="15.7109375" style="2" customWidth="1"/>
    <col min="1553" max="1553" width="12.28515625" style="2" customWidth="1"/>
    <col min="1554" max="1554" width="12.42578125" style="2" customWidth="1"/>
    <col min="1555" max="1555" width="12.140625" style="2" customWidth="1"/>
    <col min="1556" max="1556" width="13.85546875" style="2" customWidth="1"/>
    <col min="1557" max="1557" width="10.5703125" style="2" customWidth="1"/>
    <col min="1558" max="1558" width="12.7109375" style="2" customWidth="1"/>
    <col min="1559" max="1559" width="10.7109375" style="2" customWidth="1"/>
    <col min="1560" max="1560" width="10.140625" style="2" customWidth="1"/>
    <col min="1561" max="1561" width="18.28515625" style="2" customWidth="1"/>
    <col min="1562" max="1804" width="10.28515625" style="2"/>
    <col min="1805" max="1805" width="15.140625" style="2" customWidth="1"/>
    <col min="1806" max="1806" width="9" style="2" customWidth="1"/>
    <col min="1807" max="1807" width="13.28515625" style="2" customWidth="1"/>
    <col min="1808" max="1808" width="15.7109375" style="2" customWidth="1"/>
    <col min="1809" max="1809" width="12.28515625" style="2" customWidth="1"/>
    <col min="1810" max="1810" width="12.42578125" style="2" customWidth="1"/>
    <col min="1811" max="1811" width="12.140625" style="2" customWidth="1"/>
    <col min="1812" max="1812" width="13.85546875" style="2" customWidth="1"/>
    <col min="1813" max="1813" width="10.5703125" style="2" customWidth="1"/>
    <col min="1814" max="1814" width="12.7109375" style="2" customWidth="1"/>
    <col min="1815" max="1815" width="10.7109375" style="2" customWidth="1"/>
    <col min="1816" max="1816" width="10.140625" style="2" customWidth="1"/>
    <col min="1817" max="1817" width="18.28515625" style="2" customWidth="1"/>
    <col min="1818" max="2060" width="10.28515625" style="2"/>
    <col min="2061" max="2061" width="15.140625" style="2" customWidth="1"/>
    <col min="2062" max="2062" width="9" style="2" customWidth="1"/>
    <col min="2063" max="2063" width="13.28515625" style="2" customWidth="1"/>
    <col min="2064" max="2064" width="15.7109375" style="2" customWidth="1"/>
    <col min="2065" max="2065" width="12.28515625" style="2" customWidth="1"/>
    <col min="2066" max="2066" width="12.42578125" style="2" customWidth="1"/>
    <col min="2067" max="2067" width="12.140625" style="2" customWidth="1"/>
    <col min="2068" max="2068" width="13.85546875" style="2" customWidth="1"/>
    <col min="2069" max="2069" width="10.5703125" style="2" customWidth="1"/>
    <col min="2070" max="2070" width="12.7109375" style="2" customWidth="1"/>
    <col min="2071" max="2071" width="10.7109375" style="2" customWidth="1"/>
    <col min="2072" max="2072" width="10.140625" style="2" customWidth="1"/>
    <col min="2073" max="2073" width="18.28515625" style="2" customWidth="1"/>
    <col min="2074" max="2316" width="10.28515625" style="2"/>
    <col min="2317" max="2317" width="15.140625" style="2" customWidth="1"/>
    <col min="2318" max="2318" width="9" style="2" customWidth="1"/>
    <col min="2319" max="2319" width="13.28515625" style="2" customWidth="1"/>
    <col min="2320" max="2320" width="15.7109375" style="2" customWidth="1"/>
    <col min="2321" max="2321" width="12.28515625" style="2" customWidth="1"/>
    <col min="2322" max="2322" width="12.42578125" style="2" customWidth="1"/>
    <col min="2323" max="2323" width="12.140625" style="2" customWidth="1"/>
    <col min="2324" max="2324" width="13.85546875" style="2" customWidth="1"/>
    <col min="2325" max="2325" width="10.5703125" style="2" customWidth="1"/>
    <col min="2326" max="2326" width="12.7109375" style="2" customWidth="1"/>
    <col min="2327" max="2327" width="10.7109375" style="2" customWidth="1"/>
    <col min="2328" max="2328" width="10.140625" style="2" customWidth="1"/>
    <col min="2329" max="2329" width="18.28515625" style="2" customWidth="1"/>
    <col min="2330" max="2572" width="10.28515625" style="2"/>
    <col min="2573" max="2573" width="15.140625" style="2" customWidth="1"/>
    <col min="2574" max="2574" width="9" style="2" customWidth="1"/>
    <col min="2575" max="2575" width="13.28515625" style="2" customWidth="1"/>
    <col min="2576" max="2576" width="15.7109375" style="2" customWidth="1"/>
    <col min="2577" max="2577" width="12.28515625" style="2" customWidth="1"/>
    <col min="2578" max="2578" width="12.42578125" style="2" customWidth="1"/>
    <col min="2579" max="2579" width="12.140625" style="2" customWidth="1"/>
    <col min="2580" max="2580" width="13.85546875" style="2" customWidth="1"/>
    <col min="2581" max="2581" width="10.5703125" style="2" customWidth="1"/>
    <col min="2582" max="2582" width="12.7109375" style="2" customWidth="1"/>
    <col min="2583" max="2583" width="10.7109375" style="2" customWidth="1"/>
    <col min="2584" max="2584" width="10.140625" style="2" customWidth="1"/>
    <col min="2585" max="2585" width="18.28515625" style="2" customWidth="1"/>
    <col min="2586" max="2828" width="10.28515625" style="2"/>
    <col min="2829" max="2829" width="15.140625" style="2" customWidth="1"/>
    <col min="2830" max="2830" width="9" style="2" customWidth="1"/>
    <col min="2831" max="2831" width="13.28515625" style="2" customWidth="1"/>
    <col min="2832" max="2832" width="15.7109375" style="2" customWidth="1"/>
    <col min="2833" max="2833" width="12.28515625" style="2" customWidth="1"/>
    <col min="2834" max="2834" width="12.42578125" style="2" customWidth="1"/>
    <col min="2835" max="2835" width="12.140625" style="2" customWidth="1"/>
    <col min="2836" max="2836" width="13.85546875" style="2" customWidth="1"/>
    <col min="2837" max="2837" width="10.5703125" style="2" customWidth="1"/>
    <col min="2838" max="2838" width="12.7109375" style="2" customWidth="1"/>
    <col min="2839" max="2839" width="10.7109375" style="2" customWidth="1"/>
    <col min="2840" max="2840" width="10.140625" style="2" customWidth="1"/>
    <col min="2841" max="2841" width="18.28515625" style="2" customWidth="1"/>
    <col min="2842" max="3084" width="10.28515625" style="2"/>
    <col min="3085" max="3085" width="15.140625" style="2" customWidth="1"/>
    <col min="3086" max="3086" width="9" style="2" customWidth="1"/>
    <col min="3087" max="3087" width="13.28515625" style="2" customWidth="1"/>
    <col min="3088" max="3088" width="15.7109375" style="2" customWidth="1"/>
    <col min="3089" max="3089" width="12.28515625" style="2" customWidth="1"/>
    <col min="3090" max="3090" width="12.42578125" style="2" customWidth="1"/>
    <col min="3091" max="3091" width="12.140625" style="2" customWidth="1"/>
    <col min="3092" max="3092" width="13.85546875" style="2" customWidth="1"/>
    <col min="3093" max="3093" width="10.5703125" style="2" customWidth="1"/>
    <col min="3094" max="3094" width="12.7109375" style="2" customWidth="1"/>
    <col min="3095" max="3095" width="10.7109375" style="2" customWidth="1"/>
    <col min="3096" max="3096" width="10.140625" style="2" customWidth="1"/>
    <col min="3097" max="3097" width="18.28515625" style="2" customWidth="1"/>
    <col min="3098" max="3340" width="10.28515625" style="2"/>
    <col min="3341" max="3341" width="15.140625" style="2" customWidth="1"/>
    <col min="3342" max="3342" width="9" style="2" customWidth="1"/>
    <col min="3343" max="3343" width="13.28515625" style="2" customWidth="1"/>
    <col min="3344" max="3344" width="15.7109375" style="2" customWidth="1"/>
    <col min="3345" max="3345" width="12.28515625" style="2" customWidth="1"/>
    <col min="3346" max="3346" width="12.42578125" style="2" customWidth="1"/>
    <col min="3347" max="3347" width="12.140625" style="2" customWidth="1"/>
    <col min="3348" max="3348" width="13.85546875" style="2" customWidth="1"/>
    <col min="3349" max="3349" width="10.5703125" style="2" customWidth="1"/>
    <col min="3350" max="3350" width="12.7109375" style="2" customWidth="1"/>
    <col min="3351" max="3351" width="10.7109375" style="2" customWidth="1"/>
    <col min="3352" max="3352" width="10.140625" style="2" customWidth="1"/>
    <col min="3353" max="3353" width="18.28515625" style="2" customWidth="1"/>
    <col min="3354" max="3596" width="10.28515625" style="2"/>
    <col min="3597" max="3597" width="15.140625" style="2" customWidth="1"/>
    <col min="3598" max="3598" width="9" style="2" customWidth="1"/>
    <col min="3599" max="3599" width="13.28515625" style="2" customWidth="1"/>
    <col min="3600" max="3600" width="15.7109375" style="2" customWidth="1"/>
    <col min="3601" max="3601" width="12.28515625" style="2" customWidth="1"/>
    <col min="3602" max="3602" width="12.42578125" style="2" customWidth="1"/>
    <col min="3603" max="3603" width="12.140625" style="2" customWidth="1"/>
    <col min="3604" max="3604" width="13.85546875" style="2" customWidth="1"/>
    <col min="3605" max="3605" width="10.5703125" style="2" customWidth="1"/>
    <col min="3606" max="3606" width="12.7109375" style="2" customWidth="1"/>
    <col min="3607" max="3607" width="10.7109375" style="2" customWidth="1"/>
    <col min="3608" max="3608" width="10.140625" style="2" customWidth="1"/>
    <col min="3609" max="3609" width="18.28515625" style="2" customWidth="1"/>
    <col min="3610" max="3852" width="10.28515625" style="2"/>
    <col min="3853" max="3853" width="15.140625" style="2" customWidth="1"/>
    <col min="3854" max="3854" width="9" style="2" customWidth="1"/>
    <col min="3855" max="3855" width="13.28515625" style="2" customWidth="1"/>
    <col min="3856" max="3856" width="15.7109375" style="2" customWidth="1"/>
    <col min="3857" max="3857" width="12.28515625" style="2" customWidth="1"/>
    <col min="3858" max="3858" width="12.42578125" style="2" customWidth="1"/>
    <col min="3859" max="3859" width="12.140625" style="2" customWidth="1"/>
    <col min="3860" max="3860" width="13.85546875" style="2" customWidth="1"/>
    <col min="3861" max="3861" width="10.5703125" style="2" customWidth="1"/>
    <col min="3862" max="3862" width="12.7109375" style="2" customWidth="1"/>
    <col min="3863" max="3863" width="10.7109375" style="2" customWidth="1"/>
    <col min="3864" max="3864" width="10.140625" style="2" customWidth="1"/>
    <col min="3865" max="3865" width="18.28515625" style="2" customWidth="1"/>
    <col min="3866" max="4108" width="10.28515625" style="2"/>
    <col min="4109" max="4109" width="15.140625" style="2" customWidth="1"/>
    <col min="4110" max="4110" width="9" style="2" customWidth="1"/>
    <col min="4111" max="4111" width="13.28515625" style="2" customWidth="1"/>
    <col min="4112" max="4112" width="15.7109375" style="2" customWidth="1"/>
    <col min="4113" max="4113" width="12.28515625" style="2" customWidth="1"/>
    <col min="4114" max="4114" width="12.42578125" style="2" customWidth="1"/>
    <col min="4115" max="4115" width="12.140625" style="2" customWidth="1"/>
    <col min="4116" max="4116" width="13.85546875" style="2" customWidth="1"/>
    <col min="4117" max="4117" width="10.5703125" style="2" customWidth="1"/>
    <col min="4118" max="4118" width="12.7109375" style="2" customWidth="1"/>
    <col min="4119" max="4119" width="10.7109375" style="2" customWidth="1"/>
    <col min="4120" max="4120" width="10.140625" style="2" customWidth="1"/>
    <col min="4121" max="4121" width="18.28515625" style="2" customWidth="1"/>
    <col min="4122" max="4364" width="10.28515625" style="2"/>
    <col min="4365" max="4365" width="15.140625" style="2" customWidth="1"/>
    <col min="4366" max="4366" width="9" style="2" customWidth="1"/>
    <col min="4367" max="4367" width="13.28515625" style="2" customWidth="1"/>
    <col min="4368" max="4368" width="15.7109375" style="2" customWidth="1"/>
    <col min="4369" max="4369" width="12.28515625" style="2" customWidth="1"/>
    <col min="4370" max="4370" width="12.42578125" style="2" customWidth="1"/>
    <col min="4371" max="4371" width="12.140625" style="2" customWidth="1"/>
    <col min="4372" max="4372" width="13.85546875" style="2" customWidth="1"/>
    <col min="4373" max="4373" width="10.5703125" style="2" customWidth="1"/>
    <col min="4374" max="4374" width="12.7109375" style="2" customWidth="1"/>
    <col min="4375" max="4375" width="10.7109375" style="2" customWidth="1"/>
    <col min="4376" max="4376" width="10.140625" style="2" customWidth="1"/>
    <col min="4377" max="4377" width="18.28515625" style="2" customWidth="1"/>
    <col min="4378" max="4620" width="10.28515625" style="2"/>
    <col min="4621" max="4621" width="15.140625" style="2" customWidth="1"/>
    <col min="4622" max="4622" width="9" style="2" customWidth="1"/>
    <col min="4623" max="4623" width="13.28515625" style="2" customWidth="1"/>
    <col min="4624" max="4624" width="15.7109375" style="2" customWidth="1"/>
    <col min="4625" max="4625" width="12.28515625" style="2" customWidth="1"/>
    <col min="4626" max="4626" width="12.42578125" style="2" customWidth="1"/>
    <col min="4627" max="4627" width="12.140625" style="2" customWidth="1"/>
    <col min="4628" max="4628" width="13.85546875" style="2" customWidth="1"/>
    <col min="4629" max="4629" width="10.5703125" style="2" customWidth="1"/>
    <col min="4630" max="4630" width="12.7109375" style="2" customWidth="1"/>
    <col min="4631" max="4631" width="10.7109375" style="2" customWidth="1"/>
    <col min="4632" max="4632" width="10.140625" style="2" customWidth="1"/>
    <col min="4633" max="4633" width="18.28515625" style="2" customWidth="1"/>
    <col min="4634" max="4876" width="10.28515625" style="2"/>
    <col min="4877" max="4877" width="15.140625" style="2" customWidth="1"/>
    <col min="4878" max="4878" width="9" style="2" customWidth="1"/>
    <col min="4879" max="4879" width="13.28515625" style="2" customWidth="1"/>
    <col min="4880" max="4880" width="15.7109375" style="2" customWidth="1"/>
    <col min="4881" max="4881" width="12.28515625" style="2" customWidth="1"/>
    <col min="4882" max="4882" width="12.42578125" style="2" customWidth="1"/>
    <col min="4883" max="4883" width="12.140625" style="2" customWidth="1"/>
    <col min="4884" max="4884" width="13.85546875" style="2" customWidth="1"/>
    <col min="4885" max="4885" width="10.5703125" style="2" customWidth="1"/>
    <col min="4886" max="4886" width="12.7109375" style="2" customWidth="1"/>
    <col min="4887" max="4887" width="10.7109375" style="2" customWidth="1"/>
    <col min="4888" max="4888" width="10.140625" style="2" customWidth="1"/>
    <col min="4889" max="4889" width="18.28515625" style="2" customWidth="1"/>
    <col min="4890" max="5132" width="10.28515625" style="2"/>
    <col min="5133" max="5133" width="15.140625" style="2" customWidth="1"/>
    <col min="5134" max="5134" width="9" style="2" customWidth="1"/>
    <col min="5135" max="5135" width="13.28515625" style="2" customWidth="1"/>
    <col min="5136" max="5136" width="15.7109375" style="2" customWidth="1"/>
    <col min="5137" max="5137" width="12.28515625" style="2" customWidth="1"/>
    <col min="5138" max="5138" width="12.42578125" style="2" customWidth="1"/>
    <col min="5139" max="5139" width="12.140625" style="2" customWidth="1"/>
    <col min="5140" max="5140" width="13.85546875" style="2" customWidth="1"/>
    <col min="5141" max="5141" width="10.5703125" style="2" customWidth="1"/>
    <col min="5142" max="5142" width="12.7109375" style="2" customWidth="1"/>
    <col min="5143" max="5143" width="10.7109375" style="2" customWidth="1"/>
    <col min="5144" max="5144" width="10.140625" style="2" customWidth="1"/>
    <col min="5145" max="5145" width="18.28515625" style="2" customWidth="1"/>
    <col min="5146" max="5388" width="10.28515625" style="2"/>
    <col min="5389" max="5389" width="15.140625" style="2" customWidth="1"/>
    <col min="5390" max="5390" width="9" style="2" customWidth="1"/>
    <col min="5391" max="5391" width="13.28515625" style="2" customWidth="1"/>
    <col min="5392" max="5392" width="15.7109375" style="2" customWidth="1"/>
    <col min="5393" max="5393" width="12.28515625" style="2" customWidth="1"/>
    <col min="5394" max="5394" width="12.42578125" style="2" customWidth="1"/>
    <col min="5395" max="5395" width="12.140625" style="2" customWidth="1"/>
    <col min="5396" max="5396" width="13.85546875" style="2" customWidth="1"/>
    <col min="5397" max="5397" width="10.5703125" style="2" customWidth="1"/>
    <col min="5398" max="5398" width="12.7109375" style="2" customWidth="1"/>
    <col min="5399" max="5399" width="10.7109375" style="2" customWidth="1"/>
    <col min="5400" max="5400" width="10.140625" style="2" customWidth="1"/>
    <col min="5401" max="5401" width="18.28515625" style="2" customWidth="1"/>
    <col min="5402" max="5644" width="10.28515625" style="2"/>
    <col min="5645" max="5645" width="15.140625" style="2" customWidth="1"/>
    <col min="5646" max="5646" width="9" style="2" customWidth="1"/>
    <col min="5647" max="5647" width="13.28515625" style="2" customWidth="1"/>
    <col min="5648" max="5648" width="15.7109375" style="2" customWidth="1"/>
    <col min="5649" max="5649" width="12.28515625" style="2" customWidth="1"/>
    <col min="5650" max="5650" width="12.42578125" style="2" customWidth="1"/>
    <col min="5651" max="5651" width="12.140625" style="2" customWidth="1"/>
    <col min="5652" max="5652" width="13.85546875" style="2" customWidth="1"/>
    <col min="5653" max="5653" width="10.5703125" style="2" customWidth="1"/>
    <col min="5654" max="5654" width="12.7109375" style="2" customWidth="1"/>
    <col min="5655" max="5655" width="10.7109375" style="2" customWidth="1"/>
    <col min="5656" max="5656" width="10.140625" style="2" customWidth="1"/>
    <col min="5657" max="5657" width="18.28515625" style="2" customWidth="1"/>
    <col min="5658" max="5900" width="10.28515625" style="2"/>
    <col min="5901" max="5901" width="15.140625" style="2" customWidth="1"/>
    <col min="5902" max="5902" width="9" style="2" customWidth="1"/>
    <col min="5903" max="5903" width="13.28515625" style="2" customWidth="1"/>
    <col min="5904" max="5904" width="15.7109375" style="2" customWidth="1"/>
    <col min="5905" max="5905" width="12.28515625" style="2" customWidth="1"/>
    <col min="5906" max="5906" width="12.42578125" style="2" customWidth="1"/>
    <col min="5907" max="5907" width="12.140625" style="2" customWidth="1"/>
    <col min="5908" max="5908" width="13.85546875" style="2" customWidth="1"/>
    <col min="5909" max="5909" width="10.5703125" style="2" customWidth="1"/>
    <col min="5910" max="5910" width="12.7109375" style="2" customWidth="1"/>
    <col min="5911" max="5911" width="10.7109375" style="2" customWidth="1"/>
    <col min="5912" max="5912" width="10.140625" style="2" customWidth="1"/>
    <col min="5913" max="5913" width="18.28515625" style="2" customWidth="1"/>
    <col min="5914" max="6156" width="10.28515625" style="2"/>
    <col min="6157" max="6157" width="15.140625" style="2" customWidth="1"/>
    <col min="6158" max="6158" width="9" style="2" customWidth="1"/>
    <col min="6159" max="6159" width="13.28515625" style="2" customWidth="1"/>
    <col min="6160" max="6160" width="15.7109375" style="2" customWidth="1"/>
    <col min="6161" max="6161" width="12.28515625" style="2" customWidth="1"/>
    <col min="6162" max="6162" width="12.42578125" style="2" customWidth="1"/>
    <col min="6163" max="6163" width="12.140625" style="2" customWidth="1"/>
    <col min="6164" max="6164" width="13.85546875" style="2" customWidth="1"/>
    <col min="6165" max="6165" width="10.5703125" style="2" customWidth="1"/>
    <col min="6166" max="6166" width="12.7109375" style="2" customWidth="1"/>
    <col min="6167" max="6167" width="10.7109375" style="2" customWidth="1"/>
    <col min="6168" max="6168" width="10.140625" style="2" customWidth="1"/>
    <col min="6169" max="6169" width="18.28515625" style="2" customWidth="1"/>
    <col min="6170" max="6412" width="10.28515625" style="2"/>
    <col min="6413" max="6413" width="15.140625" style="2" customWidth="1"/>
    <col min="6414" max="6414" width="9" style="2" customWidth="1"/>
    <col min="6415" max="6415" width="13.28515625" style="2" customWidth="1"/>
    <col min="6416" max="6416" width="15.7109375" style="2" customWidth="1"/>
    <col min="6417" max="6417" width="12.28515625" style="2" customWidth="1"/>
    <col min="6418" max="6418" width="12.42578125" style="2" customWidth="1"/>
    <col min="6419" max="6419" width="12.140625" style="2" customWidth="1"/>
    <col min="6420" max="6420" width="13.85546875" style="2" customWidth="1"/>
    <col min="6421" max="6421" width="10.5703125" style="2" customWidth="1"/>
    <col min="6422" max="6422" width="12.7109375" style="2" customWidth="1"/>
    <col min="6423" max="6423" width="10.7109375" style="2" customWidth="1"/>
    <col min="6424" max="6424" width="10.140625" style="2" customWidth="1"/>
    <col min="6425" max="6425" width="18.28515625" style="2" customWidth="1"/>
    <col min="6426" max="6668" width="10.28515625" style="2"/>
    <col min="6669" max="6669" width="15.140625" style="2" customWidth="1"/>
    <col min="6670" max="6670" width="9" style="2" customWidth="1"/>
    <col min="6671" max="6671" width="13.28515625" style="2" customWidth="1"/>
    <col min="6672" max="6672" width="15.7109375" style="2" customWidth="1"/>
    <col min="6673" max="6673" width="12.28515625" style="2" customWidth="1"/>
    <col min="6674" max="6674" width="12.42578125" style="2" customWidth="1"/>
    <col min="6675" max="6675" width="12.140625" style="2" customWidth="1"/>
    <col min="6676" max="6676" width="13.85546875" style="2" customWidth="1"/>
    <col min="6677" max="6677" width="10.5703125" style="2" customWidth="1"/>
    <col min="6678" max="6678" width="12.7109375" style="2" customWidth="1"/>
    <col min="6679" max="6679" width="10.7109375" style="2" customWidth="1"/>
    <col min="6680" max="6680" width="10.140625" style="2" customWidth="1"/>
    <col min="6681" max="6681" width="18.28515625" style="2" customWidth="1"/>
    <col min="6682" max="6924" width="10.28515625" style="2"/>
    <col min="6925" max="6925" width="15.140625" style="2" customWidth="1"/>
    <col min="6926" max="6926" width="9" style="2" customWidth="1"/>
    <col min="6927" max="6927" width="13.28515625" style="2" customWidth="1"/>
    <col min="6928" max="6928" width="15.7109375" style="2" customWidth="1"/>
    <col min="6929" max="6929" width="12.28515625" style="2" customWidth="1"/>
    <col min="6930" max="6930" width="12.42578125" style="2" customWidth="1"/>
    <col min="6931" max="6931" width="12.140625" style="2" customWidth="1"/>
    <col min="6932" max="6932" width="13.85546875" style="2" customWidth="1"/>
    <col min="6933" max="6933" width="10.5703125" style="2" customWidth="1"/>
    <col min="6934" max="6934" width="12.7109375" style="2" customWidth="1"/>
    <col min="6935" max="6935" width="10.7109375" style="2" customWidth="1"/>
    <col min="6936" max="6936" width="10.140625" style="2" customWidth="1"/>
    <col min="6937" max="6937" width="18.28515625" style="2" customWidth="1"/>
    <col min="6938" max="7180" width="10.28515625" style="2"/>
    <col min="7181" max="7181" width="15.140625" style="2" customWidth="1"/>
    <col min="7182" max="7182" width="9" style="2" customWidth="1"/>
    <col min="7183" max="7183" width="13.28515625" style="2" customWidth="1"/>
    <col min="7184" max="7184" width="15.7109375" style="2" customWidth="1"/>
    <col min="7185" max="7185" width="12.28515625" style="2" customWidth="1"/>
    <col min="7186" max="7186" width="12.42578125" style="2" customWidth="1"/>
    <col min="7187" max="7187" width="12.140625" style="2" customWidth="1"/>
    <col min="7188" max="7188" width="13.85546875" style="2" customWidth="1"/>
    <col min="7189" max="7189" width="10.5703125" style="2" customWidth="1"/>
    <col min="7190" max="7190" width="12.7109375" style="2" customWidth="1"/>
    <col min="7191" max="7191" width="10.7109375" style="2" customWidth="1"/>
    <col min="7192" max="7192" width="10.140625" style="2" customWidth="1"/>
    <col min="7193" max="7193" width="18.28515625" style="2" customWidth="1"/>
    <col min="7194" max="7436" width="10.28515625" style="2"/>
    <col min="7437" max="7437" width="15.140625" style="2" customWidth="1"/>
    <col min="7438" max="7438" width="9" style="2" customWidth="1"/>
    <col min="7439" max="7439" width="13.28515625" style="2" customWidth="1"/>
    <col min="7440" max="7440" width="15.7109375" style="2" customWidth="1"/>
    <col min="7441" max="7441" width="12.28515625" style="2" customWidth="1"/>
    <col min="7442" max="7442" width="12.42578125" style="2" customWidth="1"/>
    <col min="7443" max="7443" width="12.140625" style="2" customWidth="1"/>
    <col min="7444" max="7444" width="13.85546875" style="2" customWidth="1"/>
    <col min="7445" max="7445" width="10.5703125" style="2" customWidth="1"/>
    <col min="7446" max="7446" width="12.7109375" style="2" customWidth="1"/>
    <col min="7447" max="7447" width="10.7109375" style="2" customWidth="1"/>
    <col min="7448" max="7448" width="10.140625" style="2" customWidth="1"/>
    <col min="7449" max="7449" width="18.28515625" style="2" customWidth="1"/>
    <col min="7450" max="7692" width="10.28515625" style="2"/>
    <col min="7693" max="7693" width="15.140625" style="2" customWidth="1"/>
    <col min="7694" max="7694" width="9" style="2" customWidth="1"/>
    <col min="7695" max="7695" width="13.28515625" style="2" customWidth="1"/>
    <col min="7696" max="7696" width="15.7109375" style="2" customWidth="1"/>
    <col min="7697" max="7697" width="12.28515625" style="2" customWidth="1"/>
    <col min="7698" max="7698" width="12.42578125" style="2" customWidth="1"/>
    <col min="7699" max="7699" width="12.140625" style="2" customWidth="1"/>
    <col min="7700" max="7700" width="13.85546875" style="2" customWidth="1"/>
    <col min="7701" max="7701" width="10.5703125" style="2" customWidth="1"/>
    <col min="7702" max="7702" width="12.7109375" style="2" customWidth="1"/>
    <col min="7703" max="7703" width="10.7109375" style="2" customWidth="1"/>
    <col min="7704" max="7704" width="10.140625" style="2" customWidth="1"/>
    <col min="7705" max="7705" width="18.28515625" style="2" customWidth="1"/>
    <col min="7706" max="7948" width="10.28515625" style="2"/>
    <col min="7949" max="7949" width="15.140625" style="2" customWidth="1"/>
    <col min="7950" max="7950" width="9" style="2" customWidth="1"/>
    <col min="7951" max="7951" width="13.28515625" style="2" customWidth="1"/>
    <col min="7952" max="7952" width="15.7109375" style="2" customWidth="1"/>
    <col min="7953" max="7953" width="12.28515625" style="2" customWidth="1"/>
    <col min="7954" max="7954" width="12.42578125" style="2" customWidth="1"/>
    <col min="7955" max="7955" width="12.140625" style="2" customWidth="1"/>
    <col min="7956" max="7956" width="13.85546875" style="2" customWidth="1"/>
    <col min="7957" max="7957" width="10.5703125" style="2" customWidth="1"/>
    <col min="7958" max="7958" width="12.7109375" style="2" customWidth="1"/>
    <col min="7959" max="7959" width="10.7109375" style="2" customWidth="1"/>
    <col min="7960" max="7960" width="10.140625" style="2" customWidth="1"/>
    <col min="7961" max="7961" width="18.28515625" style="2" customWidth="1"/>
    <col min="7962" max="8204" width="10.28515625" style="2"/>
    <col min="8205" max="8205" width="15.140625" style="2" customWidth="1"/>
    <col min="8206" max="8206" width="9" style="2" customWidth="1"/>
    <col min="8207" max="8207" width="13.28515625" style="2" customWidth="1"/>
    <col min="8208" max="8208" width="15.7109375" style="2" customWidth="1"/>
    <col min="8209" max="8209" width="12.28515625" style="2" customWidth="1"/>
    <col min="8210" max="8210" width="12.42578125" style="2" customWidth="1"/>
    <col min="8211" max="8211" width="12.140625" style="2" customWidth="1"/>
    <col min="8212" max="8212" width="13.85546875" style="2" customWidth="1"/>
    <col min="8213" max="8213" width="10.5703125" style="2" customWidth="1"/>
    <col min="8214" max="8214" width="12.7109375" style="2" customWidth="1"/>
    <col min="8215" max="8215" width="10.7109375" style="2" customWidth="1"/>
    <col min="8216" max="8216" width="10.140625" style="2" customWidth="1"/>
    <col min="8217" max="8217" width="18.28515625" style="2" customWidth="1"/>
    <col min="8218" max="8460" width="10.28515625" style="2"/>
    <col min="8461" max="8461" width="15.140625" style="2" customWidth="1"/>
    <col min="8462" max="8462" width="9" style="2" customWidth="1"/>
    <col min="8463" max="8463" width="13.28515625" style="2" customWidth="1"/>
    <col min="8464" max="8464" width="15.7109375" style="2" customWidth="1"/>
    <col min="8465" max="8465" width="12.28515625" style="2" customWidth="1"/>
    <col min="8466" max="8466" width="12.42578125" style="2" customWidth="1"/>
    <col min="8467" max="8467" width="12.140625" style="2" customWidth="1"/>
    <col min="8468" max="8468" width="13.85546875" style="2" customWidth="1"/>
    <col min="8469" max="8469" width="10.5703125" style="2" customWidth="1"/>
    <col min="8470" max="8470" width="12.7109375" style="2" customWidth="1"/>
    <col min="8471" max="8471" width="10.7109375" style="2" customWidth="1"/>
    <col min="8472" max="8472" width="10.140625" style="2" customWidth="1"/>
    <col min="8473" max="8473" width="18.28515625" style="2" customWidth="1"/>
    <col min="8474" max="8716" width="10.28515625" style="2"/>
    <col min="8717" max="8717" width="15.140625" style="2" customWidth="1"/>
    <col min="8718" max="8718" width="9" style="2" customWidth="1"/>
    <col min="8719" max="8719" width="13.28515625" style="2" customWidth="1"/>
    <col min="8720" max="8720" width="15.7109375" style="2" customWidth="1"/>
    <col min="8721" max="8721" width="12.28515625" style="2" customWidth="1"/>
    <col min="8722" max="8722" width="12.42578125" style="2" customWidth="1"/>
    <col min="8723" max="8723" width="12.140625" style="2" customWidth="1"/>
    <col min="8724" max="8724" width="13.85546875" style="2" customWidth="1"/>
    <col min="8725" max="8725" width="10.5703125" style="2" customWidth="1"/>
    <col min="8726" max="8726" width="12.7109375" style="2" customWidth="1"/>
    <col min="8727" max="8727" width="10.7109375" style="2" customWidth="1"/>
    <col min="8728" max="8728" width="10.140625" style="2" customWidth="1"/>
    <col min="8729" max="8729" width="18.28515625" style="2" customWidth="1"/>
    <col min="8730" max="8972" width="10.28515625" style="2"/>
    <col min="8973" max="8973" width="15.140625" style="2" customWidth="1"/>
    <col min="8974" max="8974" width="9" style="2" customWidth="1"/>
    <col min="8975" max="8975" width="13.28515625" style="2" customWidth="1"/>
    <col min="8976" max="8976" width="15.7109375" style="2" customWidth="1"/>
    <col min="8977" max="8977" width="12.28515625" style="2" customWidth="1"/>
    <col min="8978" max="8978" width="12.42578125" style="2" customWidth="1"/>
    <col min="8979" max="8979" width="12.140625" style="2" customWidth="1"/>
    <col min="8980" max="8980" width="13.85546875" style="2" customWidth="1"/>
    <col min="8981" max="8981" width="10.5703125" style="2" customWidth="1"/>
    <col min="8982" max="8982" width="12.7109375" style="2" customWidth="1"/>
    <col min="8983" max="8983" width="10.7109375" style="2" customWidth="1"/>
    <col min="8984" max="8984" width="10.140625" style="2" customWidth="1"/>
    <col min="8985" max="8985" width="18.28515625" style="2" customWidth="1"/>
    <col min="8986" max="9228" width="10.28515625" style="2"/>
    <col min="9229" max="9229" width="15.140625" style="2" customWidth="1"/>
    <col min="9230" max="9230" width="9" style="2" customWidth="1"/>
    <col min="9231" max="9231" width="13.28515625" style="2" customWidth="1"/>
    <col min="9232" max="9232" width="15.7109375" style="2" customWidth="1"/>
    <col min="9233" max="9233" width="12.28515625" style="2" customWidth="1"/>
    <col min="9234" max="9234" width="12.42578125" style="2" customWidth="1"/>
    <col min="9235" max="9235" width="12.140625" style="2" customWidth="1"/>
    <col min="9236" max="9236" width="13.85546875" style="2" customWidth="1"/>
    <col min="9237" max="9237" width="10.5703125" style="2" customWidth="1"/>
    <col min="9238" max="9238" width="12.7109375" style="2" customWidth="1"/>
    <col min="9239" max="9239" width="10.7109375" style="2" customWidth="1"/>
    <col min="9240" max="9240" width="10.140625" style="2" customWidth="1"/>
    <col min="9241" max="9241" width="18.28515625" style="2" customWidth="1"/>
    <col min="9242" max="9484" width="10.28515625" style="2"/>
    <col min="9485" max="9485" width="15.140625" style="2" customWidth="1"/>
    <col min="9486" max="9486" width="9" style="2" customWidth="1"/>
    <col min="9487" max="9487" width="13.28515625" style="2" customWidth="1"/>
    <col min="9488" max="9488" width="15.7109375" style="2" customWidth="1"/>
    <col min="9489" max="9489" width="12.28515625" style="2" customWidth="1"/>
    <col min="9490" max="9490" width="12.42578125" style="2" customWidth="1"/>
    <col min="9491" max="9491" width="12.140625" style="2" customWidth="1"/>
    <col min="9492" max="9492" width="13.85546875" style="2" customWidth="1"/>
    <col min="9493" max="9493" width="10.5703125" style="2" customWidth="1"/>
    <col min="9494" max="9494" width="12.7109375" style="2" customWidth="1"/>
    <col min="9495" max="9495" width="10.7109375" style="2" customWidth="1"/>
    <col min="9496" max="9496" width="10.140625" style="2" customWidth="1"/>
    <col min="9497" max="9497" width="18.28515625" style="2" customWidth="1"/>
    <col min="9498" max="9740" width="10.28515625" style="2"/>
    <col min="9741" max="9741" width="15.140625" style="2" customWidth="1"/>
    <col min="9742" max="9742" width="9" style="2" customWidth="1"/>
    <col min="9743" max="9743" width="13.28515625" style="2" customWidth="1"/>
    <col min="9744" max="9744" width="15.7109375" style="2" customWidth="1"/>
    <col min="9745" max="9745" width="12.28515625" style="2" customWidth="1"/>
    <col min="9746" max="9746" width="12.42578125" style="2" customWidth="1"/>
    <col min="9747" max="9747" width="12.140625" style="2" customWidth="1"/>
    <col min="9748" max="9748" width="13.85546875" style="2" customWidth="1"/>
    <col min="9749" max="9749" width="10.5703125" style="2" customWidth="1"/>
    <col min="9750" max="9750" width="12.7109375" style="2" customWidth="1"/>
    <col min="9751" max="9751" width="10.7109375" style="2" customWidth="1"/>
    <col min="9752" max="9752" width="10.140625" style="2" customWidth="1"/>
    <col min="9753" max="9753" width="18.28515625" style="2" customWidth="1"/>
    <col min="9754" max="9996" width="10.28515625" style="2"/>
    <col min="9997" max="9997" width="15.140625" style="2" customWidth="1"/>
    <col min="9998" max="9998" width="9" style="2" customWidth="1"/>
    <col min="9999" max="9999" width="13.28515625" style="2" customWidth="1"/>
    <col min="10000" max="10000" width="15.7109375" style="2" customWidth="1"/>
    <col min="10001" max="10001" width="12.28515625" style="2" customWidth="1"/>
    <col min="10002" max="10002" width="12.42578125" style="2" customWidth="1"/>
    <col min="10003" max="10003" width="12.140625" style="2" customWidth="1"/>
    <col min="10004" max="10004" width="13.85546875" style="2" customWidth="1"/>
    <col min="10005" max="10005" width="10.5703125" style="2" customWidth="1"/>
    <col min="10006" max="10006" width="12.7109375" style="2" customWidth="1"/>
    <col min="10007" max="10007" width="10.7109375" style="2" customWidth="1"/>
    <col min="10008" max="10008" width="10.140625" style="2" customWidth="1"/>
    <col min="10009" max="10009" width="18.28515625" style="2" customWidth="1"/>
    <col min="10010" max="10252" width="10.28515625" style="2"/>
    <col min="10253" max="10253" width="15.140625" style="2" customWidth="1"/>
    <col min="10254" max="10254" width="9" style="2" customWidth="1"/>
    <col min="10255" max="10255" width="13.28515625" style="2" customWidth="1"/>
    <col min="10256" max="10256" width="15.7109375" style="2" customWidth="1"/>
    <col min="10257" max="10257" width="12.28515625" style="2" customWidth="1"/>
    <col min="10258" max="10258" width="12.42578125" style="2" customWidth="1"/>
    <col min="10259" max="10259" width="12.140625" style="2" customWidth="1"/>
    <col min="10260" max="10260" width="13.85546875" style="2" customWidth="1"/>
    <col min="10261" max="10261" width="10.5703125" style="2" customWidth="1"/>
    <col min="10262" max="10262" width="12.7109375" style="2" customWidth="1"/>
    <col min="10263" max="10263" width="10.7109375" style="2" customWidth="1"/>
    <col min="10264" max="10264" width="10.140625" style="2" customWidth="1"/>
    <col min="10265" max="10265" width="18.28515625" style="2" customWidth="1"/>
    <col min="10266" max="10508" width="10.28515625" style="2"/>
    <col min="10509" max="10509" width="15.140625" style="2" customWidth="1"/>
    <col min="10510" max="10510" width="9" style="2" customWidth="1"/>
    <col min="10511" max="10511" width="13.28515625" style="2" customWidth="1"/>
    <col min="10512" max="10512" width="15.7109375" style="2" customWidth="1"/>
    <col min="10513" max="10513" width="12.28515625" style="2" customWidth="1"/>
    <col min="10514" max="10514" width="12.42578125" style="2" customWidth="1"/>
    <col min="10515" max="10515" width="12.140625" style="2" customWidth="1"/>
    <col min="10516" max="10516" width="13.85546875" style="2" customWidth="1"/>
    <col min="10517" max="10517" width="10.5703125" style="2" customWidth="1"/>
    <col min="10518" max="10518" width="12.7109375" style="2" customWidth="1"/>
    <col min="10519" max="10519" width="10.7109375" style="2" customWidth="1"/>
    <col min="10520" max="10520" width="10.140625" style="2" customWidth="1"/>
    <col min="10521" max="10521" width="18.28515625" style="2" customWidth="1"/>
    <col min="10522" max="10764" width="10.28515625" style="2"/>
    <col min="10765" max="10765" width="15.140625" style="2" customWidth="1"/>
    <col min="10766" max="10766" width="9" style="2" customWidth="1"/>
    <col min="10767" max="10767" width="13.28515625" style="2" customWidth="1"/>
    <col min="10768" max="10768" width="15.7109375" style="2" customWidth="1"/>
    <col min="10769" max="10769" width="12.28515625" style="2" customWidth="1"/>
    <col min="10770" max="10770" width="12.42578125" style="2" customWidth="1"/>
    <col min="10771" max="10771" width="12.140625" style="2" customWidth="1"/>
    <col min="10772" max="10772" width="13.85546875" style="2" customWidth="1"/>
    <col min="10773" max="10773" width="10.5703125" style="2" customWidth="1"/>
    <col min="10774" max="10774" width="12.7109375" style="2" customWidth="1"/>
    <col min="10775" max="10775" width="10.7109375" style="2" customWidth="1"/>
    <col min="10776" max="10776" width="10.140625" style="2" customWidth="1"/>
    <col min="10777" max="10777" width="18.28515625" style="2" customWidth="1"/>
    <col min="10778" max="11020" width="10.28515625" style="2"/>
    <col min="11021" max="11021" width="15.140625" style="2" customWidth="1"/>
    <col min="11022" max="11022" width="9" style="2" customWidth="1"/>
    <col min="11023" max="11023" width="13.28515625" style="2" customWidth="1"/>
    <col min="11024" max="11024" width="15.7109375" style="2" customWidth="1"/>
    <col min="11025" max="11025" width="12.28515625" style="2" customWidth="1"/>
    <col min="11026" max="11026" width="12.42578125" style="2" customWidth="1"/>
    <col min="11027" max="11027" width="12.140625" style="2" customWidth="1"/>
    <col min="11028" max="11028" width="13.85546875" style="2" customWidth="1"/>
    <col min="11029" max="11029" width="10.5703125" style="2" customWidth="1"/>
    <col min="11030" max="11030" width="12.7109375" style="2" customWidth="1"/>
    <col min="11031" max="11031" width="10.7109375" style="2" customWidth="1"/>
    <col min="11032" max="11032" width="10.140625" style="2" customWidth="1"/>
    <col min="11033" max="11033" width="18.28515625" style="2" customWidth="1"/>
    <col min="11034" max="11276" width="10.28515625" style="2"/>
    <col min="11277" max="11277" width="15.140625" style="2" customWidth="1"/>
    <col min="11278" max="11278" width="9" style="2" customWidth="1"/>
    <col min="11279" max="11279" width="13.28515625" style="2" customWidth="1"/>
    <col min="11280" max="11280" width="15.7109375" style="2" customWidth="1"/>
    <col min="11281" max="11281" width="12.28515625" style="2" customWidth="1"/>
    <col min="11282" max="11282" width="12.42578125" style="2" customWidth="1"/>
    <col min="11283" max="11283" width="12.140625" style="2" customWidth="1"/>
    <col min="11284" max="11284" width="13.85546875" style="2" customWidth="1"/>
    <col min="11285" max="11285" width="10.5703125" style="2" customWidth="1"/>
    <col min="11286" max="11286" width="12.7109375" style="2" customWidth="1"/>
    <col min="11287" max="11287" width="10.7109375" style="2" customWidth="1"/>
    <col min="11288" max="11288" width="10.140625" style="2" customWidth="1"/>
    <col min="11289" max="11289" width="18.28515625" style="2" customWidth="1"/>
    <col min="11290" max="11532" width="10.28515625" style="2"/>
    <col min="11533" max="11533" width="15.140625" style="2" customWidth="1"/>
    <col min="11534" max="11534" width="9" style="2" customWidth="1"/>
    <col min="11535" max="11535" width="13.28515625" style="2" customWidth="1"/>
    <col min="11536" max="11536" width="15.7109375" style="2" customWidth="1"/>
    <col min="11537" max="11537" width="12.28515625" style="2" customWidth="1"/>
    <col min="11538" max="11538" width="12.42578125" style="2" customWidth="1"/>
    <col min="11539" max="11539" width="12.140625" style="2" customWidth="1"/>
    <col min="11540" max="11540" width="13.85546875" style="2" customWidth="1"/>
    <col min="11541" max="11541" width="10.5703125" style="2" customWidth="1"/>
    <col min="11542" max="11542" width="12.7109375" style="2" customWidth="1"/>
    <col min="11543" max="11543" width="10.7109375" style="2" customWidth="1"/>
    <col min="11544" max="11544" width="10.140625" style="2" customWidth="1"/>
    <col min="11545" max="11545" width="18.28515625" style="2" customWidth="1"/>
    <col min="11546" max="11788" width="10.28515625" style="2"/>
    <col min="11789" max="11789" width="15.140625" style="2" customWidth="1"/>
    <col min="11790" max="11790" width="9" style="2" customWidth="1"/>
    <col min="11791" max="11791" width="13.28515625" style="2" customWidth="1"/>
    <col min="11792" max="11792" width="15.7109375" style="2" customWidth="1"/>
    <col min="11793" max="11793" width="12.28515625" style="2" customWidth="1"/>
    <col min="11794" max="11794" width="12.42578125" style="2" customWidth="1"/>
    <col min="11795" max="11795" width="12.140625" style="2" customWidth="1"/>
    <col min="11796" max="11796" width="13.85546875" style="2" customWidth="1"/>
    <col min="11797" max="11797" width="10.5703125" style="2" customWidth="1"/>
    <col min="11798" max="11798" width="12.7109375" style="2" customWidth="1"/>
    <col min="11799" max="11799" width="10.7109375" style="2" customWidth="1"/>
    <col min="11800" max="11800" width="10.140625" style="2" customWidth="1"/>
    <col min="11801" max="11801" width="18.28515625" style="2" customWidth="1"/>
    <col min="11802" max="12044" width="10.28515625" style="2"/>
    <col min="12045" max="12045" width="15.140625" style="2" customWidth="1"/>
    <col min="12046" max="12046" width="9" style="2" customWidth="1"/>
    <col min="12047" max="12047" width="13.28515625" style="2" customWidth="1"/>
    <col min="12048" max="12048" width="15.7109375" style="2" customWidth="1"/>
    <col min="12049" max="12049" width="12.28515625" style="2" customWidth="1"/>
    <col min="12050" max="12050" width="12.42578125" style="2" customWidth="1"/>
    <col min="12051" max="12051" width="12.140625" style="2" customWidth="1"/>
    <col min="12052" max="12052" width="13.85546875" style="2" customWidth="1"/>
    <col min="12053" max="12053" width="10.5703125" style="2" customWidth="1"/>
    <col min="12054" max="12054" width="12.7109375" style="2" customWidth="1"/>
    <col min="12055" max="12055" width="10.7109375" style="2" customWidth="1"/>
    <col min="12056" max="12056" width="10.140625" style="2" customWidth="1"/>
    <col min="12057" max="12057" width="18.28515625" style="2" customWidth="1"/>
    <col min="12058" max="12300" width="10.28515625" style="2"/>
    <col min="12301" max="12301" width="15.140625" style="2" customWidth="1"/>
    <col min="12302" max="12302" width="9" style="2" customWidth="1"/>
    <col min="12303" max="12303" width="13.28515625" style="2" customWidth="1"/>
    <col min="12304" max="12304" width="15.7109375" style="2" customWidth="1"/>
    <col min="12305" max="12305" width="12.28515625" style="2" customWidth="1"/>
    <col min="12306" max="12306" width="12.42578125" style="2" customWidth="1"/>
    <col min="12307" max="12307" width="12.140625" style="2" customWidth="1"/>
    <col min="12308" max="12308" width="13.85546875" style="2" customWidth="1"/>
    <col min="12309" max="12309" width="10.5703125" style="2" customWidth="1"/>
    <col min="12310" max="12310" width="12.7109375" style="2" customWidth="1"/>
    <col min="12311" max="12311" width="10.7109375" style="2" customWidth="1"/>
    <col min="12312" max="12312" width="10.140625" style="2" customWidth="1"/>
    <col min="12313" max="12313" width="18.28515625" style="2" customWidth="1"/>
    <col min="12314" max="12556" width="10.28515625" style="2"/>
    <col min="12557" max="12557" width="15.140625" style="2" customWidth="1"/>
    <col min="12558" max="12558" width="9" style="2" customWidth="1"/>
    <col min="12559" max="12559" width="13.28515625" style="2" customWidth="1"/>
    <col min="12560" max="12560" width="15.7109375" style="2" customWidth="1"/>
    <col min="12561" max="12561" width="12.28515625" style="2" customWidth="1"/>
    <col min="12562" max="12562" width="12.42578125" style="2" customWidth="1"/>
    <col min="12563" max="12563" width="12.140625" style="2" customWidth="1"/>
    <col min="12564" max="12564" width="13.85546875" style="2" customWidth="1"/>
    <col min="12565" max="12565" width="10.5703125" style="2" customWidth="1"/>
    <col min="12566" max="12566" width="12.7109375" style="2" customWidth="1"/>
    <col min="12567" max="12567" width="10.7109375" style="2" customWidth="1"/>
    <col min="12568" max="12568" width="10.140625" style="2" customWidth="1"/>
    <col min="12569" max="12569" width="18.28515625" style="2" customWidth="1"/>
    <col min="12570" max="12812" width="10.28515625" style="2"/>
    <col min="12813" max="12813" width="15.140625" style="2" customWidth="1"/>
    <col min="12814" max="12814" width="9" style="2" customWidth="1"/>
    <col min="12815" max="12815" width="13.28515625" style="2" customWidth="1"/>
    <col min="12816" max="12816" width="15.7109375" style="2" customWidth="1"/>
    <col min="12817" max="12817" width="12.28515625" style="2" customWidth="1"/>
    <col min="12818" max="12818" width="12.42578125" style="2" customWidth="1"/>
    <col min="12819" max="12819" width="12.140625" style="2" customWidth="1"/>
    <col min="12820" max="12820" width="13.85546875" style="2" customWidth="1"/>
    <col min="12821" max="12821" width="10.5703125" style="2" customWidth="1"/>
    <col min="12822" max="12822" width="12.7109375" style="2" customWidth="1"/>
    <col min="12823" max="12823" width="10.7109375" style="2" customWidth="1"/>
    <col min="12824" max="12824" width="10.140625" style="2" customWidth="1"/>
    <col min="12825" max="12825" width="18.28515625" style="2" customWidth="1"/>
    <col min="12826" max="13068" width="10.28515625" style="2"/>
    <col min="13069" max="13069" width="15.140625" style="2" customWidth="1"/>
    <col min="13070" max="13070" width="9" style="2" customWidth="1"/>
    <col min="13071" max="13071" width="13.28515625" style="2" customWidth="1"/>
    <col min="13072" max="13072" width="15.7109375" style="2" customWidth="1"/>
    <col min="13073" max="13073" width="12.28515625" style="2" customWidth="1"/>
    <col min="13074" max="13074" width="12.42578125" style="2" customWidth="1"/>
    <col min="13075" max="13075" width="12.140625" style="2" customWidth="1"/>
    <col min="13076" max="13076" width="13.85546875" style="2" customWidth="1"/>
    <col min="13077" max="13077" width="10.5703125" style="2" customWidth="1"/>
    <col min="13078" max="13078" width="12.7109375" style="2" customWidth="1"/>
    <col min="13079" max="13079" width="10.7109375" style="2" customWidth="1"/>
    <col min="13080" max="13080" width="10.140625" style="2" customWidth="1"/>
    <col min="13081" max="13081" width="18.28515625" style="2" customWidth="1"/>
    <col min="13082" max="13324" width="10.28515625" style="2"/>
    <col min="13325" max="13325" width="15.140625" style="2" customWidth="1"/>
    <col min="13326" max="13326" width="9" style="2" customWidth="1"/>
    <col min="13327" max="13327" width="13.28515625" style="2" customWidth="1"/>
    <col min="13328" max="13328" width="15.7109375" style="2" customWidth="1"/>
    <col min="13329" max="13329" width="12.28515625" style="2" customWidth="1"/>
    <col min="13330" max="13330" width="12.42578125" style="2" customWidth="1"/>
    <col min="13331" max="13331" width="12.140625" style="2" customWidth="1"/>
    <col min="13332" max="13332" width="13.85546875" style="2" customWidth="1"/>
    <col min="13333" max="13333" width="10.5703125" style="2" customWidth="1"/>
    <col min="13334" max="13334" width="12.7109375" style="2" customWidth="1"/>
    <col min="13335" max="13335" width="10.7109375" style="2" customWidth="1"/>
    <col min="13336" max="13336" width="10.140625" style="2" customWidth="1"/>
    <col min="13337" max="13337" width="18.28515625" style="2" customWidth="1"/>
    <col min="13338" max="13580" width="10.28515625" style="2"/>
    <col min="13581" max="13581" width="15.140625" style="2" customWidth="1"/>
    <col min="13582" max="13582" width="9" style="2" customWidth="1"/>
    <col min="13583" max="13583" width="13.28515625" style="2" customWidth="1"/>
    <col min="13584" max="13584" width="15.7109375" style="2" customWidth="1"/>
    <col min="13585" max="13585" width="12.28515625" style="2" customWidth="1"/>
    <col min="13586" max="13586" width="12.42578125" style="2" customWidth="1"/>
    <col min="13587" max="13587" width="12.140625" style="2" customWidth="1"/>
    <col min="13588" max="13588" width="13.85546875" style="2" customWidth="1"/>
    <col min="13589" max="13589" width="10.5703125" style="2" customWidth="1"/>
    <col min="13590" max="13590" width="12.7109375" style="2" customWidth="1"/>
    <col min="13591" max="13591" width="10.7109375" style="2" customWidth="1"/>
    <col min="13592" max="13592" width="10.140625" style="2" customWidth="1"/>
    <col min="13593" max="13593" width="18.28515625" style="2" customWidth="1"/>
    <col min="13594" max="13836" width="10.28515625" style="2"/>
    <col min="13837" max="13837" width="15.140625" style="2" customWidth="1"/>
    <col min="13838" max="13838" width="9" style="2" customWidth="1"/>
    <col min="13839" max="13839" width="13.28515625" style="2" customWidth="1"/>
    <col min="13840" max="13840" width="15.7109375" style="2" customWidth="1"/>
    <col min="13841" max="13841" width="12.28515625" style="2" customWidth="1"/>
    <col min="13842" max="13842" width="12.42578125" style="2" customWidth="1"/>
    <col min="13843" max="13843" width="12.140625" style="2" customWidth="1"/>
    <col min="13844" max="13844" width="13.85546875" style="2" customWidth="1"/>
    <col min="13845" max="13845" width="10.5703125" style="2" customWidth="1"/>
    <col min="13846" max="13846" width="12.7109375" style="2" customWidth="1"/>
    <col min="13847" max="13847" width="10.7109375" style="2" customWidth="1"/>
    <col min="13848" max="13848" width="10.140625" style="2" customWidth="1"/>
    <col min="13849" max="13849" width="18.28515625" style="2" customWidth="1"/>
    <col min="13850" max="14092" width="10.28515625" style="2"/>
    <col min="14093" max="14093" width="15.140625" style="2" customWidth="1"/>
    <col min="14094" max="14094" width="9" style="2" customWidth="1"/>
    <col min="14095" max="14095" width="13.28515625" style="2" customWidth="1"/>
    <col min="14096" max="14096" width="15.7109375" style="2" customWidth="1"/>
    <col min="14097" max="14097" width="12.28515625" style="2" customWidth="1"/>
    <col min="14098" max="14098" width="12.42578125" style="2" customWidth="1"/>
    <col min="14099" max="14099" width="12.140625" style="2" customWidth="1"/>
    <col min="14100" max="14100" width="13.85546875" style="2" customWidth="1"/>
    <col min="14101" max="14101" width="10.5703125" style="2" customWidth="1"/>
    <col min="14102" max="14102" width="12.7109375" style="2" customWidth="1"/>
    <col min="14103" max="14103" width="10.7109375" style="2" customWidth="1"/>
    <col min="14104" max="14104" width="10.140625" style="2" customWidth="1"/>
    <col min="14105" max="14105" width="18.28515625" style="2" customWidth="1"/>
    <col min="14106" max="14348" width="10.28515625" style="2"/>
    <col min="14349" max="14349" width="15.140625" style="2" customWidth="1"/>
    <col min="14350" max="14350" width="9" style="2" customWidth="1"/>
    <col min="14351" max="14351" width="13.28515625" style="2" customWidth="1"/>
    <col min="14352" max="14352" width="15.7109375" style="2" customWidth="1"/>
    <col min="14353" max="14353" width="12.28515625" style="2" customWidth="1"/>
    <col min="14354" max="14354" width="12.42578125" style="2" customWidth="1"/>
    <col min="14355" max="14355" width="12.140625" style="2" customWidth="1"/>
    <col min="14356" max="14356" width="13.85546875" style="2" customWidth="1"/>
    <col min="14357" max="14357" width="10.5703125" style="2" customWidth="1"/>
    <col min="14358" max="14358" width="12.7109375" style="2" customWidth="1"/>
    <col min="14359" max="14359" width="10.7109375" style="2" customWidth="1"/>
    <col min="14360" max="14360" width="10.140625" style="2" customWidth="1"/>
    <col min="14361" max="14361" width="18.28515625" style="2" customWidth="1"/>
    <col min="14362" max="14604" width="10.28515625" style="2"/>
    <col min="14605" max="14605" width="15.140625" style="2" customWidth="1"/>
    <col min="14606" max="14606" width="9" style="2" customWidth="1"/>
    <col min="14607" max="14607" width="13.28515625" style="2" customWidth="1"/>
    <col min="14608" max="14608" width="15.7109375" style="2" customWidth="1"/>
    <col min="14609" max="14609" width="12.28515625" style="2" customWidth="1"/>
    <col min="14610" max="14610" width="12.42578125" style="2" customWidth="1"/>
    <col min="14611" max="14611" width="12.140625" style="2" customWidth="1"/>
    <col min="14612" max="14612" width="13.85546875" style="2" customWidth="1"/>
    <col min="14613" max="14613" width="10.5703125" style="2" customWidth="1"/>
    <col min="14614" max="14614" width="12.7109375" style="2" customWidth="1"/>
    <col min="14615" max="14615" width="10.7109375" style="2" customWidth="1"/>
    <col min="14616" max="14616" width="10.140625" style="2" customWidth="1"/>
    <col min="14617" max="14617" width="18.28515625" style="2" customWidth="1"/>
    <col min="14618" max="14860" width="10.28515625" style="2"/>
    <col min="14861" max="14861" width="15.140625" style="2" customWidth="1"/>
    <col min="14862" max="14862" width="9" style="2" customWidth="1"/>
    <col min="14863" max="14863" width="13.28515625" style="2" customWidth="1"/>
    <col min="14864" max="14864" width="15.7109375" style="2" customWidth="1"/>
    <col min="14865" max="14865" width="12.28515625" style="2" customWidth="1"/>
    <col min="14866" max="14866" width="12.42578125" style="2" customWidth="1"/>
    <col min="14867" max="14867" width="12.140625" style="2" customWidth="1"/>
    <col min="14868" max="14868" width="13.85546875" style="2" customWidth="1"/>
    <col min="14869" max="14869" width="10.5703125" style="2" customWidth="1"/>
    <col min="14870" max="14870" width="12.7109375" style="2" customWidth="1"/>
    <col min="14871" max="14871" width="10.7109375" style="2" customWidth="1"/>
    <col min="14872" max="14872" width="10.140625" style="2" customWidth="1"/>
    <col min="14873" max="14873" width="18.28515625" style="2" customWidth="1"/>
    <col min="14874" max="15116" width="10.28515625" style="2"/>
    <col min="15117" max="15117" width="15.140625" style="2" customWidth="1"/>
    <col min="15118" max="15118" width="9" style="2" customWidth="1"/>
    <col min="15119" max="15119" width="13.28515625" style="2" customWidth="1"/>
    <col min="15120" max="15120" width="15.7109375" style="2" customWidth="1"/>
    <col min="15121" max="15121" width="12.28515625" style="2" customWidth="1"/>
    <col min="15122" max="15122" width="12.42578125" style="2" customWidth="1"/>
    <col min="15123" max="15123" width="12.140625" style="2" customWidth="1"/>
    <col min="15124" max="15124" width="13.85546875" style="2" customWidth="1"/>
    <col min="15125" max="15125" width="10.5703125" style="2" customWidth="1"/>
    <col min="15126" max="15126" width="12.7109375" style="2" customWidth="1"/>
    <col min="15127" max="15127" width="10.7109375" style="2" customWidth="1"/>
    <col min="15128" max="15128" width="10.140625" style="2" customWidth="1"/>
    <col min="15129" max="15129" width="18.28515625" style="2" customWidth="1"/>
    <col min="15130" max="15372" width="10.28515625" style="2"/>
    <col min="15373" max="15373" width="15.140625" style="2" customWidth="1"/>
    <col min="15374" max="15374" width="9" style="2" customWidth="1"/>
    <col min="15375" max="15375" width="13.28515625" style="2" customWidth="1"/>
    <col min="15376" max="15376" width="15.7109375" style="2" customWidth="1"/>
    <col min="15377" max="15377" width="12.28515625" style="2" customWidth="1"/>
    <col min="15378" max="15378" width="12.42578125" style="2" customWidth="1"/>
    <col min="15379" max="15379" width="12.140625" style="2" customWidth="1"/>
    <col min="15380" max="15380" width="13.85546875" style="2" customWidth="1"/>
    <col min="15381" max="15381" width="10.5703125" style="2" customWidth="1"/>
    <col min="15382" max="15382" width="12.7109375" style="2" customWidth="1"/>
    <col min="15383" max="15383" width="10.7109375" style="2" customWidth="1"/>
    <col min="15384" max="15384" width="10.140625" style="2" customWidth="1"/>
    <col min="15385" max="15385" width="18.28515625" style="2" customWidth="1"/>
    <col min="15386" max="15628" width="10.28515625" style="2"/>
    <col min="15629" max="15629" width="15.140625" style="2" customWidth="1"/>
    <col min="15630" max="15630" width="9" style="2" customWidth="1"/>
    <col min="15631" max="15631" width="13.28515625" style="2" customWidth="1"/>
    <col min="15632" max="15632" width="15.7109375" style="2" customWidth="1"/>
    <col min="15633" max="15633" width="12.28515625" style="2" customWidth="1"/>
    <col min="15634" max="15634" width="12.42578125" style="2" customWidth="1"/>
    <col min="15635" max="15635" width="12.140625" style="2" customWidth="1"/>
    <col min="15636" max="15636" width="13.85546875" style="2" customWidth="1"/>
    <col min="15637" max="15637" width="10.5703125" style="2" customWidth="1"/>
    <col min="15638" max="15638" width="12.7109375" style="2" customWidth="1"/>
    <col min="15639" max="15639" width="10.7109375" style="2" customWidth="1"/>
    <col min="15640" max="15640" width="10.140625" style="2" customWidth="1"/>
    <col min="15641" max="15641" width="18.28515625" style="2" customWidth="1"/>
    <col min="15642" max="15884" width="10.28515625" style="2"/>
    <col min="15885" max="15885" width="15.140625" style="2" customWidth="1"/>
    <col min="15886" max="15886" width="9" style="2" customWidth="1"/>
    <col min="15887" max="15887" width="13.28515625" style="2" customWidth="1"/>
    <col min="15888" max="15888" width="15.7109375" style="2" customWidth="1"/>
    <col min="15889" max="15889" width="12.28515625" style="2" customWidth="1"/>
    <col min="15890" max="15890" width="12.42578125" style="2" customWidth="1"/>
    <col min="15891" max="15891" width="12.140625" style="2" customWidth="1"/>
    <col min="15892" max="15892" width="13.85546875" style="2" customWidth="1"/>
    <col min="15893" max="15893" width="10.5703125" style="2" customWidth="1"/>
    <col min="15894" max="15894" width="12.7109375" style="2" customWidth="1"/>
    <col min="15895" max="15895" width="10.7109375" style="2" customWidth="1"/>
    <col min="15896" max="15896" width="10.140625" style="2" customWidth="1"/>
    <col min="15897" max="15897" width="18.28515625" style="2" customWidth="1"/>
    <col min="15898" max="16140" width="10.28515625" style="2"/>
    <col min="16141" max="16141" width="15.140625" style="2" customWidth="1"/>
    <col min="16142" max="16142" width="9" style="2" customWidth="1"/>
    <col min="16143" max="16143" width="13.28515625" style="2" customWidth="1"/>
    <col min="16144" max="16144" width="15.7109375" style="2" customWidth="1"/>
    <col min="16145" max="16145" width="12.28515625" style="2" customWidth="1"/>
    <col min="16146" max="16146" width="12.42578125" style="2" customWidth="1"/>
    <col min="16147" max="16147" width="12.140625" style="2" customWidth="1"/>
    <col min="16148" max="16148" width="13.85546875" style="2" customWidth="1"/>
    <col min="16149" max="16149" width="10.5703125" style="2" customWidth="1"/>
    <col min="16150" max="16150" width="12.7109375" style="2" customWidth="1"/>
    <col min="16151" max="16151" width="10.7109375" style="2" customWidth="1"/>
    <col min="16152" max="16152" width="10.140625" style="2" customWidth="1"/>
    <col min="16153" max="16153" width="18.28515625" style="2" customWidth="1"/>
    <col min="16154" max="16384" width="10.28515625" style="2"/>
  </cols>
  <sheetData>
    <row r="1" spans="1:28" ht="15.75">
      <c r="B1" s="380" t="s">
        <v>170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</row>
    <row r="2" spans="1:28" ht="15.75">
      <c r="B2" s="380" t="s">
        <v>171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</row>
    <row r="3" spans="1:28" ht="16.5" customHeight="1">
      <c r="B3" s="381" t="s">
        <v>172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1"/>
    </row>
    <row r="4" spans="1:28" ht="15.75">
      <c r="B4" s="380" t="s">
        <v>173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</row>
    <row r="5" spans="1:28" ht="14.25" customHeight="1">
      <c r="A5" s="382" t="s">
        <v>236</v>
      </c>
      <c r="B5" s="382"/>
      <c r="C5" s="383"/>
      <c r="D5" s="383"/>
      <c r="E5" s="384"/>
      <c r="F5" s="384"/>
      <c r="G5" s="384"/>
      <c r="H5" s="384"/>
      <c r="I5" s="384"/>
      <c r="J5" s="384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6" t="s">
        <v>237</v>
      </c>
    </row>
    <row r="6" spans="1:28" s="1" customFormat="1" ht="115.15" customHeight="1">
      <c r="A6" s="387" t="s">
        <v>238</v>
      </c>
      <c r="B6" s="387" t="s">
        <v>239</v>
      </c>
      <c r="C6" s="387" t="s">
        <v>240</v>
      </c>
      <c r="D6" s="387" t="s">
        <v>241</v>
      </c>
      <c r="E6" s="388" t="s">
        <v>242</v>
      </c>
      <c r="F6" s="389"/>
      <c r="G6" s="5" t="s">
        <v>174</v>
      </c>
      <c r="H6" s="390" t="s">
        <v>243</v>
      </c>
      <c r="I6" s="387" t="s">
        <v>244</v>
      </c>
      <c r="J6" s="390" t="s">
        <v>245</v>
      </c>
      <c r="K6" s="387" t="s">
        <v>246</v>
      </c>
      <c r="L6" s="387" t="s">
        <v>247</v>
      </c>
      <c r="M6" s="391" t="s">
        <v>248</v>
      </c>
      <c r="N6" s="6" t="s">
        <v>175</v>
      </c>
      <c r="O6" s="390" t="s">
        <v>249</v>
      </c>
      <c r="P6" s="387" t="s">
        <v>250</v>
      </c>
      <c r="Q6" s="5" t="s">
        <v>176</v>
      </c>
      <c r="R6" s="387" t="s">
        <v>251</v>
      </c>
      <c r="S6" s="5" t="s">
        <v>177</v>
      </c>
      <c r="T6" s="5" t="s">
        <v>178</v>
      </c>
      <c r="U6" s="5" t="s">
        <v>179</v>
      </c>
      <c r="V6" s="6" t="s">
        <v>180</v>
      </c>
      <c r="W6" s="6" t="s">
        <v>181</v>
      </c>
      <c r="X6" s="5" t="s">
        <v>182</v>
      </c>
      <c r="Y6" s="392" t="s">
        <v>183</v>
      </c>
      <c r="Z6" s="387" t="s">
        <v>252</v>
      </c>
    </row>
    <row r="7" spans="1:28" ht="18.75" customHeight="1">
      <c r="A7" s="393"/>
      <c r="B7" s="394"/>
      <c r="C7" s="394"/>
      <c r="D7" s="394"/>
      <c r="E7" s="395"/>
      <c r="F7" s="396"/>
      <c r="G7" s="397"/>
      <c r="H7" s="398"/>
      <c r="I7" s="397"/>
      <c r="J7" s="398"/>
      <c r="K7" s="399"/>
      <c r="L7" s="397"/>
      <c r="M7" s="400" t="str">
        <f t="shared" ref="M7:M70" si="0">IFERROR(IF(J7&lt;&gt;"",J7/H7,""),"input error")</f>
        <v/>
      </c>
      <c r="N7" s="401"/>
      <c r="O7" s="402"/>
      <c r="P7" s="387"/>
      <c r="Q7" s="403"/>
      <c r="R7" s="403"/>
      <c r="S7" s="403"/>
      <c r="T7" s="404"/>
      <c r="U7" s="405"/>
      <c r="V7" s="406"/>
      <c r="W7" s="406"/>
      <c r="X7" s="407"/>
      <c r="Y7" s="408"/>
      <c r="Z7" s="8"/>
    </row>
    <row r="8" spans="1:28" ht="18.75" customHeight="1">
      <c r="A8" s="393">
        <v>45352</v>
      </c>
      <c r="B8" s="394" t="s">
        <v>184</v>
      </c>
      <c r="C8" s="394" t="s">
        <v>253</v>
      </c>
      <c r="D8" s="394"/>
      <c r="E8" s="395">
        <v>0.54</v>
      </c>
      <c r="F8" s="396" t="s">
        <v>185</v>
      </c>
      <c r="G8" s="397">
        <v>1</v>
      </c>
      <c r="H8" s="406">
        <f t="shared" ref="H8:H39" si="1">IFERROR(IF(G8&lt;&gt;"",G8*U8*Y8,""),"input error")</f>
        <v>1247.4405155520001</v>
      </c>
      <c r="I8" s="397"/>
      <c r="J8" s="398">
        <f t="shared" ref="J8:J71" si="2">IFERROR(IF(K8&lt;&gt;"",E8*E8*0.7854*8.9*K8/1000,""),"input error")</f>
        <v>815.5244285496002</v>
      </c>
      <c r="K8" s="399">
        <f>266100+134000</f>
        <v>400100</v>
      </c>
      <c r="L8" s="397">
        <v>0</v>
      </c>
      <c r="M8" s="400">
        <f t="shared" si="0"/>
        <v>0.65375816993464064</v>
      </c>
      <c r="N8" s="401" t="str">
        <f t="shared" ref="N8:N14" si="3">IFERROR(IF(I8&lt;&gt;"",J8/(I8*U8*Y8),""),"input error")</f>
        <v/>
      </c>
      <c r="O8" s="402">
        <f t="shared" ref="O8:O14" si="4">IFERROR(IF(L8&lt;&gt;"",L8/(J8+L8),""),"input error")</f>
        <v>0</v>
      </c>
      <c r="P8" s="387" t="s">
        <v>186</v>
      </c>
      <c r="Q8" s="403">
        <v>2</v>
      </c>
      <c r="R8" s="403">
        <v>7.5</v>
      </c>
      <c r="S8" s="403">
        <v>0</v>
      </c>
      <c r="T8" s="409">
        <f>IFERROR(IF(R8&lt;&gt;"",R8*Q8-S8,""),"input error")</f>
        <v>15</v>
      </c>
      <c r="U8" s="405">
        <f>'[1]伸线工时wire drawing'!H6</f>
        <v>83.162701036800001</v>
      </c>
      <c r="V8" s="406">
        <f t="shared" ref="V8:V14" si="5">IFERROR(IF(U8&lt;&gt;"",1/U8,""),"input error")</f>
        <v>1.2024621465306832E-2</v>
      </c>
      <c r="W8" s="406">
        <f t="shared" ref="W8:W14" si="6">IFERROR(IF(V8&lt;&gt;"",V8*J8,""),"input error")</f>
        <v>9.8063725490196099</v>
      </c>
      <c r="X8" s="410">
        <f>SUM(W8)</f>
        <v>9.8063725490196099</v>
      </c>
      <c r="Y8" s="408">
        <f>IFERROR(IF(W8&lt;&gt;"",T8*W8/X8,""),"input error")</f>
        <v>15</v>
      </c>
      <c r="Z8" s="8"/>
    </row>
    <row r="9" spans="1:28" ht="18.75" customHeight="1">
      <c r="A9" s="393">
        <v>45352</v>
      </c>
      <c r="B9" s="394" t="s">
        <v>187</v>
      </c>
      <c r="C9" s="394" t="s">
        <v>253</v>
      </c>
      <c r="D9" s="394"/>
      <c r="E9" s="395">
        <v>0.08</v>
      </c>
      <c r="F9" s="396" t="s">
        <v>185</v>
      </c>
      <c r="G9" s="397">
        <v>7</v>
      </c>
      <c r="H9" s="406">
        <f t="shared" si="1"/>
        <v>97.285072558796756</v>
      </c>
      <c r="I9" s="397">
        <v>6</v>
      </c>
      <c r="J9" s="398">
        <f t="shared" si="2"/>
        <v>83.746510848</v>
      </c>
      <c r="K9" s="399">
        <f>612200+640700+619100</f>
        <v>1872000</v>
      </c>
      <c r="L9" s="397">
        <v>0</v>
      </c>
      <c r="M9" s="400">
        <f t="shared" si="0"/>
        <v>0.86083618632638248</v>
      </c>
      <c r="N9" s="401">
        <f t="shared" si="3"/>
        <v>1.0043088840474463</v>
      </c>
      <c r="O9" s="402">
        <f t="shared" si="4"/>
        <v>0</v>
      </c>
      <c r="P9" s="387" t="s">
        <v>188</v>
      </c>
      <c r="Q9" s="411">
        <v>3</v>
      </c>
      <c r="R9" s="411">
        <v>7.5</v>
      </c>
      <c r="S9" s="411">
        <v>0</v>
      </c>
      <c r="T9" s="411">
        <f>IFERROR(IF(R9&lt;&gt;"",R9*Q9-S9,""),"input error")</f>
        <v>22.5</v>
      </c>
      <c r="U9" s="405">
        <f>'[1]伸线工时wire drawing'!H11</f>
        <v>3.4223333760000001</v>
      </c>
      <c r="V9" s="406">
        <f t="shared" si="5"/>
        <v>0.29219830160695598</v>
      </c>
      <c r="W9" s="406">
        <f t="shared" si="6"/>
        <v>24.470588235294116</v>
      </c>
      <c r="X9" s="412">
        <f>SUM(W9:W14)</f>
        <v>135.58169934640523</v>
      </c>
      <c r="Y9" s="408">
        <f>IFERROR(IF(W9&lt;&gt;"",$T$9*W9/$X$9,""),"input error")</f>
        <v>4.0609332819128419</v>
      </c>
      <c r="Z9" s="8"/>
    </row>
    <row r="10" spans="1:28" ht="18.75" customHeight="1">
      <c r="A10" s="393">
        <v>45352</v>
      </c>
      <c r="B10" s="394" t="s">
        <v>189</v>
      </c>
      <c r="C10" s="394" t="s">
        <v>253</v>
      </c>
      <c r="D10" s="394"/>
      <c r="E10" s="395">
        <v>0.08</v>
      </c>
      <c r="F10" s="396" t="s">
        <v>185</v>
      </c>
      <c r="G10" s="397">
        <v>7</v>
      </c>
      <c r="H10" s="406">
        <f t="shared" si="1"/>
        <v>94.063024215503276</v>
      </c>
      <c r="I10" s="397">
        <v>6</v>
      </c>
      <c r="J10" s="398">
        <f t="shared" si="2"/>
        <v>80.972855040000013</v>
      </c>
      <c r="K10" s="399">
        <f>580400+614100+615500</f>
        <v>1810000</v>
      </c>
      <c r="L10" s="397">
        <v>0</v>
      </c>
      <c r="M10" s="400">
        <f t="shared" si="0"/>
        <v>0.86083618632638259</v>
      </c>
      <c r="N10" s="401">
        <f t="shared" si="3"/>
        <v>1.0043088840474463</v>
      </c>
      <c r="O10" s="402">
        <f t="shared" si="4"/>
        <v>0</v>
      </c>
      <c r="P10" s="387" t="s">
        <v>188</v>
      </c>
      <c r="Q10" s="411"/>
      <c r="R10" s="411"/>
      <c r="S10" s="411"/>
      <c r="T10" s="411"/>
      <c r="U10" s="405">
        <f>'[1]伸线工时wire drawing'!H11</f>
        <v>3.4223333760000001</v>
      </c>
      <c r="V10" s="406">
        <f t="shared" si="5"/>
        <v>0.29219830160695598</v>
      </c>
      <c r="W10" s="406">
        <f t="shared" si="6"/>
        <v>23.66013071895425</v>
      </c>
      <c r="X10" s="412"/>
      <c r="Y10" s="408">
        <f t="shared" ref="Y10:Y14" si="7">IFERROR(IF(W10&lt;&gt;"",$T$9*W10/$X$9,""),"input error")</f>
        <v>3.9264365599691478</v>
      </c>
      <c r="Z10" s="8"/>
    </row>
    <row r="11" spans="1:28" ht="18.75" customHeight="1">
      <c r="A11" s="393">
        <v>45352</v>
      </c>
      <c r="B11" s="394" t="s">
        <v>190</v>
      </c>
      <c r="C11" s="394" t="s">
        <v>253</v>
      </c>
      <c r="D11" s="394"/>
      <c r="E11" s="395">
        <v>0.08</v>
      </c>
      <c r="F11" s="396" t="s">
        <v>185</v>
      </c>
      <c r="G11" s="397">
        <v>7</v>
      </c>
      <c r="H11" s="406">
        <f t="shared" si="1"/>
        <v>88.372471093073656</v>
      </c>
      <c r="I11" s="397">
        <v>6</v>
      </c>
      <c r="J11" s="398">
        <f t="shared" si="2"/>
        <v>76.074220992000008</v>
      </c>
      <c r="K11" s="399">
        <f>610700+550100+539700</f>
        <v>1700500</v>
      </c>
      <c r="L11" s="397">
        <v>0</v>
      </c>
      <c r="M11" s="400">
        <f t="shared" si="0"/>
        <v>0.86083618632638248</v>
      </c>
      <c r="N11" s="401">
        <f t="shared" si="3"/>
        <v>1.0043088840474463</v>
      </c>
      <c r="O11" s="402">
        <f t="shared" si="4"/>
        <v>0</v>
      </c>
      <c r="P11" s="387" t="s">
        <v>188</v>
      </c>
      <c r="Q11" s="411"/>
      <c r="R11" s="411"/>
      <c r="S11" s="411"/>
      <c r="T11" s="411"/>
      <c r="U11" s="405">
        <f>'[1]伸线工时wire drawing'!H11</f>
        <v>3.4223333760000001</v>
      </c>
      <c r="V11" s="406">
        <f t="shared" si="5"/>
        <v>0.29219830160695598</v>
      </c>
      <c r="W11" s="406">
        <f t="shared" si="6"/>
        <v>22.22875816993464</v>
      </c>
      <c r="X11" s="412"/>
      <c r="Y11" s="408">
        <f t="shared" si="7"/>
        <v>3.6888979946008482</v>
      </c>
      <c r="Z11" s="8"/>
      <c r="AA11" s="2">
        <f>2-(2.5/SUM(AB11:AB194)*2)</f>
        <v>1.8333333333333333</v>
      </c>
      <c r="AB11" s="2">
        <v>7.5</v>
      </c>
    </row>
    <row r="12" spans="1:28" ht="18.75" customHeight="1">
      <c r="A12" s="393">
        <v>45352</v>
      </c>
      <c r="B12" s="394" t="s">
        <v>191</v>
      </c>
      <c r="C12" s="394" t="s">
        <v>253</v>
      </c>
      <c r="D12" s="394"/>
      <c r="E12" s="395">
        <v>0.08</v>
      </c>
      <c r="F12" s="396" t="s">
        <v>185</v>
      </c>
      <c r="G12" s="397">
        <v>7</v>
      </c>
      <c r="H12" s="406">
        <f t="shared" si="1"/>
        <v>78.992152932356348</v>
      </c>
      <c r="I12" s="397">
        <v>6</v>
      </c>
      <c r="J12" s="398">
        <f t="shared" si="2"/>
        <v>67.999303680000011</v>
      </c>
      <c r="K12" s="399">
        <f>300700+598000+621300</f>
        <v>1520000</v>
      </c>
      <c r="L12" s="397">
        <v>0</v>
      </c>
      <c r="M12" s="400">
        <f t="shared" si="0"/>
        <v>0.86083618632638248</v>
      </c>
      <c r="N12" s="401">
        <f t="shared" si="3"/>
        <v>1.0043088840474463</v>
      </c>
      <c r="O12" s="402">
        <f t="shared" si="4"/>
        <v>0</v>
      </c>
      <c r="P12" s="387" t="s">
        <v>188</v>
      </c>
      <c r="Q12" s="411"/>
      <c r="R12" s="411"/>
      <c r="S12" s="411"/>
      <c r="T12" s="411"/>
      <c r="U12" s="405">
        <f>'[1]伸线工时wire drawing'!H11</f>
        <v>3.4223333760000001</v>
      </c>
      <c r="V12" s="406">
        <f t="shared" si="5"/>
        <v>0.29219830160695598</v>
      </c>
      <c r="W12" s="406">
        <f t="shared" si="6"/>
        <v>19.869281045751634</v>
      </c>
      <c r="X12" s="412"/>
      <c r="Y12" s="408">
        <f t="shared" si="7"/>
        <v>3.2973389895873506</v>
      </c>
      <c r="Z12" s="8"/>
      <c r="AB12" s="2">
        <v>7.5</v>
      </c>
    </row>
    <row r="13" spans="1:28" ht="18.75" customHeight="1">
      <c r="A13" s="393">
        <v>45352</v>
      </c>
      <c r="B13" s="394" t="s">
        <v>192</v>
      </c>
      <c r="C13" s="394" t="s">
        <v>253</v>
      </c>
      <c r="D13" s="394"/>
      <c r="E13" s="395">
        <v>0.08</v>
      </c>
      <c r="F13" s="396" t="s">
        <v>185</v>
      </c>
      <c r="G13" s="397">
        <v>7</v>
      </c>
      <c r="H13" s="406">
        <f t="shared" si="1"/>
        <v>94.011055693837264</v>
      </c>
      <c r="I13" s="397">
        <v>6</v>
      </c>
      <c r="J13" s="398">
        <f t="shared" si="2"/>
        <v>80.928118656000009</v>
      </c>
      <c r="K13" s="399">
        <f>610500+587000+611500</f>
        <v>1809000</v>
      </c>
      <c r="L13" s="397">
        <v>0</v>
      </c>
      <c r="M13" s="400">
        <f t="shared" si="0"/>
        <v>0.86083618632638237</v>
      </c>
      <c r="N13" s="401">
        <f t="shared" si="3"/>
        <v>1.0043088840474463</v>
      </c>
      <c r="O13" s="402">
        <f t="shared" si="4"/>
        <v>0</v>
      </c>
      <c r="P13" s="387" t="s">
        <v>188</v>
      </c>
      <c r="Q13" s="411"/>
      <c r="R13" s="411"/>
      <c r="S13" s="411"/>
      <c r="T13" s="411"/>
      <c r="U13" s="405">
        <f>'[1]伸线工时wire drawing'!H11</f>
        <v>3.4223333760000001</v>
      </c>
      <c r="V13" s="406">
        <f t="shared" si="5"/>
        <v>0.29219830160695598</v>
      </c>
      <c r="W13" s="406">
        <f t="shared" si="6"/>
        <v>23.647058823529413</v>
      </c>
      <c r="X13" s="412"/>
      <c r="Y13" s="408">
        <f t="shared" si="7"/>
        <v>3.9242672580023141</v>
      </c>
      <c r="Z13" s="8"/>
      <c r="AB13" s="2">
        <v>7.5</v>
      </c>
    </row>
    <row r="14" spans="1:28" ht="18.75" customHeight="1">
      <c r="A14" s="393">
        <v>45352</v>
      </c>
      <c r="B14" s="394" t="s">
        <v>193</v>
      </c>
      <c r="C14" s="394" t="s">
        <v>253</v>
      </c>
      <c r="D14" s="394"/>
      <c r="E14" s="395">
        <v>0.08</v>
      </c>
      <c r="F14" s="396" t="s">
        <v>185</v>
      </c>
      <c r="G14" s="397">
        <v>7</v>
      </c>
      <c r="H14" s="406">
        <f t="shared" si="1"/>
        <v>86.293730226432686</v>
      </c>
      <c r="I14" s="397">
        <v>6</v>
      </c>
      <c r="J14" s="398">
        <f t="shared" si="2"/>
        <v>74.284765632000003</v>
      </c>
      <c r="K14" s="399">
        <f>566000+580000+514500</f>
        <v>1660500</v>
      </c>
      <c r="L14" s="397">
        <v>0</v>
      </c>
      <c r="M14" s="400">
        <f t="shared" si="0"/>
        <v>0.86083618632638259</v>
      </c>
      <c r="N14" s="401">
        <f t="shared" si="3"/>
        <v>1.0043088840474466</v>
      </c>
      <c r="O14" s="402">
        <f t="shared" si="4"/>
        <v>0</v>
      </c>
      <c r="P14" s="387" t="s">
        <v>188</v>
      </c>
      <c r="Q14" s="411"/>
      <c r="R14" s="411"/>
      <c r="S14" s="411"/>
      <c r="T14" s="411"/>
      <c r="U14" s="405">
        <f>'[1]伸线工时wire drawing'!H11</f>
        <v>3.4223333760000001</v>
      </c>
      <c r="V14" s="406">
        <f t="shared" si="5"/>
        <v>0.29219830160695598</v>
      </c>
      <c r="W14" s="406">
        <f t="shared" si="6"/>
        <v>21.705882352941174</v>
      </c>
      <c r="X14" s="412"/>
      <c r="Y14" s="408">
        <f t="shared" si="7"/>
        <v>3.6021259159274965</v>
      </c>
      <c r="Z14" s="8"/>
      <c r="AB14" s="2">
        <v>7.5</v>
      </c>
    </row>
    <row r="15" spans="1:28" ht="18.75" customHeight="1">
      <c r="A15" s="393"/>
      <c r="B15" s="394"/>
      <c r="C15" s="394"/>
      <c r="D15" s="394"/>
      <c r="E15" s="395"/>
      <c r="F15" s="396"/>
      <c r="G15" s="397"/>
      <c r="H15" s="406"/>
      <c r="I15" s="397"/>
      <c r="J15" s="398"/>
      <c r="K15" s="399"/>
      <c r="L15" s="397"/>
      <c r="M15" s="400" t="str">
        <f t="shared" si="0"/>
        <v/>
      </c>
      <c r="N15" s="401"/>
      <c r="O15" s="402"/>
      <c r="P15" s="387"/>
      <c r="Q15" s="403"/>
      <c r="R15" s="403"/>
      <c r="S15" s="403"/>
      <c r="T15" s="387"/>
      <c r="U15" s="405"/>
      <c r="V15" s="406"/>
      <c r="W15" s="406"/>
      <c r="X15" s="413"/>
      <c r="Y15" s="408"/>
      <c r="Z15" s="8"/>
    </row>
    <row r="16" spans="1:28" ht="18.75" customHeight="1">
      <c r="A16" s="393">
        <v>45353</v>
      </c>
      <c r="B16" s="394" t="s">
        <v>184</v>
      </c>
      <c r="C16" s="394" t="s">
        <v>253</v>
      </c>
      <c r="D16" s="394"/>
      <c r="E16" s="395">
        <v>0.54</v>
      </c>
      <c r="F16" s="396" t="s">
        <v>185</v>
      </c>
      <c r="G16" s="397">
        <v>1</v>
      </c>
      <c r="H16" s="406">
        <f t="shared" si="1"/>
        <v>498.97620622080001</v>
      </c>
      <c r="I16" s="397"/>
      <c r="J16" s="398">
        <f t="shared" si="2"/>
        <v>204.03397974960004</v>
      </c>
      <c r="K16" s="399">
        <f>100100</f>
        <v>100100</v>
      </c>
      <c r="L16" s="397">
        <v>0</v>
      </c>
      <c r="M16" s="400">
        <f t="shared" si="0"/>
        <v>0.40890522875816998</v>
      </c>
      <c r="N16" s="401" t="str">
        <f t="shared" ref="N16:N22" si="8">IFERROR(IF(I16&lt;&gt;"",J16/(I16*U16*Y16),""),"input error")</f>
        <v/>
      </c>
      <c r="O16" s="402">
        <f t="shared" ref="O16:O22" si="9">IFERROR(IF(L16&lt;&gt;"",L16/(J16+L16),""),"input error")</f>
        <v>0</v>
      </c>
      <c r="P16" s="387" t="s">
        <v>194</v>
      </c>
      <c r="Q16" s="403">
        <v>2</v>
      </c>
      <c r="R16" s="403">
        <v>3</v>
      </c>
      <c r="S16" s="403">
        <v>0</v>
      </c>
      <c r="T16" s="409">
        <f>IFERROR(IF(R16&lt;&gt;"",R16*Q16-S16,""),"input error")</f>
        <v>6</v>
      </c>
      <c r="U16" s="405">
        <f>'[1]伸线工时wire drawing'!H6</f>
        <v>83.162701036800001</v>
      </c>
      <c r="V16" s="406">
        <f t="shared" ref="V16:V22" si="10">IFERROR(IF(U16&lt;&gt;"",1/U16,""),"input error")</f>
        <v>1.2024621465306832E-2</v>
      </c>
      <c r="W16" s="406">
        <f t="shared" ref="W16:W22" si="11">IFERROR(IF(V16&lt;&gt;"",V16*J16,""),"input error")</f>
        <v>2.4534313725490202</v>
      </c>
      <c r="X16" s="410">
        <f>SUM(W16)</f>
        <v>2.4534313725490202</v>
      </c>
      <c r="Y16" s="408">
        <f>IFERROR(IF(W16&lt;&gt;"",T16*W16/X16,""),"input error")</f>
        <v>6</v>
      </c>
      <c r="Z16" s="8"/>
    </row>
    <row r="17" spans="1:26" ht="18.75" customHeight="1">
      <c r="A17" s="393">
        <v>45353</v>
      </c>
      <c r="B17" s="394" t="s">
        <v>187</v>
      </c>
      <c r="C17" s="394" t="s">
        <v>253</v>
      </c>
      <c r="D17" s="394"/>
      <c r="E17" s="395">
        <v>0.08</v>
      </c>
      <c r="F17" s="396" t="s">
        <v>185</v>
      </c>
      <c r="G17" s="397">
        <v>7</v>
      </c>
      <c r="H17" s="406">
        <f t="shared" si="1"/>
        <v>57.229994813577669</v>
      </c>
      <c r="I17" s="397">
        <v>6</v>
      </c>
      <c r="J17" s="398">
        <f t="shared" si="2"/>
        <v>39.851170867200004</v>
      </c>
      <c r="K17" s="399">
        <f>144500+487000+259300</f>
        <v>890800</v>
      </c>
      <c r="L17" s="397">
        <v>0</v>
      </c>
      <c r="M17" s="400">
        <f t="shared" si="0"/>
        <v>0.69633364456893876</v>
      </c>
      <c r="N17" s="401">
        <f t="shared" si="8"/>
        <v>0.81238925199709533</v>
      </c>
      <c r="O17" s="402">
        <f t="shared" si="9"/>
        <v>0</v>
      </c>
      <c r="P17" s="387" t="s">
        <v>188</v>
      </c>
      <c r="Q17" s="411">
        <v>3</v>
      </c>
      <c r="R17" s="411">
        <v>5</v>
      </c>
      <c r="S17" s="411">
        <v>0</v>
      </c>
      <c r="T17" s="411">
        <f>IFERROR(IF(R17&lt;&gt;"",R17*Q17-S17,""),"input error")</f>
        <v>15</v>
      </c>
      <c r="U17" s="405">
        <f>'[1]伸线工时wire drawing'!H11</f>
        <v>3.4223333760000001</v>
      </c>
      <c r="V17" s="406">
        <f t="shared" si="10"/>
        <v>0.29219830160695598</v>
      </c>
      <c r="W17" s="406">
        <f t="shared" si="11"/>
        <v>11.644444444444444</v>
      </c>
      <c r="X17" s="412">
        <f>SUM(W17:W22)</f>
        <v>73.115032679738562</v>
      </c>
      <c r="Y17" s="408">
        <f>IFERROR(IF(W17&lt;&gt;"",$T$17*W17/$X$17,""),"input error")</f>
        <v>2.3889296122146138</v>
      </c>
      <c r="Z17" s="8"/>
    </row>
    <row r="18" spans="1:26" ht="18.75" customHeight="1">
      <c r="A18" s="393">
        <v>45353</v>
      </c>
      <c r="B18" s="394" t="s">
        <v>189</v>
      </c>
      <c r="C18" s="394" t="s">
        <v>253</v>
      </c>
      <c r="D18" s="394"/>
      <c r="E18" s="395">
        <v>0.08</v>
      </c>
      <c r="F18" s="396" t="s">
        <v>185</v>
      </c>
      <c r="G18" s="397">
        <v>7</v>
      </c>
      <c r="H18" s="406">
        <f t="shared" si="1"/>
        <v>71.383304038354467</v>
      </c>
      <c r="I18" s="397">
        <v>6</v>
      </c>
      <c r="J18" s="398">
        <f t="shared" si="2"/>
        <v>49.706596262400005</v>
      </c>
      <c r="K18" s="399">
        <f>370000+374000+367100</f>
        <v>1111100</v>
      </c>
      <c r="L18" s="397">
        <v>0</v>
      </c>
      <c r="M18" s="400">
        <f t="shared" si="0"/>
        <v>0.69633364456893865</v>
      </c>
      <c r="N18" s="401">
        <f t="shared" si="8"/>
        <v>0.81238925199709511</v>
      </c>
      <c r="O18" s="402">
        <f t="shared" si="9"/>
        <v>0</v>
      </c>
      <c r="P18" s="387" t="s">
        <v>188</v>
      </c>
      <c r="Q18" s="411"/>
      <c r="R18" s="411"/>
      <c r="S18" s="411"/>
      <c r="T18" s="411"/>
      <c r="U18" s="405">
        <f>'[1]伸线工时wire drawing'!H11</f>
        <v>3.4223333760000001</v>
      </c>
      <c r="V18" s="406">
        <f t="shared" si="10"/>
        <v>0.29219830160695598</v>
      </c>
      <c r="W18" s="406">
        <f t="shared" si="11"/>
        <v>14.524183006535948</v>
      </c>
      <c r="X18" s="412"/>
      <c r="Y18" s="408">
        <f t="shared" ref="Y18:Y22" si="12">IFERROR(IF(W18&lt;&gt;"",$T$17*W18/$X$17,""),"input error")</f>
        <v>2.9797257433000199</v>
      </c>
      <c r="Z18" s="8"/>
    </row>
    <row r="19" spans="1:26" ht="18.75" customHeight="1">
      <c r="A19" s="393">
        <v>45353</v>
      </c>
      <c r="B19" s="394" t="s">
        <v>190</v>
      </c>
      <c r="C19" s="394" t="s">
        <v>253</v>
      </c>
      <c r="D19" s="394"/>
      <c r="E19" s="395">
        <v>0.08</v>
      </c>
      <c r="F19" s="396" t="s">
        <v>185</v>
      </c>
      <c r="G19" s="397">
        <v>7</v>
      </c>
      <c r="H19" s="406">
        <f t="shared" si="1"/>
        <v>67.502868826477382</v>
      </c>
      <c r="I19" s="397">
        <v>6</v>
      </c>
      <c r="J19" s="398">
        <f t="shared" si="2"/>
        <v>47.004518668800003</v>
      </c>
      <c r="K19" s="399">
        <f>350000+376500+324200</f>
        <v>1050700</v>
      </c>
      <c r="L19" s="397">
        <v>0</v>
      </c>
      <c r="M19" s="400">
        <f t="shared" si="0"/>
        <v>0.69633364456893887</v>
      </c>
      <c r="N19" s="401">
        <f t="shared" si="8"/>
        <v>0.81238925199709533</v>
      </c>
      <c r="O19" s="402">
        <f t="shared" si="9"/>
        <v>0</v>
      </c>
      <c r="P19" s="387" t="s">
        <v>188</v>
      </c>
      <c r="Q19" s="411"/>
      <c r="R19" s="411"/>
      <c r="S19" s="411"/>
      <c r="T19" s="411"/>
      <c r="U19" s="405">
        <f>'[1]伸线工时wire drawing'!H11</f>
        <v>3.4223333760000001</v>
      </c>
      <c r="V19" s="406">
        <f t="shared" si="10"/>
        <v>0.29219830160695598</v>
      </c>
      <c r="W19" s="406">
        <f t="shared" si="11"/>
        <v>13.734640522875816</v>
      </c>
      <c r="X19" s="412"/>
      <c r="Y19" s="408">
        <f t="shared" si="12"/>
        <v>2.8177462320991182</v>
      </c>
      <c r="Z19" s="8"/>
    </row>
    <row r="20" spans="1:26" ht="18.75" customHeight="1">
      <c r="A20" s="393">
        <v>45353</v>
      </c>
      <c r="B20" s="394" t="s">
        <v>191</v>
      </c>
      <c r="C20" s="394" t="s">
        <v>253</v>
      </c>
      <c r="D20" s="394"/>
      <c r="E20" s="395">
        <v>0.08</v>
      </c>
      <c r="F20" s="396" t="s">
        <v>185</v>
      </c>
      <c r="G20" s="397">
        <v>7</v>
      </c>
      <c r="H20" s="406">
        <f t="shared" si="1"/>
        <v>73.387767260383683</v>
      </c>
      <c r="I20" s="397">
        <v>6</v>
      </c>
      <c r="J20" s="398">
        <f t="shared" si="2"/>
        <v>51.102371443200006</v>
      </c>
      <c r="K20" s="399">
        <f>347800+382500+412000</f>
        <v>1142300</v>
      </c>
      <c r="L20" s="397">
        <v>0</v>
      </c>
      <c r="M20" s="400">
        <f t="shared" si="0"/>
        <v>0.69633364456893865</v>
      </c>
      <c r="N20" s="401">
        <f t="shared" si="8"/>
        <v>0.81238925199709522</v>
      </c>
      <c r="O20" s="402">
        <f t="shared" si="9"/>
        <v>0</v>
      </c>
      <c r="P20" s="387" t="s">
        <v>188</v>
      </c>
      <c r="Q20" s="411"/>
      <c r="R20" s="411"/>
      <c r="S20" s="411"/>
      <c r="T20" s="411"/>
      <c r="U20" s="405">
        <f>'[1]伸线工时wire drawing'!H11</f>
        <v>3.4223333760000001</v>
      </c>
      <c r="V20" s="406">
        <f t="shared" si="10"/>
        <v>0.29219830160695598</v>
      </c>
      <c r="W20" s="406">
        <f t="shared" si="11"/>
        <v>14.93202614379085</v>
      </c>
      <c r="X20" s="412"/>
      <c r="Y20" s="408">
        <f t="shared" si="12"/>
        <v>3.0633972788872406</v>
      </c>
      <c r="Z20" s="8"/>
    </row>
    <row r="21" spans="1:26" ht="18.75" customHeight="1">
      <c r="A21" s="393">
        <v>45353</v>
      </c>
      <c r="B21" s="394" t="s">
        <v>192</v>
      </c>
      <c r="C21" s="394" t="s">
        <v>253</v>
      </c>
      <c r="D21" s="394"/>
      <c r="E21" s="395">
        <v>0.08</v>
      </c>
      <c r="F21" s="396" t="s">
        <v>185</v>
      </c>
      <c r="G21" s="397">
        <v>7</v>
      </c>
      <c r="H21" s="406">
        <f t="shared" si="1"/>
        <v>61.82355636406129</v>
      </c>
      <c r="I21" s="397">
        <v>6</v>
      </c>
      <c r="J21" s="398">
        <f t="shared" si="2"/>
        <v>43.049822323200004</v>
      </c>
      <c r="K21" s="399">
        <f>283500+301500+377300</f>
        <v>962300</v>
      </c>
      <c r="L21" s="397">
        <v>0</v>
      </c>
      <c r="M21" s="400">
        <f t="shared" si="0"/>
        <v>0.69633364456893876</v>
      </c>
      <c r="N21" s="401">
        <f t="shared" si="8"/>
        <v>0.81238925199709522</v>
      </c>
      <c r="O21" s="402">
        <f t="shared" si="9"/>
        <v>0</v>
      </c>
      <c r="P21" s="387" t="s">
        <v>188</v>
      </c>
      <c r="Q21" s="411"/>
      <c r="R21" s="411"/>
      <c r="S21" s="411"/>
      <c r="T21" s="411"/>
      <c r="U21" s="405">
        <f>'[1]伸线工时wire drawing'!H11</f>
        <v>3.4223333760000001</v>
      </c>
      <c r="V21" s="406">
        <f t="shared" si="10"/>
        <v>0.29219830160695598</v>
      </c>
      <c r="W21" s="406">
        <f t="shared" si="11"/>
        <v>12.579084967320261</v>
      </c>
      <c r="X21" s="412"/>
      <c r="Y21" s="408">
        <f t="shared" si="12"/>
        <v>2.5806768812686607</v>
      </c>
      <c r="Z21" s="8"/>
    </row>
    <row r="22" spans="1:26" ht="18.75" customHeight="1">
      <c r="A22" s="393">
        <v>45353</v>
      </c>
      <c r="B22" s="394" t="s">
        <v>193</v>
      </c>
      <c r="C22" s="394" t="s">
        <v>253</v>
      </c>
      <c r="D22" s="394"/>
      <c r="E22" s="395">
        <v>0.08</v>
      </c>
      <c r="F22" s="396" t="s">
        <v>185</v>
      </c>
      <c r="G22" s="397">
        <v>7</v>
      </c>
      <c r="H22" s="406">
        <f t="shared" si="1"/>
        <v>28.017513177145513</v>
      </c>
      <c r="I22" s="397">
        <v>6</v>
      </c>
      <c r="J22" s="398">
        <f t="shared" si="2"/>
        <v>19.509537062400003</v>
      </c>
      <c r="K22" s="399">
        <f>40000+54800+341300</f>
        <v>436100</v>
      </c>
      <c r="L22" s="397">
        <v>0</v>
      </c>
      <c r="M22" s="400">
        <f t="shared" si="0"/>
        <v>0.69633364456893876</v>
      </c>
      <c r="N22" s="401">
        <f t="shared" si="8"/>
        <v>0.81238925199709522</v>
      </c>
      <c r="O22" s="402">
        <f t="shared" si="9"/>
        <v>0</v>
      </c>
      <c r="P22" s="387" t="s">
        <v>188</v>
      </c>
      <c r="Q22" s="411"/>
      <c r="R22" s="411"/>
      <c r="S22" s="411"/>
      <c r="T22" s="411"/>
      <c r="U22" s="405">
        <f>'[1]伸线工时wire drawing'!H11</f>
        <v>3.4223333760000001</v>
      </c>
      <c r="V22" s="406">
        <f t="shared" si="10"/>
        <v>0.29219830160695598</v>
      </c>
      <c r="W22" s="406">
        <f t="shared" si="11"/>
        <v>5.700653594771242</v>
      </c>
      <c r="X22" s="412"/>
      <c r="Y22" s="408">
        <f t="shared" si="12"/>
        <v>1.1695242522303471</v>
      </c>
      <c r="Z22" s="8"/>
    </row>
    <row r="23" spans="1:26" ht="18.75" customHeight="1">
      <c r="A23" s="393"/>
      <c r="B23" s="394"/>
      <c r="C23" s="394"/>
      <c r="D23" s="394"/>
      <c r="E23" s="395"/>
      <c r="F23" s="396"/>
      <c r="G23" s="397"/>
      <c r="H23" s="406"/>
      <c r="I23" s="397"/>
      <c r="J23" s="398"/>
      <c r="K23" s="399"/>
      <c r="L23" s="397"/>
      <c r="M23" s="400" t="str">
        <f t="shared" si="0"/>
        <v/>
      </c>
      <c r="N23" s="401"/>
      <c r="O23" s="402"/>
      <c r="P23" s="387"/>
      <c r="Q23" s="403"/>
      <c r="R23" s="403"/>
      <c r="S23" s="403"/>
      <c r="T23" s="387"/>
      <c r="U23" s="405"/>
      <c r="V23" s="406"/>
      <c r="W23" s="406"/>
      <c r="X23" s="413"/>
      <c r="Y23" s="408"/>
      <c r="Z23" s="8"/>
    </row>
    <row r="24" spans="1:26" ht="18.75" customHeight="1">
      <c r="A24" s="393">
        <v>45355</v>
      </c>
      <c r="B24" s="394" t="s">
        <v>184</v>
      </c>
      <c r="C24" s="394" t="s">
        <v>253</v>
      </c>
      <c r="D24" s="394"/>
      <c r="E24" s="395">
        <v>0.54</v>
      </c>
      <c r="F24" s="396" t="s">
        <v>185</v>
      </c>
      <c r="G24" s="397">
        <v>1</v>
      </c>
      <c r="H24" s="406">
        <f t="shared" si="1"/>
        <v>582.13890725760007</v>
      </c>
      <c r="I24" s="397"/>
      <c r="J24" s="398">
        <f t="shared" si="2"/>
        <v>565.62866514000007</v>
      </c>
      <c r="K24" s="399">
        <f>42500+235000</f>
        <v>277500</v>
      </c>
      <c r="L24" s="397">
        <v>0</v>
      </c>
      <c r="M24" s="400">
        <f t="shared" si="0"/>
        <v>0.97163865546218486</v>
      </c>
      <c r="N24" s="401" t="str">
        <f t="shared" ref="N24:N30" si="13">IFERROR(IF(I24&lt;&gt;"",J24/(I24*U24*Y24),""),"input error")</f>
        <v/>
      </c>
      <c r="O24" s="402">
        <f t="shared" ref="O24:O30" si="14">IFERROR(IF(L24&lt;&gt;"",L24/(J24+L24),""),"input error")</f>
        <v>0</v>
      </c>
      <c r="P24" s="387" t="s">
        <v>195</v>
      </c>
      <c r="Q24" s="403">
        <v>2</v>
      </c>
      <c r="R24" s="403">
        <v>3.5</v>
      </c>
      <c r="S24" s="403">
        <v>0</v>
      </c>
      <c r="T24" s="409">
        <f>IFERROR(IF(R24&lt;&gt;"",R24*Q24-S24,""),"input error")</f>
        <v>7</v>
      </c>
      <c r="U24" s="405">
        <f>'[1]伸线工时wire drawing'!H6</f>
        <v>83.162701036800001</v>
      </c>
      <c r="V24" s="406">
        <f t="shared" ref="V24:V30" si="15">IFERROR(IF(U24&lt;&gt;"",1/U24,""),"input error")</f>
        <v>1.2024621465306832E-2</v>
      </c>
      <c r="W24" s="406">
        <f t="shared" ref="W24:W30" si="16">IFERROR(IF(V24&lt;&gt;"",V24*J24,""),"input error")</f>
        <v>6.8014705882352953</v>
      </c>
      <c r="X24" s="410">
        <f>SUM(W24)</f>
        <v>6.8014705882352953</v>
      </c>
      <c r="Y24" s="408">
        <f>IFERROR(IF(W24&lt;&gt;"",T24*W24/X24,""),"input error")</f>
        <v>7</v>
      </c>
      <c r="Z24" s="8"/>
    </row>
    <row r="25" spans="1:26" ht="18.75" customHeight="1">
      <c r="A25" s="393">
        <v>45355</v>
      </c>
      <c r="B25" s="394" t="s">
        <v>187</v>
      </c>
      <c r="C25" s="394" t="s">
        <v>253</v>
      </c>
      <c r="D25" s="394"/>
      <c r="E25" s="395">
        <v>0.08</v>
      </c>
      <c r="F25" s="396" t="s">
        <v>185</v>
      </c>
      <c r="G25" s="397">
        <v>7</v>
      </c>
      <c r="H25" s="406">
        <f t="shared" si="1"/>
        <v>91.400210273569982</v>
      </c>
      <c r="I25" s="397">
        <v>6</v>
      </c>
      <c r="J25" s="398">
        <f t="shared" si="2"/>
        <v>80.525491200000005</v>
      </c>
      <c r="K25" s="399">
        <f>603000+580000+617000</f>
        <v>1800000</v>
      </c>
      <c r="L25" s="397">
        <v>0</v>
      </c>
      <c r="M25" s="400">
        <f t="shared" si="0"/>
        <v>0.88102085278555864</v>
      </c>
      <c r="N25" s="401">
        <f t="shared" si="13"/>
        <v>1.0278576615831518</v>
      </c>
      <c r="O25" s="402">
        <f t="shared" si="14"/>
        <v>0</v>
      </c>
      <c r="P25" s="387" t="s">
        <v>196</v>
      </c>
      <c r="Q25" s="411">
        <v>3</v>
      </c>
      <c r="R25" s="411">
        <v>7.5</v>
      </c>
      <c r="S25" s="411">
        <v>0</v>
      </c>
      <c r="T25" s="411">
        <f>IFERROR(IF(R25&lt;&gt;"",R25*Q25-S25,""),"input error")</f>
        <v>22.5</v>
      </c>
      <c r="U25" s="405">
        <f>'[1]伸线工时wire drawing'!H11</f>
        <v>3.4223333760000001</v>
      </c>
      <c r="V25" s="406">
        <f t="shared" si="15"/>
        <v>0.29219830160695598</v>
      </c>
      <c r="W25" s="406">
        <f t="shared" si="16"/>
        <v>23.52941176470588</v>
      </c>
      <c r="X25" s="412">
        <f>SUM(W25:W30)</f>
        <v>138.76078431372548</v>
      </c>
      <c r="Y25" s="408">
        <f>IFERROR(IF(W25&lt;&gt;"",$T$25*W25/$X$25,""),"input error")</f>
        <v>3.8152837440651144</v>
      </c>
      <c r="Z25" s="8"/>
    </row>
    <row r="26" spans="1:26" ht="18.75" customHeight="1">
      <c r="A26" s="393">
        <v>45355</v>
      </c>
      <c r="B26" s="394" t="s">
        <v>189</v>
      </c>
      <c r="C26" s="394" t="s">
        <v>253</v>
      </c>
      <c r="D26" s="394"/>
      <c r="E26" s="395">
        <v>0.08</v>
      </c>
      <c r="F26" s="396" t="s">
        <v>185</v>
      </c>
      <c r="G26" s="397">
        <v>7</v>
      </c>
      <c r="H26" s="406">
        <f t="shared" si="1"/>
        <v>89.262460911060373</v>
      </c>
      <c r="I26" s="397">
        <v>6</v>
      </c>
      <c r="J26" s="398">
        <f t="shared" si="2"/>
        <v>78.642089433600006</v>
      </c>
      <c r="K26" s="399">
        <f>633000+578900+546000</f>
        <v>1757900</v>
      </c>
      <c r="L26" s="397">
        <v>0</v>
      </c>
      <c r="M26" s="400">
        <f t="shared" si="0"/>
        <v>0.88102085278555864</v>
      </c>
      <c r="N26" s="401">
        <f t="shared" si="13"/>
        <v>1.0278576615831518</v>
      </c>
      <c r="O26" s="402">
        <f t="shared" si="14"/>
        <v>0</v>
      </c>
      <c r="P26" s="387" t="s">
        <v>196</v>
      </c>
      <c r="Q26" s="411"/>
      <c r="R26" s="411"/>
      <c r="S26" s="411"/>
      <c r="T26" s="411"/>
      <c r="U26" s="405">
        <f>'[1]伸线工时wire drawing'!H11</f>
        <v>3.4223333760000001</v>
      </c>
      <c r="V26" s="406">
        <f t="shared" si="15"/>
        <v>0.29219830160695598</v>
      </c>
      <c r="W26" s="406">
        <f t="shared" si="16"/>
        <v>22.979084967320262</v>
      </c>
      <c r="X26" s="412"/>
      <c r="Y26" s="408">
        <f t="shared" ref="Y26:Y30" si="17">IFERROR(IF(W26&lt;&gt;"",$T$25*W26/$X$25,""),"input error")</f>
        <v>3.7260484964955913</v>
      </c>
      <c r="Z26" s="8"/>
    </row>
    <row r="27" spans="1:26" ht="18.75" customHeight="1">
      <c r="A27" s="393">
        <v>45355</v>
      </c>
      <c r="B27" s="394" t="s">
        <v>190</v>
      </c>
      <c r="C27" s="394" t="s">
        <v>253</v>
      </c>
      <c r="D27" s="394"/>
      <c r="E27" s="395">
        <v>0.08</v>
      </c>
      <c r="F27" s="396" t="s">
        <v>185</v>
      </c>
      <c r="G27" s="397">
        <v>7</v>
      </c>
      <c r="H27" s="406">
        <f t="shared" si="1"/>
        <v>88.724215228338224</v>
      </c>
      <c r="I27" s="397">
        <v>6</v>
      </c>
      <c r="J27" s="398">
        <f t="shared" si="2"/>
        <v>78.16788376320001</v>
      </c>
      <c r="K27" s="399">
        <f>615000+509300+623000</f>
        <v>1747300</v>
      </c>
      <c r="L27" s="397">
        <v>0</v>
      </c>
      <c r="M27" s="400">
        <f t="shared" si="0"/>
        <v>0.88102085278555886</v>
      </c>
      <c r="N27" s="401">
        <f t="shared" si="13"/>
        <v>1.0278576615831521</v>
      </c>
      <c r="O27" s="402">
        <f t="shared" si="14"/>
        <v>0</v>
      </c>
      <c r="P27" s="387" t="s">
        <v>196</v>
      </c>
      <c r="Q27" s="411"/>
      <c r="R27" s="411"/>
      <c r="S27" s="411"/>
      <c r="T27" s="411"/>
      <c r="U27" s="405">
        <f>'[1]伸线工时wire drawing'!H11</f>
        <v>3.4223333760000001</v>
      </c>
      <c r="V27" s="406">
        <f t="shared" si="15"/>
        <v>0.29219830160695598</v>
      </c>
      <c r="W27" s="406">
        <f t="shared" si="16"/>
        <v>22.840522875816994</v>
      </c>
      <c r="X27" s="412"/>
      <c r="Y27" s="408">
        <f t="shared" si="17"/>
        <v>3.7035807144472077</v>
      </c>
      <c r="Z27" s="8"/>
    </row>
    <row r="28" spans="1:26" ht="18.75" customHeight="1">
      <c r="A28" s="393">
        <v>45355</v>
      </c>
      <c r="B28" s="394" t="s">
        <v>191</v>
      </c>
      <c r="C28" s="394" t="s">
        <v>253</v>
      </c>
      <c r="D28" s="394"/>
      <c r="E28" s="395">
        <v>0.08</v>
      </c>
      <c r="F28" s="396" t="s">
        <v>185</v>
      </c>
      <c r="G28" s="397">
        <v>7</v>
      </c>
      <c r="H28" s="406">
        <f t="shared" si="1"/>
        <v>91.242798800321054</v>
      </c>
      <c r="I28" s="397">
        <v>6</v>
      </c>
      <c r="J28" s="398">
        <f t="shared" si="2"/>
        <v>80.386808409600008</v>
      </c>
      <c r="K28" s="399">
        <f>624500+556000+616400</f>
        <v>1796900</v>
      </c>
      <c r="L28" s="397">
        <v>0</v>
      </c>
      <c r="M28" s="400">
        <f t="shared" si="0"/>
        <v>0.88102085278555875</v>
      </c>
      <c r="N28" s="401">
        <f t="shared" si="13"/>
        <v>1.0278576615831518</v>
      </c>
      <c r="O28" s="402">
        <f t="shared" si="14"/>
        <v>0</v>
      </c>
      <c r="P28" s="387" t="s">
        <v>196</v>
      </c>
      <c r="Q28" s="411"/>
      <c r="R28" s="411"/>
      <c r="S28" s="411"/>
      <c r="T28" s="411"/>
      <c r="U28" s="405">
        <f>'[1]伸线工时wire drawing'!H11</f>
        <v>3.4223333760000001</v>
      </c>
      <c r="V28" s="406">
        <f t="shared" si="15"/>
        <v>0.29219830160695598</v>
      </c>
      <c r="W28" s="406">
        <f t="shared" si="16"/>
        <v>23.488888888888887</v>
      </c>
      <c r="X28" s="412"/>
      <c r="Y28" s="408">
        <f t="shared" si="17"/>
        <v>3.8087129776170023</v>
      </c>
      <c r="Z28" s="8"/>
    </row>
    <row r="29" spans="1:26" ht="18.75" customHeight="1">
      <c r="A29" s="393">
        <v>45355</v>
      </c>
      <c r="B29" s="394" t="s">
        <v>192</v>
      </c>
      <c r="C29" s="394" t="s">
        <v>253</v>
      </c>
      <c r="D29" s="394"/>
      <c r="E29" s="395">
        <v>0.08</v>
      </c>
      <c r="F29" s="396" t="s">
        <v>185</v>
      </c>
      <c r="G29" s="397">
        <v>7</v>
      </c>
      <c r="H29" s="406">
        <f t="shared" si="1"/>
        <v>92.273590060628521</v>
      </c>
      <c r="I29" s="397">
        <v>6</v>
      </c>
      <c r="J29" s="398">
        <f t="shared" si="2"/>
        <v>81.294957004799997</v>
      </c>
      <c r="K29" s="399">
        <f>610000+581200+626000</f>
        <v>1817200</v>
      </c>
      <c r="L29" s="397">
        <v>0</v>
      </c>
      <c r="M29" s="400">
        <f t="shared" si="0"/>
        <v>0.88102085278555875</v>
      </c>
      <c r="N29" s="401">
        <f t="shared" si="13"/>
        <v>1.0278576615831518</v>
      </c>
      <c r="O29" s="402">
        <f t="shared" si="14"/>
        <v>0</v>
      </c>
      <c r="P29" s="387" t="s">
        <v>196</v>
      </c>
      <c r="Q29" s="411"/>
      <c r="R29" s="411"/>
      <c r="S29" s="411"/>
      <c r="T29" s="411"/>
      <c r="U29" s="405">
        <f>'[1]伸线工时wire drawing'!H11</f>
        <v>3.4223333760000001</v>
      </c>
      <c r="V29" s="406">
        <f t="shared" si="15"/>
        <v>0.29219830160695598</v>
      </c>
      <c r="W29" s="406">
        <f t="shared" si="16"/>
        <v>23.754248366013069</v>
      </c>
      <c r="X29" s="412"/>
      <c r="Y29" s="408">
        <f t="shared" si="17"/>
        <v>3.8517408998417362</v>
      </c>
      <c r="Z29" s="8"/>
    </row>
    <row r="30" spans="1:26" ht="18.75" customHeight="1">
      <c r="A30" s="393">
        <v>45355</v>
      </c>
      <c r="B30" s="394" t="s">
        <v>193</v>
      </c>
      <c r="C30" s="394" t="s">
        <v>253</v>
      </c>
      <c r="D30" s="394"/>
      <c r="E30" s="395">
        <v>0.08</v>
      </c>
      <c r="F30" s="396" t="s">
        <v>185</v>
      </c>
      <c r="G30" s="397">
        <v>7</v>
      </c>
      <c r="H30" s="406">
        <f t="shared" si="1"/>
        <v>86.114231446081845</v>
      </c>
      <c r="I30" s="397">
        <v>6</v>
      </c>
      <c r="J30" s="398">
        <f t="shared" si="2"/>
        <v>75.868433625600005</v>
      </c>
      <c r="K30" s="399">
        <f>549500+539000+607400</f>
        <v>1695900</v>
      </c>
      <c r="L30" s="397">
        <v>0</v>
      </c>
      <c r="M30" s="400">
        <f t="shared" si="0"/>
        <v>0.88102085278555875</v>
      </c>
      <c r="N30" s="401">
        <f t="shared" si="13"/>
        <v>1.0278576615831521</v>
      </c>
      <c r="O30" s="402">
        <f t="shared" si="14"/>
        <v>0</v>
      </c>
      <c r="P30" s="387" t="s">
        <v>196</v>
      </c>
      <c r="Q30" s="411"/>
      <c r="R30" s="411"/>
      <c r="S30" s="411"/>
      <c r="T30" s="411"/>
      <c r="U30" s="405">
        <f>'[1]伸线工时wire drawing'!H11</f>
        <v>3.4223333760000001</v>
      </c>
      <c r="V30" s="406">
        <f t="shared" si="15"/>
        <v>0.29219830160695598</v>
      </c>
      <c r="W30" s="406">
        <f t="shared" si="16"/>
        <v>22.168627450980392</v>
      </c>
      <c r="X30" s="412"/>
      <c r="Y30" s="408">
        <f t="shared" si="17"/>
        <v>3.5946331675333485</v>
      </c>
      <c r="Z30" s="8"/>
    </row>
    <row r="31" spans="1:26" ht="18.75" customHeight="1">
      <c r="A31" s="393"/>
      <c r="B31" s="394"/>
      <c r="C31" s="394"/>
      <c r="D31" s="394"/>
      <c r="E31" s="395"/>
      <c r="F31" s="396"/>
      <c r="G31" s="397"/>
      <c r="H31" s="406"/>
      <c r="I31" s="397"/>
      <c r="J31" s="398"/>
      <c r="K31" s="399"/>
      <c r="L31" s="397"/>
      <c r="M31" s="400" t="str">
        <f t="shared" si="0"/>
        <v/>
      </c>
      <c r="N31" s="401"/>
      <c r="O31" s="402"/>
      <c r="P31" s="387"/>
      <c r="Q31" s="403"/>
      <c r="R31" s="403"/>
      <c r="S31" s="403"/>
      <c r="T31" s="387"/>
      <c r="U31" s="405"/>
      <c r="V31" s="406"/>
      <c r="W31" s="406"/>
      <c r="X31" s="413"/>
      <c r="Y31" s="408"/>
      <c r="Z31" s="8"/>
    </row>
    <row r="32" spans="1:26" ht="18.75" customHeight="1">
      <c r="A32" s="393">
        <v>45356</v>
      </c>
      <c r="B32" s="394" t="s">
        <v>184</v>
      </c>
      <c r="C32" s="394" t="s">
        <v>253</v>
      </c>
      <c r="D32" s="394"/>
      <c r="E32" s="395">
        <v>0.54</v>
      </c>
      <c r="F32" s="396" t="s">
        <v>185</v>
      </c>
      <c r="G32" s="397">
        <v>1</v>
      </c>
      <c r="H32" s="406">
        <f t="shared" si="1"/>
        <v>1871.160773328</v>
      </c>
      <c r="I32" s="397"/>
      <c r="J32" s="398">
        <f t="shared" si="2"/>
        <v>611.49044880000008</v>
      </c>
      <c r="K32" s="399">
        <f>60000+100000+140000</f>
        <v>300000</v>
      </c>
      <c r="L32" s="397">
        <v>0</v>
      </c>
      <c r="M32" s="400">
        <f t="shared" si="0"/>
        <v>0.32679738562091509</v>
      </c>
      <c r="N32" s="401" t="str">
        <f t="shared" ref="N32:N39" si="18">IFERROR(IF(I32&lt;&gt;"",J32/(I32*U32*Y32),""),"input error")</f>
        <v/>
      </c>
      <c r="O32" s="402">
        <f t="shared" ref="O32:O39" si="19">IFERROR(IF(L32&lt;&gt;"",L32/(J32+L32),""),"input error")</f>
        <v>0</v>
      </c>
      <c r="P32" s="387" t="s">
        <v>196</v>
      </c>
      <c r="Q32" s="403">
        <v>3</v>
      </c>
      <c r="R32" s="403">
        <v>7.5</v>
      </c>
      <c r="S32" s="403">
        <v>0</v>
      </c>
      <c r="T32" s="414">
        <f>IFERROR(IF(R32&lt;&gt;"",R32*Q32-S32,""),"input error")</f>
        <v>22.5</v>
      </c>
      <c r="U32" s="405">
        <f>'[1]伸线工时wire drawing'!H6</f>
        <v>83.162701036800001</v>
      </c>
      <c r="V32" s="406">
        <f t="shared" ref="V32:V39" si="20">IFERROR(IF(U32&lt;&gt;"",1/U32,""),"input error")</f>
        <v>1.2024621465306832E-2</v>
      </c>
      <c r="W32" s="406">
        <f t="shared" ref="W32:W39" si="21">IFERROR(IF(V32&lt;&gt;"",V32*J32,""),"input error")</f>
        <v>7.3529411764705896</v>
      </c>
      <c r="X32" s="410">
        <f>SUM(W32)</f>
        <v>7.3529411764705896</v>
      </c>
      <c r="Y32" s="408">
        <f>IFERROR(IF(W32&lt;&gt;"",T32*W32/X32,""),"input error")</f>
        <v>22.5</v>
      </c>
      <c r="Z32" s="8"/>
    </row>
    <row r="33" spans="1:26" ht="18.75" customHeight="1">
      <c r="A33" s="393">
        <v>45356</v>
      </c>
      <c r="B33" s="394" t="s">
        <v>187</v>
      </c>
      <c r="C33" s="394" t="s">
        <v>253</v>
      </c>
      <c r="D33" s="394"/>
      <c r="E33" s="395">
        <v>0.08</v>
      </c>
      <c r="F33" s="396" t="s">
        <v>185</v>
      </c>
      <c r="G33" s="397">
        <v>7</v>
      </c>
      <c r="H33" s="406">
        <f t="shared" si="1"/>
        <v>87.983548913020158</v>
      </c>
      <c r="I33" s="397">
        <v>7</v>
      </c>
      <c r="J33" s="398">
        <f t="shared" si="2"/>
        <v>80.257072896000011</v>
      </c>
      <c r="K33" s="399">
        <f>569000+625000+600000</f>
        <v>1794000</v>
      </c>
      <c r="L33" s="397">
        <v>0</v>
      </c>
      <c r="M33" s="400">
        <f t="shared" si="0"/>
        <v>0.91218271924154271</v>
      </c>
      <c r="N33" s="401">
        <f t="shared" si="18"/>
        <v>0.91218271924154271</v>
      </c>
      <c r="O33" s="402">
        <f t="shared" si="19"/>
        <v>0</v>
      </c>
      <c r="P33" s="387" t="s">
        <v>196</v>
      </c>
      <c r="Q33" s="415">
        <v>3</v>
      </c>
      <c r="R33" s="415">
        <v>7.5</v>
      </c>
      <c r="S33" s="415">
        <v>0</v>
      </c>
      <c r="T33" s="415">
        <f>IFERROR(IF(R33&lt;&gt;"",R33*Q33-S33,""),"input error")</f>
        <v>22.5</v>
      </c>
      <c r="U33" s="405">
        <f>'[1]伸线工时wire drawing'!H11</f>
        <v>3.4223333760000001</v>
      </c>
      <c r="V33" s="406">
        <f t="shared" si="20"/>
        <v>0.29219830160695598</v>
      </c>
      <c r="W33" s="406">
        <f t="shared" si="21"/>
        <v>23.450980392156865</v>
      </c>
      <c r="X33" s="416">
        <f>SUM(W33:W39)</f>
        <v>143.66877828054299</v>
      </c>
      <c r="Y33" s="408">
        <f>IFERROR(IF(W33&lt;&gt;"",$T$33*W33/$X$33,""),"input error")</f>
        <v>3.6726633659624328</v>
      </c>
      <c r="Z33" s="8"/>
    </row>
    <row r="34" spans="1:26" ht="18.75" customHeight="1">
      <c r="A34" s="393">
        <v>45356</v>
      </c>
      <c r="B34" s="394" t="s">
        <v>189</v>
      </c>
      <c r="C34" s="394" t="s">
        <v>253</v>
      </c>
      <c r="D34" s="394"/>
      <c r="E34" s="395">
        <v>0.08</v>
      </c>
      <c r="F34" s="396" t="s">
        <v>185</v>
      </c>
      <c r="G34" s="397">
        <v>7</v>
      </c>
      <c r="H34" s="406">
        <f t="shared" si="1"/>
        <v>85.408779505030424</v>
      </c>
      <c r="I34" s="397">
        <v>7</v>
      </c>
      <c r="J34" s="398">
        <f t="shared" si="2"/>
        <v>77.908412736000017</v>
      </c>
      <c r="K34" s="399">
        <f>538500+580000+623000</f>
        <v>1741500</v>
      </c>
      <c r="L34" s="397">
        <v>0</v>
      </c>
      <c r="M34" s="400">
        <f t="shared" si="0"/>
        <v>0.91218271924154293</v>
      </c>
      <c r="N34" s="401">
        <f t="shared" si="18"/>
        <v>0.91218271924154293</v>
      </c>
      <c r="O34" s="402">
        <f t="shared" si="19"/>
        <v>0</v>
      </c>
      <c r="P34" s="387" t="s">
        <v>196</v>
      </c>
      <c r="Q34" s="417"/>
      <c r="R34" s="417"/>
      <c r="S34" s="417"/>
      <c r="T34" s="417"/>
      <c r="U34" s="405">
        <f>'[1]伸线工时wire drawing'!H11</f>
        <v>3.4223333760000001</v>
      </c>
      <c r="V34" s="406">
        <f t="shared" si="20"/>
        <v>0.29219830160695598</v>
      </c>
      <c r="W34" s="406">
        <f t="shared" si="21"/>
        <v>22.764705882352942</v>
      </c>
      <c r="X34" s="418"/>
      <c r="Y34" s="408">
        <f t="shared" ref="Y34:Y39" si="22">IFERROR(IF(W34&lt;&gt;"",$T$33*W34/$X$33,""),"input error")</f>
        <v>3.5651857590989833</v>
      </c>
      <c r="Z34" s="8"/>
    </row>
    <row r="35" spans="1:26" ht="18.75" customHeight="1">
      <c r="A35" s="393">
        <v>45356</v>
      </c>
      <c r="B35" s="394" t="s">
        <v>190</v>
      </c>
      <c r="C35" s="394" t="s">
        <v>253</v>
      </c>
      <c r="D35" s="394"/>
      <c r="E35" s="395">
        <v>0.08</v>
      </c>
      <c r="F35" s="396" t="s">
        <v>185</v>
      </c>
      <c r="G35" s="397">
        <v>7</v>
      </c>
      <c r="H35" s="406">
        <f t="shared" si="1"/>
        <v>77.046909332416192</v>
      </c>
      <c r="I35" s="397">
        <v>7</v>
      </c>
      <c r="J35" s="398">
        <f t="shared" si="2"/>
        <v>70.280859264000014</v>
      </c>
      <c r="K35" s="399">
        <f>353500+616500+601000</f>
        <v>1571000</v>
      </c>
      <c r="L35" s="397">
        <v>0</v>
      </c>
      <c r="M35" s="400">
        <f t="shared" si="0"/>
        <v>0.91218271924154293</v>
      </c>
      <c r="N35" s="401">
        <f t="shared" si="18"/>
        <v>0.91218271924154293</v>
      </c>
      <c r="O35" s="402">
        <f t="shared" si="19"/>
        <v>0</v>
      </c>
      <c r="P35" s="387" t="s">
        <v>196</v>
      </c>
      <c r="Q35" s="417"/>
      <c r="R35" s="417"/>
      <c r="S35" s="417"/>
      <c r="T35" s="417"/>
      <c r="U35" s="405">
        <f>'[1]伸线工时wire drawing'!H11</f>
        <v>3.4223333760000001</v>
      </c>
      <c r="V35" s="406">
        <f t="shared" si="20"/>
        <v>0.29219830160695598</v>
      </c>
      <c r="W35" s="406">
        <f t="shared" si="21"/>
        <v>20.535947712418302</v>
      </c>
      <c r="X35" s="418"/>
      <c r="Y35" s="408">
        <f t="shared" si="22"/>
        <v>3.2161394358567343</v>
      </c>
      <c r="Z35" s="8"/>
    </row>
    <row r="36" spans="1:26" ht="18.75" customHeight="1">
      <c r="A36" s="393">
        <v>45356</v>
      </c>
      <c r="B36" s="394" t="s">
        <v>191</v>
      </c>
      <c r="C36" s="394" t="s">
        <v>253</v>
      </c>
      <c r="D36" s="394"/>
      <c r="E36" s="395">
        <v>0.08</v>
      </c>
      <c r="F36" s="396" t="s">
        <v>185</v>
      </c>
      <c r="G36" s="397">
        <v>7</v>
      </c>
      <c r="H36" s="406">
        <f t="shared" si="1"/>
        <v>76.752649971503075</v>
      </c>
      <c r="I36" s="397">
        <v>7</v>
      </c>
      <c r="J36" s="398">
        <f t="shared" si="2"/>
        <v>70.012440960000006</v>
      </c>
      <c r="K36" s="399">
        <f>338500+616500+610000</f>
        <v>1565000</v>
      </c>
      <c r="L36" s="397">
        <v>0</v>
      </c>
      <c r="M36" s="400">
        <f t="shared" si="0"/>
        <v>0.91218271924154293</v>
      </c>
      <c r="N36" s="401">
        <f t="shared" si="18"/>
        <v>0.91218271924154293</v>
      </c>
      <c r="O36" s="402">
        <f t="shared" si="19"/>
        <v>0</v>
      </c>
      <c r="P36" s="387" t="s">
        <v>196</v>
      </c>
      <c r="Q36" s="417"/>
      <c r="R36" s="417"/>
      <c r="S36" s="417"/>
      <c r="T36" s="417"/>
      <c r="U36" s="405">
        <f>'[1]伸线工时wire drawing'!H11</f>
        <v>3.4223333760000001</v>
      </c>
      <c r="V36" s="406">
        <f t="shared" si="20"/>
        <v>0.29219830160695598</v>
      </c>
      <c r="W36" s="406">
        <f t="shared" si="21"/>
        <v>20.457516339869279</v>
      </c>
      <c r="X36" s="418"/>
      <c r="Y36" s="408">
        <f t="shared" si="22"/>
        <v>3.2038562807866255</v>
      </c>
      <c r="Z36" s="8"/>
    </row>
    <row r="37" spans="1:26" ht="18.75" customHeight="1">
      <c r="A37" s="393">
        <v>45356</v>
      </c>
      <c r="B37" s="394" t="s">
        <v>192</v>
      </c>
      <c r="C37" s="394" t="s">
        <v>253</v>
      </c>
      <c r="D37" s="394"/>
      <c r="E37" s="395">
        <v>0.08</v>
      </c>
      <c r="F37" s="396" t="s">
        <v>185</v>
      </c>
      <c r="G37" s="397">
        <v>7</v>
      </c>
      <c r="H37" s="406">
        <f t="shared" si="1"/>
        <v>88.581876280210125</v>
      </c>
      <c r="I37" s="397">
        <v>7</v>
      </c>
      <c r="J37" s="398">
        <f t="shared" si="2"/>
        <v>80.802856780800013</v>
      </c>
      <c r="K37" s="399">
        <f>578400+621200+606600</f>
        <v>1806200</v>
      </c>
      <c r="L37" s="397">
        <v>0</v>
      </c>
      <c r="M37" s="400">
        <f t="shared" si="0"/>
        <v>0.91218271924154304</v>
      </c>
      <c r="N37" s="401">
        <f t="shared" si="18"/>
        <v>0.91218271924154304</v>
      </c>
      <c r="O37" s="402">
        <f t="shared" si="19"/>
        <v>0</v>
      </c>
      <c r="P37" s="387" t="s">
        <v>196</v>
      </c>
      <c r="Q37" s="417"/>
      <c r="R37" s="417"/>
      <c r="S37" s="417"/>
      <c r="T37" s="417"/>
      <c r="U37" s="405">
        <f>'[1]伸线工时wire drawing'!H11</f>
        <v>3.4223333760000001</v>
      </c>
      <c r="V37" s="406">
        <f t="shared" si="20"/>
        <v>0.29219830160695598</v>
      </c>
      <c r="W37" s="406">
        <f t="shared" si="21"/>
        <v>23.610457516339871</v>
      </c>
      <c r="X37" s="418"/>
      <c r="Y37" s="408">
        <f t="shared" si="22"/>
        <v>3.6976391146049861</v>
      </c>
      <c r="Z37" s="8"/>
    </row>
    <row r="38" spans="1:26" ht="18.75" customHeight="1">
      <c r="A38" s="393">
        <v>45356</v>
      </c>
      <c r="B38" s="394" t="s">
        <v>193</v>
      </c>
      <c r="C38" s="394" t="s">
        <v>253</v>
      </c>
      <c r="D38" s="394"/>
      <c r="E38" s="395">
        <v>0.08</v>
      </c>
      <c r="F38" s="396" t="s">
        <v>185</v>
      </c>
      <c r="G38" s="397">
        <v>7</v>
      </c>
      <c r="H38" s="406">
        <f t="shared" si="1"/>
        <v>85.555909185486982</v>
      </c>
      <c r="I38" s="397">
        <v>7</v>
      </c>
      <c r="J38" s="398">
        <f t="shared" si="2"/>
        <v>78.042621888000014</v>
      </c>
      <c r="K38" s="399">
        <f>515900+614000+614600</f>
        <v>1744500</v>
      </c>
      <c r="L38" s="397">
        <v>0</v>
      </c>
      <c r="M38" s="400">
        <f t="shared" si="0"/>
        <v>0.91218271924154293</v>
      </c>
      <c r="N38" s="401">
        <f t="shared" si="18"/>
        <v>0.91218271924154293</v>
      </c>
      <c r="O38" s="402">
        <f t="shared" si="19"/>
        <v>0</v>
      </c>
      <c r="P38" s="387" t="s">
        <v>196</v>
      </c>
      <c r="Q38" s="417"/>
      <c r="R38" s="417"/>
      <c r="S38" s="417"/>
      <c r="T38" s="417"/>
      <c r="U38" s="405">
        <f>'[1]伸线工时wire drawing'!H11</f>
        <v>3.4223333760000001</v>
      </c>
      <c r="V38" s="406">
        <f t="shared" si="20"/>
        <v>0.29219830160695598</v>
      </c>
      <c r="W38" s="406">
        <f t="shared" si="21"/>
        <v>22.803921568627452</v>
      </c>
      <c r="X38" s="418"/>
      <c r="Y38" s="408">
        <f t="shared" si="22"/>
        <v>3.5713273366340377</v>
      </c>
      <c r="Z38" s="8"/>
    </row>
    <row r="39" spans="1:26" ht="18.75" customHeight="1">
      <c r="A39" s="393">
        <v>45356</v>
      </c>
      <c r="B39" s="394" t="s">
        <v>197</v>
      </c>
      <c r="C39" s="394" t="s">
        <v>253</v>
      </c>
      <c r="D39" s="394"/>
      <c r="E39" s="395">
        <v>0.16</v>
      </c>
      <c r="F39" s="396" t="s">
        <v>185</v>
      </c>
      <c r="G39" s="397">
        <v>7</v>
      </c>
      <c r="H39" s="406">
        <f t="shared" si="1"/>
        <v>130.65115624542122</v>
      </c>
      <c r="I39" s="397">
        <v>7</v>
      </c>
      <c r="J39" s="398">
        <f t="shared" si="2"/>
        <v>119.177726976</v>
      </c>
      <c r="K39" s="399">
        <f>224000+442000</f>
        <v>666000</v>
      </c>
      <c r="L39" s="397">
        <v>0</v>
      </c>
      <c r="M39" s="400">
        <f t="shared" si="0"/>
        <v>0.91218271924154282</v>
      </c>
      <c r="N39" s="401">
        <f t="shared" si="18"/>
        <v>0.91218271924154282</v>
      </c>
      <c r="O39" s="402">
        <f t="shared" si="19"/>
        <v>0</v>
      </c>
      <c r="P39" s="387" t="s">
        <v>196</v>
      </c>
      <c r="Q39" s="419"/>
      <c r="R39" s="419"/>
      <c r="S39" s="419"/>
      <c r="T39" s="419"/>
      <c r="U39" s="405">
        <f>'[1]伸线工时wire drawing'!H19</f>
        <v>11.864089036799999</v>
      </c>
      <c r="V39" s="406">
        <f t="shared" si="20"/>
        <v>8.4287971617391169E-2</v>
      </c>
      <c r="W39" s="406">
        <f t="shared" si="21"/>
        <v>10.045248868778282</v>
      </c>
      <c r="X39" s="420"/>
      <c r="Y39" s="408">
        <f t="shared" si="22"/>
        <v>1.5731887070562003</v>
      </c>
      <c r="Z39" s="8"/>
    </row>
    <row r="40" spans="1:26" ht="18.75" customHeight="1">
      <c r="A40" s="393"/>
      <c r="B40" s="394"/>
      <c r="C40" s="394"/>
      <c r="D40" s="394"/>
      <c r="E40" s="395"/>
      <c r="F40" s="396"/>
      <c r="G40" s="397"/>
      <c r="H40" s="406"/>
      <c r="I40" s="397"/>
      <c r="J40" s="398"/>
      <c r="K40" s="399"/>
      <c r="L40" s="397"/>
      <c r="M40" s="400" t="str">
        <f t="shared" si="0"/>
        <v/>
      </c>
      <c r="N40" s="401"/>
      <c r="O40" s="402"/>
      <c r="P40" s="387"/>
      <c r="Q40" s="403"/>
      <c r="R40" s="403"/>
      <c r="S40" s="403"/>
      <c r="T40" s="387"/>
      <c r="U40" s="405"/>
      <c r="V40" s="406"/>
      <c r="W40" s="406"/>
      <c r="X40" s="413"/>
      <c r="Y40" s="408"/>
      <c r="Z40" s="8"/>
    </row>
    <row r="41" spans="1:26" ht="18.75" customHeight="1">
      <c r="A41" s="393">
        <v>45357</v>
      </c>
      <c r="B41" s="394" t="s">
        <v>184</v>
      </c>
      <c r="C41" s="394" t="s">
        <v>253</v>
      </c>
      <c r="D41" s="394"/>
      <c r="E41" s="395">
        <v>0.54</v>
      </c>
      <c r="F41" s="396" t="s">
        <v>185</v>
      </c>
      <c r="G41" s="397">
        <v>1</v>
      </c>
      <c r="H41" s="406">
        <f t="shared" ref="H41:H49" si="23">IFERROR(IF(G41&lt;&gt;"",G41*U41*Y41,""),"input error")</f>
        <v>1247.4405155520001</v>
      </c>
      <c r="I41" s="397"/>
      <c r="J41" s="398">
        <f t="shared" si="2"/>
        <v>611.49044880000008</v>
      </c>
      <c r="K41" s="399">
        <f>50000+250000</f>
        <v>300000</v>
      </c>
      <c r="L41" s="397">
        <v>0</v>
      </c>
      <c r="M41" s="400">
        <f t="shared" si="0"/>
        <v>0.49019607843137258</v>
      </c>
      <c r="N41" s="401" t="str">
        <f t="shared" ref="N41:N49" si="24">IFERROR(IF(I41&lt;&gt;"",J41/(I41*U41*Y41),""),"input error")</f>
        <v/>
      </c>
      <c r="O41" s="402">
        <f t="shared" ref="O41:O49" si="25">IFERROR(IF(L41&lt;&gt;"",L41/(J41+L41),""),"input error")</f>
        <v>0</v>
      </c>
      <c r="P41" s="387" t="s">
        <v>198</v>
      </c>
      <c r="Q41" s="403">
        <v>2</v>
      </c>
      <c r="R41" s="403">
        <v>7.5</v>
      </c>
      <c r="S41" s="403">
        <v>0</v>
      </c>
      <c r="T41" s="414">
        <f>IFERROR(IF(R41&lt;&gt;"",R41*Q41-S41,""),"input error")</f>
        <v>15</v>
      </c>
      <c r="U41" s="405">
        <f>'[1]伸线工时wire drawing'!H6</f>
        <v>83.162701036800001</v>
      </c>
      <c r="V41" s="406">
        <f t="shared" ref="V41:V49" si="26">IFERROR(IF(U41&lt;&gt;"",1/U41,""),"input error")</f>
        <v>1.2024621465306832E-2</v>
      </c>
      <c r="W41" s="406">
        <f t="shared" ref="W41:W49" si="27">IFERROR(IF(V41&lt;&gt;"",V41*J41,""),"input error")</f>
        <v>7.3529411764705896</v>
      </c>
      <c r="X41" s="410">
        <f>SUM(W41)</f>
        <v>7.3529411764705896</v>
      </c>
      <c r="Y41" s="408">
        <f>IFERROR(IF(W41&lt;&gt;"",T41*W41/X41,""),"input error")</f>
        <v>15</v>
      </c>
      <c r="Z41" s="8"/>
    </row>
    <row r="42" spans="1:26" ht="18.75" customHeight="1">
      <c r="A42" s="393">
        <v>45357</v>
      </c>
      <c r="B42" s="394" t="s">
        <v>187</v>
      </c>
      <c r="C42" s="394" t="s">
        <v>253</v>
      </c>
      <c r="D42" s="394"/>
      <c r="E42" s="395">
        <v>0.08</v>
      </c>
      <c r="F42" s="396" t="s">
        <v>185</v>
      </c>
      <c r="G42" s="397">
        <v>7</v>
      </c>
      <c r="H42" s="406">
        <f t="shared" si="23"/>
        <v>79.917380254030505</v>
      </c>
      <c r="I42" s="397">
        <v>8</v>
      </c>
      <c r="J42" s="398">
        <f t="shared" si="2"/>
        <v>80.793909504000013</v>
      </c>
      <c r="K42" s="399">
        <f>595000+615000+596000</f>
        <v>1806000</v>
      </c>
      <c r="L42" s="397">
        <v>0</v>
      </c>
      <c r="M42" s="400">
        <f t="shared" si="0"/>
        <v>1.0109679427326486</v>
      </c>
      <c r="N42" s="401">
        <f t="shared" si="24"/>
        <v>0.88459694989106741</v>
      </c>
      <c r="O42" s="402">
        <f t="shared" si="25"/>
        <v>0</v>
      </c>
      <c r="P42" s="387" t="s">
        <v>196</v>
      </c>
      <c r="Q42" s="415">
        <v>3</v>
      </c>
      <c r="R42" s="415">
        <v>7.5</v>
      </c>
      <c r="S42" s="415">
        <v>0</v>
      </c>
      <c r="T42" s="415">
        <f>IFERROR(IF(R42&lt;&gt;"",R42*Q42-S42,""),"input error")</f>
        <v>22.5</v>
      </c>
      <c r="U42" s="405">
        <f>'[1]伸线工时wire drawing'!H11</f>
        <v>3.4223333760000001</v>
      </c>
      <c r="V42" s="406">
        <f t="shared" si="26"/>
        <v>0.29219830160695598</v>
      </c>
      <c r="W42" s="406">
        <f t="shared" si="27"/>
        <v>23.607843137254903</v>
      </c>
      <c r="X42" s="416">
        <f>SUM(W42:W49)</f>
        <v>159.22745098039215</v>
      </c>
      <c r="Y42" s="408">
        <f>IFERROR(IF(W42&lt;&gt;"",$T$42*W42/$X$42,""),"input error")</f>
        <v>3.3359603970149996</v>
      </c>
      <c r="Z42" s="8"/>
    </row>
    <row r="43" spans="1:26" ht="18.75" customHeight="1">
      <c r="A43" s="393">
        <v>45357</v>
      </c>
      <c r="B43" s="394" t="s">
        <v>189</v>
      </c>
      <c r="C43" s="394" t="s">
        <v>253</v>
      </c>
      <c r="D43" s="394"/>
      <c r="E43" s="395">
        <v>0.08</v>
      </c>
      <c r="F43" s="396" t="s">
        <v>185</v>
      </c>
      <c r="G43" s="397">
        <v>7</v>
      </c>
      <c r="H43" s="406">
        <f t="shared" si="23"/>
        <v>77.63845163659829</v>
      </c>
      <c r="I43" s="397">
        <v>8</v>
      </c>
      <c r="J43" s="398">
        <f t="shared" si="2"/>
        <v>78.489985728000008</v>
      </c>
      <c r="K43" s="399">
        <f>612500+592000+550000</f>
        <v>1754500</v>
      </c>
      <c r="L43" s="397">
        <v>0</v>
      </c>
      <c r="M43" s="400">
        <f t="shared" si="0"/>
        <v>1.0109679427326486</v>
      </c>
      <c r="N43" s="401">
        <f t="shared" si="24"/>
        <v>0.88459694989106752</v>
      </c>
      <c r="O43" s="402">
        <f t="shared" si="25"/>
        <v>0</v>
      </c>
      <c r="P43" s="387" t="s">
        <v>196</v>
      </c>
      <c r="Q43" s="417"/>
      <c r="R43" s="417"/>
      <c r="S43" s="417"/>
      <c r="T43" s="417"/>
      <c r="U43" s="405">
        <f>'[1]伸线工时wire drawing'!H11</f>
        <v>3.4223333760000001</v>
      </c>
      <c r="V43" s="406">
        <f t="shared" si="26"/>
        <v>0.29219830160695598</v>
      </c>
      <c r="W43" s="406">
        <f t="shared" si="27"/>
        <v>22.934640522875817</v>
      </c>
      <c r="X43" s="418"/>
      <c r="Y43" s="408">
        <f t="shared" ref="Y43:Y49" si="28">IFERROR(IF(W43&lt;&gt;"",$T$42*W43/$X$42,""),"input error")</f>
        <v>3.2408319582296876</v>
      </c>
      <c r="Z43" s="8"/>
    </row>
    <row r="44" spans="1:26" ht="18.75" customHeight="1">
      <c r="A44" s="393">
        <v>45357</v>
      </c>
      <c r="B44" s="394" t="s">
        <v>190</v>
      </c>
      <c r="C44" s="394" t="s">
        <v>253</v>
      </c>
      <c r="D44" s="394"/>
      <c r="E44" s="395">
        <v>0.08</v>
      </c>
      <c r="F44" s="396" t="s">
        <v>185</v>
      </c>
      <c r="G44" s="397">
        <v>7</v>
      </c>
      <c r="H44" s="406">
        <f t="shared" si="23"/>
        <v>65.695095639608894</v>
      </c>
      <c r="I44" s="397">
        <v>8</v>
      </c>
      <c r="J44" s="398">
        <f t="shared" si="2"/>
        <v>66.415635686400009</v>
      </c>
      <c r="K44" s="399">
        <f>424600+520000+540000</f>
        <v>1484600</v>
      </c>
      <c r="L44" s="397">
        <v>0</v>
      </c>
      <c r="M44" s="400">
        <f t="shared" si="0"/>
        <v>1.0109679427326488</v>
      </c>
      <c r="N44" s="401">
        <f t="shared" si="24"/>
        <v>0.88459694989106752</v>
      </c>
      <c r="O44" s="402">
        <f t="shared" si="25"/>
        <v>0</v>
      </c>
      <c r="P44" s="387" t="s">
        <v>196</v>
      </c>
      <c r="Q44" s="417"/>
      <c r="R44" s="417"/>
      <c r="S44" s="417"/>
      <c r="T44" s="417"/>
      <c r="U44" s="405">
        <f>'[1]伸线工时wire drawing'!H11</f>
        <v>3.4223333760000001</v>
      </c>
      <c r="V44" s="406">
        <f t="shared" si="26"/>
        <v>0.29219830160695598</v>
      </c>
      <c r="W44" s="406">
        <f t="shared" si="27"/>
        <v>19.406535947712417</v>
      </c>
      <c r="X44" s="418"/>
      <c r="Y44" s="408">
        <f t="shared" si="28"/>
        <v>2.7422850528286089</v>
      </c>
      <c r="Z44" s="8"/>
    </row>
    <row r="45" spans="1:26" ht="18.75" customHeight="1">
      <c r="A45" s="393">
        <v>45357</v>
      </c>
      <c r="B45" s="394" t="s">
        <v>191</v>
      </c>
      <c r="C45" s="394" t="s">
        <v>253</v>
      </c>
      <c r="D45" s="394"/>
      <c r="E45" s="395">
        <v>0.08</v>
      </c>
      <c r="F45" s="396" t="s">
        <v>185</v>
      </c>
      <c r="G45" s="397">
        <v>7</v>
      </c>
      <c r="H45" s="406">
        <f t="shared" si="23"/>
        <v>80.603271391315928</v>
      </c>
      <c r="I45" s="397">
        <v>8</v>
      </c>
      <c r="J45" s="398">
        <f t="shared" si="2"/>
        <v>81.487323456000013</v>
      </c>
      <c r="K45" s="399">
        <f>592500+614000+615000</f>
        <v>1821500</v>
      </c>
      <c r="L45" s="397">
        <v>0</v>
      </c>
      <c r="M45" s="400">
        <f t="shared" si="0"/>
        <v>1.0109679427326486</v>
      </c>
      <c r="N45" s="401">
        <f t="shared" si="24"/>
        <v>0.88459694989106752</v>
      </c>
      <c r="O45" s="402">
        <f t="shared" si="25"/>
        <v>0</v>
      </c>
      <c r="P45" s="387" t="s">
        <v>196</v>
      </c>
      <c r="Q45" s="417"/>
      <c r="R45" s="417"/>
      <c r="S45" s="417"/>
      <c r="T45" s="417"/>
      <c r="U45" s="405">
        <f>'[1]伸线工时wire drawing'!H11</f>
        <v>3.4223333760000001</v>
      </c>
      <c r="V45" s="406">
        <f t="shared" si="26"/>
        <v>0.29219830160695598</v>
      </c>
      <c r="W45" s="406">
        <f t="shared" si="27"/>
        <v>23.81045751633987</v>
      </c>
      <c r="X45" s="418"/>
      <c r="Y45" s="408">
        <f t="shared" si="28"/>
        <v>3.3645912863581513</v>
      </c>
      <c r="Z45" s="8"/>
    </row>
    <row r="46" spans="1:26" ht="18.75" customHeight="1">
      <c r="A46" s="393">
        <v>45357</v>
      </c>
      <c r="B46" s="394" t="s">
        <v>192</v>
      </c>
      <c r="C46" s="394" t="s">
        <v>253</v>
      </c>
      <c r="D46" s="394"/>
      <c r="E46" s="395">
        <v>0.08</v>
      </c>
      <c r="F46" s="396" t="s">
        <v>185</v>
      </c>
      <c r="G46" s="397">
        <v>7</v>
      </c>
      <c r="H46" s="406">
        <f t="shared" si="23"/>
        <v>80.085534210268221</v>
      </c>
      <c r="I46" s="397">
        <v>8</v>
      </c>
      <c r="J46" s="398">
        <f t="shared" si="2"/>
        <v>80.963907763200012</v>
      </c>
      <c r="K46" s="399">
        <f>596500+604000+609300</f>
        <v>1809800</v>
      </c>
      <c r="L46" s="397">
        <v>0</v>
      </c>
      <c r="M46" s="400">
        <f t="shared" si="0"/>
        <v>1.0109679427326486</v>
      </c>
      <c r="N46" s="401">
        <f t="shared" si="24"/>
        <v>0.88459694989106752</v>
      </c>
      <c r="O46" s="402">
        <f t="shared" si="25"/>
        <v>0</v>
      </c>
      <c r="P46" s="387" t="s">
        <v>196</v>
      </c>
      <c r="Q46" s="417"/>
      <c r="R46" s="417"/>
      <c r="S46" s="417"/>
      <c r="T46" s="417"/>
      <c r="U46" s="405">
        <f>'[1]伸线工时wire drawing'!H11</f>
        <v>3.4223333760000001</v>
      </c>
      <c r="V46" s="406">
        <f t="shared" si="26"/>
        <v>0.29219830160695598</v>
      </c>
      <c r="W46" s="406">
        <f t="shared" si="27"/>
        <v>23.657516339869282</v>
      </c>
      <c r="X46" s="418"/>
      <c r="Y46" s="408">
        <f t="shared" si="28"/>
        <v>3.3429795827894497</v>
      </c>
      <c r="Z46" s="8"/>
    </row>
    <row r="47" spans="1:26" ht="18.75" customHeight="1">
      <c r="A47" s="393">
        <v>45357</v>
      </c>
      <c r="B47" s="394" t="s">
        <v>193</v>
      </c>
      <c r="C47" s="394" t="s">
        <v>253</v>
      </c>
      <c r="D47" s="394"/>
      <c r="E47" s="395">
        <v>0.08</v>
      </c>
      <c r="F47" s="396" t="s">
        <v>185</v>
      </c>
      <c r="G47" s="397">
        <v>7</v>
      </c>
      <c r="H47" s="406">
        <f t="shared" si="23"/>
        <v>76.642803211506532</v>
      </c>
      <c r="I47" s="397">
        <v>8</v>
      </c>
      <c r="J47" s="398">
        <f t="shared" si="2"/>
        <v>77.483417087999996</v>
      </c>
      <c r="K47" s="399">
        <f>536000+601000+595000</f>
        <v>1732000</v>
      </c>
      <c r="L47" s="397">
        <v>0</v>
      </c>
      <c r="M47" s="400">
        <f t="shared" si="0"/>
        <v>1.0109679427326486</v>
      </c>
      <c r="N47" s="401">
        <f t="shared" si="24"/>
        <v>0.88459694989106752</v>
      </c>
      <c r="O47" s="402">
        <f t="shared" si="25"/>
        <v>0</v>
      </c>
      <c r="P47" s="387" t="s">
        <v>196</v>
      </c>
      <c r="Q47" s="417"/>
      <c r="R47" s="417"/>
      <c r="S47" s="417"/>
      <c r="T47" s="417"/>
      <c r="U47" s="405">
        <f>'[1]伸线工时wire drawing'!H11</f>
        <v>3.4223333760000001</v>
      </c>
      <c r="V47" s="406">
        <f t="shared" si="26"/>
        <v>0.29219830160695598</v>
      </c>
      <c r="W47" s="406">
        <f t="shared" si="27"/>
        <v>22.640522875816991</v>
      </c>
      <c r="X47" s="418"/>
      <c r="Y47" s="408">
        <f t="shared" si="28"/>
        <v>3.1992709898283378</v>
      </c>
      <c r="Z47" s="8"/>
    </row>
    <row r="48" spans="1:26" ht="18.75" customHeight="1">
      <c r="A48" s="393">
        <v>45357</v>
      </c>
      <c r="B48" s="394" t="s">
        <v>199</v>
      </c>
      <c r="C48" s="394" t="s">
        <v>253</v>
      </c>
      <c r="D48" s="394"/>
      <c r="E48" s="395">
        <v>0.08</v>
      </c>
      <c r="F48" s="396" t="s">
        <v>185</v>
      </c>
      <c r="G48" s="397">
        <v>7</v>
      </c>
      <c r="H48" s="406">
        <f t="shared" si="23"/>
        <v>38.940916181365907</v>
      </c>
      <c r="I48" s="397">
        <v>8</v>
      </c>
      <c r="J48" s="398">
        <f t="shared" si="2"/>
        <v>39.368017920000007</v>
      </c>
      <c r="K48" s="399">
        <f>321000+559000</f>
        <v>880000</v>
      </c>
      <c r="L48" s="397">
        <v>0</v>
      </c>
      <c r="M48" s="400">
        <f t="shared" si="0"/>
        <v>1.0109679427326488</v>
      </c>
      <c r="N48" s="401">
        <f t="shared" si="24"/>
        <v>0.88459694989106763</v>
      </c>
      <c r="O48" s="402">
        <f t="shared" si="25"/>
        <v>0</v>
      </c>
      <c r="P48" s="387" t="s">
        <v>196</v>
      </c>
      <c r="Q48" s="417"/>
      <c r="R48" s="417"/>
      <c r="S48" s="417"/>
      <c r="T48" s="417"/>
      <c r="U48" s="405">
        <f>'[1]伸线工时wire drawing'!H11</f>
        <v>3.4223333760000001</v>
      </c>
      <c r="V48" s="406">
        <f t="shared" si="26"/>
        <v>0.29219830160695598</v>
      </c>
      <c r="W48" s="406">
        <f t="shared" si="27"/>
        <v>11.503267973856209</v>
      </c>
      <c r="X48" s="418"/>
      <c r="Y48" s="408">
        <f t="shared" si="28"/>
        <v>1.6254956530305642</v>
      </c>
      <c r="Z48" s="8"/>
    </row>
    <row r="49" spans="1:26" ht="18.75" customHeight="1">
      <c r="A49" s="393">
        <v>45357</v>
      </c>
      <c r="B49" s="394" t="s">
        <v>197</v>
      </c>
      <c r="C49" s="394" t="s">
        <v>253</v>
      </c>
      <c r="D49" s="394"/>
      <c r="E49" s="395">
        <v>0.16</v>
      </c>
      <c r="F49" s="396" t="s">
        <v>185</v>
      </c>
      <c r="G49" s="397">
        <v>7</v>
      </c>
      <c r="H49" s="406">
        <f t="shared" si="23"/>
        <v>136.91272121039333</v>
      </c>
      <c r="I49" s="397">
        <v>8</v>
      </c>
      <c r="J49" s="398">
        <f t="shared" si="2"/>
        <v>138.41437209599999</v>
      </c>
      <c r="K49" s="399">
        <f>206000+444000+123500</f>
        <v>773500</v>
      </c>
      <c r="L49" s="397">
        <v>0</v>
      </c>
      <c r="M49" s="400">
        <f t="shared" si="0"/>
        <v>1.0109679427326486</v>
      </c>
      <c r="N49" s="401">
        <f t="shared" si="24"/>
        <v>0.88459694989106752</v>
      </c>
      <c r="O49" s="402">
        <f t="shared" si="25"/>
        <v>0</v>
      </c>
      <c r="P49" s="387" t="s">
        <v>196</v>
      </c>
      <c r="Q49" s="419"/>
      <c r="R49" s="419"/>
      <c r="S49" s="419"/>
      <c r="T49" s="419"/>
      <c r="U49" s="405">
        <f>'[1]伸线工时wire drawing'!H19</f>
        <v>11.864089036799999</v>
      </c>
      <c r="V49" s="406">
        <f t="shared" si="26"/>
        <v>8.4287971617391169E-2</v>
      </c>
      <c r="W49" s="406">
        <f t="shared" si="27"/>
        <v>11.666666666666668</v>
      </c>
      <c r="X49" s="420"/>
      <c r="Y49" s="408">
        <f t="shared" si="28"/>
        <v>1.6485850799202031</v>
      </c>
      <c r="Z49" s="8"/>
    </row>
    <row r="50" spans="1:26" ht="18.75" customHeight="1">
      <c r="A50" s="393"/>
      <c r="B50" s="394"/>
      <c r="C50" s="394"/>
      <c r="D50" s="394"/>
      <c r="E50" s="395"/>
      <c r="F50" s="396"/>
      <c r="G50" s="397"/>
      <c r="H50" s="406"/>
      <c r="I50" s="397"/>
      <c r="J50" s="398"/>
      <c r="K50" s="399"/>
      <c r="L50" s="397"/>
      <c r="M50" s="400" t="str">
        <f t="shared" si="0"/>
        <v/>
      </c>
      <c r="N50" s="401"/>
      <c r="O50" s="402"/>
      <c r="P50" s="387"/>
      <c r="Q50" s="421"/>
      <c r="R50" s="421"/>
      <c r="S50" s="421"/>
      <c r="T50" s="422"/>
      <c r="U50" s="405"/>
      <c r="V50" s="406"/>
      <c r="W50" s="406"/>
      <c r="X50" s="423"/>
      <c r="Y50" s="408"/>
      <c r="Z50" s="8"/>
    </row>
    <row r="51" spans="1:26" ht="18.75" customHeight="1">
      <c r="A51" s="393">
        <v>45358</v>
      </c>
      <c r="B51" s="394" t="s">
        <v>184</v>
      </c>
      <c r="C51" s="394" t="s">
        <v>253</v>
      </c>
      <c r="D51" s="394"/>
      <c r="E51" s="395">
        <v>0.54</v>
      </c>
      <c r="F51" s="396" t="s">
        <v>185</v>
      </c>
      <c r="G51" s="397">
        <v>1</v>
      </c>
      <c r="H51" s="406">
        <f t="shared" ref="H51:H88" si="29">IFERROR(IF(G51&lt;&gt;"",G51*U51*Y51,""),"input error")</f>
        <v>1247.4405155520001</v>
      </c>
      <c r="I51" s="397"/>
      <c r="J51" s="398">
        <f t="shared" si="2"/>
        <v>611.69427894960006</v>
      </c>
      <c r="K51" s="399">
        <f>83100+217000</f>
        <v>300100</v>
      </c>
      <c r="L51" s="397">
        <v>0</v>
      </c>
      <c r="M51" s="400">
        <f t="shared" si="0"/>
        <v>0.49035947712418304</v>
      </c>
      <c r="N51" s="401" t="str">
        <f t="shared" ref="N51:N59" si="30">IFERROR(IF(I51&lt;&gt;"",J51/(I51*U51*Y51),""),"input error")</f>
        <v/>
      </c>
      <c r="O51" s="402">
        <f t="shared" ref="O51:O59" si="31">IFERROR(IF(L51&lt;&gt;"",L51/(J51+L51),""),"input error")</f>
        <v>0</v>
      </c>
      <c r="P51" s="387" t="s">
        <v>198</v>
      </c>
      <c r="Q51" s="403">
        <v>2</v>
      </c>
      <c r="R51" s="403">
        <v>7.5</v>
      </c>
      <c r="S51" s="403">
        <v>0</v>
      </c>
      <c r="T51" s="414">
        <f>IFERROR(IF(R51&lt;&gt;"",R51*Q51-S51,""),"input error")</f>
        <v>15</v>
      </c>
      <c r="U51" s="405">
        <f>'[1]伸线工时wire drawing'!H6</f>
        <v>83.162701036800001</v>
      </c>
      <c r="V51" s="406">
        <f t="shared" ref="V51:V59" si="32">IFERROR(IF(U51&lt;&gt;"",1/U51,""),"input error")</f>
        <v>1.2024621465306832E-2</v>
      </c>
      <c r="W51" s="406">
        <f t="shared" ref="W51:W59" si="33">IFERROR(IF(V51&lt;&gt;"",V51*J51,""),"input error")</f>
        <v>7.3553921568627461</v>
      </c>
      <c r="X51" s="410">
        <f>SUM(W51)</f>
        <v>7.3553921568627461</v>
      </c>
      <c r="Y51" s="408">
        <f t="shared" ref="Y51" si="34">IFERROR(IF(W51&lt;&gt;"",T51*W51/X51,""),"input error")</f>
        <v>15</v>
      </c>
      <c r="Z51" s="8"/>
    </row>
    <row r="52" spans="1:26" ht="18.75" customHeight="1">
      <c r="A52" s="393">
        <v>45358</v>
      </c>
      <c r="B52" s="394" t="s">
        <v>187</v>
      </c>
      <c r="C52" s="394" t="s">
        <v>253</v>
      </c>
      <c r="D52" s="394"/>
      <c r="E52" s="395">
        <v>0.08</v>
      </c>
      <c r="F52" s="396" t="s">
        <v>185</v>
      </c>
      <c r="G52" s="397">
        <v>7</v>
      </c>
      <c r="H52" s="406">
        <f t="shared" si="29"/>
        <v>80.842289669268396</v>
      </c>
      <c r="I52" s="397">
        <v>8</v>
      </c>
      <c r="J52" s="398">
        <f t="shared" si="2"/>
        <v>82.628101248000007</v>
      </c>
      <c r="K52" s="399">
        <f>625000+622000+600000</f>
        <v>1847000</v>
      </c>
      <c r="L52" s="397">
        <v>0</v>
      </c>
      <c r="M52" s="400">
        <f t="shared" si="0"/>
        <v>1.0220900667959492</v>
      </c>
      <c r="N52" s="401">
        <f t="shared" si="30"/>
        <v>0.89432880844645557</v>
      </c>
      <c r="O52" s="402">
        <f t="shared" si="31"/>
        <v>0</v>
      </c>
      <c r="P52" s="387" t="s">
        <v>196</v>
      </c>
      <c r="Q52" s="415">
        <v>3</v>
      </c>
      <c r="R52" s="415">
        <v>7.5</v>
      </c>
      <c r="S52" s="415">
        <v>0</v>
      </c>
      <c r="T52" s="415">
        <f>IFERROR(IF(R52&lt;&gt;"",R52*Q52-S52,""),"input error")</f>
        <v>22.5</v>
      </c>
      <c r="U52" s="405">
        <f>'[1]伸线工时wire drawing'!H11</f>
        <v>3.4223333760000001</v>
      </c>
      <c r="V52" s="406">
        <f t="shared" si="32"/>
        <v>0.29219830160695598</v>
      </c>
      <c r="W52" s="406">
        <f t="shared" si="33"/>
        <v>24.143790849673202</v>
      </c>
      <c r="X52" s="416">
        <f>SUM(W52:W59)</f>
        <v>160.97918552036199</v>
      </c>
      <c r="Y52" s="408">
        <f>IFERROR(IF(W52&lt;&gt;"",$T$52*W52/$X$52,""),"input error")</f>
        <v>3.3745685341968272</v>
      </c>
      <c r="Z52" s="8"/>
    </row>
    <row r="53" spans="1:26" ht="18.75" customHeight="1">
      <c r="A53" s="393">
        <v>45358</v>
      </c>
      <c r="B53" s="394" t="s">
        <v>189</v>
      </c>
      <c r="C53" s="394" t="s">
        <v>253</v>
      </c>
      <c r="D53" s="394"/>
      <c r="E53" s="395">
        <v>0.08</v>
      </c>
      <c r="F53" s="396" t="s">
        <v>185</v>
      </c>
      <c r="G53" s="397">
        <v>7</v>
      </c>
      <c r="H53" s="406">
        <f t="shared" si="29"/>
        <v>76.596646952474117</v>
      </c>
      <c r="I53" s="397">
        <v>8</v>
      </c>
      <c r="J53" s="398">
        <f t="shared" si="2"/>
        <v>78.288672000000005</v>
      </c>
      <c r="K53" s="399">
        <f>575000+609500+565500</f>
        <v>1750000</v>
      </c>
      <c r="L53" s="397">
        <v>0</v>
      </c>
      <c r="M53" s="400">
        <f t="shared" si="0"/>
        <v>1.0220900667959492</v>
      </c>
      <c r="N53" s="401">
        <f t="shared" si="30"/>
        <v>0.89432880844645546</v>
      </c>
      <c r="O53" s="402">
        <f t="shared" si="31"/>
        <v>0</v>
      </c>
      <c r="P53" s="387" t="s">
        <v>196</v>
      </c>
      <c r="Q53" s="417"/>
      <c r="R53" s="417"/>
      <c r="S53" s="417"/>
      <c r="T53" s="417"/>
      <c r="U53" s="405">
        <f>'[1]伸线工时wire drawing'!H11</f>
        <v>3.4223333760000001</v>
      </c>
      <c r="V53" s="406">
        <f t="shared" si="32"/>
        <v>0.29219830160695598</v>
      </c>
      <c r="W53" s="406">
        <f t="shared" si="33"/>
        <v>22.875816993464053</v>
      </c>
      <c r="X53" s="418"/>
      <c r="Y53" s="408">
        <f t="shared" ref="Y53:Y59" si="35">IFERROR(IF(W53&lt;&gt;"",$T$52*W53/$X$52,""),"input error")</f>
        <v>3.1973443069000802</v>
      </c>
      <c r="Z53" s="8"/>
    </row>
    <row r="54" spans="1:26" ht="18.75" customHeight="1">
      <c r="A54" s="393">
        <v>45358</v>
      </c>
      <c r="B54" s="394" t="s">
        <v>190</v>
      </c>
      <c r="C54" s="394" t="s">
        <v>253</v>
      </c>
      <c r="D54" s="394"/>
      <c r="E54" s="395">
        <v>0.08</v>
      </c>
      <c r="F54" s="396" t="s">
        <v>185</v>
      </c>
      <c r="G54" s="397">
        <v>7</v>
      </c>
      <c r="H54" s="406">
        <f t="shared" si="29"/>
        <v>79.26658721767464</v>
      </c>
      <c r="I54" s="397">
        <v>8</v>
      </c>
      <c r="J54" s="398">
        <f t="shared" si="2"/>
        <v>81.017591424000017</v>
      </c>
      <c r="K54" s="399">
        <f>596000+610000+605000</f>
        <v>1811000</v>
      </c>
      <c r="L54" s="397">
        <v>0</v>
      </c>
      <c r="M54" s="400">
        <f t="shared" si="0"/>
        <v>1.0220900667959494</v>
      </c>
      <c r="N54" s="401">
        <f t="shared" si="30"/>
        <v>0.89432880844645568</v>
      </c>
      <c r="O54" s="402">
        <f t="shared" si="31"/>
        <v>0</v>
      </c>
      <c r="P54" s="387" t="s">
        <v>196</v>
      </c>
      <c r="Q54" s="417"/>
      <c r="R54" s="417"/>
      <c r="S54" s="417"/>
      <c r="T54" s="417"/>
      <c r="U54" s="405">
        <f>'[1]伸线工时wire drawing'!H11</f>
        <v>3.4223333760000001</v>
      </c>
      <c r="V54" s="406">
        <f t="shared" si="32"/>
        <v>0.29219830160695598</v>
      </c>
      <c r="W54" s="406">
        <f t="shared" si="33"/>
        <v>23.673202614379086</v>
      </c>
      <c r="X54" s="418"/>
      <c r="Y54" s="408">
        <f t="shared" si="35"/>
        <v>3.3087945941691683</v>
      </c>
      <c r="Z54" s="8"/>
    </row>
    <row r="55" spans="1:26" ht="18.75" customHeight="1">
      <c r="A55" s="393">
        <v>45358</v>
      </c>
      <c r="B55" s="394" t="s">
        <v>191</v>
      </c>
      <c r="C55" s="394" t="s">
        <v>253</v>
      </c>
      <c r="D55" s="394"/>
      <c r="E55" s="395">
        <v>0.08</v>
      </c>
      <c r="F55" s="396" t="s">
        <v>185</v>
      </c>
      <c r="G55" s="397">
        <v>7</v>
      </c>
      <c r="H55" s="406">
        <f t="shared" si="29"/>
        <v>78.631929285782704</v>
      </c>
      <c r="I55" s="397">
        <v>8</v>
      </c>
      <c r="J55" s="398">
        <f t="shared" si="2"/>
        <v>80.36891385600002</v>
      </c>
      <c r="K55" s="399">
        <f>623000+591000+582500</f>
        <v>1796500</v>
      </c>
      <c r="L55" s="397">
        <v>0</v>
      </c>
      <c r="M55" s="400">
        <f t="shared" si="0"/>
        <v>1.0220900667959494</v>
      </c>
      <c r="N55" s="401">
        <f t="shared" si="30"/>
        <v>0.89432880844645568</v>
      </c>
      <c r="O55" s="402">
        <f t="shared" si="31"/>
        <v>0</v>
      </c>
      <c r="P55" s="387" t="s">
        <v>196</v>
      </c>
      <c r="Q55" s="417"/>
      <c r="R55" s="417"/>
      <c r="S55" s="417"/>
      <c r="T55" s="417"/>
      <c r="U55" s="405">
        <f>'[1]伸线工时wire drawing'!H11</f>
        <v>3.4223333760000001</v>
      </c>
      <c r="V55" s="406">
        <f t="shared" si="32"/>
        <v>0.29219830160695598</v>
      </c>
      <c r="W55" s="406">
        <f t="shared" si="33"/>
        <v>23.483660130718956</v>
      </c>
      <c r="X55" s="418"/>
      <c r="Y55" s="408">
        <f t="shared" si="35"/>
        <v>3.2823023127691391</v>
      </c>
      <c r="Z55" s="8"/>
    </row>
    <row r="56" spans="1:26" ht="18.75" customHeight="1">
      <c r="A56" s="393">
        <v>45358</v>
      </c>
      <c r="B56" s="394" t="s">
        <v>192</v>
      </c>
      <c r="C56" s="394" t="s">
        <v>253</v>
      </c>
      <c r="D56" s="394"/>
      <c r="E56" s="395">
        <v>0.08</v>
      </c>
      <c r="F56" s="396" t="s">
        <v>185</v>
      </c>
      <c r="G56" s="397">
        <v>7</v>
      </c>
      <c r="H56" s="406">
        <f t="shared" si="29"/>
        <v>62.01264537272305</v>
      </c>
      <c r="I56" s="397">
        <v>8</v>
      </c>
      <c r="J56" s="398">
        <f t="shared" si="2"/>
        <v>63.382508851200008</v>
      </c>
      <c r="K56" s="399">
        <f>605300+512000+299500</f>
        <v>1416800</v>
      </c>
      <c r="L56" s="397">
        <v>0</v>
      </c>
      <c r="M56" s="400">
        <f t="shared" si="0"/>
        <v>1.0220900667959492</v>
      </c>
      <c r="N56" s="401">
        <f t="shared" si="30"/>
        <v>0.89432880844645546</v>
      </c>
      <c r="O56" s="402">
        <f t="shared" si="31"/>
        <v>0</v>
      </c>
      <c r="P56" s="387" t="s">
        <v>196</v>
      </c>
      <c r="Q56" s="417"/>
      <c r="R56" s="417"/>
      <c r="S56" s="417"/>
      <c r="T56" s="417"/>
      <c r="U56" s="405">
        <f>'[1]伸线工时wire drawing'!H11</f>
        <v>3.4223333760000001</v>
      </c>
      <c r="V56" s="406">
        <f t="shared" si="32"/>
        <v>0.29219830160695598</v>
      </c>
      <c r="W56" s="406">
        <f t="shared" si="33"/>
        <v>18.520261437908498</v>
      </c>
      <c r="X56" s="418"/>
      <c r="Y56" s="408">
        <f t="shared" si="35"/>
        <v>2.5885699508663049</v>
      </c>
      <c r="Z56" s="8"/>
    </row>
    <row r="57" spans="1:26" ht="18.75" customHeight="1">
      <c r="A57" s="393">
        <v>45358</v>
      </c>
      <c r="B57" s="394" t="s">
        <v>193</v>
      </c>
      <c r="C57" s="394" t="s">
        <v>253</v>
      </c>
      <c r="D57" s="394"/>
      <c r="E57" s="395">
        <v>0.08</v>
      </c>
      <c r="F57" s="396" t="s">
        <v>185</v>
      </c>
      <c r="G57" s="397">
        <v>7</v>
      </c>
      <c r="H57" s="406">
        <f t="shared" si="29"/>
        <v>65.120280763366267</v>
      </c>
      <c r="I57" s="397">
        <v>8</v>
      </c>
      <c r="J57" s="398">
        <f t="shared" si="2"/>
        <v>66.558792115200006</v>
      </c>
      <c r="K57" s="399">
        <f>568800+611500+307500</f>
        <v>1487800</v>
      </c>
      <c r="L57" s="397">
        <v>0</v>
      </c>
      <c r="M57" s="400">
        <f t="shared" si="0"/>
        <v>1.0220900667959494</v>
      </c>
      <c r="N57" s="401">
        <f t="shared" si="30"/>
        <v>0.89432880844645568</v>
      </c>
      <c r="O57" s="402">
        <f t="shared" si="31"/>
        <v>0</v>
      </c>
      <c r="P57" s="387" t="s">
        <v>196</v>
      </c>
      <c r="Q57" s="417"/>
      <c r="R57" s="417"/>
      <c r="S57" s="417"/>
      <c r="T57" s="417"/>
      <c r="U57" s="405">
        <f>'[1]伸线工时wire drawing'!H11</f>
        <v>3.4223333760000001</v>
      </c>
      <c r="V57" s="406">
        <f t="shared" si="32"/>
        <v>0.29219830160695598</v>
      </c>
      <c r="W57" s="406">
        <f t="shared" si="33"/>
        <v>19.448366013071894</v>
      </c>
      <c r="X57" s="418"/>
      <c r="Y57" s="408">
        <f t="shared" si="35"/>
        <v>2.7182907770319646</v>
      </c>
      <c r="Z57" s="8"/>
    </row>
    <row r="58" spans="1:26" ht="18.75" customHeight="1">
      <c r="A58" s="393">
        <v>45358</v>
      </c>
      <c r="B58" s="394" t="s">
        <v>199</v>
      </c>
      <c r="C58" s="394" t="s">
        <v>253</v>
      </c>
      <c r="D58" s="394"/>
      <c r="E58" s="395">
        <v>0.08</v>
      </c>
      <c r="F58" s="396" t="s">
        <v>185</v>
      </c>
      <c r="G58" s="397">
        <v>7</v>
      </c>
      <c r="H58" s="406">
        <f t="shared" si="29"/>
        <v>66.245157235754036</v>
      </c>
      <c r="I58" s="397">
        <v>8</v>
      </c>
      <c r="J58" s="398">
        <f t="shared" si="2"/>
        <v>67.708517184000016</v>
      </c>
      <c r="K58" s="399">
        <f>465500+473000+575000</f>
        <v>1513500</v>
      </c>
      <c r="L58" s="397">
        <v>0</v>
      </c>
      <c r="M58" s="400">
        <f t="shared" si="0"/>
        <v>1.0220900667959494</v>
      </c>
      <c r="N58" s="401">
        <f t="shared" si="30"/>
        <v>0.89432880844645568</v>
      </c>
      <c r="O58" s="402">
        <f t="shared" si="31"/>
        <v>0</v>
      </c>
      <c r="P58" s="387" t="s">
        <v>196</v>
      </c>
      <c r="Q58" s="417"/>
      <c r="R58" s="417"/>
      <c r="S58" s="417"/>
      <c r="T58" s="417"/>
      <c r="U58" s="405">
        <f>'[1]伸线工时wire drawing'!H11</f>
        <v>3.4223333760000001</v>
      </c>
      <c r="V58" s="406">
        <f t="shared" si="32"/>
        <v>0.29219830160695598</v>
      </c>
      <c r="W58" s="406">
        <f t="shared" si="33"/>
        <v>19.784313725490197</v>
      </c>
      <c r="X58" s="418"/>
      <c r="Y58" s="408">
        <f t="shared" si="35"/>
        <v>2.7652460619961547</v>
      </c>
      <c r="Z58" s="8"/>
    </row>
    <row r="59" spans="1:26" ht="18.75" customHeight="1">
      <c r="A59" s="393">
        <v>45358</v>
      </c>
      <c r="B59" s="394" t="s">
        <v>197</v>
      </c>
      <c r="C59" s="394" t="s">
        <v>253</v>
      </c>
      <c r="D59" s="394"/>
      <c r="E59" s="395">
        <v>0.16</v>
      </c>
      <c r="F59" s="396" t="s">
        <v>185</v>
      </c>
      <c r="G59" s="397">
        <v>7</v>
      </c>
      <c r="H59" s="406">
        <f t="shared" si="29"/>
        <v>105.04683010625023</v>
      </c>
      <c r="I59" s="397">
        <v>8</v>
      </c>
      <c r="J59" s="398">
        <f t="shared" si="2"/>
        <v>107.36732160000001</v>
      </c>
      <c r="K59" s="399">
        <f>122000+478000</f>
        <v>600000</v>
      </c>
      <c r="L59" s="397">
        <v>0</v>
      </c>
      <c r="M59" s="400">
        <f t="shared" si="0"/>
        <v>1.0220900667959492</v>
      </c>
      <c r="N59" s="401">
        <f t="shared" si="30"/>
        <v>0.89432880844645546</v>
      </c>
      <c r="O59" s="402">
        <f t="shared" si="31"/>
        <v>0</v>
      </c>
      <c r="P59" s="387" t="s">
        <v>196</v>
      </c>
      <c r="Q59" s="419"/>
      <c r="R59" s="419"/>
      <c r="S59" s="419"/>
      <c r="T59" s="419"/>
      <c r="U59" s="405">
        <f>'[1]伸线工时wire drawing'!H19</f>
        <v>11.864089036799999</v>
      </c>
      <c r="V59" s="406">
        <f t="shared" si="32"/>
        <v>8.4287971617391169E-2</v>
      </c>
      <c r="W59" s="406">
        <f t="shared" si="33"/>
        <v>9.0497737556561102</v>
      </c>
      <c r="X59" s="420"/>
      <c r="Y59" s="408">
        <f t="shared" si="35"/>
        <v>1.2648834620703615</v>
      </c>
      <c r="Z59" s="8"/>
    </row>
    <row r="60" spans="1:26" ht="18.75" customHeight="1">
      <c r="A60" s="393"/>
      <c r="B60" s="394"/>
      <c r="C60" s="394"/>
      <c r="D60" s="394"/>
      <c r="E60" s="395"/>
      <c r="F60" s="396"/>
      <c r="G60" s="397"/>
      <c r="H60" s="406"/>
      <c r="I60" s="397"/>
      <c r="J60" s="398"/>
      <c r="K60" s="399"/>
      <c r="L60" s="397"/>
      <c r="M60" s="400" t="str">
        <f t="shared" si="0"/>
        <v/>
      </c>
      <c r="N60" s="401"/>
      <c r="O60" s="402"/>
      <c r="P60" s="387"/>
      <c r="Q60" s="421"/>
      <c r="R60" s="421"/>
      <c r="S60" s="421"/>
      <c r="T60" s="422"/>
      <c r="U60" s="405"/>
      <c r="V60" s="406"/>
      <c r="W60" s="406"/>
      <c r="X60" s="423"/>
      <c r="Y60" s="408"/>
      <c r="Z60" s="8"/>
    </row>
    <row r="61" spans="1:26" ht="18.75" customHeight="1">
      <c r="A61" s="393">
        <v>45359</v>
      </c>
      <c r="B61" s="394" t="s">
        <v>184</v>
      </c>
      <c r="C61" s="394" t="s">
        <v>253</v>
      </c>
      <c r="D61" s="394"/>
      <c r="E61" s="395">
        <v>0.54</v>
      </c>
      <c r="F61" s="396" t="s">
        <v>185</v>
      </c>
      <c r="G61" s="397">
        <v>1</v>
      </c>
      <c r="H61" s="406">
        <f t="shared" si="29"/>
        <v>1247.4405155520001</v>
      </c>
      <c r="I61" s="397"/>
      <c r="J61" s="398">
        <f t="shared" si="2"/>
        <v>611.49044880000008</v>
      </c>
      <c r="K61" s="399">
        <f>100000+200000</f>
        <v>300000</v>
      </c>
      <c r="L61" s="397">
        <v>0</v>
      </c>
      <c r="M61" s="400">
        <f t="shared" si="0"/>
        <v>0.49019607843137258</v>
      </c>
      <c r="N61" s="401" t="str">
        <f t="shared" ref="N61:N69" si="36">IFERROR(IF(I61&lt;&gt;"",J61/(I61*U61*Y61),""),"input error")</f>
        <v/>
      </c>
      <c r="O61" s="402">
        <f t="shared" ref="O61:O69" si="37">IFERROR(IF(L61&lt;&gt;"",L61/(J61+L61),""),"input error")</f>
        <v>0</v>
      </c>
      <c r="P61" s="387" t="s">
        <v>195</v>
      </c>
      <c r="Q61" s="403">
        <v>2</v>
      </c>
      <c r="R61" s="403">
        <v>7.5</v>
      </c>
      <c r="S61" s="403">
        <v>0</v>
      </c>
      <c r="T61" s="414">
        <f>IFERROR(IF(R61&lt;&gt;"",R61*Q61-S61,""),"input error")</f>
        <v>15</v>
      </c>
      <c r="U61" s="405">
        <f>'[1]伸线工时wire drawing'!H6</f>
        <v>83.162701036800001</v>
      </c>
      <c r="V61" s="406">
        <f t="shared" ref="V61:V69" si="38">IFERROR(IF(U61&lt;&gt;"",1/U61,""),"input error")</f>
        <v>1.2024621465306832E-2</v>
      </c>
      <c r="W61" s="406">
        <f t="shared" ref="W61:W69" si="39">IFERROR(IF(V61&lt;&gt;"",V61*J61,""),"input error")</f>
        <v>7.3529411764705896</v>
      </c>
      <c r="X61" s="410">
        <f>SUM(W61)</f>
        <v>7.3529411764705896</v>
      </c>
      <c r="Y61" s="408">
        <f t="shared" ref="Y61" si="40">IFERROR(IF(W61&lt;&gt;"",T61*W61/X61,""),"input error")</f>
        <v>15</v>
      </c>
      <c r="Z61" s="8"/>
    </row>
    <row r="62" spans="1:26" ht="18.75" customHeight="1">
      <c r="A62" s="393">
        <v>45359</v>
      </c>
      <c r="B62" s="394" t="s">
        <v>187</v>
      </c>
      <c r="C62" s="394" t="s">
        <v>253</v>
      </c>
      <c r="D62" s="394"/>
      <c r="E62" s="395">
        <v>0.08</v>
      </c>
      <c r="F62" s="396" t="s">
        <v>185</v>
      </c>
      <c r="G62" s="397">
        <v>7</v>
      </c>
      <c r="H62" s="406">
        <f t="shared" si="29"/>
        <v>60.148501342222225</v>
      </c>
      <c r="I62" s="397">
        <v>8</v>
      </c>
      <c r="J62" s="398">
        <f t="shared" si="2"/>
        <v>57.275992435200003</v>
      </c>
      <c r="K62" s="399">
        <f>427000+240300+613000</f>
        <v>1280300</v>
      </c>
      <c r="L62" s="397">
        <v>0</v>
      </c>
      <c r="M62" s="400">
        <f t="shared" si="0"/>
        <v>0.95224305106658047</v>
      </c>
      <c r="N62" s="401">
        <f t="shared" si="36"/>
        <v>0.8332126696832578</v>
      </c>
      <c r="O62" s="402">
        <f t="shared" si="37"/>
        <v>0</v>
      </c>
      <c r="P62" s="387" t="s">
        <v>196</v>
      </c>
      <c r="Q62" s="415">
        <v>3</v>
      </c>
      <c r="R62" s="415">
        <v>7.5</v>
      </c>
      <c r="S62" s="415">
        <v>0</v>
      </c>
      <c r="T62" s="415">
        <f>IFERROR(IF(R62&lt;&gt;"",R62*Q62-S62,""),"input error")</f>
        <v>22.5</v>
      </c>
      <c r="U62" s="405">
        <f>'[1]伸线工时wire drawing'!H11</f>
        <v>3.4223333760000001</v>
      </c>
      <c r="V62" s="406">
        <f t="shared" si="38"/>
        <v>0.29219830160695598</v>
      </c>
      <c r="W62" s="406">
        <f t="shared" si="39"/>
        <v>16.735947712418298</v>
      </c>
      <c r="X62" s="416">
        <f>SUM(W62:W69)</f>
        <v>149.9782805429864</v>
      </c>
      <c r="Y62" s="408">
        <f>IFERROR(IF(W62&lt;&gt;"",$T$62*W62/$X$62,""),"input error")</f>
        <v>2.5107557052001499</v>
      </c>
      <c r="Z62" s="8"/>
    </row>
    <row r="63" spans="1:26" ht="18.75" customHeight="1">
      <c r="A63" s="393">
        <v>45359</v>
      </c>
      <c r="B63" s="394" t="s">
        <v>189</v>
      </c>
      <c r="C63" s="394" t="s">
        <v>253</v>
      </c>
      <c r="D63" s="394"/>
      <c r="E63" s="395">
        <v>0.08</v>
      </c>
      <c r="F63" s="396" t="s">
        <v>185</v>
      </c>
      <c r="G63" s="397">
        <v>7</v>
      </c>
      <c r="H63" s="406">
        <f t="shared" si="29"/>
        <v>68.097518312544821</v>
      </c>
      <c r="I63" s="397">
        <v>8</v>
      </c>
      <c r="J63" s="398">
        <f t="shared" si="2"/>
        <v>64.845388608000007</v>
      </c>
      <c r="K63" s="399">
        <f>439000+585000+425500</f>
        <v>1449500</v>
      </c>
      <c r="L63" s="397">
        <v>0</v>
      </c>
      <c r="M63" s="400">
        <f t="shared" si="0"/>
        <v>0.95224305106658036</v>
      </c>
      <c r="N63" s="401">
        <f t="shared" si="36"/>
        <v>0.83321266968325791</v>
      </c>
      <c r="O63" s="402">
        <f t="shared" si="37"/>
        <v>0</v>
      </c>
      <c r="P63" s="387" t="s">
        <v>196</v>
      </c>
      <c r="Q63" s="417"/>
      <c r="R63" s="417"/>
      <c r="S63" s="417"/>
      <c r="T63" s="417"/>
      <c r="U63" s="405">
        <f>'[1]伸线工时wire drawing'!H11</f>
        <v>3.4223333760000001</v>
      </c>
      <c r="V63" s="406">
        <f t="shared" si="38"/>
        <v>0.29219830160695598</v>
      </c>
      <c r="W63" s="406">
        <f t="shared" si="39"/>
        <v>18.947712418300654</v>
      </c>
      <c r="X63" s="418"/>
      <c r="Y63" s="408">
        <f t="shared" ref="Y63:Y69" si="41">IFERROR(IF(W63&lt;&gt;"",$T$62*W63/$X$62,""),"input error")</f>
        <v>2.84256845636774</v>
      </c>
      <c r="Z63" s="8"/>
    </row>
    <row r="64" spans="1:26" ht="18.75" customHeight="1">
      <c r="A64" s="393">
        <v>45359</v>
      </c>
      <c r="B64" s="394" t="s">
        <v>190</v>
      </c>
      <c r="C64" s="394" t="s">
        <v>253</v>
      </c>
      <c r="D64" s="394"/>
      <c r="E64" s="395">
        <v>0.08</v>
      </c>
      <c r="F64" s="396" t="s">
        <v>185</v>
      </c>
      <c r="G64" s="397">
        <v>7</v>
      </c>
      <c r="H64" s="406">
        <f t="shared" si="29"/>
        <v>51.837738327741945</v>
      </c>
      <c r="I64" s="397">
        <v>8</v>
      </c>
      <c r="J64" s="398">
        <f t="shared" si="2"/>
        <v>49.362126105600005</v>
      </c>
      <c r="K64" s="399">
        <f>326000+403000+374400</f>
        <v>1103400</v>
      </c>
      <c r="L64" s="397">
        <v>0</v>
      </c>
      <c r="M64" s="400">
        <f t="shared" si="0"/>
        <v>0.95224305106658036</v>
      </c>
      <c r="N64" s="401">
        <f t="shared" si="36"/>
        <v>0.8332126696832578</v>
      </c>
      <c r="O64" s="402">
        <f t="shared" si="37"/>
        <v>0</v>
      </c>
      <c r="P64" s="387" t="s">
        <v>196</v>
      </c>
      <c r="Q64" s="417"/>
      <c r="R64" s="417"/>
      <c r="S64" s="417"/>
      <c r="T64" s="417"/>
      <c r="U64" s="405">
        <f>'[1]伸线工时wire drawing'!H11</f>
        <v>3.4223333760000001</v>
      </c>
      <c r="V64" s="406">
        <f t="shared" si="38"/>
        <v>0.29219830160695598</v>
      </c>
      <c r="W64" s="406">
        <f t="shared" si="39"/>
        <v>14.423529411764706</v>
      </c>
      <c r="X64" s="418"/>
      <c r="Y64" s="408">
        <f t="shared" si="41"/>
        <v>2.1638427283588579</v>
      </c>
      <c r="Z64" s="8"/>
    </row>
    <row r="65" spans="1:26" ht="18.75" customHeight="1">
      <c r="A65" s="393">
        <v>45359</v>
      </c>
      <c r="B65" s="394" t="s">
        <v>191</v>
      </c>
      <c r="C65" s="394" t="s">
        <v>253</v>
      </c>
      <c r="D65" s="394"/>
      <c r="E65" s="395">
        <v>0.08</v>
      </c>
      <c r="F65" s="396" t="s">
        <v>185</v>
      </c>
      <c r="G65" s="397">
        <v>7</v>
      </c>
      <c r="H65" s="406">
        <f t="shared" si="29"/>
        <v>83.90629024229392</v>
      </c>
      <c r="I65" s="397">
        <v>8</v>
      </c>
      <c r="J65" s="398">
        <f t="shared" si="2"/>
        <v>79.89918182400001</v>
      </c>
      <c r="K65" s="399">
        <f>610000+596000+580000</f>
        <v>1786000</v>
      </c>
      <c r="L65" s="397">
        <v>0</v>
      </c>
      <c r="M65" s="400">
        <f t="shared" si="0"/>
        <v>0.95224305106658047</v>
      </c>
      <c r="N65" s="401">
        <f t="shared" si="36"/>
        <v>0.83321266968325791</v>
      </c>
      <c r="O65" s="402">
        <f t="shared" si="37"/>
        <v>0</v>
      </c>
      <c r="P65" s="387" t="s">
        <v>196</v>
      </c>
      <c r="Q65" s="417"/>
      <c r="R65" s="417"/>
      <c r="S65" s="417"/>
      <c r="T65" s="417"/>
      <c r="U65" s="405">
        <f>'[1]伸线工时wire drawing'!H11</f>
        <v>3.4223333760000001</v>
      </c>
      <c r="V65" s="406">
        <f t="shared" si="38"/>
        <v>0.29219830160695598</v>
      </c>
      <c r="W65" s="406">
        <f t="shared" si="39"/>
        <v>23.346405228758169</v>
      </c>
      <c r="X65" s="418"/>
      <c r="Y65" s="408">
        <f t="shared" si="41"/>
        <v>3.5024679289912268</v>
      </c>
      <c r="Z65" s="8"/>
    </row>
    <row r="66" spans="1:26" ht="18.75" customHeight="1">
      <c r="A66" s="393">
        <v>45359</v>
      </c>
      <c r="B66" s="394" t="s">
        <v>192</v>
      </c>
      <c r="C66" s="394" t="s">
        <v>253</v>
      </c>
      <c r="D66" s="394"/>
      <c r="E66" s="395">
        <v>0.08</v>
      </c>
      <c r="F66" s="396" t="s">
        <v>185</v>
      </c>
      <c r="G66" s="397">
        <v>7</v>
      </c>
      <c r="H66" s="406">
        <f t="shared" si="29"/>
        <v>84.230452281863805</v>
      </c>
      <c r="I66" s="397">
        <v>8</v>
      </c>
      <c r="J66" s="398">
        <f t="shared" si="2"/>
        <v>80.207862873600007</v>
      </c>
      <c r="K66" s="399">
        <f>582900+600000+610000</f>
        <v>1792900</v>
      </c>
      <c r="L66" s="397">
        <v>0</v>
      </c>
      <c r="M66" s="400">
        <f t="shared" si="0"/>
        <v>0.95224305106658047</v>
      </c>
      <c r="N66" s="401">
        <f t="shared" si="36"/>
        <v>0.83321266968325802</v>
      </c>
      <c r="O66" s="402">
        <f t="shared" si="37"/>
        <v>0</v>
      </c>
      <c r="P66" s="387" t="s">
        <v>196</v>
      </c>
      <c r="Q66" s="417"/>
      <c r="R66" s="417"/>
      <c r="S66" s="417"/>
      <c r="T66" s="417"/>
      <c r="U66" s="405">
        <f>'[1]伸线工时wire drawing'!H11</f>
        <v>3.4223333760000001</v>
      </c>
      <c r="V66" s="406">
        <f t="shared" si="38"/>
        <v>0.29219830160695598</v>
      </c>
      <c r="W66" s="406">
        <f t="shared" si="39"/>
        <v>23.436601307189541</v>
      </c>
      <c r="X66" s="418"/>
      <c r="Y66" s="408">
        <f t="shared" si="41"/>
        <v>3.5159993000494794</v>
      </c>
      <c r="Z66" s="8"/>
    </row>
    <row r="67" spans="1:26" ht="18.75" customHeight="1">
      <c r="A67" s="393">
        <v>45359</v>
      </c>
      <c r="B67" s="394" t="s">
        <v>193</v>
      </c>
      <c r="C67" s="394" t="s">
        <v>253</v>
      </c>
      <c r="D67" s="394"/>
      <c r="E67" s="395">
        <v>0.08</v>
      </c>
      <c r="F67" s="396" t="s">
        <v>185</v>
      </c>
      <c r="G67" s="397">
        <v>7</v>
      </c>
      <c r="H67" s="406">
        <f t="shared" si="29"/>
        <v>81.745209978494628</v>
      </c>
      <c r="I67" s="397">
        <v>8</v>
      </c>
      <c r="J67" s="398">
        <f t="shared" si="2"/>
        <v>77.841308159999997</v>
      </c>
      <c r="K67" s="399">
        <f>570000+563000+607000</f>
        <v>1740000</v>
      </c>
      <c r="L67" s="397">
        <v>0</v>
      </c>
      <c r="M67" s="400">
        <f t="shared" si="0"/>
        <v>0.95224305106658036</v>
      </c>
      <c r="N67" s="401">
        <f t="shared" si="36"/>
        <v>0.8332126696832578</v>
      </c>
      <c r="O67" s="402">
        <f t="shared" si="37"/>
        <v>0</v>
      </c>
      <c r="P67" s="387" t="s">
        <v>196</v>
      </c>
      <c r="Q67" s="417"/>
      <c r="R67" s="417"/>
      <c r="S67" s="417"/>
      <c r="T67" s="417"/>
      <c r="U67" s="405">
        <f>'[1]伸线工时wire drawing'!H11</f>
        <v>3.4223333760000001</v>
      </c>
      <c r="V67" s="406">
        <f t="shared" si="38"/>
        <v>0.29219830160695598</v>
      </c>
      <c r="W67" s="406">
        <f t="shared" si="39"/>
        <v>22.745098039215684</v>
      </c>
      <c r="X67" s="418"/>
      <c r="Y67" s="408">
        <f t="shared" si="41"/>
        <v>3.412258788602875</v>
      </c>
      <c r="Z67" s="8"/>
    </row>
    <row r="68" spans="1:26" ht="18.75" customHeight="1">
      <c r="A68" s="393">
        <v>45359</v>
      </c>
      <c r="B68" s="394" t="s">
        <v>199</v>
      </c>
      <c r="C68" s="394" t="s">
        <v>253</v>
      </c>
      <c r="D68" s="394"/>
      <c r="E68" s="395">
        <v>0.08</v>
      </c>
      <c r="F68" s="396" t="s">
        <v>185</v>
      </c>
      <c r="G68" s="397">
        <v>7</v>
      </c>
      <c r="H68" s="406">
        <f t="shared" si="29"/>
        <v>65.170663955268836</v>
      </c>
      <c r="I68" s="397">
        <v>8</v>
      </c>
      <c r="J68" s="398">
        <f t="shared" si="2"/>
        <v>62.058311884800005</v>
      </c>
      <c r="K68" s="399">
        <f>475200+443000+469000</f>
        <v>1387200</v>
      </c>
      <c r="L68" s="397">
        <v>0</v>
      </c>
      <c r="M68" s="400">
        <f t="shared" si="0"/>
        <v>0.95224305106658025</v>
      </c>
      <c r="N68" s="401">
        <f t="shared" si="36"/>
        <v>0.8332126696832578</v>
      </c>
      <c r="O68" s="402">
        <f t="shared" si="37"/>
        <v>0</v>
      </c>
      <c r="P68" s="387" t="s">
        <v>196</v>
      </c>
      <c r="Q68" s="417"/>
      <c r="R68" s="417"/>
      <c r="S68" s="417"/>
      <c r="T68" s="417"/>
      <c r="U68" s="405">
        <f>'[1]伸线工时wire drawing'!H11</f>
        <v>3.4223333760000001</v>
      </c>
      <c r="V68" s="406">
        <f t="shared" si="38"/>
        <v>0.29219830160695598</v>
      </c>
      <c r="W68" s="406">
        <f t="shared" si="39"/>
        <v>18.133333333333333</v>
      </c>
      <c r="X68" s="418"/>
      <c r="Y68" s="408">
        <f t="shared" si="41"/>
        <v>2.7203939031896027</v>
      </c>
      <c r="Z68" s="8"/>
    </row>
    <row r="69" spans="1:26" ht="18.75" customHeight="1">
      <c r="A69" s="393">
        <v>45359</v>
      </c>
      <c r="B69" s="394" t="s">
        <v>197</v>
      </c>
      <c r="C69" s="394" t="s">
        <v>253</v>
      </c>
      <c r="D69" s="394"/>
      <c r="E69" s="395">
        <v>0.16</v>
      </c>
      <c r="F69" s="396" t="s">
        <v>185</v>
      </c>
      <c r="G69" s="397">
        <v>7</v>
      </c>
      <c r="H69" s="406">
        <f t="shared" si="29"/>
        <v>152.12125856917569</v>
      </c>
      <c r="I69" s="397">
        <v>8</v>
      </c>
      <c r="J69" s="398">
        <f t="shared" si="2"/>
        <v>144.85641139200001</v>
      </c>
      <c r="K69" s="399">
        <f>359500+450000</f>
        <v>809500</v>
      </c>
      <c r="L69" s="397">
        <v>0</v>
      </c>
      <c r="M69" s="400">
        <f t="shared" si="0"/>
        <v>0.95224305106658014</v>
      </c>
      <c r="N69" s="401">
        <f t="shared" si="36"/>
        <v>0.83321266968325758</v>
      </c>
      <c r="O69" s="402">
        <f t="shared" si="37"/>
        <v>0</v>
      </c>
      <c r="P69" s="387" t="s">
        <v>196</v>
      </c>
      <c r="Q69" s="419"/>
      <c r="R69" s="419"/>
      <c r="S69" s="419"/>
      <c r="T69" s="419"/>
      <c r="U69" s="405">
        <f>'[1]伸线工时wire drawing'!H19</f>
        <v>11.864089036799999</v>
      </c>
      <c r="V69" s="406">
        <f t="shared" si="38"/>
        <v>8.4287971617391169E-2</v>
      </c>
      <c r="W69" s="406">
        <f t="shared" si="39"/>
        <v>12.209653092006036</v>
      </c>
      <c r="X69" s="420"/>
      <c r="Y69" s="408">
        <f t="shared" si="41"/>
        <v>1.8317131892400718</v>
      </c>
      <c r="Z69" s="8"/>
    </row>
    <row r="70" spans="1:26" ht="18.75" customHeight="1">
      <c r="A70" s="393"/>
      <c r="B70" s="394"/>
      <c r="C70" s="394"/>
      <c r="D70" s="394"/>
      <c r="E70" s="395"/>
      <c r="F70" s="396"/>
      <c r="G70" s="397"/>
      <c r="H70" s="406"/>
      <c r="I70" s="397"/>
      <c r="J70" s="398"/>
      <c r="K70" s="399"/>
      <c r="L70" s="397"/>
      <c r="M70" s="400" t="str">
        <f t="shared" si="0"/>
        <v/>
      </c>
      <c r="N70" s="401"/>
      <c r="O70" s="402"/>
      <c r="P70" s="387"/>
      <c r="Q70" s="422"/>
      <c r="R70" s="422"/>
      <c r="S70" s="422"/>
      <c r="T70" s="422"/>
      <c r="U70" s="405"/>
      <c r="V70" s="406"/>
      <c r="W70" s="406"/>
      <c r="X70" s="423"/>
      <c r="Y70" s="408"/>
      <c r="Z70" s="8"/>
    </row>
    <row r="71" spans="1:26" ht="18.75" customHeight="1">
      <c r="A71" s="393">
        <v>45360</v>
      </c>
      <c r="B71" s="394" t="s">
        <v>184</v>
      </c>
      <c r="C71" s="394" t="s">
        <v>253</v>
      </c>
      <c r="D71" s="394"/>
      <c r="E71" s="395">
        <v>0.54</v>
      </c>
      <c r="F71" s="396" t="s">
        <v>185</v>
      </c>
      <c r="G71" s="397">
        <v>1</v>
      </c>
      <c r="H71" s="406">
        <f t="shared" si="29"/>
        <v>831.62701036800001</v>
      </c>
      <c r="I71" s="397"/>
      <c r="J71" s="398">
        <f t="shared" si="2"/>
        <v>611.49044880000008</v>
      </c>
      <c r="K71" s="399">
        <f>150000+150000</f>
        <v>300000</v>
      </c>
      <c r="L71" s="397">
        <v>0</v>
      </c>
      <c r="M71" s="400">
        <f t="shared" ref="M71:M134" si="42">IFERROR(IF(J71&lt;&gt;"",J71/H71,""),"input error")</f>
        <v>0.73529411764705888</v>
      </c>
      <c r="N71" s="401" t="str">
        <f t="shared" ref="N71:N77" si="43">IFERROR(IF(I71&lt;&gt;"",J71/(I71*U71*Y71),""),"input error")</f>
        <v/>
      </c>
      <c r="O71" s="402">
        <f t="shared" ref="O71:O77" si="44">IFERROR(IF(L71&lt;&gt;"",L71/(J71+L71),""),"input error")</f>
        <v>0</v>
      </c>
      <c r="P71" s="387" t="s">
        <v>195</v>
      </c>
      <c r="Q71" s="403">
        <v>2</v>
      </c>
      <c r="R71" s="403">
        <v>5</v>
      </c>
      <c r="S71" s="403">
        <v>0</v>
      </c>
      <c r="T71" s="409">
        <f>IFERROR(IF(R71&lt;&gt;"",R71*Q71-S71,""),"input error")</f>
        <v>10</v>
      </c>
      <c r="U71" s="405">
        <f>'[1]伸线工时wire drawing'!H6</f>
        <v>83.162701036800001</v>
      </c>
      <c r="V71" s="406">
        <f t="shared" ref="V71:V77" si="45">IFERROR(IF(U71&lt;&gt;"",1/U71,""),"input error")</f>
        <v>1.2024621465306832E-2</v>
      </c>
      <c r="W71" s="406">
        <f t="shared" ref="W71:W77" si="46">IFERROR(IF(V71&lt;&gt;"",V71*J71,""),"input error")</f>
        <v>7.3529411764705896</v>
      </c>
      <c r="X71" s="410">
        <f>SUM(W71)</f>
        <v>7.3529411764705896</v>
      </c>
      <c r="Y71" s="408">
        <f t="shared" ref="Y71" si="47">IFERROR(IF(W71&lt;&gt;"",T71*W71/X71,""),"input error")</f>
        <v>10</v>
      </c>
      <c r="Z71" s="8"/>
    </row>
    <row r="72" spans="1:26" ht="18.75" customHeight="1">
      <c r="A72" s="393">
        <v>45360</v>
      </c>
      <c r="B72" s="394" t="s">
        <v>189</v>
      </c>
      <c r="C72" s="394" t="s">
        <v>253</v>
      </c>
      <c r="D72" s="394"/>
      <c r="E72" s="395">
        <v>0.08</v>
      </c>
      <c r="F72" s="396" t="s">
        <v>185</v>
      </c>
      <c r="G72" s="397">
        <v>7</v>
      </c>
      <c r="H72" s="406">
        <f t="shared" si="29"/>
        <v>54.449835182009906</v>
      </c>
      <c r="I72" s="397">
        <v>6</v>
      </c>
      <c r="J72" s="398">
        <f t="shared" ref="J72:J77" si="48">IFERROR(IF(K72&lt;&gt;"",E72*E72*0.7854*8.9*K72/1000,""),"input error")</f>
        <v>40.754845824</v>
      </c>
      <c r="K72" s="399">
        <f>339000+264000+308000</f>
        <v>911000</v>
      </c>
      <c r="L72" s="397">
        <v>0</v>
      </c>
      <c r="M72" s="400">
        <f t="shared" si="42"/>
        <v>0.74848428260192978</v>
      </c>
      <c r="N72" s="401">
        <f t="shared" si="43"/>
        <v>0.87323166303558464</v>
      </c>
      <c r="O72" s="402">
        <f t="shared" si="44"/>
        <v>0</v>
      </c>
      <c r="P72" s="387" t="s">
        <v>196</v>
      </c>
      <c r="Q72" s="411">
        <v>3</v>
      </c>
      <c r="R72" s="411">
        <v>5</v>
      </c>
      <c r="S72" s="411">
        <v>0</v>
      </c>
      <c r="T72" s="411">
        <f>IFERROR(IF(R72&lt;&gt;"",R72*Q72-S72,""),"input error")</f>
        <v>15</v>
      </c>
      <c r="U72" s="405">
        <f>'[1]伸线工时wire drawing'!H11</f>
        <v>3.4223333760000001</v>
      </c>
      <c r="V72" s="406">
        <f t="shared" si="45"/>
        <v>0.29219830160695598</v>
      </c>
      <c r="W72" s="406">
        <f t="shared" si="46"/>
        <v>11.908496732026142</v>
      </c>
      <c r="X72" s="412">
        <f>SUM(W72:W77)</f>
        <v>78.590849673202612</v>
      </c>
      <c r="Y72" s="408">
        <f>IFERROR(IF(W72&lt;&gt;"",$T$72*W72/$X$72,""),"input error")</f>
        <v>2.2728784804231394</v>
      </c>
      <c r="Z72" s="8"/>
    </row>
    <row r="73" spans="1:26" ht="18.75" customHeight="1">
      <c r="A73" s="393">
        <v>45360</v>
      </c>
      <c r="B73" s="394" t="s">
        <v>190</v>
      </c>
      <c r="C73" s="394" t="s">
        <v>253</v>
      </c>
      <c r="D73" s="394"/>
      <c r="E73" s="395">
        <v>0.08</v>
      </c>
      <c r="F73" s="396" t="s">
        <v>185</v>
      </c>
      <c r="G73" s="397">
        <v>7</v>
      </c>
      <c r="H73" s="406">
        <f t="shared" si="29"/>
        <v>53.385941585698411</v>
      </c>
      <c r="I73" s="397">
        <v>6</v>
      </c>
      <c r="J73" s="398">
        <f t="shared" si="48"/>
        <v>39.958538188800006</v>
      </c>
      <c r="K73" s="399">
        <f>258200+299500+335500</f>
        <v>893200</v>
      </c>
      <c r="L73" s="397">
        <v>0</v>
      </c>
      <c r="M73" s="400">
        <f t="shared" si="42"/>
        <v>0.74848428260192978</v>
      </c>
      <c r="N73" s="401">
        <f t="shared" si="43"/>
        <v>0.87323166303558475</v>
      </c>
      <c r="O73" s="402">
        <f t="shared" si="44"/>
        <v>0</v>
      </c>
      <c r="P73" s="387" t="s">
        <v>196</v>
      </c>
      <c r="Q73" s="411"/>
      <c r="R73" s="411"/>
      <c r="S73" s="411"/>
      <c r="T73" s="411"/>
      <c r="U73" s="405">
        <f>'[1]伸线工时wire drawing'!H11</f>
        <v>3.4223333760000001</v>
      </c>
      <c r="V73" s="406">
        <f t="shared" si="45"/>
        <v>0.29219830160695598</v>
      </c>
      <c r="W73" s="406">
        <f t="shared" si="46"/>
        <v>11.675816993464053</v>
      </c>
      <c r="X73" s="412"/>
      <c r="Y73" s="408">
        <f t="shared" ref="Y73:Y77" si="49">IFERROR(IF(W73&lt;&gt;"",$T$72*W73/$X$72,""),"input error")</f>
        <v>2.2284687801470344</v>
      </c>
      <c r="Z73" s="8"/>
    </row>
    <row r="74" spans="1:26" ht="18.75" customHeight="1">
      <c r="A74" s="393">
        <v>45360</v>
      </c>
      <c r="B74" s="394" t="s">
        <v>191</v>
      </c>
      <c r="C74" s="394" t="s">
        <v>253</v>
      </c>
      <c r="D74" s="394"/>
      <c r="E74" s="395">
        <v>0.08</v>
      </c>
      <c r="F74" s="396" t="s">
        <v>185</v>
      </c>
      <c r="G74" s="397">
        <v>7</v>
      </c>
      <c r="H74" s="406">
        <f t="shared" si="29"/>
        <v>67.599081877994749</v>
      </c>
      <c r="I74" s="397">
        <v>6</v>
      </c>
      <c r="J74" s="398">
        <f t="shared" si="48"/>
        <v>50.596850304000007</v>
      </c>
      <c r="K74" s="399">
        <f>384000+380000+367000</f>
        <v>1131000</v>
      </c>
      <c r="L74" s="397">
        <v>0</v>
      </c>
      <c r="M74" s="400">
        <f t="shared" si="42"/>
        <v>0.74848428260192967</v>
      </c>
      <c r="N74" s="401">
        <f t="shared" si="43"/>
        <v>0.87323166303558475</v>
      </c>
      <c r="O74" s="402">
        <f t="shared" si="44"/>
        <v>0</v>
      </c>
      <c r="P74" s="387" t="s">
        <v>196</v>
      </c>
      <c r="Q74" s="411"/>
      <c r="R74" s="411"/>
      <c r="S74" s="411"/>
      <c r="T74" s="411"/>
      <c r="U74" s="405">
        <f>'[1]伸线工时wire drawing'!H11</f>
        <v>3.4223333760000001</v>
      </c>
      <c r="V74" s="406">
        <f t="shared" si="45"/>
        <v>0.29219830160695598</v>
      </c>
      <c r="W74" s="406">
        <f t="shared" si="46"/>
        <v>14.784313725490197</v>
      </c>
      <c r="X74" s="412"/>
      <c r="Y74" s="408">
        <f t="shared" si="49"/>
        <v>2.8217624164199462</v>
      </c>
      <c r="Z74" s="8"/>
    </row>
    <row r="75" spans="1:26" ht="18.75" customHeight="1">
      <c r="A75" s="393">
        <v>45360</v>
      </c>
      <c r="B75" s="394" t="s">
        <v>192</v>
      </c>
      <c r="C75" s="394" t="s">
        <v>253</v>
      </c>
      <c r="D75" s="394"/>
      <c r="E75" s="395">
        <v>0.08</v>
      </c>
      <c r="F75" s="396" t="s">
        <v>185</v>
      </c>
      <c r="G75" s="397">
        <v>7</v>
      </c>
      <c r="H75" s="406">
        <f t="shared" si="29"/>
        <v>67.479543271667609</v>
      </c>
      <c r="I75" s="397">
        <v>6</v>
      </c>
      <c r="J75" s="398">
        <f t="shared" si="48"/>
        <v>50.507377536000007</v>
      </c>
      <c r="K75" s="399">
        <f>378500+393500+357000</f>
        <v>1129000</v>
      </c>
      <c r="L75" s="397">
        <v>0</v>
      </c>
      <c r="M75" s="400">
        <f t="shared" si="42"/>
        <v>0.74848428260192978</v>
      </c>
      <c r="N75" s="401">
        <f t="shared" si="43"/>
        <v>0.87323166303558475</v>
      </c>
      <c r="O75" s="402">
        <f t="shared" si="44"/>
        <v>0</v>
      </c>
      <c r="P75" s="387" t="s">
        <v>196</v>
      </c>
      <c r="Q75" s="411"/>
      <c r="R75" s="411"/>
      <c r="S75" s="411"/>
      <c r="T75" s="411"/>
      <c r="U75" s="405">
        <f>'[1]伸线工时wire drawing'!H11</f>
        <v>3.4223333760000001</v>
      </c>
      <c r="V75" s="406">
        <f t="shared" si="45"/>
        <v>0.29219830160695598</v>
      </c>
      <c r="W75" s="406">
        <f t="shared" si="46"/>
        <v>14.758169934640524</v>
      </c>
      <c r="X75" s="412"/>
      <c r="Y75" s="408">
        <f t="shared" si="49"/>
        <v>2.8167725624563387</v>
      </c>
      <c r="Z75" s="8"/>
    </row>
    <row r="76" spans="1:26" ht="18.75" customHeight="1">
      <c r="A76" s="393">
        <v>45360</v>
      </c>
      <c r="B76" s="394" t="s">
        <v>193</v>
      </c>
      <c r="C76" s="394" t="s">
        <v>253</v>
      </c>
      <c r="D76" s="394"/>
      <c r="E76" s="395">
        <v>0.08</v>
      </c>
      <c r="F76" s="396" t="s">
        <v>185</v>
      </c>
      <c r="G76" s="397">
        <v>7</v>
      </c>
      <c r="H76" s="406">
        <f t="shared" si="29"/>
        <v>64.969232538797783</v>
      </c>
      <c r="I76" s="397">
        <v>6</v>
      </c>
      <c r="J76" s="398">
        <f t="shared" si="48"/>
        <v>48.628449408000009</v>
      </c>
      <c r="K76" s="399">
        <f>388000+342000+357000</f>
        <v>1087000</v>
      </c>
      <c r="L76" s="397">
        <v>0</v>
      </c>
      <c r="M76" s="400">
        <f t="shared" si="42"/>
        <v>0.74848428260192978</v>
      </c>
      <c r="N76" s="401">
        <f t="shared" si="43"/>
        <v>0.87323166303558464</v>
      </c>
      <c r="O76" s="402">
        <f t="shared" si="44"/>
        <v>0</v>
      </c>
      <c r="P76" s="387" t="s">
        <v>196</v>
      </c>
      <c r="Q76" s="411"/>
      <c r="R76" s="411"/>
      <c r="S76" s="411"/>
      <c r="T76" s="411"/>
      <c r="U76" s="405">
        <f>'[1]伸线工时wire drawing'!H11</f>
        <v>3.4223333760000001</v>
      </c>
      <c r="V76" s="406">
        <f t="shared" si="45"/>
        <v>0.29219830160695598</v>
      </c>
      <c r="W76" s="406">
        <f t="shared" si="46"/>
        <v>14.209150326797387</v>
      </c>
      <c r="X76" s="412"/>
      <c r="Y76" s="408">
        <f t="shared" si="49"/>
        <v>2.7119856292205853</v>
      </c>
      <c r="Z76" s="8"/>
    </row>
    <row r="77" spans="1:26" ht="18.75" customHeight="1">
      <c r="A77" s="393">
        <v>45360</v>
      </c>
      <c r="B77" s="394" t="s">
        <v>199</v>
      </c>
      <c r="C77" s="394" t="s">
        <v>253</v>
      </c>
      <c r="D77" s="394"/>
      <c r="E77" s="395">
        <v>0.08</v>
      </c>
      <c r="F77" s="396" t="s">
        <v>185</v>
      </c>
      <c r="G77" s="397">
        <v>7</v>
      </c>
      <c r="H77" s="406">
        <f t="shared" si="29"/>
        <v>51.461370023831542</v>
      </c>
      <c r="I77" s="397">
        <v>6</v>
      </c>
      <c r="J77" s="398">
        <f t="shared" si="48"/>
        <v>38.518026624000008</v>
      </c>
      <c r="K77" s="399">
        <f>302000+285700+273300</f>
        <v>861000</v>
      </c>
      <c r="L77" s="397">
        <v>0</v>
      </c>
      <c r="M77" s="400">
        <f t="shared" si="42"/>
        <v>0.74848428260192978</v>
      </c>
      <c r="N77" s="401">
        <f t="shared" si="43"/>
        <v>0.87323166303558475</v>
      </c>
      <c r="O77" s="402">
        <f t="shared" si="44"/>
        <v>0</v>
      </c>
      <c r="P77" s="387" t="s">
        <v>196</v>
      </c>
      <c r="Q77" s="411"/>
      <c r="R77" s="411"/>
      <c r="S77" s="411"/>
      <c r="T77" s="411"/>
      <c r="U77" s="405">
        <f>'[1]伸线工时wire drawing'!H11</f>
        <v>3.4223333760000001</v>
      </c>
      <c r="V77" s="406">
        <f t="shared" si="45"/>
        <v>0.29219830160695598</v>
      </c>
      <c r="W77" s="406">
        <f t="shared" si="46"/>
        <v>11.254901960784315</v>
      </c>
      <c r="X77" s="412"/>
      <c r="Y77" s="408">
        <f t="shared" si="49"/>
        <v>2.1481321313329564</v>
      </c>
      <c r="Z77" s="8"/>
    </row>
    <row r="78" spans="1:26" ht="18.75" customHeight="1">
      <c r="A78" s="393"/>
      <c r="B78" s="394"/>
      <c r="C78" s="394"/>
      <c r="D78" s="394"/>
      <c r="E78" s="395"/>
      <c r="F78" s="396"/>
      <c r="G78" s="397"/>
      <c r="H78" s="406"/>
      <c r="I78" s="397"/>
      <c r="J78" s="398"/>
      <c r="K78" s="399"/>
      <c r="L78" s="397"/>
      <c r="M78" s="400" t="str">
        <f t="shared" si="42"/>
        <v/>
      </c>
      <c r="N78" s="401"/>
      <c r="O78" s="402"/>
      <c r="P78" s="387"/>
      <c r="Q78" s="387"/>
      <c r="R78" s="387"/>
      <c r="S78" s="387"/>
      <c r="T78" s="422"/>
      <c r="U78" s="405"/>
      <c r="V78" s="406"/>
      <c r="W78" s="406"/>
      <c r="X78" s="423"/>
      <c r="Y78" s="408"/>
      <c r="Z78" s="8"/>
    </row>
    <row r="79" spans="1:26" ht="18.75" customHeight="1">
      <c r="A79" s="393">
        <v>45363</v>
      </c>
      <c r="B79" s="394" t="s">
        <v>184</v>
      </c>
      <c r="C79" s="394" t="s">
        <v>253</v>
      </c>
      <c r="D79" s="394"/>
      <c r="E79" s="395">
        <v>0.54</v>
      </c>
      <c r="F79" s="396" t="s">
        <v>185</v>
      </c>
      <c r="G79" s="397">
        <v>1</v>
      </c>
      <c r="H79" s="406">
        <f t="shared" si="29"/>
        <v>1247.4405155520001</v>
      </c>
      <c r="I79" s="397"/>
      <c r="J79" s="398">
        <f t="shared" ref="J79:J88" si="50">IFERROR(IF(K79&lt;&gt;"",E79*E79*0.7854*8.9*K79/1000,""),"input error")</f>
        <v>611.49044880000008</v>
      </c>
      <c r="K79" s="399">
        <f>200000+100000</f>
        <v>300000</v>
      </c>
      <c r="L79" s="397">
        <v>0</v>
      </c>
      <c r="M79" s="400">
        <f t="shared" si="42"/>
        <v>0.49019607843137258</v>
      </c>
      <c r="N79" s="401" t="str">
        <f t="shared" ref="N79:N88" si="51">IFERROR(IF(I79&lt;&gt;"",J79/(I79*U79*Y79),""),"input error")</f>
        <v/>
      </c>
      <c r="O79" s="402">
        <f t="shared" ref="O79:O88" si="52">IFERROR(IF(L79&lt;&gt;"",L79/(J79+L79),""),"input error")</f>
        <v>0</v>
      </c>
      <c r="P79" s="387" t="s">
        <v>200</v>
      </c>
      <c r="Q79" s="403">
        <v>2</v>
      </c>
      <c r="R79" s="403">
        <v>7.5</v>
      </c>
      <c r="S79" s="403">
        <v>0</v>
      </c>
      <c r="T79" s="409">
        <f>IFERROR(IF(R79&lt;&gt;"",R79*Q79-S79,""),"input error")</f>
        <v>15</v>
      </c>
      <c r="U79" s="405">
        <f>'[1]伸线工时wire drawing'!H6</f>
        <v>83.162701036800001</v>
      </c>
      <c r="V79" s="406">
        <f t="shared" ref="V79:V88" si="53">IFERROR(IF(U79&lt;&gt;"",1/U79,""),"input error")</f>
        <v>1.2024621465306832E-2</v>
      </c>
      <c r="W79" s="406">
        <f t="shared" ref="W79:W88" si="54">IFERROR(IF(V79&lt;&gt;"",V79*J79,""),"input error")</f>
        <v>7.3529411764705896</v>
      </c>
      <c r="X79" s="413">
        <f>SUM(W79)</f>
        <v>7.3529411764705896</v>
      </c>
      <c r="Y79" s="408">
        <f t="shared" ref="Y79" si="55">IFERROR(IF(W79&lt;&gt;"",T79*W79/X79,""),"input error")</f>
        <v>15</v>
      </c>
      <c r="Z79" s="8"/>
    </row>
    <row r="80" spans="1:26" ht="18.75" customHeight="1">
      <c r="A80" s="393">
        <v>45363</v>
      </c>
      <c r="B80" s="394" t="s">
        <v>189</v>
      </c>
      <c r="C80" s="394" t="s">
        <v>253</v>
      </c>
      <c r="D80" s="394"/>
      <c r="E80" s="395">
        <v>0.08</v>
      </c>
      <c r="F80" s="396" t="s">
        <v>185</v>
      </c>
      <c r="G80" s="397">
        <v>7</v>
      </c>
      <c r="H80" s="406">
        <f t="shared" si="29"/>
        <v>113.05827775393222</v>
      </c>
      <c r="I80" s="397">
        <v>8</v>
      </c>
      <c r="J80" s="398">
        <f t="shared" si="50"/>
        <v>24.381329280000003</v>
      </c>
      <c r="K80" s="399">
        <f>545000</f>
        <v>545000</v>
      </c>
      <c r="L80" s="397">
        <v>0</v>
      </c>
      <c r="M80" s="400">
        <f t="shared" si="42"/>
        <v>0.21565275682922747</v>
      </c>
      <c r="N80" s="401">
        <f t="shared" si="51"/>
        <v>0.18869616222557403</v>
      </c>
      <c r="O80" s="402">
        <f t="shared" si="52"/>
        <v>0</v>
      </c>
      <c r="P80" s="387" t="s">
        <v>201</v>
      </c>
      <c r="Q80" s="415">
        <v>1</v>
      </c>
      <c r="R80" s="415">
        <v>7.5</v>
      </c>
      <c r="S80" s="415">
        <v>0</v>
      </c>
      <c r="T80" s="415">
        <f>IFERROR(IF(R80&lt;&gt;"",R80*Q80-S80,""),"input error")</f>
        <v>7.5</v>
      </c>
      <c r="U80" s="405">
        <f>'[1]伸线工时wire drawing'!H11</f>
        <v>3.4223333760000001</v>
      </c>
      <c r="V80" s="406">
        <f t="shared" si="53"/>
        <v>0.29219830160695598</v>
      </c>
      <c r="W80" s="406">
        <f t="shared" si="54"/>
        <v>7.1241830065359473</v>
      </c>
      <c r="X80" s="416">
        <f>SUM(W80:W81)</f>
        <v>11.32176973353444</v>
      </c>
      <c r="Y80" s="408">
        <f>IFERROR(IF(W80&lt;&gt;"",$T$80*W80/$X$80,""),"input error")</f>
        <v>4.7193481060437845</v>
      </c>
      <c r="Z80" s="8"/>
    </row>
    <row r="81" spans="1:26" ht="18.75" customHeight="1">
      <c r="A81" s="393">
        <v>45363</v>
      </c>
      <c r="B81" s="394" t="s">
        <v>189</v>
      </c>
      <c r="C81" s="394" t="s">
        <v>253</v>
      </c>
      <c r="D81" s="394"/>
      <c r="E81" s="395">
        <v>0.16</v>
      </c>
      <c r="F81" s="396" t="s">
        <v>185</v>
      </c>
      <c r="G81" s="397">
        <v>7</v>
      </c>
      <c r="H81" s="406">
        <f t="shared" si="29"/>
        <v>230.9293115517016</v>
      </c>
      <c r="I81" s="397">
        <v>8</v>
      </c>
      <c r="J81" s="398">
        <f t="shared" si="50"/>
        <v>49.800542668800006</v>
      </c>
      <c r="K81" s="399">
        <f>278300</f>
        <v>278300</v>
      </c>
      <c r="L81" s="397">
        <v>0</v>
      </c>
      <c r="M81" s="400">
        <f t="shared" si="42"/>
        <v>0.21565275682922744</v>
      </c>
      <c r="N81" s="401">
        <f t="shared" si="51"/>
        <v>0.188696162225574</v>
      </c>
      <c r="O81" s="402">
        <f t="shared" si="52"/>
        <v>0</v>
      </c>
      <c r="P81" s="387" t="s">
        <v>201</v>
      </c>
      <c r="Q81" s="417"/>
      <c r="R81" s="417"/>
      <c r="S81" s="417"/>
      <c r="T81" s="417"/>
      <c r="U81" s="405">
        <f>'[1]伸线工时wire drawing'!H19</f>
        <v>11.864089036799999</v>
      </c>
      <c r="V81" s="406">
        <f t="shared" si="53"/>
        <v>8.4287971617391169E-2</v>
      </c>
      <c r="W81" s="406">
        <f t="shared" si="54"/>
        <v>4.1975867269984928</v>
      </c>
      <c r="X81" s="418"/>
      <c r="Y81" s="408">
        <f t="shared" ref="Y81" si="56">IFERROR(IF(W81&lt;&gt;"",$T$80*W81/$X$80,""),"input error")</f>
        <v>2.780651893956215</v>
      </c>
      <c r="Z81" s="8"/>
    </row>
    <row r="82" spans="1:26" ht="18.75" customHeight="1">
      <c r="A82" s="393">
        <v>45363</v>
      </c>
      <c r="B82" s="394" t="s">
        <v>190</v>
      </c>
      <c r="C82" s="394" t="s">
        <v>253</v>
      </c>
      <c r="D82" s="394"/>
      <c r="E82" s="395">
        <v>0.08</v>
      </c>
      <c r="F82" s="396" t="s">
        <v>185</v>
      </c>
      <c r="G82" s="397">
        <v>7</v>
      </c>
      <c r="H82" s="406">
        <f t="shared" si="29"/>
        <v>105.81712176034108</v>
      </c>
      <c r="I82" s="397">
        <v>8</v>
      </c>
      <c r="J82" s="398">
        <f t="shared" si="50"/>
        <v>69.207186047999997</v>
      </c>
      <c r="K82" s="399">
        <f>571000+460000+516000</f>
        <v>1547000</v>
      </c>
      <c r="L82" s="397">
        <v>0</v>
      </c>
      <c r="M82" s="400">
        <f t="shared" si="42"/>
        <v>0.65402635128125342</v>
      </c>
      <c r="N82" s="401">
        <f t="shared" si="51"/>
        <v>0.57227305737109668</v>
      </c>
      <c r="O82" s="402">
        <f t="shared" si="52"/>
        <v>0</v>
      </c>
      <c r="P82" s="387" t="s">
        <v>201</v>
      </c>
      <c r="Q82" s="415">
        <v>3</v>
      </c>
      <c r="R82" s="415">
        <v>7.5</v>
      </c>
      <c r="S82" s="415">
        <v>0</v>
      </c>
      <c r="T82" s="415">
        <f>IFERROR(IF(R82&lt;&gt;"",R82*Q82-S82,""),"input error")</f>
        <v>22.5</v>
      </c>
      <c r="U82" s="405">
        <f>'[1]伸线工时wire drawing'!H11</f>
        <v>3.4223333760000001</v>
      </c>
      <c r="V82" s="406">
        <f t="shared" si="53"/>
        <v>0.29219830160695598</v>
      </c>
      <c r="W82" s="406">
        <f t="shared" si="54"/>
        <v>20.222222222222218</v>
      </c>
      <c r="X82" s="416">
        <f>SUM(W82:W86)</f>
        <v>103.00915032679738</v>
      </c>
      <c r="Y82" s="408">
        <f>IFERROR(IF(W82&lt;&gt;"",$T$82*W82/$X$82,""),"input error")</f>
        <v>4.4170833227583044</v>
      </c>
      <c r="Z82" s="8"/>
    </row>
    <row r="83" spans="1:26" ht="18.75" customHeight="1">
      <c r="A83" s="393">
        <v>45363</v>
      </c>
      <c r="B83" s="394" t="s">
        <v>191</v>
      </c>
      <c r="C83" s="394" t="s">
        <v>253</v>
      </c>
      <c r="D83" s="394"/>
      <c r="E83" s="395">
        <v>0.08</v>
      </c>
      <c r="F83" s="396" t="s">
        <v>185</v>
      </c>
      <c r="G83" s="397">
        <v>7</v>
      </c>
      <c r="H83" s="406">
        <f t="shared" si="29"/>
        <v>101.81563396268116</v>
      </c>
      <c r="I83" s="397">
        <v>8</v>
      </c>
      <c r="J83" s="398">
        <f t="shared" si="50"/>
        <v>66.590107584000009</v>
      </c>
      <c r="K83" s="399">
        <f>561000+347000+580500</f>
        <v>1488500</v>
      </c>
      <c r="L83" s="397">
        <v>0</v>
      </c>
      <c r="M83" s="400">
        <f t="shared" si="42"/>
        <v>0.6540263512812533</v>
      </c>
      <c r="N83" s="401">
        <f t="shared" si="51"/>
        <v>0.57227305737109657</v>
      </c>
      <c r="O83" s="402">
        <f t="shared" si="52"/>
        <v>0</v>
      </c>
      <c r="P83" s="387" t="s">
        <v>201</v>
      </c>
      <c r="Q83" s="417"/>
      <c r="R83" s="417"/>
      <c r="S83" s="417"/>
      <c r="T83" s="417"/>
      <c r="U83" s="405">
        <f>'[1]伸线工时wire drawing'!H11</f>
        <v>3.4223333760000001</v>
      </c>
      <c r="V83" s="406">
        <f t="shared" si="53"/>
        <v>0.29219830160695598</v>
      </c>
      <c r="W83" s="406">
        <f t="shared" si="54"/>
        <v>19.457516339869283</v>
      </c>
      <c r="X83" s="418"/>
      <c r="Y83" s="408">
        <f t="shared" ref="Y83:Y88" si="57">IFERROR(IF(W83&lt;&gt;"",$T$82*W83/$X$82,""),"input error")</f>
        <v>4.250050760132992</v>
      </c>
      <c r="Z83" s="8"/>
    </row>
    <row r="84" spans="1:26" ht="18.75" customHeight="1">
      <c r="A84" s="393">
        <v>45363</v>
      </c>
      <c r="B84" s="394" t="s">
        <v>192</v>
      </c>
      <c r="C84" s="394" t="s">
        <v>253</v>
      </c>
      <c r="D84" s="394"/>
      <c r="E84" s="395">
        <v>0.08</v>
      </c>
      <c r="F84" s="396" t="s">
        <v>185</v>
      </c>
      <c r="G84" s="397">
        <v>7</v>
      </c>
      <c r="H84" s="406">
        <f t="shared" si="29"/>
        <v>107.2535532774498</v>
      </c>
      <c r="I84" s="397">
        <v>8</v>
      </c>
      <c r="J84" s="398">
        <f t="shared" si="50"/>
        <v>70.146650112000003</v>
      </c>
      <c r="K84" s="399">
        <f>431000+537000+600000</f>
        <v>1568000</v>
      </c>
      <c r="L84" s="397">
        <v>0</v>
      </c>
      <c r="M84" s="400">
        <f t="shared" si="42"/>
        <v>0.6540263512812533</v>
      </c>
      <c r="N84" s="401">
        <f t="shared" si="51"/>
        <v>0.57227305737109668</v>
      </c>
      <c r="O84" s="402">
        <f t="shared" si="52"/>
        <v>0</v>
      </c>
      <c r="P84" s="387" t="s">
        <v>201</v>
      </c>
      <c r="Q84" s="417"/>
      <c r="R84" s="417"/>
      <c r="S84" s="417"/>
      <c r="T84" s="417"/>
      <c r="U84" s="405">
        <f>'[1]伸线工时wire drawing'!H11</f>
        <v>3.4223333760000001</v>
      </c>
      <c r="V84" s="406">
        <f t="shared" si="53"/>
        <v>0.29219830160695598</v>
      </c>
      <c r="W84" s="406">
        <f t="shared" si="54"/>
        <v>20.496732026143789</v>
      </c>
      <c r="X84" s="418"/>
      <c r="Y84" s="408">
        <f t="shared" si="57"/>
        <v>4.4770437298545716</v>
      </c>
      <c r="Z84" s="8"/>
    </row>
    <row r="85" spans="1:26" ht="18.75" customHeight="1">
      <c r="A85" s="393">
        <v>45363</v>
      </c>
      <c r="B85" s="394" t="s">
        <v>193</v>
      </c>
      <c r="C85" s="394" t="s">
        <v>253</v>
      </c>
      <c r="D85" s="394"/>
      <c r="E85" s="395">
        <v>0.08</v>
      </c>
      <c r="F85" s="396" t="s">
        <v>185</v>
      </c>
      <c r="G85" s="397">
        <v>7</v>
      </c>
      <c r="H85" s="406">
        <f t="shared" si="29"/>
        <v>121.18693899340424</v>
      </c>
      <c r="I85" s="397">
        <v>8</v>
      </c>
      <c r="J85" s="398">
        <f t="shared" si="50"/>
        <v>79.259451532800014</v>
      </c>
      <c r="K85" s="399">
        <f>583000+562200+626500</f>
        <v>1771700</v>
      </c>
      <c r="L85" s="397">
        <v>0</v>
      </c>
      <c r="M85" s="400">
        <f t="shared" si="42"/>
        <v>0.6540263512812533</v>
      </c>
      <c r="N85" s="401">
        <f t="shared" si="51"/>
        <v>0.57227305737109668</v>
      </c>
      <c r="O85" s="402">
        <f t="shared" si="52"/>
        <v>0</v>
      </c>
      <c r="P85" s="387" t="s">
        <v>201</v>
      </c>
      <c r="Q85" s="417"/>
      <c r="R85" s="417"/>
      <c r="S85" s="417"/>
      <c r="T85" s="417"/>
      <c r="U85" s="405">
        <f>'[1]伸线工时wire drawing'!H11</f>
        <v>3.4223333760000001</v>
      </c>
      <c r="V85" s="406">
        <f t="shared" si="53"/>
        <v>0.29219830160695598</v>
      </c>
      <c r="W85" s="406">
        <f t="shared" si="54"/>
        <v>23.15947712418301</v>
      </c>
      <c r="X85" s="418"/>
      <c r="Y85" s="408">
        <f t="shared" si="57"/>
        <v>5.0586596786883584</v>
      </c>
      <c r="Z85" s="8"/>
    </row>
    <row r="86" spans="1:26" ht="18.75" customHeight="1">
      <c r="A86" s="393">
        <v>45363</v>
      </c>
      <c r="B86" s="394" t="s">
        <v>199</v>
      </c>
      <c r="C86" s="394" t="s">
        <v>253</v>
      </c>
      <c r="D86" s="394"/>
      <c r="E86" s="395">
        <v>0.08</v>
      </c>
      <c r="F86" s="396" t="s">
        <v>185</v>
      </c>
      <c r="G86" s="397">
        <v>7</v>
      </c>
      <c r="H86" s="406">
        <f t="shared" si="29"/>
        <v>102.94425872612369</v>
      </c>
      <c r="I86" s="397">
        <v>8</v>
      </c>
      <c r="J86" s="398">
        <f t="shared" si="50"/>
        <v>67.328257919999999</v>
      </c>
      <c r="K86" s="399">
        <f>437000+482000+586000</f>
        <v>1505000</v>
      </c>
      <c r="L86" s="397">
        <v>0</v>
      </c>
      <c r="M86" s="400">
        <f t="shared" si="42"/>
        <v>0.6540263512812533</v>
      </c>
      <c r="N86" s="401">
        <f t="shared" si="51"/>
        <v>0.57227305737109668</v>
      </c>
      <c r="O86" s="402">
        <f t="shared" si="52"/>
        <v>0</v>
      </c>
      <c r="P86" s="387" t="s">
        <v>201</v>
      </c>
      <c r="Q86" s="417"/>
      <c r="R86" s="417"/>
      <c r="S86" s="417"/>
      <c r="T86" s="417"/>
      <c r="U86" s="405">
        <f>'[1]伸线工时wire drawing'!H11</f>
        <v>3.4223333760000001</v>
      </c>
      <c r="V86" s="406">
        <f t="shared" si="53"/>
        <v>0.29219830160695598</v>
      </c>
      <c r="W86" s="406">
        <f t="shared" si="54"/>
        <v>19.673202614379083</v>
      </c>
      <c r="X86" s="418"/>
      <c r="Y86" s="408">
        <f t="shared" si="57"/>
        <v>4.2971625085657719</v>
      </c>
      <c r="Z86" s="8"/>
    </row>
    <row r="87" spans="1:26" ht="18.75" customHeight="1">
      <c r="A87" s="393">
        <v>45363</v>
      </c>
      <c r="B87" s="394" t="s">
        <v>197</v>
      </c>
      <c r="C87" s="394" t="s">
        <v>253</v>
      </c>
      <c r="D87" s="394"/>
      <c r="E87" s="395">
        <v>0.08</v>
      </c>
      <c r="F87" s="396" t="s">
        <v>185</v>
      </c>
      <c r="G87" s="397">
        <v>7</v>
      </c>
      <c r="H87" s="406">
        <f t="shared" si="29"/>
        <v>70.453545839141142</v>
      </c>
      <c r="I87" s="397">
        <v>8</v>
      </c>
      <c r="J87" s="398">
        <f t="shared" si="50"/>
        <v>46.078475520000005</v>
      </c>
      <c r="K87" s="399">
        <f>440000+590000</f>
        <v>1030000</v>
      </c>
      <c r="L87" s="397">
        <v>0</v>
      </c>
      <c r="M87" s="400">
        <f t="shared" si="42"/>
        <v>0.6540263512812533</v>
      </c>
      <c r="N87" s="401">
        <f t="shared" si="51"/>
        <v>0.57227305737109657</v>
      </c>
      <c r="O87" s="402">
        <f t="shared" si="52"/>
        <v>0</v>
      </c>
      <c r="P87" s="387" t="s">
        <v>201</v>
      </c>
      <c r="Q87" s="417"/>
      <c r="R87" s="417"/>
      <c r="S87" s="417"/>
      <c r="T87" s="417"/>
      <c r="U87" s="405">
        <f>'[1]伸线工时wire drawing'!H11</f>
        <v>3.4223333760000001</v>
      </c>
      <c r="V87" s="406">
        <f t="shared" si="53"/>
        <v>0.29219830160695598</v>
      </c>
      <c r="W87" s="406">
        <f t="shared" si="54"/>
        <v>13.464052287581699</v>
      </c>
      <c r="X87" s="418"/>
      <c r="Y87" s="408">
        <f t="shared" si="57"/>
        <v>2.9409152051978378</v>
      </c>
      <c r="Z87" s="8"/>
    </row>
    <row r="88" spans="1:26" ht="18.75" customHeight="1">
      <c r="A88" s="393">
        <v>45363</v>
      </c>
      <c r="B88" s="394" t="s">
        <v>202</v>
      </c>
      <c r="C88" s="394" t="s">
        <v>253</v>
      </c>
      <c r="D88" s="394"/>
      <c r="E88" s="395">
        <v>0.08</v>
      </c>
      <c r="F88" s="396" t="s">
        <v>185</v>
      </c>
      <c r="G88" s="397">
        <v>7</v>
      </c>
      <c r="H88" s="406">
        <f t="shared" si="29"/>
        <v>76.06246890594656</v>
      </c>
      <c r="I88" s="397">
        <v>8</v>
      </c>
      <c r="J88" s="398">
        <f t="shared" si="50"/>
        <v>49.746859008000008</v>
      </c>
      <c r="K88" s="399">
        <f>519000+593000</f>
        <v>1112000</v>
      </c>
      <c r="L88" s="397">
        <v>0</v>
      </c>
      <c r="M88" s="400">
        <f t="shared" si="42"/>
        <v>0.6540263512812533</v>
      </c>
      <c r="N88" s="401">
        <f t="shared" si="51"/>
        <v>0.57227305737109657</v>
      </c>
      <c r="O88" s="402">
        <f t="shared" si="52"/>
        <v>0</v>
      </c>
      <c r="P88" s="387" t="s">
        <v>201</v>
      </c>
      <c r="Q88" s="419"/>
      <c r="R88" s="419"/>
      <c r="S88" s="419"/>
      <c r="T88" s="419"/>
      <c r="U88" s="405">
        <f>'[1]伸线工时wire drawing'!H11</f>
        <v>3.4223333760000001</v>
      </c>
      <c r="V88" s="406">
        <f t="shared" si="53"/>
        <v>0.29219830160695598</v>
      </c>
      <c r="W88" s="406">
        <f t="shared" si="54"/>
        <v>14.535947712418301</v>
      </c>
      <c r="X88" s="420"/>
      <c r="Y88" s="408">
        <f t="shared" si="57"/>
        <v>3.1750463186213551</v>
      </c>
      <c r="Z88" s="8"/>
    </row>
    <row r="89" spans="1:26" ht="18.75" customHeight="1">
      <c r="A89" s="393"/>
      <c r="B89" s="394"/>
      <c r="C89" s="394"/>
      <c r="D89" s="394"/>
      <c r="E89" s="395"/>
      <c r="F89" s="396"/>
      <c r="G89" s="397"/>
      <c r="H89" s="406"/>
      <c r="I89" s="397"/>
      <c r="J89" s="398"/>
      <c r="K89" s="399"/>
      <c r="L89" s="397"/>
      <c r="M89" s="400" t="str">
        <f t="shared" si="42"/>
        <v/>
      </c>
      <c r="N89" s="401"/>
      <c r="O89" s="402"/>
      <c r="P89" s="387"/>
      <c r="Q89" s="422"/>
      <c r="R89" s="422"/>
      <c r="S89" s="422"/>
      <c r="T89" s="422"/>
      <c r="U89" s="405"/>
      <c r="V89" s="406"/>
      <c r="W89" s="406"/>
      <c r="X89" s="423"/>
      <c r="Y89" s="408"/>
      <c r="Z89" s="8"/>
    </row>
    <row r="90" spans="1:26" ht="18.75" customHeight="1">
      <c r="A90" s="393">
        <v>45364</v>
      </c>
      <c r="B90" s="394" t="s">
        <v>184</v>
      </c>
      <c r="C90" s="394" t="s">
        <v>253</v>
      </c>
      <c r="D90" s="394"/>
      <c r="E90" s="395">
        <v>0.54</v>
      </c>
      <c r="F90" s="396" t="s">
        <v>185</v>
      </c>
      <c r="G90" s="397">
        <v>1</v>
      </c>
      <c r="H90" s="406">
        <f t="shared" ref="H90:H98" si="58">IFERROR(IF(G90&lt;&gt;"",G90*U90*Y90,""),"input error")</f>
        <v>665.30160829440001</v>
      </c>
      <c r="I90" s="397"/>
      <c r="J90" s="398">
        <f t="shared" ref="J90:J128" si="59">IFERROR(IF(K90&lt;&gt;"",E90*E90*0.7854*8.9*K90/1000,""),"input error")</f>
        <v>407.66029920000005</v>
      </c>
      <c r="K90" s="399">
        <f>147000+53000</f>
        <v>200000</v>
      </c>
      <c r="L90" s="397">
        <v>0</v>
      </c>
      <c r="M90" s="400">
        <f t="shared" si="42"/>
        <v>0.61274509803921573</v>
      </c>
      <c r="N90" s="401" t="str">
        <f t="shared" ref="N90:N98" si="60">IFERROR(IF(I90&lt;&gt;"",J90/(I90*U90*Y90),""),"input error")</f>
        <v/>
      </c>
      <c r="O90" s="402">
        <f t="shared" ref="O90:O98" si="61">IFERROR(IF(L90&lt;&gt;"",L90/(J90+L90),""),"input error")</f>
        <v>0</v>
      </c>
      <c r="P90" s="387" t="s">
        <v>203</v>
      </c>
      <c r="Q90" s="403">
        <v>2</v>
      </c>
      <c r="R90" s="403">
        <v>4</v>
      </c>
      <c r="S90" s="403">
        <v>0</v>
      </c>
      <c r="T90" s="409">
        <f>IFERROR(IF(R90&lt;&gt;"",R90*Q90-S90,""),"input error")</f>
        <v>8</v>
      </c>
      <c r="U90" s="405">
        <f>'[1]伸线工时wire drawing'!H6</f>
        <v>83.162701036800001</v>
      </c>
      <c r="V90" s="406">
        <f t="shared" ref="V90:V98" si="62">IFERROR(IF(U90&lt;&gt;"",1/U90,""),"input error")</f>
        <v>1.2024621465306832E-2</v>
      </c>
      <c r="W90" s="406">
        <f t="shared" ref="W90:W98" si="63">IFERROR(IF(V90&lt;&gt;"",V90*J90,""),"input error")</f>
        <v>4.9019607843137267</v>
      </c>
      <c r="X90" s="413">
        <f>SUM(W90)</f>
        <v>4.9019607843137267</v>
      </c>
      <c r="Y90" s="408">
        <f t="shared" ref="Y90" si="64">IFERROR(IF(W90&lt;&gt;"",T90*W90/X90,""),"input error")</f>
        <v>8</v>
      </c>
      <c r="Z90" s="8"/>
    </row>
    <row r="91" spans="1:26" ht="18.75" customHeight="1">
      <c r="A91" s="393">
        <v>45364</v>
      </c>
      <c r="B91" s="394" t="s">
        <v>189</v>
      </c>
      <c r="C91" s="394" t="s">
        <v>253</v>
      </c>
      <c r="D91" s="394"/>
      <c r="E91" s="395">
        <v>0.16</v>
      </c>
      <c r="F91" s="396" t="s">
        <v>185</v>
      </c>
      <c r="G91" s="397">
        <v>7</v>
      </c>
      <c r="H91" s="406">
        <f t="shared" si="58"/>
        <v>134.7955230545588</v>
      </c>
      <c r="I91" s="397">
        <v>8</v>
      </c>
      <c r="J91" s="398">
        <f t="shared" si="59"/>
        <v>134.15546833920001</v>
      </c>
      <c r="K91" s="399">
        <f>221700+265000+263000</f>
        <v>749700</v>
      </c>
      <c r="L91" s="397">
        <v>0</v>
      </c>
      <c r="M91" s="400">
        <f t="shared" si="42"/>
        <v>0.99525166191832848</v>
      </c>
      <c r="N91" s="401">
        <f t="shared" si="60"/>
        <v>0.87084520417853739</v>
      </c>
      <c r="O91" s="402">
        <f t="shared" si="61"/>
        <v>0</v>
      </c>
      <c r="P91" s="387" t="s">
        <v>204</v>
      </c>
      <c r="Q91" s="415">
        <v>3</v>
      </c>
      <c r="R91" s="415">
        <v>7.5</v>
      </c>
      <c r="S91" s="415">
        <v>0</v>
      </c>
      <c r="T91" s="415">
        <f>IFERROR(IF(R91&lt;&gt;"",R91*Q91-S91,""),"input error")</f>
        <v>22.5</v>
      </c>
      <c r="U91" s="405">
        <f>'[1]伸线工时wire drawing'!H19</f>
        <v>11.864089036799999</v>
      </c>
      <c r="V91" s="406">
        <f t="shared" si="62"/>
        <v>8.4287971617391169E-2</v>
      </c>
      <c r="W91" s="406">
        <f t="shared" si="63"/>
        <v>11.30769230769231</v>
      </c>
      <c r="X91" s="416">
        <f>SUM(W91:W98)</f>
        <v>156.75213675213675</v>
      </c>
      <c r="Y91" s="408">
        <f>IFERROR(IF(W91&lt;&gt;"",$T$91*W91/$X$91,""),"input error")</f>
        <v>1.6230916030534355</v>
      </c>
      <c r="Z91" s="8"/>
    </row>
    <row r="92" spans="1:26" ht="18.75" customHeight="1">
      <c r="A92" s="393">
        <v>45364</v>
      </c>
      <c r="B92" s="394" t="s">
        <v>190</v>
      </c>
      <c r="C92" s="394" t="s">
        <v>253</v>
      </c>
      <c r="D92" s="394"/>
      <c r="E92" s="395">
        <v>0.08</v>
      </c>
      <c r="F92" s="396" t="s">
        <v>185</v>
      </c>
      <c r="G92" s="397">
        <v>7</v>
      </c>
      <c r="H92" s="406">
        <f t="shared" si="58"/>
        <v>75.560649011175585</v>
      </c>
      <c r="I92" s="397">
        <v>8</v>
      </c>
      <c r="J92" s="398">
        <f t="shared" si="59"/>
        <v>75.201861504000007</v>
      </c>
      <c r="K92" s="399">
        <f>560000+550000+571000</f>
        <v>1681000</v>
      </c>
      <c r="L92" s="397">
        <v>0</v>
      </c>
      <c r="M92" s="400">
        <f t="shared" si="42"/>
        <v>0.99525166191832848</v>
      </c>
      <c r="N92" s="401">
        <f t="shared" si="60"/>
        <v>0.8708452041785375</v>
      </c>
      <c r="O92" s="402">
        <f t="shared" si="61"/>
        <v>0</v>
      </c>
      <c r="P92" s="387" t="s">
        <v>204</v>
      </c>
      <c r="Q92" s="417"/>
      <c r="R92" s="417"/>
      <c r="S92" s="417"/>
      <c r="T92" s="417"/>
      <c r="U92" s="405">
        <f>'[1]伸线工时wire drawing'!H11</f>
        <v>3.4223333760000001</v>
      </c>
      <c r="V92" s="406">
        <f t="shared" si="62"/>
        <v>0.29219830160695598</v>
      </c>
      <c r="W92" s="406">
        <f t="shared" si="63"/>
        <v>21.973856209150327</v>
      </c>
      <c r="X92" s="418"/>
      <c r="Y92" s="408">
        <f t="shared" ref="Y92:Y98" si="65">IFERROR(IF(W92&lt;&gt;"",$T$91*W92/$X$91,""),"input error")</f>
        <v>3.154099044197832</v>
      </c>
      <c r="Z92" s="8"/>
    </row>
    <row r="93" spans="1:26" ht="18.75" customHeight="1">
      <c r="A93" s="393">
        <v>45364</v>
      </c>
      <c r="B93" s="394" t="s">
        <v>191</v>
      </c>
      <c r="C93" s="394" t="s">
        <v>253</v>
      </c>
      <c r="D93" s="394"/>
      <c r="E93" s="395">
        <v>0.08</v>
      </c>
      <c r="F93" s="396" t="s">
        <v>185</v>
      </c>
      <c r="G93" s="397">
        <v>7</v>
      </c>
      <c r="H93" s="406">
        <f t="shared" si="58"/>
        <v>75.22352535407633</v>
      </c>
      <c r="I93" s="397">
        <v>8</v>
      </c>
      <c r="J93" s="398">
        <f t="shared" si="59"/>
        <v>74.866338624000008</v>
      </c>
      <c r="K93" s="399">
        <f>611000+579500+483000</f>
        <v>1673500</v>
      </c>
      <c r="L93" s="397">
        <v>0</v>
      </c>
      <c r="M93" s="400">
        <f t="shared" si="42"/>
        <v>0.99525166191832881</v>
      </c>
      <c r="N93" s="401">
        <f t="shared" si="60"/>
        <v>0.87084520417853761</v>
      </c>
      <c r="O93" s="402">
        <f t="shared" si="61"/>
        <v>0</v>
      </c>
      <c r="P93" s="387" t="s">
        <v>204</v>
      </c>
      <c r="Q93" s="417"/>
      <c r="R93" s="417"/>
      <c r="S93" s="417"/>
      <c r="T93" s="417"/>
      <c r="U93" s="405">
        <f>'[1]伸线工时wire drawing'!H11</f>
        <v>3.4223333760000001</v>
      </c>
      <c r="V93" s="406">
        <f t="shared" si="62"/>
        <v>0.29219830160695598</v>
      </c>
      <c r="W93" s="406">
        <f t="shared" si="63"/>
        <v>21.875816993464053</v>
      </c>
      <c r="X93" s="418"/>
      <c r="Y93" s="408">
        <f t="shared" si="65"/>
        <v>3.140026621335557</v>
      </c>
      <c r="Z93" s="8"/>
    </row>
    <row r="94" spans="1:26" ht="18.75" customHeight="1">
      <c r="A94" s="393">
        <v>45364</v>
      </c>
      <c r="B94" s="394" t="s">
        <v>192</v>
      </c>
      <c r="C94" s="394" t="s">
        <v>253</v>
      </c>
      <c r="D94" s="394"/>
      <c r="E94" s="395">
        <v>0.08</v>
      </c>
      <c r="F94" s="396" t="s">
        <v>185</v>
      </c>
      <c r="G94" s="397">
        <v>7</v>
      </c>
      <c r="H94" s="406">
        <f t="shared" si="58"/>
        <v>55.78272779468702</v>
      </c>
      <c r="I94" s="397">
        <v>8</v>
      </c>
      <c r="J94" s="398">
        <f t="shared" si="59"/>
        <v>55.517852544000007</v>
      </c>
      <c r="K94" s="399">
        <f>349300+406700+485000</f>
        <v>1241000</v>
      </c>
      <c r="L94" s="397">
        <v>0</v>
      </c>
      <c r="M94" s="400">
        <f t="shared" si="42"/>
        <v>0.99525166191832881</v>
      </c>
      <c r="N94" s="401">
        <f t="shared" si="60"/>
        <v>0.87084520417853772</v>
      </c>
      <c r="O94" s="402">
        <f t="shared" si="61"/>
        <v>0</v>
      </c>
      <c r="P94" s="387" t="s">
        <v>204</v>
      </c>
      <c r="Q94" s="417"/>
      <c r="R94" s="417"/>
      <c r="S94" s="417"/>
      <c r="T94" s="417"/>
      <c r="U94" s="405">
        <f>'[1]伸线工时wire drawing'!H11</f>
        <v>3.4223333760000001</v>
      </c>
      <c r="V94" s="406">
        <f t="shared" si="62"/>
        <v>0.29219830160695598</v>
      </c>
      <c r="W94" s="406">
        <f t="shared" si="63"/>
        <v>16.222222222222221</v>
      </c>
      <c r="X94" s="418"/>
      <c r="Y94" s="408">
        <f t="shared" si="65"/>
        <v>2.3285169029443837</v>
      </c>
      <c r="Z94" s="8"/>
    </row>
    <row r="95" spans="1:26" ht="18.75" customHeight="1">
      <c r="A95" s="393">
        <v>45364</v>
      </c>
      <c r="B95" s="394" t="s">
        <v>193</v>
      </c>
      <c r="C95" s="394" t="s">
        <v>253</v>
      </c>
      <c r="D95" s="394"/>
      <c r="E95" s="395">
        <v>0.08</v>
      </c>
      <c r="F95" s="396" t="s">
        <v>185</v>
      </c>
      <c r="G95" s="397">
        <v>7</v>
      </c>
      <c r="H95" s="406">
        <f t="shared" si="58"/>
        <v>78.639711746015266</v>
      </c>
      <c r="I95" s="397">
        <v>8</v>
      </c>
      <c r="J95" s="398">
        <f t="shared" si="59"/>
        <v>78.266303808000018</v>
      </c>
      <c r="K95" s="399">
        <f>609000+592500+548000</f>
        <v>1749500</v>
      </c>
      <c r="L95" s="397">
        <v>0</v>
      </c>
      <c r="M95" s="400">
        <f t="shared" si="42"/>
        <v>0.99525166191832881</v>
      </c>
      <c r="N95" s="401">
        <f t="shared" si="60"/>
        <v>0.87084520417853761</v>
      </c>
      <c r="O95" s="402">
        <f t="shared" si="61"/>
        <v>0</v>
      </c>
      <c r="P95" s="387" t="s">
        <v>204</v>
      </c>
      <c r="Q95" s="417"/>
      <c r="R95" s="417"/>
      <c r="S95" s="417"/>
      <c r="T95" s="417"/>
      <c r="U95" s="405">
        <f>'[1]伸线工时wire drawing'!H11</f>
        <v>3.4223333760000001</v>
      </c>
      <c r="V95" s="406">
        <f t="shared" si="62"/>
        <v>0.29219830160695598</v>
      </c>
      <c r="W95" s="406">
        <f t="shared" si="63"/>
        <v>22.869281045751638</v>
      </c>
      <c r="X95" s="418"/>
      <c r="Y95" s="408">
        <f t="shared" si="65"/>
        <v>3.2826271730066074</v>
      </c>
      <c r="Z95" s="8"/>
    </row>
    <row r="96" spans="1:26" ht="18.75" customHeight="1">
      <c r="A96" s="393">
        <v>45364</v>
      </c>
      <c r="B96" s="394" t="s">
        <v>199</v>
      </c>
      <c r="C96" s="394" t="s">
        <v>253</v>
      </c>
      <c r="D96" s="394"/>
      <c r="E96" s="395">
        <v>0.08</v>
      </c>
      <c r="F96" s="396" t="s">
        <v>185</v>
      </c>
      <c r="G96" s="397">
        <v>7</v>
      </c>
      <c r="H96" s="406">
        <f t="shared" si="58"/>
        <v>78.662186656488558</v>
      </c>
      <c r="I96" s="397">
        <v>8</v>
      </c>
      <c r="J96" s="398">
        <f t="shared" si="59"/>
        <v>78.288672000000005</v>
      </c>
      <c r="K96" s="399">
        <f>602500+522500+625000</f>
        <v>1750000</v>
      </c>
      <c r="L96" s="397">
        <v>0</v>
      </c>
      <c r="M96" s="400">
        <f t="shared" si="42"/>
        <v>0.99525166191832859</v>
      </c>
      <c r="N96" s="401">
        <f t="shared" si="60"/>
        <v>0.8708452041785375</v>
      </c>
      <c r="O96" s="402">
        <f t="shared" si="61"/>
        <v>0</v>
      </c>
      <c r="P96" s="387" t="s">
        <v>204</v>
      </c>
      <c r="Q96" s="417"/>
      <c r="R96" s="417"/>
      <c r="S96" s="417"/>
      <c r="T96" s="417"/>
      <c r="U96" s="405">
        <f>'[1]伸线工时wire drawing'!H11</f>
        <v>3.4223333760000001</v>
      </c>
      <c r="V96" s="406">
        <f t="shared" si="62"/>
        <v>0.29219830160695598</v>
      </c>
      <c r="W96" s="406">
        <f t="shared" si="63"/>
        <v>22.875816993464053</v>
      </c>
      <c r="X96" s="418"/>
      <c r="Y96" s="408">
        <f t="shared" si="65"/>
        <v>3.2835653345307594</v>
      </c>
      <c r="Z96" s="8"/>
    </row>
    <row r="97" spans="1:26" ht="18.75" customHeight="1">
      <c r="A97" s="393">
        <v>45364</v>
      </c>
      <c r="B97" s="394" t="s">
        <v>197</v>
      </c>
      <c r="C97" s="394" t="s">
        <v>253</v>
      </c>
      <c r="D97" s="394"/>
      <c r="E97" s="395">
        <v>0.08</v>
      </c>
      <c r="F97" s="396" t="s">
        <v>185</v>
      </c>
      <c r="G97" s="397">
        <v>7</v>
      </c>
      <c r="H97" s="406">
        <f t="shared" si="58"/>
        <v>55.198380122381685</v>
      </c>
      <c r="I97" s="397">
        <v>8</v>
      </c>
      <c r="J97" s="398">
        <f t="shared" si="59"/>
        <v>54.936279552000009</v>
      </c>
      <c r="K97" s="399">
        <f>400000+500000+328000</f>
        <v>1228000</v>
      </c>
      <c r="L97" s="397">
        <v>0</v>
      </c>
      <c r="M97" s="400">
        <f t="shared" si="42"/>
        <v>0.99525166191832859</v>
      </c>
      <c r="N97" s="401">
        <f t="shared" si="60"/>
        <v>0.8708452041785375</v>
      </c>
      <c r="O97" s="402">
        <f t="shared" si="61"/>
        <v>0</v>
      </c>
      <c r="P97" s="387" t="s">
        <v>204</v>
      </c>
      <c r="Q97" s="417"/>
      <c r="R97" s="417"/>
      <c r="S97" s="417"/>
      <c r="T97" s="417"/>
      <c r="U97" s="405">
        <f>'[1]伸线工时wire drawing'!H11</f>
        <v>3.4223333760000001</v>
      </c>
      <c r="V97" s="406">
        <f t="shared" si="62"/>
        <v>0.29219830160695598</v>
      </c>
      <c r="W97" s="406">
        <f t="shared" si="63"/>
        <v>16.052287581699346</v>
      </c>
      <c r="X97" s="418"/>
      <c r="Y97" s="408">
        <f t="shared" si="65"/>
        <v>2.3041247033164414</v>
      </c>
      <c r="Z97" s="8"/>
    </row>
    <row r="98" spans="1:26" ht="18.75" customHeight="1">
      <c r="A98" s="393">
        <v>45364</v>
      </c>
      <c r="B98" s="394" t="s">
        <v>202</v>
      </c>
      <c r="C98" s="394" t="s">
        <v>253</v>
      </c>
      <c r="D98" s="394"/>
      <c r="E98" s="395">
        <v>0.08</v>
      </c>
      <c r="F98" s="396" t="s">
        <v>185</v>
      </c>
      <c r="G98" s="397">
        <v>7</v>
      </c>
      <c r="H98" s="406">
        <f t="shared" si="58"/>
        <v>81.067002077129757</v>
      </c>
      <c r="I98" s="397">
        <v>8</v>
      </c>
      <c r="J98" s="398">
        <f t="shared" si="59"/>
        <v>80.682068544000003</v>
      </c>
      <c r="K98" s="399">
        <f>591000+594000+618500</f>
        <v>1803500</v>
      </c>
      <c r="L98" s="397">
        <v>0</v>
      </c>
      <c r="M98" s="400">
        <f t="shared" si="42"/>
        <v>0.99525166191832881</v>
      </c>
      <c r="N98" s="401">
        <f t="shared" si="60"/>
        <v>0.8708452041785375</v>
      </c>
      <c r="O98" s="402">
        <f t="shared" si="61"/>
        <v>0</v>
      </c>
      <c r="P98" s="387" t="s">
        <v>204</v>
      </c>
      <c r="Q98" s="419"/>
      <c r="R98" s="419"/>
      <c r="S98" s="419"/>
      <c r="T98" s="419"/>
      <c r="U98" s="405">
        <f>'[1]伸线工时wire drawing'!H11</f>
        <v>3.4223333760000001</v>
      </c>
      <c r="V98" s="406">
        <f t="shared" si="62"/>
        <v>0.29219830160695598</v>
      </c>
      <c r="W98" s="406">
        <f t="shared" si="63"/>
        <v>23.575163398692808</v>
      </c>
      <c r="X98" s="420"/>
      <c r="Y98" s="408">
        <f t="shared" si="65"/>
        <v>3.3839486176149847</v>
      </c>
      <c r="Z98" s="8"/>
    </row>
    <row r="99" spans="1:26" ht="18.75" customHeight="1">
      <c r="A99" s="393"/>
      <c r="B99" s="394"/>
      <c r="C99" s="394"/>
      <c r="D99" s="394"/>
      <c r="E99" s="395"/>
      <c r="F99" s="396"/>
      <c r="G99" s="397"/>
      <c r="H99" s="406"/>
      <c r="I99" s="397"/>
      <c r="J99" s="398"/>
      <c r="K99" s="399"/>
      <c r="L99" s="397"/>
      <c r="M99" s="400" t="str">
        <f t="shared" si="42"/>
        <v/>
      </c>
      <c r="N99" s="401"/>
      <c r="O99" s="402"/>
      <c r="P99" s="387"/>
      <c r="Q99" s="422"/>
      <c r="R99" s="422"/>
      <c r="S99" s="422"/>
      <c r="T99" s="422"/>
      <c r="U99" s="405"/>
      <c r="V99" s="406"/>
      <c r="W99" s="406"/>
      <c r="X99" s="423"/>
      <c r="Y99" s="408"/>
      <c r="Z99" s="8"/>
    </row>
    <row r="100" spans="1:26" ht="18.75" customHeight="1">
      <c r="A100" s="393">
        <v>45365</v>
      </c>
      <c r="B100" s="394" t="s">
        <v>184</v>
      </c>
      <c r="C100" s="394" t="s">
        <v>253</v>
      </c>
      <c r="D100" s="394"/>
      <c r="E100" s="395">
        <v>0.54</v>
      </c>
      <c r="F100" s="396" t="s">
        <v>185</v>
      </c>
      <c r="G100" s="397">
        <v>1</v>
      </c>
      <c r="H100" s="406">
        <f t="shared" ref="H100:H128" si="66">IFERROR(IF(G100&lt;&gt;"",G100*U100*Y100,""),"input error")</f>
        <v>831.62701036800001</v>
      </c>
      <c r="I100" s="397"/>
      <c r="J100" s="398">
        <f t="shared" si="59"/>
        <v>611.49044880000008</v>
      </c>
      <c r="K100" s="399">
        <f>200000+100000</f>
        <v>300000</v>
      </c>
      <c r="L100" s="397">
        <v>0</v>
      </c>
      <c r="M100" s="400">
        <f t="shared" si="42"/>
        <v>0.73529411764705888</v>
      </c>
      <c r="N100" s="401" t="str">
        <f t="shared" ref="N100:N108" si="67">IFERROR(IF(I100&lt;&gt;"",J100/(I100*U100*Y100),""),"input error")</f>
        <v/>
      </c>
      <c r="O100" s="402">
        <f t="shared" ref="O100:O108" si="68">IFERROR(IF(L100&lt;&gt;"",L100/(J100+L100),""),"input error")</f>
        <v>0</v>
      </c>
      <c r="P100" s="397" t="s">
        <v>205</v>
      </c>
      <c r="Q100" s="403">
        <v>2</v>
      </c>
      <c r="R100" s="403">
        <v>5</v>
      </c>
      <c r="S100" s="403">
        <v>0</v>
      </c>
      <c r="T100" s="409">
        <f>IFERROR(IF(R100&lt;&gt;"",R100*Q100-S100,""),"input error")</f>
        <v>10</v>
      </c>
      <c r="U100" s="405">
        <f>'[1]伸线工时wire drawing'!H6</f>
        <v>83.162701036800001</v>
      </c>
      <c r="V100" s="406">
        <f t="shared" ref="V100:V108" si="69">IFERROR(IF(U100&lt;&gt;"",1/U100,""),"input error")</f>
        <v>1.2024621465306832E-2</v>
      </c>
      <c r="W100" s="406">
        <f t="shared" ref="W100:W108" si="70">IFERROR(IF(V100&lt;&gt;"",V100*J100,""),"input error")</f>
        <v>7.3529411764705896</v>
      </c>
      <c r="X100" s="413">
        <f>SUM(W100)</f>
        <v>7.3529411764705896</v>
      </c>
      <c r="Y100" s="408">
        <f t="shared" ref="Y100" si="71">IFERROR(IF(W100&lt;&gt;"",T100*W100/X100,""),"input error")</f>
        <v>10</v>
      </c>
      <c r="Z100" s="8"/>
    </row>
    <row r="101" spans="1:26" ht="18.75" customHeight="1">
      <c r="A101" s="393">
        <v>45365</v>
      </c>
      <c r="B101" s="394" t="s">
        <v>189</v>
      </c>
      <c r="C101" s="394" t="s">
        <v>253</v>
      </c>
      <c r="D101" s="394"/>
      <c r="E101" s="395">
        <v>0.16</v>
      </c>
      <c r="F101" s="396" t="s">
        <v>185</v>
      </c>
      <c r="G101" s="397">
        <v>7</v>
      </c>
      <c r="H101" s="406">
        <f t="shared" si="66"/>
        <v>165.86021257156332</v>
      </c>
      <c r="I101" s="397">
        <v>8</v>
      </c>
      <c r="J101" s="398">
        <f t="shared" si="59"/>
        <v>166.06145740800002</v>
      </c>
      <c r="K101" s="399">
        <f>348000+212000+368000</f>
        <v>928000</v>
      </c>
      <c r="L101" s="397">
        <v>0</v>
      </c>
      <c r="M101" s="400">
        <f t="shared" si="42"/>
        <v>1.001213340036869</v>
      </c>
      <c r="N101" s="401">
        <f t="shared" si="67"/>
        <v>0.87606167253226053</v>
      </c>
      <c r="O101" s="402">
        <f t="shared" si="68"/>
        <v>0</v>
      </c>
      <c r="P101" s="387" t="s">
        <v>204</v>
      </c>
      <c r="Q101" s="415">
        <v>3</v>
      </c>
      <c r="R101" s="415">
        <v>7.5</v>
      </c>
      <c r="S101" s="415">
        <v>0</v>
      </c>
      <c r="T101" s="415">
        <f>IFERROR(IF(R101&lt;&gt;"",R101*Q101-S101,""),"input error")</f>
        <v>22.5</v>
      </c>
      <c r="U101" s="405">
        <f>'[1]伸线工时wire drawing'!H19</f>
        <v>11.864089036799999</v>
      </c>
      <c r="V101" s="406">
        <f t="shared" si="69"/>
        <v>8.4287971617391169E-2</v>
      </c>
      <c r="W101" s="406">
        <f t="shared" si="70"/>
        <v>13.996983408748118</v>
      </c>
      <c r="X101" s="416">
        <f>SUM(W101:W108)</f>
        <v>157.69110105580691</v>
      </c>
      <c r="Y101" s="408">
        <f>IFERROR(IF(W101&lt;&gt;"",$T$101*W101/$X$101,""),"input error")</f>
        <v>1.9971458413837704</v>
      </c>
      <c r="Z101" s="8"/>
    </row>
    <row r="102" spans="1:26" ht="42.75" customHeight="1">
      <c r="A102" s="393">
        <v>45365</v>
      </c>
      <c r="B102" s="394" t="s">
        <v>190</v>
      </c>
      <c r="C102" s="394" t="s">
        <v>253</v>
      </c>
      <c r="D102" s="394"/>
      <c r="E102" s="395">
        <v>0.08</v>
      </c>
      <c r="F102" s="396" t="s">
        <v>185</v>
      </c>
      <c r="G102" s="397">
        <v>7</v>
      </c>
      <c r="H102" s="406">
        <f t="shared" si="66"/>
        <v>64.521052519756822</v>
      </c>
      <c r="I102" s="397">
        <v>8</v>
      </c>
      <c r="J102" s="398">
        <f t="shared" si="59"/>
        <v>64.599338496000001</v>
      </c>
      <c r="K102" s="399">
        <f>545000+429000+470000</f>
        <v>1444000</v>
      </c>
      <c r="L102" s="397">
        <v>0</v>
      </c>
      <c r="M102" s="400">
        <f t="shared" si="42"/>
        <v>1.0012133400368695</v>
      </c>
      <c r="N102" s="401">
        <f t="shared" si="67"/>
        <v>0.87606167253226075</v>
      </c>
      <c r="O102" s="402">
        <f t="shared" si="68"/>
        <v>0</v>
      </c>
      <c r="P102" s="387" t="s">
        <v>204</v>
      </c>
      <c r="Q102" s="417"/>
      <c r="R102" s="417"/>
      <c r="S102" s="417"/>
      <c r="T102" s="417"/>
      <c r="U102" s="405">
        <f>'[1]伸线工时wire drawing'!H11</f>
        <v>3.4223333760000001</v>
      </c>
      <c r="V102" s="406">
        <f t="shared" si="69"/>
        <v>0.29219830160695598</v>
      </c>
      <c r="W102" s="406">
        <f t="shared" si="70"/>
        <v>18.875816993464049</v>
      </c>
      <c r="X102" s="418"/>
      <c r="Y102" s="408">
        <f t="shared" ref="Y102:Y108" si="72">IFERROR(IF(W102&lt;&gt;"",$T$101*W102/$X$101,""),"input error")</f>
        <v>2.6932774234523076</v>
      </c>
      <c r="Z102" s="8"/>
    </row>
    <row r="103" spans="1:26" ht="28.5" customHeight="1">
      <c r="A103" s="393">
        <v>45365</v>
      </c>
      <c r="B103" s="394" t="s">
        <v>191</v>
      </c>
      <c r="C103" s="394" t="s">
        <v>253</v>
      </c>
      <c r="D103" s="394"/>
      <c r="E103" s="395">
        <v>0.08</v>
      </c>
      <c r="F103" s="396" t="s">
        <v>185</v>
      </c>
      <c r="G103" s="397">
        <v>7</v>
      </c>
      <c r="H103" s="406">
        <f t="shared" si="66"/>
        <v>77.143765356897617</v>
      </c>
      <c r="I103" s="397">
        <v>8</v>
      </c>
      <c r="J103" s="398">
        <f t="shared" si="59"/>
        <v>77.237366976000004</v>
      </c>
      <c r="K103" s="399">
        <f>608500+553000+565000</f>
        <v>1726500</v>
      </c>
      <c r="L103" s="397">
        <v>0</v>
      </c>
      <c r="M103" s="400">
        <f t="shared" si="42"/>
        <v>1.0012133400368695</v>
      </c>
      <c r="N103" s="401">
        <f t="shared" si="67"/>
        <v>0.87606167253226075</v>
      </c>
      <c r="O103" s="402">
        <f t="shared" si="68"/>
        <v>0</v>
      </c>
      <c r="P103" s="387" t="s">
        <v>204</v>
      </c>
      <c r="Q103" s="417"/>
      <c r="R103" s="417"/>
      <c r="S103" s="417"/>
      <c r="T103" s="417"/>
      <c r="U103" s="405">
        <f>'[1]伸线工时wire drawing'!H11</f>
        <v>3.4223333760000001</v>
      </c>
      <c r="V103" s="406">
        <f t="shared" si="69"/>
        <v>0.29219830160695598</v>
      </c>
      <c r="W103" s="406">
        <f t="shared" si="70"/>
        <v>22.56862745098039</v>
      </c>
      <c r="X103" s="418"/>
      <c r="Y103" s="408">
        <f t="shared" si="72"/>
        <v>3.2201824595501449</v>
      </c>
      <c r="Z103" s="8"/>
    </row>
    <row r="104" spans="1:26" ht="19.5" customHeight="1">
      <c r="A104" s="393">
        <v>45365</v>
      </c>
      <c r="B104" s="394" t="s">
        <v>192</v>
      </c>
      <c r="C104" s="394" t="s">
        <v>253</v>
      </c>
      <c r="D104" s="394"/>
      <c r="E104" s="395">
        <v>0.08</v>
      </c>
      <c r="F104" s="396" t="s">
        <v>185</v>
      </c>
      <c r="G104" s="397">
        <v>7</v>
      </c>
      <c r="H104" s="406">
        <f t="shared" si="66"/>
        <v>62.957176593031427</v>
      </c>
      <c r="I104" s="397">
        <v>8</v>
      </c>
      <c r="J104" s="398">
        <f t="shared" si="59"/>
        <v>63.033565056000008</v>
      </c>
      <c r="K104" s="399">
        <f>489000+430000+490000</f>
        <v>1409000</v>
      </c>
      <c r="L104" s="397">
        <v>0</v>
      </c>
      <c r="M104" s="400">
        <f t="shared" si="42"/>
        <v>1.0012133400368695</v>
      </c>
      <c r="N104" s="401">
        <f t="shared" si="67"/>
        <v>0.87606167253226064</v>
      </c>
      <c r="O104" s="402">
        <f t="shared" si="68"/>
        <v>0</v>
      </c>
      <c r="P104" s="387" t="s">
        <v>204</v>
      </c>
      <c r="Q104" s="417"/>
      <c r="R104" s="417"/>
      <c r="S104" s="417"/>
      <c r="T104" s="417"/>
      <c r="U104" s="405">
        <f>'[1]伸线工时wire drawing'!H11</f>
        <v>3.4223333760000001</v>
      </c>
      <c r="V104" s="406">
        <f t="shared" si="69"/>
        <v>0.29219830160695598</v>
      </c>
      <c r="W104" s="406">
        <f t="shared" si="70"/>
        <v>18.41830065359477</v>
      </c>
      <c r="X104" s="418"/>
      <c r="Y104" s="408">
        <f t="shared" si="72"/>
        <v>2.627997153493284</v>
      </c>
      <c r="Z104" s="8"/>
    </row>
    <row r="105" spans="1:26" ht="16.5">
      <c r="A105" s="393">
        <v>45365</v>
      </c>
      <c r="B105" s="394" t="s">
        <v>193</v>
      </c>
      <c r="C105" s="394" t="s">
        <v>253</v>
      </c>
      <c r="D105" s="394"/>
      <c r="E105" s="395">
        <v>0.08</v>
      </c>
      <c r="F105" s="396" t="s">
        <v>185</v>
      </c>
      <c r="G105" s="397">
        <v>7</v>
      </c>
      <c r="H105" s="406">
        <f t="shared" si="66"/>
        <v>76.719284748215017</v>
      </c>
      <c r="I105" s="397">
        <v>8</v>
      </c>
      <c r="J105" s="398">
        <f t="shared" si="59"/>
        <v>76.812371328000012</v>
      </c>
      <c r="K105" s="399">
        <f>612000+500000+605000</f>
        <v>1717000</v>
      </c>
      <c r="L105" s="397">
        <v>0</v>
      </c>
      <c r="M105" s="400">
        <f t="shared" si="42"/>
        <v>1.0012133400368695</v>
      </c>
      <c r="N105" s="401">
        <f t="shared" si="67"/>
        <v>0.87606167253226064</v>
      </c>
      <c r="O105" s="402">
        <f t="shared" si="68"/>
        <v>0</v>
      </c>
      <c r="P105" s="387" t="s">
        <v>204</v>
      </c>
      <c r="Q105" s="417"/>
      <c r="R105" s="417"/>
      <c r="S105" s="417"/>
      <c r="T105" s="417"/>
      <c r="U105" s="405">
        <f>'[1]伸线工时wire drawing'!H11</f>
        <v>3.4223333760000001</v>
      </c>
      <c r="V105" s="406">
        <f t="shared" si="69"/>
        <v>0.29219830160695598</v>
      </c>
      <c r="W105" s="406">
        <f t="shared" si="70"/>
        <v>22.444444444444446</v>
      </c>
      <c r="X105" s="418"/>
      <c r="Y105" s="408">
        <f t="shared" si="72"/>
        <v>3.2024635291326962</v>
      </c>
      <c r="Z105" s="8"/>
    </row>
    <row r="106" spans="1:26" ht="16.5">
      <c r="A106" s="393">
        <v>45365</v>
      </c>
      <c r="B106" s="394" t="s">
        <v>199</v>
      </c>
      <c r="C106" s="394" t="s">
        <v>253</v>
      </c>
      <c r="D106" s="394"/>
      <c r="E106" s="395">
        <v>0.08</v>
      </c>
      <c r="F106" s="396" t="s">
        <v>185</v>
      </c>
      <c r="G106" s="397">
        <v>7</v>
      </c>
      <c r="H106" s="406">
        <f t="shared" si="66"/>
        <v>77.076742102895111</v>
      </c>
      <c r="I106" s="397">
        <v>8</v>
      </c>
      <c r="J106" s="398">
        <f t="shared" si="59"/>
        <v>77.170262400000013</v>
      </c>
      <c r="K106" s="399">
        <f>590000+550000+585000</f>
        <v>1725000</v>
      </c>
      <c r="L106" s="397">
        <v>0</v>
      </c>
      <c r="M106" s="400">
        <f t="shared" si="42"/>
        <v>1.0012133400368695</v>
      </c>
      <c r="N106" s="401">
        <f t="shared" si="67"/>
        <v>0.87606167253226075</v>
      </c>
      <c r="O106" s="402">
        <f t="shared" si="68"/>
        <v>0</v>
      </c>
      <c r="P106" s="387" t="s">
        <v>204</v>
      </c>
      <c r="Q106" s="417"/>
      <c r="R106" s="417"/>
      <c r="S106" s="417"/>
      <c r="T106" s="417"/>
      <c r="U106" s="405">
        <f>'[1]伸线工时wire drawing'!H11</f>
        <v>3.4223333760000001</v>
      </c>
      <c r="V106" s="406">
        <f t="shared" si="69"/>
        <v>0.29219830160695598</v>
      </c>
      <c r="W106" s="406">
        <f t="shared" si="70"/>
        <v>22.549019607843139</v>
      </c>
      <c r="X106" s="418"/>
      <c r="Y106" s="408">
        <f t="shared" si="72"/>
        <v>3.2173847336947587</v>
      </c>
      <c r="Z106" s="8"/>
    </row>
    <row r="107" spans="1:26" ht="16.5">
      <c r="A107" s="393">
        <v>45365</v>
      </c>
      <c r="B107" s="394" t="s">
        <v>197</v>
      </c>
      <c r="C107" s="394" t="s">
        <v>253</v>
      </c>
      <c r="D107" s="394"/>
      <c r="E107" s="395">
        <v>0.08</v>
      </c>
      <c r="F107" s="396" t="s">
        <v>185</v>
      </c>
      <c r="G107" s="397">
        <v>7</v>
      </c>
      <c r="H107" s="406">
        <f t="shared" si="66"/>
        <v>61.397768883239522</v>
      </c>
      <c r="I107" s="397">
        <v>8</v>
      </c>
      <c r="J107" s="398">
        <f t="shared" si="59"/>
        <v>61.472265254400007</v>
      </c>
      <c r="K107" s="399">
        <f>550000+428700+395400</f>
        <v>1374100</v>
      </c>
      <c r="L107" s="397">
        <v>0</v>
      </c>
      <c r="M107" s="400">
        <f t="shared" si="42"/>
        <v>1.0012133400368692</v>
      </c>
      <c r="N107" s="401">
        <f t="shared" si="67"/>
        <v>0.87606167253226075</v>
      </c>
      <c r="O107" s="402">
        <f t="shared" si="68"/>
        <v>0</v>
      </c>
      <c r="P107" s="387" t="s">
        <v>204</v>
      </c>
      <c r="Q107" s="417"/>
      <c r="R107" s="417"/>
      <c r="S107" s="417"/>
      <c r="T107" s="417"/>
      <c r="U107" s="405">
        <f>'[1]伸线工时wire drawing'!H11</f>
        <v>3.4223333760000001</v>
      </c>
      <c r="V107" s="406">
        <f t="shared" si="69"/>
        <v>0.29219830160695598</v>
      </c>
      <c r="W107" s="406">
        <f t="shared" si="70"/>
        <v>17.962091503267974</v>
      </c>
      <c r="X107" s="418"/>
      <c r="Y107" s="408">
        <f t="shared" si="72"/>
        <v>2.5629033985912857</v>
      </c>
      <c r="Z107" s="8"/>
    </row>
    <row r="108" spans="1:26" ht="16.5">
      <c r="A108" s="393">
        <v>45365</v>
      </c>
      <c r="B108" s="394" t="s">
        <v>202</v>
      </c>
      <c r="C108" s="394" t="s">
        <v>253</v>
      </c>
      <c r="D108" s="394"/>
      <c r="E108" s="395">
        <v>0.08</v>
      </c>
      <c r="F108" s="396" t="s">
        <v>185</v>
      </c>
      <c r="G108" s="397">
        <v>7</v>
      </c>
      <c r="H108" s="406">
        <f t="shared" si="66"/>
        <v>71.357424428013601</v>
      </c>
      <c r="I108" s="397">
        <v>8</v>
      </c>
      <c r="J108" s="398">
        <f t="shared" si="59"/>
        <v>71.444005247999996</v>
      </c>
      <c r="K108" s="399">
        <f>685000+501400+410600</f>
        <v>1597000</v>
      </c>
      <c r="L108" s="397">
        <v>0</v>
      </c>
      <c r="M108" s="400">
        <f t="shared" si="42"/>
        <v>1.0012133400368695</v>
      </c>
      <c r="N108" s="401">
        <f t="shared" si="67"/>
        <v>0.87606167253226075</v>
      </c>
      <c r="O108" s="402">
        <f t="shared" si="68"/>
        <v>0</v>
      </c>
      <c r="P108" s="387" t="s">
        <v>204</v>
      </c>
      <c r="Q108" s="419"/>
      <c r="R108" s="419"/>
      <c r="S108" s="419"/>
      <c r="T108" s="419"/>
      <c r="U108" s="405">
        <f>'[1]伸线工时wire drawing'!H11</f>
        <v>3.4223333760000001</v>
      </c>
      <c r="V108" s="406">
        <f t="shared" si="69"/>
        <v>0.29219830160695598</v>
      </c>
      <c r="W108" s="406">
        <f t="shared" si="70"/>
        <v>20.875816993464049</v>
      </c>
      <c r="X108" s="420"/>
      <c r="Y108" s="408">
        <f t="shared" si="72"/>
        <v>2.9786454607017556</v>
      </c>
      <c r="Z108" s="8"/>
    </row>
    <row r="109" spans="1:26">
      <c r="A109" s="393"/>
      <c r="B109" s="394"/>
      <c r="C109" s="394"/>
      <c r="D109" s="394"/>
      <c r="E109" s="395"/>
      <c r="F109" s="396"/>
      <c r="G109" s="397"/>
      <c r="H109" s="406"/>
      <c r="I109" s="397"/>
      <c r="J109" s="398"/>
      <c r="K109" s="399"/>
      <c r="L109" s="397"/>
      <c r="M109" s="400" t="str">
        <f t="shared" si="42"/>
        <v/>
      </c>
      <c r="N109" s="401"/>
      <c r="O109" s="402"/>
      <c r="P109" s="387"/>
      <c r="Q109" s="421"/>
      <c r="R109" s="421"/>
      <c r="S109" s="421"/>
      <c r="T109" s="422"/>
      <c r="U109" s="405"/>
      <c r="V109" s="406"/>
      <c r="W109" s="406"/>
      <c r="X109" s="423"/>
      <c r="Y109" s="408"/>
      <c r="Z109" s="8"/>
    </row>
    <row r="110" spans="1:26" ht="37.5" customHeight="1">
      <c r="A110" s="393">
        <v>45366</v>
      </c>
      <c r="B110" s="394" t="s">
        <v>184</v>
      </c>
      <c r="C110" s="394" t="s">
        <v>253</v>
      </c>
      <c r="D110" s="394"/>
      <c r="E110" s="395">
        <v>0.54</v>
      </c>
      <c r="F110" s="396" t="s">
        <v>185</v>
      </c>
      <c r="G110" s="397">
        <v>1</v>
      </c>
      <c r="H110" s="406">
        <f t="shared" si="66"/>
        <v>831.62701036800001</v>
      </c>
      <c r="I110" s="397"/>
      <c r="J110" s="398">
        <f t="shared" si="59"/>
        <v>611.49044880000008</v>
      </c>
      <c r="K110" s="399">
        <f>200000+100000</f>
        <v>300000</v>
      </c>
      <c r="L110" s="397">
        <v>0</v>
      </c>
      <c r="M110" s="400">
        <f t="shared" si="42"/>
        <v>0.73529411764705888</v>
      </c>
      <c r="N110" s="401" t="str">
        <f t="shared" ref="N110:N118" si="73">IFERROR(IF(I110&lt;&gt;"",J110/(I110*U110*Y110),""),"input error")</f>
        <v/>
      </c>
      <c r="O110" s="402">
        <f t="shared" ref="O110:O118" si="74">IFERROR(IF(L110&lt;&gt;"",L110/(J110+L110),""),"input error")</f>
        <v>0</v>
      </c>
      <c r="P110" s="397" t="s">
        <v>205</v>
      </c>
      <c r="Q110" s="403">
        <v>2</v>
      </c>
      <c r="R110" s="403">
        <v>5</v>
      </c>
      <c r="S110" s="403">
        <v>0</v>
      </c>
      <c r="T110" s="409">
        <f>IFERROR(IF(R110&lt;&gt;"",R110*Q110-S110,""),"input error")</f>
        <v>10</v>
      </c>
      <c r="U110" s="405">
        <f>'[1]伸线工时wire drawing'!H6</f>
        <v>83.162701036800001</v>
      </c>
      <c r="V110" s="406">
        <f t="shared" ref="V110:V118" si="75">IFERROR(IF(U110&lt;&gt;"",1/U110,""),"input error")</f>
        <v>1.2024621465306832E-2</v>
      </c>
      <c r="W110" s="406">
        <f t="shared" ref="W110:W118" si="76">IFERROR(IF(V110&lt;&gt;"",V110*J110,""),"input error")</f>
        <v>7.3529411764705896</v>
      </c>
      <c r="X110" s="413">
        <f>SUM(W110)</f>
        <v>7.3529411764705896</v>
      </c>
      <c r="Y110" s="408">
        <f t="shared" ref="Y110" si="77">IFERROR(IF(W110&lt;&gt;"",T110*W110/X110,""),"input error")</f>
        <v>10</v>
      </c>
      <c r="Z110" s="8"/>
    </row>
    <row r="111" spans="1:26" ht="25.5">
      <c r="A111" s="393">
        <v>45366</v>
      </c>
      <c r="B111" s="394" t="s">
        <v>189</v>
      </c>
      <c r="C111" s="394" t="s">
        <v>253</v>
      </c>
      <c r="D111" s="394"/>
      <c r="E111" s="395">
        <v>0.16</v>
      </c>
      <c r="F111" s="396" t="s">
        <v>185</v>
      </c>
      <c r="G111" s="397">
        <v>7</v>
      </c>
      <c r="H111" s="406">
        <f t="shared" si="66"/>
        <v>162.07838559859442</v>
      </c>
      <c r="I111" s="397">
        <v>8</v>
      </c>
      <c r="J111" s="398">
        <f t="shared" si="59"/>
        <v>147.32585978880002</v>
      </c>
      <c r="K111" s="399">
        <f>294000+324300+205000</f>
        <v>823300</v>
      </c>
      <c r="L111" s="397">
        <v>0</v>
      </c>
      <c r="M111" s="400">
        <f t="shared" si="42"/>
        <v>0.90897906741043977</v>
      </c>
      <c r="N111" s="401">
        <f t="shared" si="73"/>
        <v>0.79535668398413484</v>
      </c>
      <c r="O111" s="402">
        <f t="shared" si="74"/>
        <v>0</v>
      </c>
      <c r="P111" s="387" t="s">
        <v>201</v>
      </c>
      <c r="Q111" s="415">
        <v>3</v>
      </c>
      <c r="R111" s="415">
        <v>7.5</v>
      </c>
      <c r="S111" s="415">
        <v>0</v>
      </c>
      <c r="T111" s="415">
        <f>IFERROR(IF(R111&lt;&gt;"",R111*Q111-S111,""),"input error")</f>
        <v>22.5</v>
      </c>
      <c r="U111" s="405">
        <f>'[1]伸线工时wire drawing'!H19</f>
        <v>11.864089036799999</v>
      </c>
      <c r="V111" s="406">
        <f t="shared" si="75"/>
        <v>8.4287971617391169E-2</v>
      </c>
      <c r="W111" s="406">
        <f t="shared" si="76"/>
        <v>12.417797888386128</v>
      </c>
      <c r="X111" s="416">
        <f>SUM(W111:W118)</f>
        <v>143.1642031171443</v>
      </c>
      <c r="Y111" s="408">
        <f>IFERROR(IF(W111&lt;&gt;"",$T$111*W111/$X$111,""),"input error")</f>
        <v>1.9516083378752722</v>
      </c>
      <c r="Z111" s="8"/>
    </row>
    <row r="112" spans="1:26" ht="15.75" customHeight="1">
      <c r="A112" s="393">
        <v>45366</v>
      </c>
      <c r="B112" s="394" t="s">
        <v>190</v>
      </c>
      <c r="C112" s="394" t="s">
        <v>253</v>
      </c>
      <c r="D112" s="394"/>
      <c r="E112" s="395">
        <v>0.08</v>
      </c>
      <c r="F112" s="396" t="s">
        <v>185</v>
      </c>
      <c r="G112" s="397">
        <v>7</v>
      </c>
      <c r="H112" s="406">
        <f t="shared" si="66"/>
        <v>83.785449909828458</v>
      </c>
      <c r="I112" s="397">
        <v>8</v>
      </c>
      <c r="J112" s="398">
        <f t="shared" si="59"/>
        <v>76.159220121600015</v>
      </c>
      <c r="K112" s="399">
        <f>560000+560000+582400</f>
        <v>1702400</v>
      </c>
      <c r="L112" s="397">
        <v>0</v>
      </c>
      <c r="M112" s="400">
        <f t="shared" si="42"/>
        <v>0.9089790674104401</v>
      </c>
      <c r="N112" s="401">
        <f t="shared" si="73"/>
        <v>0.79535668398413506</v>
      </c>
      <c r="O112" s="402">
        <f t="shared" si="74"/>
        <v>0</v>
      </c>
      <c r="P112" s="387" t="s">
        <v>201</v>
      </c>
      <c r="Q112" s="417"/>
      <c r="R112" s="417"/>
      <c r="S112" s="417"/>
      <c r="T112" s="417"/>
      <c r="U112" s="405">
        <f>'[1]伸线工时wire drawing'!H11</f>
        <v>3.4223333760000001</v>
      </c>
      <c r="V112" s="406">
        <f t="shared" si="75"/>
        <v>0.29219830160695598</v>
      </c>
      <c r="W112" s="406">
        <f t="shared" si="76"/>
        <v>22.253594771241833</v>
      </c>
      <c r="X112" s="418"/>
      <c r="Y112" s="408">
        <f t="shared" ref="Y112:Y118" si="78">IFERROR(IF(W112&lt;&gt;"",$T$111*W112/$X$111,""),"input error")</f>
        <v>3.4974237375752231</v>
      </c>
      <c r="Z112" s="8"/>
    </row>
    <row r="113" spans="1:26" ht="25.5">
      <c r="A113" s="393">
        <v>45366</v>
      </c>
      <c r="B113" s="394" t="s">
        <v>191</v>
      </c>
      <c r="C113" s="394" t="s">
        <v>253</v>
      </c>
      <c r="D113" s="394"/>
      <c r="E113" s="395">
        <v>0.08</v>
      </c>
      <c r="F113" s="396" t="s">
        <v>185</v>
      </c>
      <c r="G113" s="397">
        <v>7</v>
      </c>
      <c r="H113" s="406">
        <f t="shared" si="66"/>
        <v>64.45829637388529</v>
      </c>
      <c r="I113" s="397">
        <v>8</v>
      </c>
      <c r="J113" s="398">
        <f t="shared" si="59"/>
        <v>58.591242124800004</v>
      </c>
      <c r="K113" s="399">
        <f>540000+473300+296400</f>
        <v>1309700</v>
      </c>
      <c r="L113" s="397">
        <v>0</v>
      </c>
      <c r="M113" s="400">
        <f t="shared" si="42"/>
        <v>0.9089790674104401</v>
      </c>
      <c r="N113" s="401">
        <f t="shared" si="73"/>
        <v>0.79535668398413506</v>
      </c>
      <c r="O113" s="402">
        <f t="shared" si="74"/>
        <v>0</v>
      </c>
      <c r="P113" s="387" t="s">
        <v>201</v>
      </c>
      <c r="Q113" s="417"/>
      <c r="R113" s="417"/>
      <c r="S113" s="417"/>
      <c r="T113" s="417"/>
      <c r="U113" s="405">
        <f>'[1]伸线工时wire drawing'!H11</f>
        <v>3.4223333760000001</v>
      </c>
      <c r="V113" s="406">
        <f t="shared" si="75"/>
        <v>0.29219830160695598</v>
      </c>
      <c r="W113" s="406">
        <f t="shared" si="76"/>
        <v>17.120261437908496</v>
      </c>
      <c r="X113" s="418"/>
      <c r="Y113" s="408">
        <f t="shared" si="78"/>
        <v>2.6906578178467275</v>
      </c>
      <c r="Z113" s="8"/>
    </row>
    <row r="114" spans="1:26" ht="25.5">
      <c r="A114" s="393">
        <v>45366</v>
      </c>
      <c r="B114" s="394" t="s">
        <v>192</v>
      </c>
      <c r="C114" s="394" t="s">
        <v>253</v>
      </c>
      <c r="D114" s="394"/>
      <c r="E114" s="395">
        <v>0.08</v>
      </c>
      <c r="F114" s="396" t="s">
        <v>185</v>
      </c>
      <c r="G114" s="397">
        <v>7</v>
      </c>
      <c r="H114" s="406">
        <f t="shared" si="66"/>
        <v>84.676260908047382</v>
      </c>
      <c r="I114" s="397">
        <v>8</v>
      </c>
      <c r="J114" s="398">
        <f t="shared" si="59"/>
        <v>76.96894867200001</v>
      </c>
      <c r="K114" s="399">
        <f>530000+573800+616700</f>
        <v>1720500</v>
      </c>
      <c r="L114" s="397">
        <v>0</v>
      </c>
      <c r="M114" s="400">
        <f t="shared" si="42"/>
        <v>0.90897906741043999</v>
      </c>
      <c r="N114" s="401">
        <f t="shared" si="73"/>
        <v>0.79535668398413495</v>
      </c>
      <c r="O114" s="402">
        <f t="shared" si="74"/>
        <v>0</v>
      </c>
      <c r="P114" s="387" t="s">
        <v>201</v>
      </c>
      <c r="Q114" s="417"/>
      <c r="R114" s="417"/>
      <c r="S114" s="417"/>
      <c r="T114" s="417"/>
      <c r="U114" s="405">
        <f>'[1]伸线工时wire drawing'!H11</f>
        <v>3.4223333760000001</v>
      </c>
      <c r="V114" s="406">
        <f t="shared" si="75"/>
        <v>0.29219830160695598</v>
      </c>
      <c r="W114" s="406">
        <f t="shared" si="76"/>
        <v>22.490196078431374</v>
      </c>
      <c r="X114" s="418"/>
      <c r="Y114" s="408">
        <f t="shared" si="78"/>
        <v>3.534608517679847</v>
      </c>
      <c r="Z114" s="8"/>
    </row>
    <row r="115" spans="1:26" ht="25.5">
      <c r="A115" s="393">
        <v>45366</v>
      </c>
      <c r="B115" s="394" t="s">
        <v>193</v>
      </c>
      <c r="C115" s="394" t="s">
        <v>253</v>
      </c>
      <c r="D115" s="394"/>
      <c r="E115" s="395">
        <v>0.08</v>
      </c>
      <c r="F115" s="396" t="s">
        <v>185</v>
      </c>
      <c r="G115" s="397">
        <v>7</v>
      </c>
      <c r="H115" s="406">
        <f t="shared" si="66"/>
        <v>84.676260908047382</v>
      </c>
      <c r="I115" s="397">
        <v>8</v>
      </c>
      <c r="J115" s="398">
        <f t="shared" si="59"/>
        <v>76.96894867200001</v>
      </c>
      <c r="K115" s="399">
        <f>565000+590500+565000</f>
        <v>1720500</v>
      </c>
      <c r="L115" s="397">
        <v>0</v>
      </c>
      <c r="M115" s="400">
        <f t="shared" si="42"/>
        <v>0.90897906741043999</v>
      </c>
      <c r="N115" s="401">
        <f t="shared" si="73"/>
        <v>0.79535668398413495</v>
      </c>
      <c r="O115" s="402">
        <f t="shared" si="74"/>
        <v>0</v>
      </c>
      <c r="P115" s="387" t="s">
        <v>201</v>
      </c>
      <c r="Q115" s="417"/>
      <c r="R115" s="417"/>
      <c r="S115" s="417"/>
      <c r="T115" s="417"/>
      <c r="U115" s="405">
        <f>'[1]伸线工时wire drawing'!H11</f>
        <v>3.4223333760000001</v>
      </c>
      <c r="V115" s="406">
        <f t="shared" si="75"/>
        <v>0.29219830160695598</v>
      </c>
      <c r="W115" s="406">
        <f t="shared" si="76"/>
        <v>22.490196078431374</v>
      </c>
      <c r="X115" s="418"/>
      <c r="Y115" s="408">
        <f t="shared" si="78"/>
        <v>3.534608517679847</v>
      </c>
      <c r="Z115" s="8"/>
    </row>
    <row r="116" spans="1:26" ht="25.5">
      <c r="A116" s="393">
        <v>45366</v>
      </c>
      <c r="B116" s="394" t="s">
        <v>199</v>
      </c>
      <c r="C116" s="394" t="s">
        <v>253</v>
      </c>
      <c r="D116" s="394"/>
      <c r="E116" s="395">
        <v>0.08</v>
      </c>
      <c r="F116" s="396" t="s">
        <v>185</v>
      </c>
      <c r="G116" s="397">
        <v>7</v>
      </c>
      <c r="H116" s="406">
        <f t="shared" si="66"/>
        <v>73.47960333374877</v>
      </c>
      <c r="I116" s="397">
        <v>8</v>
      </c>
      <c r="J116" s="398">
        <f t="shared" si="59"/>
        <v>66.791421312000011</v>
      </c>
      <c r="K116" s="399">
        <f>580000+400800+512200</f>
        <v>1493000</v>
      </c>
      <c r="L116" s="397">
        <v>0</v>
      </c>
      <c r="M116" s="400">
        <f t="shared" si="42"/>
        <v>0.90897906741043999</v>
      </c>
      <c r="N116" s="401">
        <f t="shared" si="73"/>
        <v>0.79535668398413495</v>
      </c>
      <c r="O116" s="402">
        <f t="shared" si="74"/>
        <v>0</v>
      </c>
      <c r="P116" s="387" t="s">
        <v>201</v>
      </c>
      <c r="Q116" s="417"/>
      <c r="R116" s="417"/>
      <c r="S116" s="417"/>
      <c r="T116" s="417"/>
      <c r="U116" s="405">
        <f>'[1]伸线工时wire drawing'!H11</f>
        <v>3.4223333760000001</v>
      </c>
      <c r="V116" s="406">
        <f t="shared" si="75"/>
        <v>0.29219830160695598</v>
      </c>
      <c r="W116" s="406">
        <f t="shared" si="76"/>
        <v>19.516339869281047</v>
      </c>
      <c r="X116" s="418"/>
      <c r="Y116" s="408">
        <f t="shared" si="78"/>
        <v>3.0672307566963162</v>
      </c>
      <c r="Z116" s="8"/>
    </row>
    <row r="117" spans="1:26" ht="25.5">
      <c r="A117" s="393">
        <v>45366</v>
      </c>
      <c r="B117" s="394" t="s">
        <v>197</v>
      </c>
      <c r="C117" s="394" t="s">
        <v>253</v>
      </c>
      <c r="D117" s="394"/>
      <c r="E117" s="395">
        <v>0.08</v>
      </c>
      <c r="F117" s="396" t="s">
        <v>185</v>
      </c>
      <c r="G117" s="397">
        <v>7</v>
      </c>
      <c r="H117" s="406">
        <f t="shared" si="66"/>
        <v>75.841975041732653</v>
      </c>
      <c r="I117" s="397">
        <v>8</v>
      </c>
      <c r="J117" s="398">
        <f t="shared" si="59"/>
        <v>68.938767744000018</v>
      </c>
      <c r="K117" s="399">
        <f>525000+432200+583800</f>
        <v>1541000</v>
      </c>
      <c r="L117" s="397">
        <v>0</v>
      </c>
      <c r="M117" s="400">
        <f t="shared" si="42"/>
        <v>0.9089790674104401</v>
      </c>
      <c r="N117" s="401">
        <f t="shared" si="73"/>
        <v>0.79535668398413506</v>
      </c>
      <c r="O117" s="402">
        <f t="shared" si="74"/>
        <v>0</v>
      </c>
      <c r="P117" s="387" t="s">
        <v>201</v>
      </c>
      <c r="Q117" s="417"/>
      <c r="R117" s="417"/>
      <c r="S117" s="417"/>
      <c r="T117" s="417"/>
      <c r="U117" s="405">
        <f>'[1]伸线工时wire drawing'!H11</f>
        <v>3.4223333760000001</v>
      </c>
      <c r="V117" s="406">
        <f t="shared" si="75"/>
        <v>0.29219830160695598</v>
      </c>
      <c r="W117" s="406">
        <f t="shared" si="76"/>
        <v>20.143790849673206</v>
      </c>
      <c r="X117" s="418"/>
      <c r="Y117" s="408">
        <f t="shared" si="78"/>
        <v>3.1658423282444899</v>
      </c>
      <c r="Z117" s="8"/>
    </row>
    <row r="118" spans="1:26" ht="25.5">
      <c r="A118" s="393">
        <v>45366</v>
      </c>
      <c r="B118" s="394" t="s">
        <v>202</v>
      </c>
      <c r="C118" s="394" t="s">
        <v>253</v>
      </c>
      <c r="D118" s="394"/>
      <c r="E118" s="395">
        <v>0.08</v>
      </c>
      <c r="F118" s="396" t="s">
        <v>185</v>
      </c>
      <c r="G118" s="397">
        <v>7</v>
      </c>
      <c r="H118" s="406">
        <f t="shared" si="66"/>
        <v>25.346279783577099</v>
      </c>
      <c r="I118" s="397">
        <v>8</v>
      </c>
      <c r="J118" s="398">
        <f t="shared" si="59"/>
        <v>23.039237760000002</v>
      </c>
      <c r="K118" s="399">
        <f>158800+356200</f>
        <v>515000</v>
      </c>
      <c r="L118" s="397">
        <v>0</v>
      </c>
      <c r="M118" s="400">
        <f t="shared" si="42"/>
        <v>0.9089790674104401</v>
      </c>
      <c r="N118" s="401">
        <f t="shared" si="73"/>
        <v>0.79535668398413506</v>
      </c>
      <c r="O118" s="402">
        <f t="shared" si="74"/>
        <v>0</v>
      </c>
      <c r="P118" s="387" t="s">
        <v>201</v>
      </c>
      <c r="Q118" s="419"/>
      <c r="R118" s="419"/>
      <c r="S118" s="419"/>
      <c r="T118" s="419"/>
      <c r="U118" s="405">
        <f>'[1]伸线工时wire drawing'!H11</f>
        <v>3.4223333760000001</v>
      </c>
      <c r="V118" s="406">
        <f t="shared" si="75"/>
        <v>0.29219830160695598</v>
      </c>
      <c r="W118" s="406">
        <f t="shared" si="76"/>
        <v>6.7320261437908497</v>
      </c>
      <c r="X118" s="420"/>
      <c r="Y118" s="408">
        <f t="shared" si="78"/>
        <v>1.058019986402279</v>
      </c>
      <c r="Z118" s="8"/>
    </row>
    <row r="119" spans="1:26">
      <c r="A119" s="393"/>
      <c r="B119" s="394"/>
      <c r="C119" s="394"/>
      <c r="D119" s="394"/>
      <c r="E119" s="395"/>
      <c r="F119" s="396"/>
      <c r="G119" s="397"/>
      <c r="H119" s="406"/>
      <c r="I119" s="397"/>
      <c r="J119" s="398"/>
      <c r="K119" s="399"/>
      <c r="L119" s="397"/>
      <c r="M119" s="400"/>
      <c r="N119" s="401"/>
      <c r="O119" s="402"/>
      <c r="P119" s="387"/>
      <c r="Q119" s="421"/>
      <c r="R119" s="421"/>
      <c r="S119" s="421"/>
      <c r="T119" s="422"/>
      <c r="U119" s="405"/>
      <c r="V119" s="406"/>
      <c r="W119" s="406"/>
      <c r="X119" s="423"/>
      <c r="Y119" s="408"/>
      <c r="Z119" s="8"/>
    </row>
    <row r="120" spans="1:26" ht="16.5">
      <c r="A120" s="393">
        <v>45367</v>
      </c>
      <c r="B120" s="394" t="s">
        <v>184</v>
      </c>
      <c r="C120" s="394" t="s">
        <v>253</v>
      </c>
      <c r="D120" s="394"/>
      <c r="E120" s="395">
        <v>0.54</v>
      </c>
      <c r="F120" s="396" t="s">
        <v>185</v>
      </c>
      <c r="G120" s="397">
        <v>1</v>
      </c>
      <c r="H120" s="406">
        <f t="shared" si="66"/>
        <v>665.30160829440001</v>
      </c>
      <c r="I120" s="397"/>
      <c r="J120" s="398">
        <f t="shared" si="59"/>
        <v>407.66029920000005</v>
      </c>
      <c r="K120" s="399">
        <f>140000+60000</f>
        <v>200000</v>
      </c>
      <c r="L120" s="397">
        <v>0</v>
      </c>
      <c r="M120" s="400">
        <f t="shared" ref="M120:M128" si="79">IFERROR(IF(J120&lt;&gt;"",J120/H120,""),"input error")</f>
        <v>0.61274509803921573</v>
      </c>
      <c r="N120" s="401" t="str">
        <f t="shared" ref="N120:N128" si="80">IFERROR(IF(I120&lt;&gt;"",J120/(I120*U120*Y120),""),"input error")</f>
        <v/>
      </c>
      <c r="O120" s="402">
        <f t="shared" ref="O120:O128" si="81">IFERROR(IF(L120&lt;&gt;"",L120/(J120+L120),""),"input error")</f>
        <v>0</v>
      </c>
      <c r="P120" s="387" t="s">
        <v>206</v>
      </c>
      <c r="Q120" s="403">
        <v>2</v>
      </c>
      <c r="R120" s="403">
        <v>4</v>
      </c>
      <c r="S120" s="403">
        <v>0</v>
      </c>
      <c r="T120" s="409">
        <f>IFERROR(IF(R120&lt;&gt;"",R120*Q120-S120,""),"input error")</f>
        <v>8</v>
      </c>
      <c r="U120" s="405">
        <f>'[1]伸线工时wire drawing'!H6</f>
        <v>83.162701036800001</v>
      </c>
      <c r="V120" s="406">
        <f t="shared" ref="V120:V128" si="82">IFERROR(IF(U120&lt;&gt;"",1/U120,""),"input error")</f>
        <v>1.2024621465306832E-2</v>
      </c>
      <c r="W120" s="406">
        <f t="shared" ref="W120:W128" si="83">IFERROR(IF(V120&lt;&gt;"",V120*J120,""),"input error")</f>
        <v>4.9019607843137267</v>
      </c>
      <c r="X120" s="413">
        <f>SUM(W120)</f>
        <v>4.9019607843137267</v>
      </c>
      <c r="Y120" s="408">
        <f t="shared" ref="Y120" si="84">IFERROR(IF(W120&lt;&gt;"",T120*W120/X120,""),"input error")</f>
        <v>8</v>
      </c>
      <c r="Z120" s="8"/>
    </row>
    <row r="121" spans="1:26" ht="25.5">
      <c r="A121" s="393">
        <v>45367</v>
      </c>
      <c r="B121" s="394" t="s">
        <v>189</v>
      </c>
      <c r="C121" s="394" t="s">
        <v>253</v>
      </c>
      <c r="D121" s="394"/>
      <c r="E121" s="395">
        <v>0.16</v>
      </c>
      <c r="F121" s="396" t="s">
        <v>185</v>
      </c>
      <c r="G121" s="397">
        <v>7</v>
      </c>
      <c r="H121" s="406">
        <f t="shared" si="66"/>
        <v>157.17570690546984</v>
      </c>
      <c r="I121" s="397">
        <v>8</v>
      </c>
      <c r="J121" s="398">
        <f t="shared" si="59"/>
        <v>148.54268943360003</v>
      </c>
      <c r="K121" s="399">
        <f>235000+230000+365100</f>
        <v>830100</v>
      </c>
      <c r="L121" s="397">
        <v>0</v>
      </c>
      <c r="M121" s="400">
        <f t="shared" si="79"/>
        <v>0.94507409801527431</v>
      </c>
      <c r="N121" s="401">
        <f t="shared" si="80"/>
        <v>0.82693983576336516</v>
      </c>
      <c r="O121" s="402">
        <f t="shared" si="81"/>
        <v>0</v>
      </c>
      <c r="P121" s="387" t="s">
        <v>201</v>
      </c>
      <c r="Q121" s="415">
        <v>3</v>
      </c>
      <c r="R121" s="415">
        <v>5</v>
      </c>
      <c r="S121" s="415">
        <v>0</v>
      </c>
      <c r="T121" s="415">
        <f>IFERROR(IF(R121&lt;&gt;"",R121*Q121-S121,""),"input error")</f>
        <v>15</v>
      </c>
      <c r="U121" s="405">
        <f>'[1]伸线工时wire drawing'!H19</f>
        <v>11.864089036799999</v>
      </c>
      <c r="V121" s="406">
        <f t="shared" si="82"/>
        <v>8.4287971617391169E-2</v>
      </c>
      <c r="W121" s="406">
        <f t="shared" si="83"/>
        <v>12.52036199095023</v>
      </c>
      <c r="X121" s="416">
        <f>SUM(W121:W128)</f>
        <v>99.232780291603817</v>
      </c>
      <c r="Y121" s="408">
        <f>IFERROR(IF(W121&lt;&gt;"",$T$121*W121/$X$121,""),"input error")</f>
        <v>1.8925745032273762</v>
      </c>
      <c r="Z121" s="8"/>
    </row>
    <row r="122" spans="1:26" ht="25.5">
      <c r="A122" s="393">
        <v>45367</v>
      </c>
      <c r="B122" s="394" t="s">
        <v>190</v>
      </c>
      <c r="C122" s="394" t="s">
        <v>253</v>
      </c>
      <c r="D122" s="394"/>
      <c r="E122" s="395">
        <v>0.08</v>
      </c>
      <c r="F122" s="396" t="s">
        <v>185</v>
      </c>
      <c r="G122" s="397">
        <v>7</v>
      </c>
      <c r="H122" s="406">
        <f t="shared" si="66"/>
        <v>49.731597902327003</v>
      </c>
      <c r="I122" s="397">
        <v>8</v>
      </c>
      <c r="J122" s="398">
        <f t="shared" si="59"/>
        <v>47.000045030400003</v>
      </c>
      <c r="K122" s="399">
        <f>358000+375000+317600</f>
        <v>1050600</v>
      </c>
      <c r="L122" s="397">
        <v>0</v>
      </c>
      <c r="M122" s="400">
        <f t="shared" si="79"/>
        <v>0.94507409801527431</v>
      </c>
      <c r="N122" s="401">
        <f t="shared" si="80"/>
        <v>0.82693983576336505</v>
      </c>
      <c r="O122" s="402">
        <f t="shared" si="81"/>
        <v>0</v>
      </c>
      <c r="P122" s="387" t="s">
        <v>201</v>
      </c>
      <c r="Q122" s="417"/>
      <c r="R122" s="417"/>
      <c r="S122" s="417"/>
      <c r="T122" s="417"/>
      <c r="U122" s="405">
        <f>'[1]伸线工时wire drawing'!H11</f>
        <v>3.4223333760000001</v>
      </c>
      <c r="V122" s="406">
        <f t="shared" si="82"/>
        <v>0.29219830160695598</v>
      </c>
      <c r="W122" s="406">
        <f t="shared" si="83"/>
        <v>13.733333333333333</v>
      </c>
      <c r="X122" s="418"/>
      <c r="Y122" s="408">
        <f t="shared" ref="Y122:Y128" si="85">IFERROR(IF(W122&lt;&gt;"",$T$121*W122/$X$121,""),"input error")</f>
        <v>2.0759269204657151</v>
      </c>
      <c r="Z122" s="8"/>
    </row>
    <row r="123" spans="1:26" ht="37.5" customHeight="1">
      <c r="A123" s="393">
        <v>45367</v>
      </c>
      <c r="B123" s="394" t="s">
        <v>191</v>
      </c>
      <c r="C123" s="394" t="s">
        <v>253</v>
      </c>
      <c r="D123" s="394"/>
      <c r="E123" s="395">
        <v>0.08</v>
      </c>
      <c r="F123" s="396" t="s">
        <v>185</v>
      </c>
      <c r="G123" s="397">
        <v>7</v>
      </c>
      <c r="H123" s="406">
        <f t="shared" si="66"/>
        <v>23.459908547870985</v>
      </c>
      <c r="I123" s="397">
        <v>8</v>
      </c>
      <c r="J123" s="398">
        <f t="shared" si="59"/>
        <v>22.171351910400002</v>
      </c>
      <c r="K123" s="399">
        <f>223600+272000</f>
        <v>495600</v>
      </c>
      <c r="L123" s="397">
        <v>0</v>
      </c>
      <c r="M123" s="400">
        <f t="shared" si="79"/>
        <v>0.94507409801527464</v>
      </c>
      <c r="N123" s="401">
        <f t="shared" si="80"/>
        <v>0.82693983576336527</v>
      </c>
      <c r="O123" s="402">
        <f t="shared" si="81"/>
        <v>0</v>
      </c>
      <c r="P123" s="387" t="s">
        <v>201</v>
      </c>
      <c r="Q123" s="417"/>
      <c r="R123" s="417"/>
      <c r="S123" s="417"/>
      <c r="T123" s="417"/>
      <c r="U123" s="405">
        <f>'[1]伸线工时wire drawing'!H11</f>
        <v>3.4223333760000001</v>
      </c>
      <c r="V123" s="406">
        <f t="shared" si="82"/>
        <v>0.29219830160695598</v>
      </c>
      <c r="W123" s="406">
        <f t="shared" si="83"/>
        <v>6.4784313725490197</v>
      </c>
      <c r="X123" s="418"/>
      <c r="Y123" s="408">
        <f t="shared" si="85"/>
        <v>0.9792779190774874</v>
      </c>
      <c r="Z123" s="8"/>
    </row>
    <row r="124" spans="1:26" ht="25.5">
      <c r="A124" s="393">
        <v>45367</v>
      </c>
      <c r="B124" s="394" t="s">
        <v>192</v>
      </c>
      <c r="C124" s="394" t="s">
        <v>253</v>
      </c>
      <c r="D124" s="394"/>
      <c r="E124" s="395">
        <v>0.08</v>
      </c>
      <c r="F124" s="396" t="s">
        <v>185</v>
      </c>
      <c r="G124" s="397">
        <v>7</v>
      </c>
      <c r="H124" s="406">
        <f t="shared" si="66"/>
        <v>49.229832303845491</v>
      </c>
      <c r="I124" s="397">
        <v>8</v>
      </c>
      <c r="J124" s="398">
        <f t="shared" si="59"/>
        <v>46.525839360000006</v>
      </c>
      <c r="K124" s="399">
        <f>385000+370000+285000</f>
        <v>1040000</v>
      </c>
      <c r="L124" s="397">
        <v>0</v>
      </c>
      <c r="M124" s="400">
        <f t="shared" si="79"/>
        <v>0.94507409801527464</v>
      </c>
      <c r="N124" s="401">
        <f t="shared" si="80"/>
        <v>0.82693983576336527</v>
      </c>
      <c r="O124" s="402">
        <f t="shared" si="81"/>
        <v>0</v>
      </c>
      <c r="P124" s="387" t="s">
        <v>201</v>
      </c>
      <c r="Q124" s="417"/>
      <c r="R124" s="417"/>
      <c r="S124" s="417"/>
      <c r="T124" s="417"/>
      <c r="U124" s="405">
        <f>'[1]伸线工时wire drawing'!H11</f>
        <v>3.4223333760000001</v>
      </c>
      <c r="V124" s="406">
        <f t="shared" si="82"/>
        <v>0.29219830160695598</v>
      </c>
      <c r="W124" s="406">
        <f t="shared" si="83"/>
        <v>13.594771241830065</v>
      </c>
      <c r="X124" s="418"/>
      <c r="Y124" s="408">
        <f t="shared" si="85"/>
        <v>2.0549819125112729</v>
      </c>
      <c r="Z124" s="8"/>
    </row>
    <row r="125" spans="1:26" ht="15.75" customHeight="1">
      <c r="A125" s="393">
        <v>45367</v>
      </c>
      <c r="B125" s="394" t="s">
        <v>193</v>
      </c>
      <c r="C125" s="394" t="s">
        <v>253</v>
      </c>
      <c r="D125" s="394"/>
      <c r="E125" s="395">
        <v>0.08</v>
      </c>
      <c r="F125" s="396" t="s">
        <v>185</v>
      </c>
      <c r="G125" s="397">
        <v>7</v>
      </c>
      <c r="H125" s="406">
        <f t="shared" si="66"/>
        <v>52.529177795747444</v>
      </c>
      <c r="I125" s="397">
        <v>8</v>
      </c>
      <c r="J125" s="398">
        <f t="shared" si="59"/>
        <v>49.6439653248</v>
      </c>
      <c r="K125" s="399">
        <f>371000+378700+360000</f>
        <v>1109700</v>
      </c>
      <c r="L125" s="397">
        <v>0</v>
      </c>
      <c r="M125" s="400">
        <f t="shared" si="79"/>
        <v>0.94507409801527453</v>
      </c>
      <c r="N125" s="401">
        <f t="shared" si="80"/>
        <v>0.82693983576336516</v>
      </c>
      <c r="O125" s="402">
        <f t="shared" si="81"/>
        <v>0</v>
      </c>
      <c r="P125" s="387" t="s">
        <v>201</v>
      </c>
      <c r="Q125" s="417"/>
      <c r="R125" s="417"/>
      <c r="S125" s="417"/>
      <c r="T125" s="417"/>
      <c r="U125" s="405">
        <f>'[1]伸线工时wire drawing'!H11</f>
        <v>3.4223333760000001</v>
      </c>
      <c r="V125" s="406">
        <f t="shared" si="82"/>
        <v>0.29219830160695598</v>
      </c>
      <c r="W125" s="406">
        <f t="shared" si="83"/>
        <v>14.505882352941175</v>
      </c>
      <c r="X125" s="418"/>
      <c r="Y125" s="408">
        <f t="shared" si="85"/>
        <v>2.1927052195324612</v>
      </c>
      <c r="Z125" s="8"/>
    </row>
    <row r="126" spans="1:26" ht="25.5">
      <c r="A126" s="393">
        <v>45367</v>
      </c>
      <c r="B126" s="394" t="s">
        <v>199</v>
      </c>
      <c r="C126" s="394" t="s">
        <v>253</v>
      </c>
      <c r="D126" s="394"/>
      <c r="E126" s="395">
        <v>0.08</v>
      </c>
      <c r="F126" s="396" t="s">
        <v>185</v>
      </c>
      <c r="G126" s="397">
        <v>7</v>
      </c>
      <c r="H126" s="406">
        <f t="shared" si="66"/>
        <v>50.877138230935707</v>
      </c>
      <c r="I126" s="397">
        <v>8</v>
      </c>
      <c r="J126" s="398">
        <f t="shared" si="59"/>
        <v>48.082665523200006</v>
      </c>
      <c r="K126" s="399">
        <f>370000+357000+347800</f>
        <v>1074800</v>
      </c>
      <c r="L126" s="397">
        <v>0</v>
      </c>
      <c r="M126" s="400">
        <f t="shared" si="79"/>
        <v>0.94507409801527464</v>
      </c>
      <c r="N126" s="401">
        <f t="shared" si="80"/>
        <v>0.82693983576336516</v>
      </c>
      <c r="O126" s="402">
        <f t="shared" si="81"/>
        <v>0</v>
      </c>
      <c r="P126" s="387" t="s">
        <v>201</v>
      </c>
      <c r="Q126" s="417"/>
      <c r="R126" s="417"/>
      <c r="S126" s="417"/>
      <c r="T126" s="417"/>
      <c r="U126" s="405">
        <f>'[1]伸线工时wire drawing'!H11</f>
        <v>3.4223333760000001</v>
      </c>
      <c r="V126" s="406">
        <f t="shared" si="82"/>
        <v>0.29219830160695598</v>
      </c>
      <c r="W126" s="406">
        <f t="shared" si="83"/>
        <v>14.049673202614379</v>
      </c>
      <c r="X126" s="418"/>
      <c r="Y126" s="408">
        <f t="shared" si="85"/>
        <v>2.123744768814535</v>
      </c>
      <c r="Z126" s="8"/>
    </row>
    <row r="127" spans="1:26" ht="25.5">
      <c r="A127" s="393">
        <v>45367</v>
      </c>
      <c r="B127" s="394" t="s">
        <v>197</v>
      </c>
      <c r="C127" s="394" t="s">
        <v>253</v>
      </c>
      <c r="D127" s="394"/>
      <c r="E127" s="395">
        <v>0.08</v>
      </c>
      <c r="F127" s="396" t="s">
        <v>185</v>
      </c>
      <c r="G127" s="397">
        <v>7</v>
      </c>
      <c r="H127" s="406">
        <f t="shared" si="66"/>
        <v>43.487929747637359</v>
      </c>
      <c r="I127" s="397">
        <v>8</v>
      </c>
      <c r="J127" s="398">
        <f t="shared" si="59"/>
        <v>41.099315980800007</v>
      </c>
      <c r="K127" s="399">
        <f>318000+391000+209700</f>
        <v>918700</v>
      </c>
      <c r="L127" s="397">
        <v>0</v>
      </c>
      <c r="M127" s="400">
        <f t="shared" si="79"/>
        <v>0.94507409801527464</v>
      </c>
      <c r="N127" s="401">
        <f t="shared" si="80"/>
        <v>0.82693983576336527</v>
      </c>
      <c r="O127" s="402">
        <f t="shared" si="81"/>
        <v>0</v>
      </c>
      <c r="P127" s="387" t="s">
        <v>201</v>
      </c>
      <c r="Q127" s="417"/>
      <c r="R127" s="417"/>
      <c r="S127" s="417"/>
      <c r="T127" s="417"/>
      <c r="U127" s="405">
        <f>'[1]伸线工时wire drawing'!H11</f>
        <v>3.4223333760000001</v>
      </c>
      <c r="V127" s="406">
        <f t="shared" si="82"/>
        <v>0.29219830160695598</v>
      </c>
      <c r="W127" s="406">
        <f t="shared" si="83"/>
        <v>12.009150326797386</v>
      </c>
      <c r="X127" s="418"/>
      <c r="Y127" s="408">
        <f t="shared" si="85"/>
        <v>1.8152998875231794</v>
      </c>
      <c r="Z127" s="8"/>
    </row>
    <row r="128" spans="1:26" ht="25.5">
      <c r="A128" s="393">
        <v>45367</v>
      </c>
      <c r="B128" s="394" t="s">
        <v>202</v>
      </c>
      <c r="C128" s="394" t="s">
        <v>253</v>
      </c>
      <c r="D128" s="394"/>
      <c r="E128" s="395">
        <v>0.08</v>
      </c>
      <c r="F128" s="396" t="s">
        <v>185</v>
      </c>
      <c r="G128" s="397">
        <v>7</v>
      </c>
      <c r="H128" s="406">
        <f t="shared" si="66"/>
        <v>44.690273728904359</v>
      </c>
      <c r="I128" s="397">
        <v>8</v>
      </c>
      <c r="J128" s="398">
        <f t="shared" si="59"/>
        <v>42.235620134400008</v>
      </c>
      <c r="K128" s="399">
        <f>309100+372000+263000</f>
        <v>944100</v>
      </c>
      <c r="L128" s="397">
        <v>0</v>
      </c>
      <c r="M128" s="400">
        <f t="shared" si="79"/>
        <v>0.94507409801527453</v>
      </c>
      <c r="N128" s="401">
        <f t="shared" si="80"/>
        <v>0.82693983576336527</v>
      </c>
      <c r="O128" s="402">
        <f t="shared" si="81"/>
        <v>0</v>
      </c>
      <c r="P128" s="387" t="s">
        <v>201</v>
      </c>
      <c r="Q128" s="419"/>
      <c r="R128" s="419"/>
      <c r="S128" s="419"/>
      <c r="T128" s="419"/>
      <c r="U128" s="405">
        <f>'[1]伸线工时wire drawing'!H11</f>
        <v>3.4223333760000001</v>
      </c>
      <c r="V128" s="406">
        <f t="shared" si="82"/>
        <v>0.29219830160695598</v>
      </c>
      <c r="W128" s="406">
        <f t="shared" si="83"/>
        <v>12.341176470588236</v>
      </c>
      <c r="X128" s="420"/>
      <c r="Y128" s="408">
        <f t="shared" si="85"/>
        <v>1.865488868847974</v>
      </c>
      <c r="Z128" s="8"/>
    </row>
    <row r="129" spans="1:26">
      <c r="A129" s="393"/>
      <c r="B129" s="394"/>
      <c r="C129" s="394"/>
      <c r="D129" s="394"/>
      <c r="E129" s="395"/>
      <c r="F129" s="396"/>
      <c r="G129" s="397"/>
      <c r="H129" s="406"/>
      <c r="I129" s="397"/>
      <c r="J129" s="398"/>
      <c r="K129" s="399"/>
      <c r="L129" s="397"/>
      <c r="M129" s="400" t="str">
        <f t="shared" si="42"/>
        <v/>
      </c>
      <c r="N129" s="401"/>
      <c r="O129" s="402"/>
      <c r="P129" s="387"/>
      <c r="Q129" s="422"/>
      <c r="R129" s="422"/>
      <c r="S129" s="422"/>
      <c r="T129" s="422"/>
      <c r="U129" s="405"/>
      <c r="V129" s="406"/>
      <c r="W129" s="406"/>
      <c r="X129" s="423"/>
      <c r="Y129" s="408"/>
      <c r="Z129" s="8"/>
    </row>
    <row r="130" spans="1:26" ht="16.5">
      <c r="A130" s="393">
        <v>45369</v>
      </c>
      <c r="B130" s="394" t="s">
        <v>184</v>
      </c>
      <c r="C130" s="394" t="s">
        <v>253</v>
      </c>
      <c r="D130" s="394"/>
      <c r="E130" s="395">
        <v>0.54</v>
      </c>
      <c r="F130" s="396" t="s">
        <v>185</v>
      </c>
      <c r="G130" s="397">
        <v>1</v>
      </c>
      <c r="H130" s="406">
        <f t="shared" ref="H130:H138" si="86">IFERROR(IF(G130&lt;&gt;"",G130*U130*Y130,""),"input error")</f>
        <v>207.90675259200003</v>
      </c>
      <c r="I130" s="397"/>
      <c r="J130" s="398">
        <f t="shared" ref="J130:J177" si="87">IFERROR(IF(K130&lt;&gt;"",E130*E130*0.7854*8.9*K130/1000,""),"input error")</f>
        <v>153.89176294800001</v>
      </c>
      <c r="K130" s="399">
        <v>75500</v>
      </c>
      <c r="L130" s="397">
        <v>0</v>
      </c>
      <c r="M130" s="400">
        <f t="shared" si="42"/>
        <v>0.74019607843137247</v>
      </c>
      <c r="N130" s="401" t="str">
        <f t="shared" ref="N130:N138" si="88">IFERROR(IF(I130&lt;&gt;"",J130/(I130*U130*Y130),""),"input error")</f>
        <v/>
      </c>
      <c r="O130" s="402">
        <f t="shared" ref="O130:O138" si="89">IFERROR(IF(L130&lt;&gt;"",L130/(J130+L130),""),"input error")</f>
        <v>0</v>
      </c>
      <c r="P130" s="387" t="s">
        <v>194</v>
      </c>
      <c r="Q130" s="403">
        <v>1</v>
      </c>
      <c r="R130" s="403">
        <v>2.5</v>
      </c>
      <c r="S130" s="403">
        <v>0</v>
      </c>
      <c r="T130" s="409">
        <f>IFERROR(IF(R130&lt;&gt;"",R130*Q130-S130,""),"input error")</f>
        <v>2.5</v>
      </c>
      <c r="U130" s="405">
        <f>'[1]伸线工时wire drawing'!H6</f>
        <v>83.162701036800001</v>
      </c>
      <c r="V130" s="406">
        <f t="shared" ref="V130:V138" si="90">IFERROR(IF(U130&lt;&gt;"",1/U130,""),"input error")</f>
        <v>1.2024621465306832E-2</v>
      </c>
      <c r="W130" s="406">
        <f t="shared" ref="W130:W138" si="91">IFERROR(IF(V130&lt;&gt;"",V130*J130,""),"input error")</f>
        <v>1.8504901960784315</v>
      </c>
      <c r="X130" s="413">
        <f>SUM(W130)</f>
        <v>1.8504901960784315</v>
      </c>
      <c r="Y130" s="408">
        <f t="shared" ref="Y130" si="92">IFERROR(IF(W130&lt;&gt;"",T130*W130/X130,""),"input error")</f>
        <v>2.5000000000000004</v>
      </c>
      <c r="Z130" s="8"/>
    </row>
    <row r="131" spans="1:26" ht="37.5" customHeight="1">
      <c r="A131" s="393">
        <v>45369</v>
      </c>
      <c r="B131" s="394" t="s">
        <v>189</v>
      </c>
      <c r="C131" s="394" t="s">
        <v>253</v>
      </c>
      <c r="D131" s="394"/>
      <c r="E131" s="395">
        <v>0.16</v>
      </c>
      <c r="F131" s="396" t="s">
        <v>185</v>
      </c>
      <c r="G131" s="397">
        <v>7</v>
      </c>
      <c r="H131" s="406">
        <f t="shared" si="86"/>
        <v>198.3943823783832</v>
      </c>
      <c r="I131" s="397">
        <v>8</v>
      </c>
      <c r="J131" s="398">
        <f t="shared" si="87"/>
        <v>186.10335744000002</v>
      </c>
      <c r="K131" s="399">
        <f>367000+333000+340000</f>
        <v>1040000</v>
      </c>
      <c r="L131" s="397">
        <v>0</v>
      </c>
      <c r="M131" s="400">
        <f t="shared" si="42"/>
        <v>0.93804751530241726</v>
      </c>
      <c r="N131" s="401">
        <f t="shared" si="88"/>
        <v>0.82079157588961504</v>
      </c>
      <c r="O131" s="402">
        <f t="shared" si="89"/>
        <v>0</v>
      </c>
      <c r="P131" s="387" t="s">
        <v>196</v>
      </c>
      <c r="Q131" s="415">
        <v>3</v>
      </c>
      <c r="R131" s="415">
        <v>7.5</v>
      </c>
      <c r="S131" s="415">
        <v>0</v>
      </c>
      <c r="T131" s="415">
        <f>IFERROR(IF(R131&lt;&gt;"",R131*Q131-S131,""),"input error")</f>
        <v>22.5</v>
      </c>
      <c r="U131" s="405">
        <f>'[1]伸线工时wire drawing'!H19</f>
        <v>11.864089036799999</v>
      </c>
      <c r="V131" s="406">
        <f t="shared" si="90"/>
        <v>8.4287971617391169E-2</v>
      </c>
      <c r="W131" s="406">
        <f t="shared" si="91"/>
        <v>15.686274509803926</v>
      </c>
      <c r="X131" s="416">
        <f>SUM(W131:W138)</f>
        <v>147.74248366013072</v>
      </c>
      <c r="Y131" s="408">
        <f>IFERROR(IF(W131&lt;&gt;"",$T$131*W131/$X$131,""),"input error")</f>
        <v>2.3888942958512875</v>
      </c>
      <c r="Z131" s="8"/>
    </row>
    <row r="132" spans="1:26" ht="25.5">
      <c r="A132" s="393">
        <v>45369</v>
      </c>
      <c r="B132" s="394" t="s">
        <v>190</v>
      </c>
      <c r="C132" s="394" t="s">
        <v>253</v>
      </c>
      <c r="D132" s="394"/>
      <c r="E132" s="395">
        <v>0.08</v>
      </c>
      <c r="F132" s="396" t="s">
        <v>185</v>
      </c>
      <c r="G132" s="397">
        <v>7</v>
      </c>
      <c r="H132" s="406">
        <f t="shared" si="86"/>
        <v>73.787449138421721</v>
      </c>
      <c r="I132" s="397">
        <v>8</v>
      </c>
      <c r="J132" s="398">
        <f t="shared" si="87"/>
        <v>69.216133324799998</v>
      </c>
      <c r="K132" s="399">
        <f>478200+592000+477000</f>
        <v>1547200</v>
      </c>
      <c r="L132" s="397">
        <v>0</v>
      </c>
      <c r="M132" s="400">
        <f t="shared" si="42"/>
        <v>0.93804751530241748</v>
      </c>
      <c r="N132" s="401">
        <f t="shared" si="88"/>
        <v>0.82079157588961527</v>
      </c>
      <c r="O132" s="402">
        <f t="shared" si="89"/>
        <v>0</v>
      </c>
      <c r="P132" s="387" t="s">
        <v>196</v>
      </c>
      <c r="Q132" s="417"/>
      <c r="R132" s="417"/>
      <c r="S132" s="417"/>
      <c r="T132" s="417"/>
      <c r="U132" s="405">
        <f>'[1]伸线工时wire drawing'!H11</f>
        <v>3.4223333760000001</v>
      </c>
      <c r="V132" s="406">
        <f t="shared" si="90"/>
        <v>0.29219830160695598</v>
      </c>
      <c r="W132" s="406">
        <f t="shared" si="91"/>
        <v>20.224836601307185</v>
      </c>
      <c r="X132" s="418"/>
      <c r="Y132" s="408">
        <f t="shared" ref="Y132:Y138" si="93">IFERROR(IF(W132&lt;&gt;"",$T$131*W132/$X$131,""),"input error")</f>
        <v>3.0800810454509251</v>
      </c>
      <c r="Z132" s="8"/>
    </row>
    <row r="133" spans="1:26" ht="15.75" customHeight="1">
      <c r="A133" s="393">
        <v>45369</v>
      </c>
      <c r="B133" s="394" t="s">
        <v>191</v>
      </c>
      <c r="C133" s="394" t="s">
        <v>253</v>
      </c>
      <c r="D133" s="394"/>
      <c r="E133" s="395">
        <v>0.08</v>
      </c>
      <c r="F133" s="396" t="s">
        <v>185</v>
      </c>
      <c r="G133" s="397">
        <v>7</v>
      </c>
      <c r="H133" s="406">
        <f t="shared" si="86"/>
        <v>81.77568448658981</v>
      </c>
      <c r="I133" s="397">
        <v>8</v>
      </c>
      <c r="J133" s="398">
        <f t="shared" si="87"/>
        <v>76.709477644800003</v>
      </c>
      <c r="K133" s="399">
        <f>563700+531000+620000</f>
        <v>1714700</v>
      </c>
      <c r="L133" s="397">
        <v>0</v>
      </c>
      <c r="M133" s="400">
        <f t="shared" si="42"/>
        <v>0.93804751530241726</v>
      </c>
      <c r="N133" s="401">
        <f t="shared" si="88"/>
        <v>0.82079157588961515</v>
      </c>
      <c r="O133" s="402">
        <f t="shared" si="89"/>
        <v>0</v>
      </c>
      <c r="P133" s="387" t="s">
        <v>196</v>
      </c>
      <c r="Q133" s="417"/>
      <c r="R133" s="417"/>
      <c r="S133" s="417"/>
      <c r="T133" s="417"/>
      <c r="U133" s="405">
        <f>'[1]伸线工时wire drawing'!H11</f>
        <v>3.4223333760000001</v>
      </c>
      <c r="V133" s="406">
        <f t="shared" si="90"/>
        <v>0.29219830160695598</v>
      </c>
      <c r="W133" s="406">
        <f t="shared" si="91"/>
        <v>22.414379084967319</v>
      </c>
      <c r="X133" s="418"/>
      <c r="Y133" s="408">
        <f t="shared" si="93"/>
        <v>3.4135308742468347</v>
      </c>
      <c r="Z133" s="8"/>
    </row>
    <row r="134" spans="1:26" ht="25.5">
      <c r="A134" s="393">
        <v>45369</v>
      </c>
      <c r="B134" s="394" t="s">
        <v>192</v>
      </c>
      <c r="C134" s="394" t="s">
        <v>253</v>
      </c>
      <c r="D134" s="394"/>
      <c r="E134" s="395">
        <v>0.08</v>
      </c>
      <c r="F134" s="396" t="s">
        <v>185</v>
      </c>
      <c r="G134" s="397">
        <v>7</v>
      </c>
      <c r="H134" s="406">
        <f t="shared" si="86"/>
        <v>82.743810919830466</v>
      </c>
      <c r="I134" s="397">
        <v>8</v>
      </c>
      <c r="J134" s="398">
        <f t="shared" si="87"/>
        <v>77.617626240000007</v>
      </c>
      <c r="K134" s="399">
        <f>562000+548000+625000</f>
        <v>1735000</v>
      </c>
      <c r="L134" s="397">
        <v>0</v>
      </c>
      <c r="M134" s="400">
        <f t="shared" si="42"/>
        <v>0.93804751530241748</v>
      </c>
      <c r="N134" s="401">
        <f t="shared" si="88"/>
        <v>0.82079157588961527</v>
      </c>
      <c r="O134" s="402">
        <f t="shared" si="89"/>
        <v>0</v>
      </c>
      <c r="P134" s="387" t="s">
        <v>196</v>
      </c>
      <c r="Q134" s="417"/>
      <c r="R134" s="417"/>
      <c r="S134" s="417"/>
      <c r="T134" s="417"/>
      <c r="U134" s="405">
        <f>'[1]伸线工时wire drawing'!H11</f>
        <v>3.4223333760000001</v>
      </c>
      <c r="V134" s="406">
        <f t="shared" si="90"/>
        <v>0.29219830160695598</v>
      </c>
      <c r="W134" s="406">
        <f t="shared" si="91"/>
        <v>22.679738562091501</v>
      </c>
      <c r="X134" s="418"/>
      <c r="Y134" s="408">
        <f t="shared" si="93"/>
        <v>3.453943002751652</v>
      </c>
      <c r="Z134" s="8"/>
    </row>
    <row r="135" spans="1:26" ht="25.5">
      <c r="A135" s="393">
        <v>45369</v>
      </c>
      <c r="B135" s="394" t="s">
        <v>193</v>
      </c>
      <c r="C135" s="394" t="s">
        <v>253</v>
      </c>
      <c r="D135" s="394"/>
      <c r="E135" s="395">
        <v>0.08</v>
      </c>
      <c r="F135" s="396" t="s">
        <v>185</v>
      </c>
      <c r="G135" s="397">
        <v>7</v>
      </c>
      <c r="H135" s="406">
        <f t="shared" si="86"/>
        <v>83.697630065880389</v>
      </c>
      <c r="I135" s="397">
        <v>8</v>
      </c>
      <c r="J135" s="398">
        <f t="shared" si="87"/>
        <v>78.51235392000001</v>
      </c>
      <c r="K135" s="399">
        <f>522000+603000+630000</f>
        <v>1755000</v>
      </c>
      <c r="L135" s="397">
        <v>0</v>
      </c>
      <c r="M135" s="400">
        <f t="shared" ref="M135:M263" si="94">IFERROR(IF(J135&lt;&gt;"",J135/H135,""),"input error")</f>
        <v>0.93804751530241748</v>
      </c>
      <c r="N135" s="401">
        <f t="shared" si="88"/>
        <v>0.82079157588961515</v>
      </c>
      <c r="O135" s="402">
        <f t="shared" si="89"/>
        <v>0</v>
      </c>
      <c r="P135" s="387" t="s">
        <v>196</v>
      </c>
      <c r="Q135" s="417"/>
      <c r="R135" s="417"/>
      <c r="S135" s="417"/>
      <c r="T135" s="417"/>
      <c r="U135" s="405">
        <f>'[1]伸线工时wire drawing'!H11</f>
        <v>3.4223333760000001</v>
      </c>
      <c r="V135" s="406">
        <f t="shared" si="90"/>
        <v>0.29219830160695598</v>
      </c>
      <c r="W135" s="406">
        <f t="shared" si="91"/>
        <v>22.941176470588236</v>
      </c>
      <c r="X135" s="418"/>
      <c r="Y135" s="408">
        <f t="shared" si="93"/>
        <v>3.4937579076825069</v>
      </c>
      <c r="Z135" s="8"/>
    </row>
    <row r="136" spans="1:26" ht="25.5">
      <c r="A136" s="393">
        <v>45369</v>
      </c>
      <c r="B136" s="394" t="s">
        <v>199</v>
      </c>
      <c r="C136" s="394" t="s">
        <v>253</v>
      </c>
      <c r="D136" s="394"/>
      <c r="E136" s="395">
        <v>0.08</v>
      </c>
      <c r="F136" s="396" t="s">
        <v>185</v>
      </c>
      <c r="G136" s="397">
        <v>7</v>
      </c>
      <c r="H136" s="406">
        <f t="shared" si="86"/>
        <v>38.496140734574738</v>
      </c>
      <c r="I136" s="397">
        <v>8</v>
      </c>
      <c r="J136" s="398">
        <f t="shared" si="87"/>
        <v>36.111209164800009</v>
      </c>
      <c r="K136" s="399">
        <f>438200+369000</f>
        <v>807200</v>
      </c>
      <c r="L136" s="397">
        <v>0</v>
      </c>
      <c r="M136" s="400">
        <f t="shared" si="94"/>
        <v>0.93804751530241737</v>
      </c>
      <c r="N136" s="401">
        <f t="shared" si="88"/>
        <v>0.82079157588961515</v>
      </c>
      <c r="O136" s="402">
        <f t="shared" si="89"/>
        <v>0</v>
      </c>
      <c r="P136" s="387" t="s">
        <v>196</v>
      </c>
      <c r="Q136" s="417"/>
      <c r="R136" s="417"/>
      <c r="S136" s="417"/>
      <c r="T136" s="417"/>
      <c r="U136" s="405">
        <f>'[1]伸线工时wire drawing'!H11</f>
        <v>3.4223333760000001</v>
      </c>
      <c r="V136" s="406">
        <f t="shared" si="90"/>
        <v>0.29219830160695598</v>
      </c>
      <c r="W136" s="406">
        <f t="shared" si="91"/>
        <v>10.551633986928106</v>
      </c>
      <c r="X136" s="418"/>
      <c r="Y136" s="408">
        <f t="shared" si="93"/>
        <v>1.6069295630092992</v>
      </c>
      <c r="Z136" s="8"/>
    </row>
    <row r="137" spans="1:26" ht="25.5">
      <c r="A137" s="393">
        <v>45369</v>
      </c>
      <c r="B137" s="394" t="s">
        <v>197</v>
      </c>
      <c r="C137" s="394" t="s">
        <v>253</v>
      </c>
      <c r="D137" s="394"/>
      <c r="E137" s="395">
        <v>0.08</v>
      </c>
      <c r="F137" s="396" t="s">
        <v>185</v>
      </c>
      <c r="G137" s="397">
        <v>7</v>
      </c>
      <c r="H137" s="406">
        <f t="shared" si="86"/>
        <v>58.05420232432833</v>
      </c>
      <c r="I137" s="397">
        <v>8</v>
      </c>
      <c r="J137" s="398">
        <f t="shared" si="87"/>
        <v>54.457600243200005</v>
      </c>
      <c r="K137" s="399">
        <f>396300+244000+577000</f>
        <v>1217300</v>
      </c>
      <c r="L137" s="397">
        <v>0</v>
      </c>
      <c r="M137" s="400">
        <f t="shared" si="94"/>
        <v>0.93804751530241726</v>
      </c>
      <c r="N137" s="401">
        <f t="shared" si="88"/>
        <v>0.82079157588961493</v>
      </c>
      <c r="O137" s="402">
        <f t="shared" si="89"/>
        <v>0</v>
      </c>
      <c r="P137" s="387" t="s">
        <v>196</v>
      </c>
      <c r="Q137" s="417"/>
      <c r="R137" s="417"/>
      <c r="S137" s="417"/>
      <c r="T137" s="417"/>
      <c r="U137" s="405">
        <f>'[1]伸线工时wire drawing'!H11</f>
        <v>3.4223333760000001</v>
      </c>
      <c r="V137" s="406">
        <f t="shared" si="90"/>
        <v>0.29219830160695598</v>
      </c>
      <c r="W137" s="406">
        <f t="shared" si="91"/>
        <v>15.912418300653595</v>
      </c>
      <c r="X137" s="418"/>
      <c r="Y137" s="408">
        <f t="shared" si="93"/>
        <v>2.4233341886164768</v>
      </c>
      <c r="Z137" s="8"/>
    </row>
    <row r="138" spans="1:26" ht="25.5">
      <c r="A138" s="393">
        <v>45369</v>
      </c>
      <c r="B138" s="394" t="s">
        <v>202</v>
      </c>
      <c r="C138" s="394" t="s">
        <v>253</v>
      </c>
      <c r="D138" s="394"/>
      <c r="E138" s="395">
        <v>0.08</v>
      </c>
      <c r="F138" s="396" t="s">
        <v>185</v>
      </c>
      <c r="G138" s="397">
        <v>7</v>
      </c>
      <c r="H138" s="406">
        <f t="shared" si="86"/>
        <v>63.233440287379381</v>
      </c>
      <c r="I138" s="397">
        <v>8</v>
      </c>
      <c r="J138" s="398">
        <f t="shared" si="87"/>
        <v>59.315971545600007</v>
      </c>
      <c r="K138" s="399">
        <f>486600+518300+321000</f>
        <v>1325900</v>
      </c>
      <c r="L138" s="397">
        <v>0</v>
      </c>
      <c r="M138" s="400">
        <f t="shared" si="94"/>
        <v>0.93804751530241737</v>
      </c>
      <c r="N138" s="401">
        <f t="shared" si="88"/>
        <v>0.82079157588961527</v>
      </c>
      <c r="O138" s="402">
        <f t="shared" si="89"/>
        <v>0</v>
      </c>
      <c r="P138" s="387" t="s">
        <v>196</v>
      </c>
      <c r="Q138" s="419"/>
      <c r="R138" s="419"/>
      <c r="S138" s="419"/>
      <c r="T138" s="419"/>
      <c r="U138" s="405">
        <f>'[1]伸线工时wire drawing'!H11</f>
        <v>3.4223333760000001</v>
      </c>
      <c r="V138" s="406">
        <f t="shared" si="90"/>
        <v>0.29219830160695598</v>
      </c>
      <c r="W138" s="406">
        <f t="shared" si="91"/>
        <v>17.332026143790848</v>
      </c>
      <c r="X138" s="420"/>
      <c r="Y138" s="408">
        <f t="shared" si="93"/>
        <v>2.6395291223910178</v>
      </c>
      <c r="Z138" s="8"/>
    </row>
    <row r="139" spans="1:26">
      <c r="A139" s="393"/>
      <c r="B139" s="394"/>
      <c r="C139" s="394"/>
      <c r="D139" s="394"/>
      <c r="E139" s="395"/>
      <c r="F139" s="396"/>
      <c r="G139" s="397"/>
      <c r="H139" s="406"/>
      <c r="I139" s="397"/>
      <c r="J139" s="398"/>
      <c r="K139" s="399"/>
      <c r="L139" s="397"/>
      <c r="M139" s="400" t="str">
        <f t="shared" si="94"/>
        <v/>
      </c>
      <c r="N139" s="401"/>
      <c r="O139" s="402"/>
      <c r="P139" s="387"/>
      <c r="Q139" s="422"/>
      <c r="R139" s="422"/>
      <c r="S139" s="422"/>
      <c r="T139" s="422"/>
      <c r="U139" s="405"/>
      <c r="V139" s="406"/>
      <c r="W139" s="406"/>
      <c r="X139" s="423"/>
      <c r="Y139" s="408"/>
      <c r="Z139" s="8"/>
    </row>
    <row r="140" spans="1:26" ht="16.5">
      <c r="A140" s="393">
        <v>45370</v>
      </c>
      <c r="B140" s="394" t="s">
        <v>184</v>
      </c>
      <c r="C140" s="394" t="s">
        <v>253</v>
      </c>
      <c r="D140" s="394"/>
      <c r="E140" s="395">
        <v>0.54</v>
      </c>
      <c r="F140" s="396" t="s">
        <v>185</v>
      </c>
      <c r="G140" s="397">
        <v>1</v>
      </c>
      <c r="H140" s="406">
        <f t="shared" ref="H140:H177" si="95">IFERROR(IF(G140&lt;&gt;"",G140*U140*Y140,""),"input error")</f>
        <v>831.62701036800001</v>
      </c>
      <c r="I140" s="397"/>
      <c r="J140" s="398">
        <f t="shared" si="87"/>
        <v>717.4821265920001</v>
      </c>
      <c r="K140" s="399">
        <f>132000+220000</f>
        <v>352000</v>
      </c>
      <c r="L140" s="397">
        <v>0</v>
      </c>
      <c r="M140" s="400">
        <f t="shared" si="94"/>
        <v>0.86274509803921584</v>
      </c>
      <c r="N140" s="401" t="str">
        <f t="shared" ref="N140:N147" si="96">IFERROR(IF(I140&lt;&gt;"",J140/(I140*U140*Y140),""),"input error")</f>
        <v/>
      </c>
      <c r="O140" s="402">
        <f t="shared" ref="O140:O147" si="97">IFERROR(IF(L140&lt;&gt;"",L140/(J140+L140),""),"input error")</f>
        <v>0</v>
      </c>
      <c r="P140" s="387" t="s">
        <v>207</v>
      </c>
      <c r="Q140" s="387">
        <v>2</v>
      </c>
      <c r="R140" s="387">
        <v>5</v>
      </c>
      <c r="S140" s="387">
        <v>0</v>
      </c>
      <c r="T140" s="424">
        <f>IFERROR(IF(R140&lt;&gt;"",R140*Q140-S140,""),"input error")</f>
        <v>10</v>
      </c>
      <c r="U140" s="405">
        <f>'[1]伸线工时wire drawing'!H6</f>
        <v>83.162701036800001</v>
      </c>
      <c r="V140" s="406">
        <f t="shared" ref="V140:V147" si="98">IFERROR(IF(U140&lt;&gt;"",1/U140,""),"input error")</f>
        <v>1.2024621465306832E-2</v>
      </c>
      <c r="W140" s="406">
        <f t="shared" ref="W140:W147" si="99">IFERROR(IF(V140&lt;&gt;"",V140*J140,""),"input error")</f>
        <v>8.6274509803921582</v>
      </c>
      <c r="X140" s="413">
        <f>SUM(W140)</f>
        <v>8.6274509803921582</v>
      </c>
      <c r="Y140" s="408">
        <f t="shared" ref="Y140" si="100">IFERROR(IF(W140&lt;&gt;"",T140*W140/X140,""),"input error")</f>
        <v>10</v>
      </c>
      <c r="Z140" s="8"/>
    </row>
    <row r="141" spans="1:26" ht="37.5" customHeight="1">
      <c r="A141" s="393">
        <v>45370</v>
      </c>
      <c r="B141" s="394" t="s">
        <v>189</v>
      </c>
      <c r="C141" s="394" t="s">
        <v>253</v>
      </c>
      <c r="D141" s="394"/>
      <c r="E141" s="395">
        <v>0.16</v>
      </c>
      <c r="F141" s="396" t="s">
        <v>185</v>
      </c>
      <c r="G141" s="397">
        <v>7</v>
      </c>
      <c r="H141" s="406">
        <f t="shared" si="95"/>
        <v>93.025832914585479</v>
      </c>
      <c r="I141" s="397">
        <v>7</v>
      </c>
      <c r="J141" s="398">
        <f t="shared" si="87"/>
        <v>73.367669759999998</v>
      </c>
      <c r="K141" s="399">
        <f>313000+97000</f>
        <v>410000</v>
      </c>
      <c r="L141" s="397">
        <v>0</v>
      </c>
      <c r="M141" s="400">
        <f t="shared" si="94"/>
        <v>0.78868060044530619</v>
      </c>
      <c r="N141" s="401">
        <f t="shared" si="96"/>
        <v>0.78868060044530619</v>
      </c>
      <c r="O141" s="402">
        <f t="shared" si="97"/>
        <v>0</v>
      </c>
      <c r="P141" s="387" t="s">
        <v>207</v>
      </c>
      <c r="Q141" s="411">
        <v>2</v>
      </c>
      <c r="R141" s="411">
        <v>7.5</v>
      </c>
      <c r="S141" s="411">
        <v>0</v>
      </c>
      <c r="T141" s="411">
        <f>IFERROR(IF(R141&lt;&gt;"",R141*Q141-S141,""),"input error")</f>
        <v>15</v>
      </c>
      <c r="U141" s="405">
        <f>'[1]伸线工时wire drawing'!H19</f>
        <v>11.864089036799999</v>
      </c>
      <c r="V141" s="406">
        <f t="shared" si="98"/>
        <v>8.4287971617391169E-2</v>
      </c>
      <c r="W141" s="406">
        <f t="shared" si="99"/>
        <v>6.1840120663650087</v>
      </c>
      <c r="X141" s="416">
        <f>SUM(W141:W147)</f>
        <v>82.811463046757154</v>
      </c>
      <c r="Y141" s="408">
        <f>IFERROR(IF(W141&lt;&gt;"",$T$141*W141/$X$141,""),"input error")</f>
        <v>1.1201369663412504</v>
      </c>
      <c r="Z141" s="8"/>
    </row>
    <row r="142" spans="1:26" ht="16.5">
      <c r="A142" s="393">
        <v>45370</v>
      </c>
      <c r="B142" s="394" t="s">
        <v>190</v>
      </c>
      <c r="C142" s="394" t="s">
        <v>253</v>
      </c>
      <c r="D142" s="394"/>
      <c r="E142" s="395">
        <v>0.08</v>
      </c>
      <c r="F142" s="396" t="s">
        <v>185</v>
      </c>
      <c r="G142" s="397">
        <v>7</v>
      </c>
      <c r="H142" s="406">
        <f t="shared" si="95"/>
        <v>62.395375735392683</v>
      </c>
      <c r="I142" s="397">
        <v>7</v>
      </c>
      <c r="J142" s="398">
        <f t="shared" si="87"/>
        <v>49.2100224</v>
      </c>
      <c r="K142" s="399">
        <f>489000+611000</f>
        <v>1100000</v>
      </c>
      <c r="L142" s="397">
        <v>0</v>
      </c>
      <c r="M142" s="400">
        <f t="shared" si="94"/>
        <v>0.7886806004453063</v>
      </c>
      <c r="N142" s="401">
        <f t="shared" si="96"/>
        <v>0.7886806004453063</v>
      </c>
      <c r="O142" s="402">
        <f t="shared" si="97"/>
        <v>0</v>
      </c>
      <c r="P142" s="387" t="s">
        <v>207</v>
      </c>
      <c r="Q142" s="411"/>
      <c r="R142" s="411"/>
      <c r="S142" s="411"/>
      <c r="T142" s="411"/>
      <c r="U142" s="405">
        <f>'[1]伸线工时wire drawing'!H11</f>
        <v>3.4223333760000001</v>
      </c>
      <c r="V142" s="406">
        <f t="shared" si="98"/>
        <v>0.29219830160695598</v>
      </c>
      <c r="W142" s="406">
        <f t="shared" si="99"/>
        <v>14.37908496732026</v>
      </c>
      <c r="X142" s="418"/>
      <c r="Y142" s="408">
        <f t="shared" ref="Y142:Y147" si="101">IFERROR(IF(W142&lt;&gt;"",$T$141*W142/$X$141,""),"input error")</f>
        <v>2.6045461168585167</v>
      </c>
      <c r="Z142" s="8"/>
    </row>
    <row r="143" spans="1:26" ht="15.75" customHeight="1">
      <c r="A143" s="393">
        <v>45370</v>
      </c>
      <c r="B143" s="394" t="s">
        <v>191</v>
      </c>
      <c r="C143" s="394" t="s">
        <v>253</v>
      </c>
      <c r="D143" s="394"/>
      <c r="E143" s="395">
        <v>0.08</v>
      </c>
      <c r="F143" s="396" t="s">
        <v>185</v>
      </c>
      <c r="G143" s="397">
        <v>7</v>
      </c>
      <c r="H143" s="406">
        <f t="shared" si="95"/>
        <v>68.368314885335266</v>
      </c>
      <c r="I143" s="397">
        <v>7</v>
      </c>
      <c r="J143" s="398">
        <f t="shared" si="87"/>
        <v>53.920763635200004</v>
      </c>
      <c r="K143" s="399">
        <f>610300+595000</f>
        <v>1205300</v>
      </c>
      <c r="L143" s="397">
        <v>0</v>
      </c>
      <c r="M143" s="400">
        <f t="shared" si="94"/>
        <v>0.78868060044530652</v>
      </c>
      <c r="N143" s="401">
        <f t="shared" si="96"/>
        <v>0.78868060044530652</v>
      </c>
      <c r="O143" s="402">
        <f t="shared" si="97"/>
        <v>0</v>
      </c>
      <c r="P143" s="387" t="s">
        <v>207</v>
      </c>
      <c r="Q143" s="411"/>
      <c r="R143" s="411"/>
      <c r="S143" s="411"/>
      <c r="T143" s="411"/>
      <c r="U143" s="405">
        <f>'[1]伸线工时wire drawing'!H11</f>
        <v>3.4223333760000001</v>
      </c>
      <c r="V143" s="406">
        <f t="shared" si="98"/>
        <v>0.29219830160695598</v>
      </c>
      <c r="W143" s="406">
        <f t="shared" si="99"/>
        <v>15.755555555555555</v>
      </c>
      <c r="X143" s="418"/>
      <c r="Y143" s="408">
        <f t="shared" si="101"/>
        <v>2.853872213317791</v>
      </c>
      <c r="Z143" s="8"/>
    </row>
    <row r="144" spans="1:26" ht="16.5">
      <c r="A144" s="393">
        <v>45370</v>
      </c>
      <c r="B144" s="394" t="s">
        <v>192</v>
      </c>
      <c r="C144" s="394" t="s">
        <v>253</v>
      </c>
      <c r="D144" s="394"/>
      <c r="E144" s="395">
        <v>0.08</v>
      </c>
      <c r="F144" s="396" t="s">
        <v>185</v>
      </c>
      <c r="G144" s="397">
        <v>7</v>
      </c>
      <c r="H144" s="406">
        <f t="shared" si="95"/>
        <v>63.603577101905294</v>
      </c>
      <c r="I144" s="397">
        <v>7</v>
      </c>
      <c r="J144" s="398">
        <f t="shared" si="87"/>
        <v>50.162907379200007</v>
      </c>
      <c r="K144" s="399">
        <f>617300+504000</f>
        <v>1121300</v>
      </c>
      <c r="L144" s="397">
        <v>0</v>
      </c>
      <c r="M144" s="400">
        <f t="shared" si="94"/>
        <v>0.78868060044530641</v>
      </c>
      <c r="N144" s="401">
        <f t="shared" si="96"/>
        <v>0.78868060044530641</v>
      </c>
      <c r="O144" s="402">
        <f t="shared" si="97"/>
        <v>0</v>
      </c>
      <c r="P144" s="387" t="s">
        <v>207</v>
      </c>
      <c r="Q144" s="411"/>
      <c r="R144" s="411"/>
      <c r="S144" s="411"/>
      <c r="T144" s="411"/>
      <c r="U144" s="405">
        <f>'[1]伸线工时wire drawing'!H11</f>
        <v>3.4223333760000001</v>
      </c>
      <c r="V144" s="406">
        <f t="shared" si="98"/>
        <v>0.29219830160695598</v>
      </c>
      <c r="W144" s="406">
        <f t="shared" si="99"/>
        <v>14.65751633986928</v>
      </c>
      <c r="X144" s="418"/>
      <c r="Y144" s="408">
        <f t="shared" si="101"/>
        <v>2.6549796007576862</v>
      </c>
      <c r="Z144" s="8"/>
    </row>
    <row r="145" spans="1:26" ht="16.5">
      <c r="A145" s="393">
        <v>45370</v>
      </c>
      <c r="B145" s="394" t="s">
        <v>193</v>
      </c>
      <c r="C145" s="394" t="s">
        <v>253</v>
      </c>
      <c r="D145" s="394"/>
      <c r="E145" s="395">
        <v>0.08</v>
      </c>
      <c r="F145" s="396" t="s">
        <v>185</v>
      </c>
      <c r="G145" s="397">
        <v>7</v>
      </c>
      <c r="H145" s="406">
        <f t="shared" si="95"/>
        <v>67.7840672761766</v>
      </c>
      <c r="I145" s="397">
        <v>7</v>
      </c>
      <c r="J145" s="398">
        <f t="shared" si="87"/>
        <v>53.459978880000001</v>
      </c>
      <c r="K145" s="399">
        <f>595000+600000</f>
        <v>1195000</v>
      </c>
      <c r="L145" s="397">
        <v>0</v>
      </c>
      <c r="M145" s="400">
        <f t="shared" si="94"/>
        <v>0.7886806004453063</v>
      </c>
      <c r="N145" s="401">
        <f t="shared" si="96"/>
        <v>0.7886806004453063</v>
      </c>
      <c r="O145" s="402">
        <f t="shared" si="97"/>
        <v>0</v>
      </c>
      <c r="P145" s="387" t="s">
        <v>207</v>
      </c>
      <c r="Q145" s="411"/>
      <c r="R145" s="411"/>
      <c r="S145" s="411"/>
      <c r="T145" s="411"/>
      <c r="U145" s="405">
        <f>'[1]伸线工时wire drawing'!H11</f>
        <v>3.4223333760000001</v>
      </c>
      <c r="V145" s="406">
        <f t="shared" si="98"/>
        <v>0.29219830160695598</v>
      </c>
      <c r="W145" s="406">
        <f t="shared" si="99"/>
        <v>15.620915032679736</v>
      </c>
      <c r="X145" s="418"/>
      <c r="Y145" s="408">
        <f t="shared" si="101"/>
        <v>2.8294841905872068</v>
      </c>
      <c r="Z145" s="8"/>
    </row>
    <row r="146" spans="1:26" ht="16.5">
      <c r="A146" s="393">
        <v>45370</v>
      </c>
      <c r="B146" s="394" t="s">
        <v>197</v>
      </c>
      <c r="C146" s="394" t="s">
        <v>253</v>
      </c>
      <c r="D146" s="394"/>
      <c r="E146" s="395">
        <v>0.08</v>
      </c>
      <c r="F146" s="396" t="s">
        <v>185</v>
      </c>
      <c r="G146" s="397">
        <v>7</v>
      </c>
      <c r="H146" s="406">
        <f t="shared" si="95"/>
        <v>54.023050773080001</v>
      </c>
      <c r="I146" s="397">
        <v>7</v>
      </c>
      <c r="J146" s="398">
        <f t="shared" si="87"/>
        <v>42.606932121600003</v>
      </c>
      <c r="K146" s="399">
        <f>424400+528000</f>
        <v>952400</v>
      </c>
      <c r="L146" s="397">
        <v>0</v>
      </c>
      <c r="M146" s="400">
        <f t="shared" si="94"/>
        <v>0.7886806004453063</v>
      </c>
      <c r="N146" s="401">
        <f t="shared" si="96"/>
        <v>0.7886806004453063</v>
      </c>
      <c r="O146" s="402">
        <f t="shared" si="97"/>
        <v>0</v>
      </c>
      <c r="P146" s="387" t="s">
        <v>207</v>
      </c>
      <c r="Q146" s="411"/>
      <c r="R146" s="411"/>
      <c r="S146" s="411"/>
      <c r="T146" s="411"/>
      <c r="U146" s="405">
        <f>'[1]伸线工时wire drawing'!H11</f>
        <v>3.4223333760000001</v>
      </c>
      <c r="V146" s="406">
        <f t="shared" si="98"/>
        <v>0.29219830160695598</v>
      </c>
      <c r="W146" s="406">
        <f t="shared" si="99"/>
        <v>12.449673202614379</v>
      </c>
      <c r="X146" s="418"/>
      <c r="Y146" s="408">
        <f t="shared" si="101"/>
        <v>2.2550633833600471</v>
      </c>
      <c r="Z146" s="8"/>
    </row>
    <row r="147" spans="1:26" ht="16.5">
      <c r="A147" s="393">
        <v>45370</v>
      </c>
      <c r="B147" s="394" t="s">
        <v>202</v>
      </c>
      <c r="C147" s="394" t="s">
        <v>253</v>
      </c>
      <c r="D147" s="394"/>
      <c r="E147" s="395">
        <v>0.08</v>
      </c>
      <c r="F147" s="396" t="s">
        <v>185</v>
      </c>
      <c r="G147" s="397">
        <v>7</v>
      </c>
      <c r="H147" s="406">
        <f t="shared" si="95"/>
        <v>16.336243828902813</v>
      </c>
      <c r="I147" s="397">
        <v>7</v>
      </c>
      <c r="J147" s="398">
        <f t="shared" si="87"/>
        <v>12.884078592000002</v>
      </c>
      <c r="K147" s="399">
        <f>288000</f>
        <v>288000</v>
      </c>
      <c r="L147" s="397">
        <v>0</v>
      </c>
      <c r="M147" s="400">
        <f t="shared" si="94"/>
        <v>0.78868060044530641</v>
      </c>
      <c r="N147" s="401">
        <f t="shared" si="96"/>
        <v>0.78868060044530641</v>
      </c>
      <c r="O147" s="402">
        <f t="shared" si="97"/>
        <v>0</v>
      </c>
      <c r="P147" s="387" t="s">
        <v>207</v>
      </c>
      <c r="Q147" s="411"/>
      <c r="R147" s="411"/>
      <c r="S147" s="411"/>
      <c r="T147" s="411"/>
      <c r="U147" s="405">
        <f>'[1]伸线工时wire drawing'!H11</f>
        <v>3.4223333760000001</v>
      </c>
      <c r="V147" s="406">
        <f t="shared" si="98"/>
        <v>0.29219830160695598</v>
      </c>
      <c r="W147" s="406">
        <f t="shared" si="99"/>
        <v>3.7647058823529411</v>
      </c>
      <c r="X147" s="420"/>
      <c r="Y147" s="408">
        <f t="shared" si="101"/>
        <v>0.68191752877750256</v>
      </c>
      <c r="Z147" s="8"/>
    </row>
    <row r="148" spans="1:26">
      <c r="A148" s="393"/>
      <c r="B148" s="394"/>
      <c r="C148" s="394"/>
      <c r="D148" s="394"/>
      <c r="E148" s="395"/>
      <c r="F148" s="396"/>
      <c r="G148" s="397"/>
      <c r="H148" s="406"/>
      <c r="I148" s="397"/>
      <c r="J148" s="398"/>
      <c r="K148" s="399"/>
      <c r="L148" s="397"/>
      <c r="M148" s="400"/>
      <c r="N148" s="401"/>
      <c r="O148" s="402"/>
      <c r="P148" s="387"/>
      <c r="Q148" s="422"/>
      <c r="R148" s="422"/>
      <c r="S148" s="422"/>
      <c r="T148" s="422"/>
      <c r="U148" s="405"/>
      <c r="V148" s="406"/>
      <c r="W148" s="406"/>
      <c r="X148" s="423"/>
      <c r="Y148" s="408"/>
      <c r="Z148" s="8"/>
    </row>
    <row r="149" spans="1:26" ht="16.5">
      <c r="A149" s="393">
        <v>45371</v>
      </c>
      <c r="B149" s="394" t="s">
        <v>184</v>
      </c>
      <c r="C149" s="394" t="s">
        <v>253</v>
      </c>
      <c r="D149" s="394"/>
      <c r="E149" s="395">
        <v>0.54</v>
      </c>
      <c r="F149" s="2" t="s">
        <v>185</v>
      </c>
      <c r="G149" s="397">
        <v>1</v>
      </c>
      <c r="H149" s="406">
        <f t="shared" si="95"/>
        <v>912.99999999999989</v>
      </c>
      <c r="I149" s="397"/>
      <c r="J149" s="398">
        <f t="shared" si="87"/>
        <v>550.34140392000006</v>
      </c>
      <c r="K149" s="399">
        <f>100000+170000</f>
        <v>270000</v>
      </c>
      <c r="L149" s="397">
        <v>0</v>
      </c>
      <c r="M149" s="400">
        <f t="shared" ref="M149:M158" si="102">IFERROR(IF(J149&lt;&gt;"",J149/H149,""),"input error")</f>
        <v>0.6027835749397592</v>
      </c>
      <c r="N149" s="401" t="str">
        <f t="shared" ref="N149:N158" si="103">IFERROR(IF(I149&lt;&gt;"",J149/(I149*U149*Y149),""),"input error")</f>
        <v/>
      </c>
      <c r="O149" s="402">
        <f t="shared" ref="O149:O158" si="104">IFERROR(IF(L149&lt;&gt;"",L149/(J149+L149),""),"input error")</f>
        <v>0</v>
      </c>
      <c r="P149" s="387" t="s">
        <v>207</v>
      </c>
      <c r="Q149" s="422">
        <v>2</v>
      </c>
      <c r="R149" s="422">
        <v>5.5</v>
      </c>
      <c r="S149" s="422">
        <v>0</v>
      </c>
      <c r="T149" s="424">
        <f>IFERROR(IF(R149&lt;&gt;"",R149*Q149-S149,""),"input error")</f>
        <v>11</v>
      </c>
      <c r="U149" s="405">
        <v>83</v>
      </c>
      <c r="V149" s="406">
        <f t="shared" ref="V149:V158" si="105">IFERROR(IF(U149&lt;&gt;"",1/U149,""),"input error")</f>
        <v>1.2048192771084338E-2</v>
      </c>
      <c r="W149" s="406">
        <f t="shared" ref="W149:W158" si="106">IFERROR(IF(V149&lt;&gt;"",V149*J149,""),"input error")</f>
        <v>6.6306193243373501</v>
      </c>
      <c r="X149" s="413">
        <f>SUM(W149)</f>
        <v>6.6306193243373501</v>
      </c>
      <c r="Y149" s="408">
        <f t="shared" ref="Y149" si="107">IFERROR(IF(W149&lt;&gt;"",T149*W149/X149,""),"input error")</f>
        <v>10.999999999999998</v>
      </c>
      <c r="Z149" s="8"/>
    </row>
    <row r="150" spans="1:26" ht="25.5">
      <c r="A150" s="393">
        <v>45371</v>
      </c>
      <c r="B150" s="394" t="s">
        <v>189</v>
      </c>
      <c r="C150" s="394" t="s">
        <v>253</v>
      </c>
      <c r="D150" s="394"/>
      <c r="E150" s="395">
        <v>0.16</v>
      </c>
      <c r="F150" s="396" t="s">
        <v>185</v>
      </c>
      <c r="G150" s="397">
        <v>7</v>
      </c>
      <c r="H150" s="406">
        <f t="shared" si="95"/>
        <v>47.159694202590778</v>
      </c>
      <c r="I150" s="397">
        <v>9</v>
      </c>
      <c r="J150" s="398">
        <f t="shared" si="87"/>
        <v>42.05220096</v>
      </c>
      <c r="K150" s="399">
        <v>235000</v>
      </c>
      <c r="L150" s="397">
        <v>0</v>
      </c>
      <c r="M150" s="400">
        <f t="shared" si="102"/>
        <v>0.89169791431111123</v>
      </c>
      <c r="N150" s="401">
        <f t="shared" si="103"/>
        <v>0.69354282224197539</v>
      </c>
      <c r="O150" s="402">
        <f t="shared" si="104"/>
        <v>0</v>
      </c>
      <c r="P150" s="387" t="s">
        <v>196</v>
      </c>
      <c r="Q150" s="415">
        <v>3</v>
      </c>
      <c r="R150" s="415">
        <v>7.5</v>
      </c>
      <c r="S150" s="415">
        <v>0</v>
      </c>
      <c r="T150" s="415">
        <f>IFERROR(IF(R150&lt;&gt;"",R150*Q150-S150,""),"input error")</f>
        <v>22.5</v>
      </c>
      <c r="U150" s="405">
        <v>12</v>
      </c>
      <c r="V150" s="406">
        <f t="shared" si="105"/>
        <v>8.3333333333333329E-2</v>
      </c>
      <c r="W150" s="406">
        <f t="shared" si="106"/>
        <v>3.50435008</v>
      </c>
      <c r="X150" s="416">
        <f>SUM(W150:W158)</f>
        <v>140.44242150400001</v>
      </c>
      <c r="Y150" s="408">
        <f t="shared" ref="Y150:Y158" si="108">IFERROR(IF(W150&lt;&gt;"",$T$150*W150/$X$150,""),"input error")</f>
        <v>0.56142493098322355</v>
      </c>
      <c r="Z150" s="8"/>
    </row>
    <row r="151" spans="1:26" ht="25.5">
      <c r="A151" s="393">
        <v>45371</v>
      </c>
      <c r="B151" s="394" t="s">
        <v>190</v>
      </c>
      <c r="C151" s="394" t="s">
        <v>253</v>
      </c>
      <c r="D151" s="394"/>
      <c r="E151" s="395">
        <v>0.08</v>
      </c>
      <c r="F151" s="396" t="s">
        <v>185</v>
      </c>
      <c r="G151" s="397">
        <v>7</v>
      </c>
      <c r="H151" s="406">
        <f t="shared" si="95"/>
        <v>79.785172011042675</v>
      </c>
      <c r="I151" s="397">
        <v>9</v>
      </c>
      <c r="J151" s="398">
        <f t="shared" si="87"/>
        <v>71.1442714752</v>
      </c>
      <c r="K151" s="399">
        <f>514300+576000+500000</f>
        <v>1590300</v>
      </c>
      <c r="L151" s="397">
        <v>0</v>
      </c>
      <c r="M151" s="400">
        <f t="shared" si="102"/>
        <v>0.89169791431111123</v>
      </c>
      <c r="N151" s="401">
        <f t="shared" si="103"/>
        <v>0.69354282224197539</v>
      </c>
      <c r="O151" s="402">
        <f t="shared" si="104"/>
        <v>0</v>
      </c>
      <c r="P151" s="387" t="s">
        <v>196</v>
      </c>
      <c r="Q151" s="417"/>
      <c r="R151" s="417"/>
      <c r="S151" s="417"/>
      <c r="T151" s="417"/>
      <c r="U151" s="405">
        <v>3</v>
      </c>
      <c r="V151" s="406">
        <f t="shared" si="105"/>
        <v>0.33333333333333331</v>
      </c>
      <c r="W151" s="406">
        <f t="shared" si="106"/>
        <v>23.714757158399998</v>
      </c>
      <c r="X151" s="418"/>
      <c r="Y151" s="408">
        <f t="shared" si="108"/>
        <v>3.7992939052877461</v>
      </c>
      <c r="Z151" s="8"/>
    </row>
    <row r="152" spans="1:26" ht="25.5">
      <c r="A152" s="393">
        <v>45371</v>
      </c>
      <c r="B152" s="394" t="s">
        <v>191</v>
      </c>
      <c r="C152" s="394" t="s">
        <v>253</v>
      </c>
      <c r="D152" s="394"/>
      <c r="E152" s="395">
        <v>0.08</v>
      </c>
      <c r="F152" s="396" t="s">
        <v>185</v>
      </c>
      <c r="G152" s="397">
        <v>7</v>
      </c>
      <c r="H152" s="406">
        <f t="shared" si="95"/>
        <v>83.633202378424301</v>
      </c>
      <c r="I152" s="397">
        <v>9</v>
      </c>
      <c r="J152" s="398">
        <f t="shared" si="87"/>
        <v>74.575552128000012</v>
      </c>
      <c r="K152" s="399">
        <f>515000+565000+587000</f>
        <v>1667000</v>
      </c>
      <c r="L152" s="397">
        <v>0</v>
      </c>
      <c r="M152" s="400">
        <f t="shared" si="102"/>
        <v>0.89169791431111123</v>
      </c>
      <c r="N152" s="401">
        <f t="shared" si="103"/>
        <v>0.69354282224197539</v>
      </c>
      <c r="O152" s="402">
        <f t="shared" si="104"/>
        <v>0</v>
      </c>
      <c r="P152" s="387" t="s">
        <v>196</v>
      </c>
      <c r="Q152" s="417"/>
      <c r="R152" s="417"/>
      <c r="S152" s="417"/>
      <c r="T152" s="417"/>
      <c r="U152" s="405">
        <v>3</v>
      </c>
      <c r="V152" s="406">
        <f t="shared" si="105"/>
        <v>0.33333333333333331</v>
      </c>
      <c r="W152" s="406">
        <f t="shared" si="106"/>
        <v>24.858517376000002</v>
      </c>
      <c r="X152" s="418"/>
      <c r="Y152" s="408">
        <f t="shared" si="108"/>
        <v>3.9825334465916336</v>
      </c>
      <c r="Z152" s="8"/>
    </row>
    <row r="153" spans="1:26" ht="25.5">
      <c r="A153" s="393">
        <v>45371</v>
      </c>
      <c r="B153" s="394" t="s">
        <v>192</v>
      </c>
      <c r="C153" s="394" t="s">
        <v>253</v>
      </c>
      <c r="D153" s="394"/>
      <c r="E153" s="395">
        <v>0.08</v>
      </c>
      <c r="F153" s="396" t="s">
        <v>185</v>
      </c>
      <c r="G153" s="397">
        <v>7</v>
      </c>
      <c r="H153" s="406">
        <f t="shared" si="95"/>
        <v>11.539074113399874</v>
      </c>
      <c r="I153" s="397">
        <v>9</v>
      </c>
      <c r="J153" s="398">
        <f t="shared" si="87"/>
        <v>10.289368320000001</v>
      </c>
      <c r="K153" s="399">
        <v>230000</v>
      </c>
      <c r="L153" s="397">
        <v>0</v>
      </c>
      <c r="M153" s="400">
        <f t="shared" si="102"/>
        <v>0.89169791431111112</v>
      </c>
      <c r="N153" s="401">
        <f t="shared" si="103"/>
        <v>0.69354282224197528</v>
      </c>
      <c r="O153" s="402">
        <f t="shared" si="104"/>
        <v>0</v>
      </c>
      <c r="P153" s="387" t="s">
        <v>196</v>
      </c>
      <c r="Q153" s="417"/>
      <c r="R153" s="417"/>
      <c r="S153" s="417"/>
      <c r="T153" s="417"/>
      <c r="U153" s="405">
        <v>3</v>
      </c>
      <c r="V153" s="406">
        <f t="shared" si="105"/>
        <v>0.33333333333333331</v>
      </c>
      <c r="W153" s="406">
        <f t="shared" si="106"/>
        <v>3.4297894400000004</v>
      </c>
      <c r="X153" s="418"/>
      <c r="Y153" s="408">
        <f t="shared" si="108"/>
        <v>0.5494797196857083</v>
      </c>
      <c r="Z153" s="8"/>
    </row>
    <row r="154" spans="1:26" ht="25.5">
      <c r="A154" s="393">
        <v>45371</v>
      </c>
      <c r="B154" s="394" t="s">
        <v>193</v>
      </c>
      <c r="C154" s="394" t="s">
        <v>253</v>
      </c>
      <c r="D154" s="394"/>
      <c r="E154" s="395">
        <v>0.08</v>
      </c>
      <c r="F154" s="396" t="s">
        <v>185</v>
      </c>
      <c r="G154" s="397">
        <v>7</v>
      </c>
      <c r="H154" s="406">
        <f t="shared" si="95"/>
        <v>71.918533658950935</v>
      </c>
      <c r="I154" s="397">
        <v>9</v>
      </c>
      <c r="J154" s="398">
        <f t="shared" si="87"/>
        <v>64.129606464000005</v>
      </c>
      <c r="K154" s="399">
        <f>621500+539000+273000</f>
        <v>1433500</v>
      </c>
      <c r="L154" s="397">
        <v>0</v>
      </c>
      <c r="M154" s="400">
        <f t="shared" si="102"/>
        <v>0.89169791431111134</v>
      </c>
      <c r="N154" s="401">
        <f t="shared" si="103"/>
        <v>0.69354282224197539</v>
      </c>
      <c r="O154" s="402">
        <f t="shared" si="104"/>
        <v>0</v>
      </c>
      <c r="P154" s="387" t="s">
        <v>196</v>
      </c>
      <c r="Q154" s="417"/>
      <c r="R154" s="417"/>
      <c r="S154" s="417"/>
      <c r="T154" s="417"/>
      <c r="U154" s="405">
        <v>3</v>
      </c>
      <c r="V154" s="406">
        <f t="shared" si="105"/>
        <v>0.33333333333333331</v>
      </c>
      <c r="W154" s="406">
        <f t="shared" si="106"/>
        <v>21.376535488000002</v>
      </c>
      <c r="X154" s="418"/>
      <c r="Y154" s="408">
        <f t="shared" si="108"/>
        <v>3.4246920789976638</v>
      </c>
      <c r="Z154" s="8"/>
    </row>
    <row r="155" spans="1:26" ht="25.5">
      <c r="A155" s="393">
        <v>45371</v>
      </c>
      <c r="B155" s="394" t="s">
        <v>197</v>
      </c>
      <c r="C155" s="394" t="s">
        <v>253</v>
      </c>
      <c r="D155" s="394"/>
      <c r="E155" s="395">
        <v>0.08</v>
      </c>
      <c r="F155" s="396" t="s">
        <v>185</v>
      </c>
      <c r="G155" s="397">
        <v>7</v>
      </c>
      <c r="H155" s="406">
        <f t="shared" si="95"/>
        <v>48.574485028668512</v>
      </c>
      <c r="I155" s="397">
        <v>9</v>
      </c>
      <c r="J155" s="398">
        <f t="shared" si="87"/>
        <v>43.313766988800005</v>
      </c>
      <c r="K155" s="399">
        <f>334200+408000+226000</f>
        <v>968200</v>
      </c>
      <c r="L155" s="397">
        <v>0</v>
      </c>
      <c r="M155" s="400">
        <f t="shared" si="102"/>
        <v>0.89169791431111112</v>
      </c>
      <c r="N155" s="401">
        <f t="shared" si="103"/>
        <v>0.69354282224197539</v>
      </c>
      <c r="O155" s="402">
        <f t="shared" si="104"/>
        <v>0</v>
      </c>
      <c r="P155" s="387" t="s">
        <v>196</v>
      </c>
      <c r="Q155" s="417"/>
      <c r="R155" s="417"/>
      <c r="S155" s="417"/>
      <c r="T155" s="417"/>
      <c r="U155" s="405">
        <v>3</v>
      </c>
      <c r="V155" s="406">
        <f t="shared" si="105"/>
        <v>0.33333333333333331</v>
      </c>
      <c r="W155" s="406">
        <f t="shared" si="106"/>
        <v>14.437922329600001</v>
      </c>
      <c r="X155" s="418"/>
      <c r="Y155" s="408">
        <f t="shared" si="108"/>
        <v>2.3130707156508814</v>
      </c>
      <c r="Z155" s="8"/>
    </row>
    <row r="156" spans="1:26" ht="25.5">
      <c r="A156" s="393">
        <v>45371</v>
      </c>
      <c r="B156" s="394" t="s">
        <v>202</v>
      </c>
      <c r="C156" s="394" t="s">
        <v>253</v>
      </c>
      <c r="D156" s="394"/>
      <c r="E156" s="395">
        <v>0.08</v>
      </c>
      <c r="F156" s="396" t="s">
        <v>185</v>
      </c>
      <c r="G156" s="397">
        <v>7</v>
      </c>
      <c r="H156" s="406">
        <f t="shared" si="95"/>
        <v>41.540666808239536</v>
      </c>
      <c r="I156" s="397">
        <v>9</v>
      </c>
      <c r="J156" s="398">
        <f t="shared" si="87"/>
        <v>37.041725952</v>
      </c>
      <c r="K156" s="399">
        <f>408000+420000</f>
        <v>828000</v>
      </c>
      <c r="L156" s="397">
        <v>0</v>
      </c>
      <c r="M156" s="400">
        <f t="shared" si="102"/>
        <v>0.89169791431111123</v>
      </c>
      <c r="N156" s="401">
        <f t="shared" si="103"/>
        <v>0.69354282224197528</v>
      </c>
      <c r="O156" s="402">
        <f t="shared" si="104"/>
        <v>0</v>
      </c>
      <c r="P156" s="387" t="s">
        <v>196</v>
      </c>
      <c r="Q156" s="417"/>
      <c r="R156" s="417"/>
      <c r="S156" s="417"/>
      <c r="T156" s="417"/>
      <c r="U156" s="405">
        <v>3</v>
      </c>
      <c r="V156" s="406">
        <f t="shared" si="105"/>
        <v>0.33333333333333331</v>
      </c>
      <c r="W156" s="406">
        <f t="shared" si="106"/>
        <v>12.347241984</v>
      </c>
      <c r="X156" s="418"/>
      <c r="Y156" s="408">
        <f t="shared" si="108"/>
        <v>1.9781269908685495</v>
      </c>
      <c r="Z156" s="8"/>
    </row>
    <row r="157" spans="1:26" ht="25.5">
      <c r="A157" s="393">
        <v>45371</v>
      </c>
      <c r="B157" s="394" t="s">
        <v>208</v>
      </c>
      <c r="C157" s="394" t="s">
        <v>253</v>
      </c>
      <c r="D157" s="394"/>
      <c r="E157" s="395">
        <v>0.08</v>
      </c>
      <c r="F157" s="396" t="s">
        <v>185</v>
      </c>
      <c r="G157" s="397">
        <v>7</v>
      </c>
      <c r="H157" s="406">
        <f t="shared" si="95"/>
        <v>74.30160331280527</v>
      </c>
      <c r="I157" s="397">
        <v>9</v>
      </c>
      <c r="J157" s="398">
        <f t="shared" si="87"/>
        <v>66.25458470400001</v>
      </c>
      <c r="K157" s="399">
        <f>234000+599000+648000</f>
        <v>1481000</v>
      </c>
      <c r="L157" s="397">
        <v>0</v>
      </c>
      <c r="M157" s="400">
        <f t="shared" si="102"/>
        <v>0.89169791431111123</v>
      </c>
      <c r="N157" s="401">
        <f t="shared" si="103"/>
        <v>0.69354282224197539</v>
      </c>
      <c r="O157" s="402">
        <f t="shared" si="104"/>
        <v>0</v>
      </c>
      <c r="P157" s="387" t="s">
        <v>196</v>
      </c>
      <c r="Q157" s="417"/>
      <c r="R157" s="417"/>
      <c r="S157" s="417"/>
      <c r="T157" s="417"/>
      <c r="U157" s="405">
        <v>3</v>
      </c>
      <c r="V157" s="406">
        <f t="shared" si="105"/>
        <v>0.33333333333333331</v>
      </c>
      <c r="W157" s="406">
        <f t="shared" si="106"/>
        <v>22.084861568000001</v>
      </c>
      <c r="X157" s="418"/>
      <c r="Y157" s="408">
        <f t="shared" si="108"/>
        <v>3.5381715863240601</v>
      </c>
      <c r="Z157" s="8"/>
    </row>
    <row r="158" spans="1:26" ht="25.5">
      <c r="A158" s="393">
        <v>45371</v>
      </c>
      <c r="B158" s="394" t="s">
        <v>209</v>
      </c>
      <c r="C158" s="394" t="s">
        <v>253</v>
      </c>
      <c r="D158" s="394"/>
      <c r="E158" s="395">
        <v>0.08</v>
      </c>
      <c r="F158" s="396" t="s">
        <v>185</v>
      </c>
      <c r="G158" s="397">
        <v>7</v>
      </c>
      <c r="H158" s="406">
        <f t="shared" si="95"/>
        <v>49.417339137821187</v>
      </c>
      <c r="I158" s="397">
        <v>9</v>
      </c>
      <c r="J158" s="398">
        <f t="shared" si="87"/>
        <v>44.065338240000003</v>
      </c>
      <c r="K158" s="399">
        <f>400000+585000</f>
        <v>985000</v>
      </c>
      <c r="L158" s="397">
        <v>0</v>
      </c>
      <c r="M158" s="400">
        <f t="shared" si="102"/>
        <v>0.89169791431111123</v>
      </c>
      <c r="N158" s="401">
        <f t="shared" si="103"/>
        <v>0.69354282224197539</v>
      </c>
      <c r="O158" s="402">
        <f t="shared" si="104"/>
        <v>0</v>
      </c>
      <c r="P158" s="387" t="s">
        <v>196</v>
      </c>
      <c r="Q158" s="419"/>
      <c r="R158" s="419"/>
      <c r="S158" s="419"/>
      <c r="T158" s="419"/>
      <c r="U158" s="405">
        <v>3</v>
      </c>
      <c r="V158" s="406">
        <f t="shared" si="105"/>
        <v>0.33333333333333331</v>
      </c>
      <c r="W158" s="406">
        <f t="shared" si="106"/>
        <v>14.68844608</v>
      </c>
      <c r="X158" s="420"/>
      <c r="Y158" s="408">
        <f t="shared" si="108"/>
        <v>2.3532066256105328</v>
      </c>
      <c r="Z158" s="8"/>
    </row>
    <row r="159" spans="1:26">
      <c r="A159" s="393"/>
      <c r="B159" s="394"/>
      <c r="C159" s="394"/>
      <c r="D159" s="394"/>
      <c r="E159" s="395"/>
      <c r="F159" s="396"/>
      <c r="G159" s="397"/>
      <c r="H159" s="406"/>
      <c r="I159" s="397"/>
      <c r="J159" s="398"/>
      <c r="K159" s="399"/>
      <c r="L159" s="397"/>
      <c r="M159" s="400" t="str">
        <f t="shared" si="94"/>
        <v/>
      </c>
      <c r="N159" s="401"/>
      <c r="O159" s="402"/>
      <c r="P159" s="387"/>
      <c r="Q159" s="422"/>
      <c r="R159" s="422"/>
      <c r="S159" s="422"/>
      <c r="T159" s="422"/>
      <c r="U159" s="405"/>
      <c r="V159" s="406"/>
      <c r="W159" s="406"/>
      <c r="X159" s="423"/>
      <c r="Y159" s="408"/>
      <c r="Z159" s="8"/>
    </row>
    <row r="160" spans="1:26" ht="16.5">
      <c r="A160" s="393">
        <v>45372</v>
      </c>
      <c r="B160" s="394" t="s">
        <v>184</v>
      </c>
      <c r="C160" s="394" t="s">
        <v>253</v>
      </c>
      <c r="D160" s="394"/>
      <c r="E160" s="395">
        <v>0.54</v>
      </c>
      <c r="F160" s="396" t="s">
        <v>185</v>
      </c>
      <c r="G160" s="397">
        <v>1</v>
      </c>
      <c r="H160" s="406">
        <f t="shared" si="95"/>
        <v>498.97620622080001</v>
      </c>
      <c r="I160" s="397">
        <v>9</v>
      </c>
      <c r="J160" s="398">
        <f t="shared" si="87"/>
        <v>226.25146605600003</v>
      </c>
      <c r="K160" s="399">
        <v>111000</v>
      </c>
      <c r="L160" s="397">
        <v>0</v>
      </c>
      <c r="M160" s="400">
        <f t="shared" si="94"/>
        <v>0.45343137254901966</v>
      </c>
      <c r="N160" s="401">
        <f t="shared" ref="N160:N168" si="109">IFERROR(IF(I160&lt;&gt;"",J160/(I160*U160*Y160),""),"input error")</f>
        <v>5.0381263616557738E-2</v>
      </c>
      <c r="O160" s="402">
        <f t="shared" ref="O160:O168" si="110">IFERROR(IF(L160&lt;&gt;"",L160/(J160+L160),""),"input error")</f>
        <v>0</v>
      </c>
      <c r="P160" s="387" t="s">
        <v>194</v>
      </c>
      <c r="Q160" s="421">
        <v>1</v>
      </c>
      <c r="R160" s="421">
        <v>6</v>
      </c>
      <c r="S160" s="421">
        <v>0</v>
      </c>
      <c r="T160" s="424">
        <f>IFERROR(IF(R160&lt;&gt;"",R160*Q160-S160,""),"input error")</f>
        <v>6</v>
      </c>
      <c r="U160" s="405">
        <f>'[1]伸线工时wire drawing'!H6</f>
        <v>83.162701036800001</v>
      </c>
      <c r="V160" s="406">
        <f t="shared" ref="V160:V168" si="111">IFERROR(IF(U160&lt;&gt;"",1/U160,""),"input error")</f>
        <v>1.2024621465306832E-2</v>
      </c>
      <c r="W160" s="406">
        <f t="shared" ref="W160:W168" si="112">IFERROR(IF(V160&lt;&gt;"",V160*J160,""),"input error")</f>
        <v>2.7205882352941182</v>
      </c>
      <c r="X160" s="413">
        <f>SUM(W160)</f>
        <v>2.7205882352941182</v>
      </c>
      <c r="Y160" s="408">
        <f t="shared" ref="Y160" si="113">IFERROR(IF(W160&lt;&gt;"",T160*W160/X160,""),"input error")</f>
        <v>6</v>
      </c>
      <c r="Z160" s="8"/>
    </row>
    <row r="161" spans="1:26" ht="25.5">
      <c r="A161" s="393">
        <v>45372</v>
      </c>
      <c r="B161" s="394" t="s">
        <v>190</v>
      </c>
      <c r="C161" s="394" t="s">
        <v>253</v>
      </c>
      <c r="D161" s="394"/>
      <c r="E161" s="395">
        <v>0.08</v>
      </c>
      <c r="F161" s="396" t="s">
        <v>185</v>
      </c>
      <c r="G161" s="397">
        <v>7</v>
      </c>
      <c r="H161" s="406">
        <f t="shared" si="95"/>
        <v>67.260998441343148</v>
      </c>
      <c r="I161" s="397">
        <v>9</v>
      </c>
      <c r="J161" s="398">
        <f t="shared" si="87"/>
        <v>70.683486720000005</v>
      </c>
      <c r="K161" s="399">
        <f>590000+600000+390000</f>
        <v>1580000</v>
      </c>
      <c r="L161" s="397">
        <v>0</v>
      </c>
      <c r="M161" s="400">
        <f t="shared" si="94"/>
        <v>1.0508836972088889</v>
      </c>
      <c r="N161" s="401">
        <f t="shared" si="109"/>
        <v>0.81735398671802473</v>
      </c>
      <c r="O161" s="402">
        <f t="shared" si="110"/>
        <v>0</v>
      </c>
      <c r="P161" s="387" t="s">
        <v>196</v>
      </c>
      <c r="Q161" s="415">
        <v>3</v>
      </c>
      <c r="R161" s="415">
        <v>7.5</v>
      </c>
      <c r="S161" s="415">
        <v>0</v>
      </c>
      <c r="T161" s="415">
        <f>IFERROR(IF(R161&lt;&gt;"",R161*Q161-S161,""),"input error")</f>
        <v>22.5</v>
      </c>
      <c r="U161" s="405">
        <v>3</v>
      </c>
      <c r="V161" s="406">
        <f t="shared" si="111"/>
        <v>0.33333333333333331</v>
      </c>
      <c r="W161" s="406">
        <f t="shared" si="112"/>
        <v>23.561162240000002</v>
      </c>
      <c r="X161" s="416">
        <f>SUM(W161:W168)</f>
        <v>165.5141823104</v>
      </c>
      <c r="Y161" s="408">
        <f>IFERROR(IF(W161&lt;&gt;"",$T$161*W161/$X$161,""),"input error")</f>
        <v>3.2029046876830072</v>
      </c>
      <c r="Z161" s="8"/>
    </row>
    <row r="162" spans="1:26" ht="25.5">
      <c r="A162" s="393">
        <v>45372</v>
      </c>
      <c r="B162" s="394" t="s">
        <v>191</v>
      </c>
      <c r="C162" s="394" t="s">
        <v>253</v>
      </c>
      <c r="D162" s="394"/>
      <c r="E162" s="395">
        <v>0.08</v>
      </c>
      <c r="F162" s="396" t="s">
        <v>185</v>
      </c>
      <c r="G162" s="397">
        <v>7</v>
      </c>
      <c r="H162" s="406">
        <f t="shared" si="95"/>
        <v>66.750155415206365</v>
      </c>
      <c r="I162" s="397">
        <v>9</v>
      </c>
      <c r="J162" s="398">
        <f t="shared" si="87"/>
        <v>70.146650112000003</v>
      </c>
      <c r="K162" s="399">
        <f>495000+600000+473000</f>
        <v>1568000</v>
      </c>
      <c r="L162" s="397">
        <v>0</v>
      </c>
      <c r="M162" s="400">
        <f t="shared" si="94"/>
        <v>1.0508836972088889</v>
      </c>
      <c r="N162" s="401">
        <f t="shared" si="109"/>
        <v>0.81735398671802473</v>
      </c>
      <c r="O162" s="402">
        <f t="shared" si="110"/>
        <v>0</v>
      </c>
      <c r="P162" s="387" t="s">
        <v>196</v>
      </c>
      <c r="Q162" s="417"/>
      <c r="R162" s="417"/>
      <c r="S162" s="417"/>
      <c r="T162" s="417"/>
      <c r="U162" s="405">
        <v>3</v>
      </c>
      <c r="V162" s="406">
        <f t="shared" si="111"/>
        <v>0.33333333333333331</v>
      </c>
      <c r="W162" s="406">
        <f t="shared" si="112"/>
        <v>23.382216704000001</v>
      </c>
      <c r="X162" s="418"/>
      <c r="Y162" s="408">
        <f t="shared" ref="Y162:Y168" si="114">IFERROR(IF(W162&lt;&gt;"",$T$161*W162/$X$161,""),"input error")</f>
        <v>3.178578829295541</v>
      </c>
      <c r="Z162" s="8"/>
    </row>
    <row r="163" spans="1:26" ht="25.5">
      <c r="A163" s="393">
        <v>45372</v>
      </c>
      <c r="B163" s="394" t="s">
        <v>192</v>
      </c>
      <c r="C163" s="394" t="s">
        <v>253</v>
      </c>
      <c r="D163" s="394"/>
      <c r="E163" s="395">
        <v>0.08</v>
      </c>
      <c r="F163" s="396" t="s">
        <v>185</v>
      </c>
      <c r="G163" s="397">
        <v>7</v>
      </c>
      <c r="H163" s="406">
        <f t="shared" si="95"/>
        <v>36.184714351355495</v>
      </c>
      <c r="I163" s="397">
        <v>9</v>
      </c>
      <c r="J163" s="398">
        <f t="shared" si="87"/>
        <v>38.025926400000003</v>
      </c>
      <c r="K163" s="399">
        <f>430000+150000+270000</f>
        <v>850000</v>
      </c>
      <c r="L163" s="397">
        <v>0</v>
      </c>
      <c r="M163" s="400">
        <f t="shared" si="94"/>
        <v>1.0508836972088889</v>
      </c>
      <c r="N163" s="401">
        <f t="shared" si="109"/>
        <v>0.81735398671802473</v>
      </c>
      <c r="O163" s="402">
        <f t="shared" si="110"/>
        <v>0</v>
      </c>
      <c r="P163" s="387" t="s">
        <v>196</v>
      </c>
      <c r="Q163" s="417"/>
      <c r="R163" s="417"/>
      <c r="S163" s="417"/>
      <c r="T163" s="417"/>
      <c r="U163" s="405">
        <v>3</v>
      </c>
      <c r="V163" s="406">
        <f t="shared" si="111"/>
        <v>0.33333333333333331</v>
      </c>
      <c r="W163" s="406">
        <f t="shared" si="112"/>
        <v>12.6753088</v>
      </c>
      <c r="X163" s="418"/>
      <c r="Y163" s="408">
        <f t="shared" si="114"/>
        <v>1.723081635778833</v>
      </c>
      <c r="Z163" s="8"/>
    </row>
    <row r="164" spans="1:26" ht="37.5" customHeight="1">
      <c r="A164" s="393">
        <v>45372</v>
      </c>
      <c r="B164" s="394" t="s">
        <v>193</v>
      </c>
      <c r="C164" s="394" t="s">
        <v>253</v>
      </c>
      <c r="D164" s="394"/>
      <c r="E164" s="395">
        <v>0.08</v>
      </c>
      <c r="F164" s="396" t="s">
        <v>185</v>
      </c>
      <c r="G164" s="397">
        <v>7</v>
      </c>
      <c r="H164" s="406">
        <f t="shared" si="95"/>
        <v>69.644932563314796</v>
      </c>
      <c r="I164" s="397">
        <v>9</v>
      </c>
      <c r="J164" s="398">
        <f t="shared" si="87"/>
        <v>73.188724224000012</v>
      </c>
      <c r="K164" s="399">
        <f>668000+585000+383000</f>
        <v>1636000</v>
      </c>
      <c r="L164" s="397">
        <v>0</v>
      </c>
      <c r="M164" s="400">
        <f t="shared" si="94"/>
        <v>1.0508836972088891</v>
      </c>
      <c r="N164" s="401">
        <f t="shared" si="109"/>
        <v>0.81735398671802484</v>
      </c>
      <c r="O164" s="402">
        <f t="shared" si="110"/>
        <v>0</v>
      </c>
      <c r="P164" s="387" t="s">
        <v>196</v>
      </c>
      <c r="Q164" s="417"/>
      <c r="R164" s="417"/>
      <c r="S164" s="417"/>
      <c r="T164" s="417"/>
      <c r="U164" s="405">
        <v>3</v>
      </c>
      <c r="V164" s="406">
        <f t="shared" si="111"/>
        <v>0.33333333333333331</v>
      </c>
      <c r="W164" s="406">
        <f t="shared" si="112"/>
        <v>24.396241408000002</v>
      </c>
      <c r="X164" s="418"/>
      <c r="Y164" s="408">
        <f t="shared" si="114"/>
        <v>3.3164253601578477</v>
      </c>
      <c r="Z164" s="8"/>
    </row>
    <row r="165" spans="1:26" ht="25.5">
      <c r="A165" s="393">
        <v>45372</v>
      </c>
      <c r="B165" s="394" t="s">
        <v>197</v>
      </c>
      <c r="C165" s="394" t="s">
        <v>253</v>
      </c>
      <c r="D165" s="394"/>
      <c r="E165" s="395">
        <v>0.08</v>
      </c>
      <c r="F165" s="396" t="s">
        <v>185</v>
      </c>
      <c r="G165" s="397">
        <v>7</v>
      </c>
      <c r="H165" s="406">
        <f t="shared" si="95"/>
        <v>64.408791545412768</v>
      </c>
      <c r="I165" s="397">
        <v>9</v>
      </c>
      <c r="J165" s="398">
        <f t="shared" si="87"/>
        <v>67.686148992</v>
      </c>
      <c r="K165" s="399">
        <f>555000+403000+555000</f>
        <v>1513000</v>
      </c>
      <c r="L165" s="397">
        <v>0</v>
      </c>
      <c r="M165" s="400">
        <f t="shared" si="94"/>
        <v>1.0508836972088891</v>
      </c>
      <c r="N165" s="401">
        <f t="shared" si="109"/>
        <v>0.81735398671802462</v>
      </c>
      <c r="O165" s="402">
        <f t="shared" si="110"/>
        <v>0</v>
      </c>
      <c r="P165" s="387" t="s">
        <v>196</v>
      </c>
      <c r="Q165" s="417"/>
      <c r="R165" s="417"/>
      <c r="S165" s="417"/>
      <c r="T165" s="417"/>
      <c r="U165" s="405">
        <v>3</v>
      </c>
      <c r="V165" s="406">
        <f t="shared" si="111"/>
        <v>0.33333333333333331</v>
      </c>
      <c r="W165" s="406">
        <f t="shared" si="112"/>
        <v>22.562049664</v>
      </c>
      <c r="X165" s="418"/>
      <c r="Y165" s="408">
        <f t="shared" si="114"/>
        <v>3.0670853116863226</v>
      </c>
      <c r="Z165" s="8"/>
    </row>
    <row r="166" spans="1:26" ht="15.75" customHeight="1">
      <c r="A166" s="393">
        <v>45372</v>
      </c>
      <c r="B166" s="394" t="s">
        <v>202</v>
      </c>
      <c r="C166" s="394" t="s">
        <v>253</v>
      </c>
      <c r="D166" s="394"/>
      <c r="E166" s="395">
        <v>0.08</v>
      </c>
      <c r="F166" s="396" t="s">
        <v>185</v>
      </c>
      <c r="G166" s="397">
        <v>7</v>
      </c>
      <c r="H166" s="406">
        <f t="shared" si="95"/>
        <v>55.000765814060344</v>
      </c>
      <c r="I166" s="397">
        <v>9</v>
      </c>
      <c r="J166" s="398">
        <f t="shared" si="87"/>
        <v>57.799408128000003</v>
      </c>
      <c r="K166" s="399">
        <f>490000+440500+361500</f>
        <v>1292000</v>
      </c>
      <c r="L166" s="397">
        <v>0</v>
      </c>
      <c r="M166" s="400">
        <f t="shared" si="94"/>
        <v>1.0508836972088891</v>
      </c>
      <c r="N166" s="401">
        <f t="shared" si="109"/>
        <v>0.81735398671802473</v>
      </c>
      <c r="O166" s="402">
        <f t="shared" si="110"/>
        <v>0</v>
      </c>
      <c r="P166" s="387" t="s">
        <v>196</v>
      </c>
      <c r="Q166" s="417"/>
      <c r="R166" s="417"/>
      <c r="S166" s="417"/>
      <c r="T166" s="417"/>
      <c r="U166" s="405">
        <v>3</v>
      </c>
      <c r="V166" s="406">
        <f t="shared" si="111"/>
        <v>0.33333333333333331</v>
      </c>
      <c r="W166" s="406">
        <f t="shared" si="112"/>
        <v>19.266469376</v>
      </c>
      <c r="X166" s="418"/>
      <c r="Y166" s="408">
        <f t="shared" si="114"/>
        <v>2.6190840863838258</v>
      </c>
      <c r="Z166" s="8"/>
    </row>
    <row r="167" spans="1:26" ht="25.5">
      <c r="A167" s="393">
        <v>45372</v>
      </c>
      <c r="B167" s="394" t="s">
        <v>208</v>
      </c>
      <c r="C167" s="394" t="s">
        <v>253</v>
      </c>
      <c r="D167" s="394"/>
      <c r="E167" s="395">
        <v>0.08</v>
      </c>
      <c r="F167" s="396" t="s">
        <v>185</v>
      </c>
      <c r="G167" s="397">
        <v>7</v>
      </c>
      <c r="H167" s="406">
        <f t="shared" si="95"/>
        <v>67.912323299667534</v>
      </c>
      <c r="I167" s="397">
        <v>9</v>
      </c>
      <c r="J167" s="398">
        <f t="shared" si="87"/>
        <v>71.367953395200004</v>
      </c>
      <c r="K167" s="399">
        <f>580000+544000+471300</f>
        <v>1595300</v>
      </c>
      <c r="L167" s="397">
        <v>0</v>
      </c>
      <c r="M167" s="400">
        <f t="shared" si="94"/>
        <v>1.0508836972088891</v>
      </c>
      <c r="N167" s="401">
        <f t="shared" si="109"/>
        <v>0.81735398671802484</v>
      </c>
      <c r="O167" s="402">
        <f t="shared" si="110"/>
        <v>0</v>
      </c>
      <c r="P167" s="387" t="s">
        <v>196</v>
      </c>
      <c r="Q167" s="417"/>
      <c r="R167" s="417"/>
      <c r="S167" s="417"/>
      <c r="T167" s="417"/>
      <c r="U167" s="405">
        <v>3</v>
      </c>
      <c r="V167" s="406">
        <f t="shared" si="111"/>
        <v>0.33333333333333331</v>
      </c>
      <c r="W167" s="406">
        <f t="shared" si="112"/>
        <v>23.789317798399999</v>
      </c>
      <c r="X167" s="418"/>
      <c r="Y167" s="408">
        <f t="shared" si="114"/>
        <v>3.2339201571270255</v>
      </c>
      <c r="Z167" s="8"/>
    </row>
    <row r="168" spans="1:26" ht="25.5">
      <c r="A168" s="393">
        <v>45372</v>
      </c>
      <c r="B168" s="394" t="s">
        <v>209</v>
      </c>
      <c r="C168" s="394" t="s">
        <v>253</v>
      </c>
      <c r="D168" s="394"/>
      <c r="E168" s="395">
        <v>0.08</v>
      </c>
      <c r="F168" s="396" t="s">
        <v>185</v>
      </c>
      <c r="G168" s="397">
        <v>7</v>
      </c>
      <c r="H168" s="406">
        <f t="shared" si="95"/>
        <v>45.337318569639535</v>
      </c>
      <c r="I168" s="397">
        <v>9</v>
      </c>
      <c r="J168" s="398">
        <f t="shared" si="87"/>
        <v>47.644248960000006</v>
      </c>
      <c r="K168" s="399">
        <f>470000+418000+177000</f>
        <v>1065000</v>
      </c>
      <c r="L168" s="397">
        <v>0</v>
      </c>
      <c r="M168" s="400">
        <f t="shared" si="94"/>
        <v>1.0508836972088889</v>
      </c>
      <c r="N168" s="401">
        <f t="shared" si="109"/>
        <v>0.81735398671802462</v>
      </c>
      <c r="O168" s="402">
        <f t="shared" si="110"/>
        <v>0</v>
      </c>
      <c r="P168" s="387" t="s">
        <v>196</v>
      </c>
      <c r="Q168" s="419"/>
      <c r="R168" s="419"/>
      <c r="S168" s="419"/>
      <c r="T168" s="419"/>
      <c r="U168" s="405">
        <v>3</v>
      </c>
      <c r="V168" s="406">
        <f t="shared" si="111"/>
        <v>0.33333333333333331</v>
      </c>
      <c r="W168" s="406">
        <f t="shared" si="112"/>
        <v>15.881416320000001</v>
      </c>
      <c r="X168" s="420"/>
      <c r="Y168" s="408">
        <f t="shared" si="114"/>
        <v>2.1589199318875969</v>
      </c>
      <c r="Z168" s="8"/>
    </row>
    <row r="169" spans="1:26">
      <c r="A169" s="393"/>
      <c r="B169" s="394"/>
      <c r="C169" s="394"/>
      <c r="D169" s="394"/>
      <c r="E169" s="395"/>
      <c r="F169" s="396"/>
      <c r="G169" s="397"/>
      <c r="H169" s="406"/>
      <c r="I169" s="397"/>
      <c r="J169" s="398"/>
      <c r="K169" s="399"/>
      <c r="L169" s="397"/>
      <c r="M169" s="400" t="str">
        <f t="shared" si="94"/>
        <v/>
      </c>
      <c r="N169" s="401"/>
      <c r="O169" s="402"/>
      <c r="P169" s="387"/>
      <c r="Q169" s="422"/>
      <c r="R169" s="422"/>
      <c r="S169" s="422"/>
      <c r="T169" s="422"/>
      <c r="U169" s="405"/>
      <c r="V169" s="406"/>
      <c r="W169" s="406"/>
      <c r="X169" s="423"/>
      <c r="Y169" s="408"/>
      <c r="Z169" s="8"/>
    </row>
    <row r="170" spans="1:26" ht="25.5">
      <c r="A170" s="393">
        <v>45373</v>
      </c>
      <c r="B170" s="394" t="s">
        <v>190</v>
      </c>
      <c r="C170" s="394" t="s">
        <v>253</v>
      </c>
      <c r="D170" s="394"/>
      <c r="E170" s="395">
        <v>0.08</v>
      </c>
      <c r="F170" s="396" t="s">
        <v>185</v>
      </c>
      <c r="G170" s="397">
        <v>7</v>
      </c>
      <c r="H170" s="406">
        <f t="shared" si="95"/>
        <v>75.102275253184757</v>
      </c>
      <c r="I170" s="397">
        <v>8</v>
      </c>
      <c r="J170" s="398">
        <f t="shared" si="87"/>
        <v>63.096195993600006</v>
      </c>
      <c r="K170" s="399">
        <f>344900+440500+625000</f>
        <v>1410400</v>
      </c>
      <c r="L170" s="397">
        <v>0</v>
      </c>
      <c r="M170" s="400">
        <f t="shared" si="94"/>
        <v>0.8401369436663555</v>
      </c>
      <c r="N170" s="401">
        <f t="shared" ref="N170:N177" si="115">IFERROR(IF(I170&lt;&gt;"",J170/(I170*U170*Y170),""),"input error")</f>
        <v>0.735119825708061</v>
      </c>
      <c r="O170" s="402">
        <f t="shared" ref="O170:O177" si="116">IFERROR(IF(L170&lt;&gt;"",L170/(J170+L170),""),"input error")</f>
        <v>0</v>
      </c>
      <c r="P170" s="387" t="s">
        <v>196</v>
      </c>
      <c r="Q170" s="415">
        <v>3</v>
      </c>
      <c r="R170" s="415">
        <v>7.5</v>
      </c>
      <c r="S170" s="415">
        <v>0</v>
      </c>
      <c r="T170" s="415">
        <f>IFERROR(IF(R170&lt;&gt;"",R170*Q170-S170,""),"input error")</f>
        <v>22.5</v>
      </c>
      <c r="U170" s="405">
        <f>'[1]伸线工时wire drawing'!H11</f>
        <v>3.4223333760000001</v>
      </c>
      <c r="V170" s="406">
        <f t="shared" ref="V170:V177" si="117">IFERROR(IF(U170&lt;&gt;"",1/U170,""),"input error")</f>
        <v>0.29219830160695598</v>
      </c>
      <c r="W170" s="406">
        <f t="shared" ref="W170:W177" si="118">IFERROR(IF(V170&lt;&gt;"",V170*J170,""),"input error")</f>
        <v>18.436601307189541</v>
      </c>
      <c r="X170" s="416">
        <f>SUM(W170:W177)</f>
        <v>132.32156862745097</v>
      </c>
      <c r="Y170" s="408">
        <f>IFERROR(IF(W170&lt;&gt;"",$T$170*W170/$X$170,""),"input error")</f>
        <v>3.1349653251141012</v>
      </c>
      <c r="Z170" s="8"/>
    </row>
    <row r="171" spans="1:26" ht="25.5">
      <c r="A171" s="393">
        <v>45373</v>
      </c>
      <c r="B171" s="394" t="s">
        <v>191</v>
      </c>
      <c r="C171" s="394" t="s">
        <v>253</v>
      </c>
      <c r="D171" s="394"/>
      <c r="E171" s="395">
        <v>0.08</v>
      </c>
      <c r="F171" s="396" t="s">
        <v>185</v>
      </c>
      <c r="G171" s="397">
        <v>7</v>
      </c>
      <c r="H171" s="406">
        <f t="shared" si="95"/>
        <v>62.27461068391915</v>
      </c>
      <c r="I171" s="397">
        <v>8</v>
      </c>
      <c r="J171" s="398">
        <f t="shared" si="87"/>
        <v>52.319201088</v>
      </c>
      <c r="K171" s="399">
        <f>194500+464000+511000</f>
        <v>1169500</v>
      </c>
      <c r="L171" s="397">
        <v>0</v>
      </c>
      <c r="M171" s="400">
        <f t="shared" si="94"/>
        <v>0.8401369436663555</v>
      </c>
      <c r="N171" s="401">
        <f t="shared" si="115"/>
        <v>0.735119825708061</v>
      </c>
      <c r="O171" s="402">
        <f t="shared" si="116"/>
        <v>0</v>
      </c>
      <c r="P171" s="387" t="s">
        <v>196</v>
      </c>
      <c r="Q171" s="417"/>
      <c r="R171" s="417"/>
      <c r="S171" s="417"/>
      <c r="T171" s="417"/>
      <c r="U171" s="405">
        <f>'[1]伸线工时wire drawing'!H11</f>
        <v>3.4223333760000001</v>
      </c>
      <c r="V171" s="406">
        <f t="shared" si="117"/>
        <v>0.29219830160695598</v>
      </c>
      <c r="W171" s="406">
        <f t="shared" si="118"/>
        <v>15.287581699346404</v>
      </c>
      <c r="X171" s="418"/>
      <c r="Y171" s="408">
        <f t="shared" ref="Y171:Y177" si="119">IFERROR(IF(W171&lt;&gt;"",$T$170*W171/$X$170,""),"input error")</f>
        <v>2.599505067867939</v>
      </c>
      <c r="Z171" s="8"/>
    </row>
    <row r="172" spans="1:26" ht="25.5">
      <c r="A172" s="393">
        <v>45373</v>
      </c>
      <c r="B172" s="394" t="s">
        <v>192</v>
      </c>
      <c r="C172" s="394" t="s">
        <v>253</v>
      </c>
      <c r="D172" s="394"/>
      <c r="E172" s="395">
        <v>0.08</v>
      </c>
      <c r="F172" s="396" t="s">
        <v>185</v>
      </c>
      <c r="G172" s="397">
        <v>7</v>
      </c>
      <c r="H172" s="406">
        <f t="shared" si="95"/>
        <v>36.070817680450482</v>
      </c>
      <c r="I172" s="397">
        <v>8</v>
      </c>
      <c r="J172" s="398">
        <f t="shared" si="87"/>
        <v>30.304426521600003</v>
      </c>
      <c r="K172" s="399">
        <f>512700+164700</f>
        <v>677400</v>
      </c>
      <c r="L172" s="397">
        <v>0</v>
      </c>
      <c r="M172" s="400">
        <f t="shared" si="94"/>
        <v>0.84013694366635538</v>
      </c>
      <c r="N172" s="401">
        <f t="shared" si="115"/>
        <v>0.73511982570806089</v>
      </c>
      <c r="O172" s="402">
        <f t="shared" si="116"/>
        <v>0</v>
      </c>
      <c r="P172" s="387" t="s">
        <v>196</v>
      </c>
      <c r="Q172" s="417"/>
      <c r="R172" s="417"/>
      <c r="S172" s="417"/>
      <c r="T172" s="417"/>
      <c r="U172" s="405">
        <f>'[1]伸线工时wire drawing'!H11</f>
        <v>3.4223333760000001</v>
      </c>
      <c r="V172" s="406">
        <f t="shared" si="117"/>
        <v>0.29219830160695598</v>
      </c>
      <c r="W172" s="406">
        <f t="shared" si="118"/>
        <v>8.8549019607843142</v>
      </c>
      <c r="X172" s="418"/>
      <c r="Y172" s="408">
        <f t="shared" si="119"/>
        <v>1.5056902376859702</v>
      </c>
      <c r="Z172" s="8"/>
    </row>
    <row r="173" spans="1:26" ht="25.5">
      <c r="A173" s="393">
        <v>45373</v>
      </c>
      <c r="B173" s="394" t="s">
        <v>193</v>
      </c>
      <c r="C173" s="394" t="s">
        <v>253</v>
      </c>
      <c r="D173" s="394"/>
      <c r="E173" s="395">
        <v>0.08</v>
      </c>
      <c r="F173" s="396" t="s">
        <v>185</v>
      </c>
      <c r="G173" s="397">
        <v>7</v>
      </c>
      <c r="H173" s="406">
        <f t="shared" si="95"/>
        <v>87.860716227846595</v>
      </c>
      <c r="I173" s="397">
        <v>8</v>
      </c>
      <c r="J173" s="398">
        <f t="shared" si="87"/>
        <v>73.815033600000007</v>
      </c>
      <c r="K173" s="399">
        <f>556500+597000+496500</f>
        <v>1650000</v>
      </c>
      <c r="L173" s="397">
        <v>0</v>
      </c>
      <c r="M173" s="400">
        <f t="shared" si="94"/>
        <v>0.84013694366635561</v>
      </c>
      <c r="N173" s="401">
        <f t="shared" si="115"/>
        <v>0.735119825708061</v>
      </c>
      <c r="O173" s="402">
        <f t="shared" si="116"/>
        <v>0</v>
      </c>
      <c r="P173" s="387" t="s">
        <v>196</v>
      </c>
      <c r="Q173" s="417"/>
      <c r="R173" s="417"/>
      <c r="S173" s="417"/>
      <c r="T173" s="417"/>
      <c r="U173" s="405">
        <f>'[1]伸线工时wire drawing'!H11</f>
        <v>3.4223333760000001</v>
      </c>
      <c r="V173" s="406">
        <f t="shared" si="117"/>
        <v>0.29219830160695598</v>
      </c>
      <c r="W173" s="406">
        <f t="shared" si="118"/>
        <v>21.56862745098039</v>
      </c>
      <c r="X173" s="418"/>
      <c r="Y173" s="408">
        <f t="shared" si="119"/>
        <v>3.6675360085353566</v>
      </c>
      <c r="Z173" s="8"/>
    </row>
    <row r="174" spans="1:26" ht="25.5">
      <c r="A174" s="393">
        <v>45373</v>
      </c>
      <c r="B174" s="394" t="s">
        <v>197</v>
      </c>
      <c r="C174" s="394" t="s">
        <v>253</v>
      </c>
      <c r="D174" s="394"/>
      <c r="E174" s="395">
        <v>0.08</v>
      </c>
      <c r="F174" s="396" t="s">
        <v>185</v>
      </c>
      <c r="G174" s="397">
        <v>7</v>
      </c>
      <c r="H174" s="406">
        <f t="shared" si="95"/>
        <v>72.418529739316</v>
      </c>
      <c r="I174" s="397">
        <v>8</v>
      </c>
      <c r="J174" s="398">
        <f t="shared" si="87"/>
        <v>60.841482240000005</v>
      </c>
      <c r="K174" s="399">
        <f>365000+450000+545000</f>
        <v>1360000</v>
      </c>
      <c r="L174" s="397">
        <v>0</v>
      </c>
      <c r="M174" s="400">
        <f t="shared" si="94"/>
        <v>0.84013694366635538</v>
      </c>
      <c r="N174" s="401">
        <f t="shared" si="115"/>
        <v>0.73511982570806089</v>
      </c>
      <c r="O174" s="402">
        <f t="shared" si="116"/>
        <v>0</v>
      </c>
      <c r="P174" s="387" t="s">
        <v>196</v>
      </c>
      <c r="Q174" s="417"/>
      <c r="R174" s="417"/>
      <c r="S174" s="417"/>
      <c r="T174" s="417"/>
      <c r="U174" s="405">
        <f>'[1]伸线工时wire drawing'!H11</f>
        <v>3.4223333760000001</v>
      </c>
      <c r="V174" s="406">
        <f t="shared" si="117"/>
        <v>0.29219830160695598</v>
      </c>
      <c r="W174" s="406">
        <f t="shared" si="118"/>
        <v>17.777777777777779</v>
      </c>
      <c r="X174" s="418"/>
      <c r="Y174" s="408">
        <f t="shared" si="119"/>
        <v>3.0229387706715669</v>
      </c>
      <c r="Z174" s="8"/>
    </row>
    <row r="175" spans="1:26" ht="25.5">
      <c r="A175" s="393">
        <v>45373</v>
      </c>
      <c r="B175" s="394" t="s">
        <v>202</v>
      </c>
      <c r="C175" s="394" t="s">
        <v>253</v>
      </c>
      <c r="D175" s="394"/>
      <c r="E175" s="395">
        <v>0.08</v>
      </c>
      <c r="F175" s="396" t="s">
        <v>185</v>
      </c>
      <c r="G175" s="397">
        <v>7</v>
      </c>
      <c r="H175" s="406">
        <f t="shared" si="95"/>
        <v>90.00664766056309</v>
      </c>
      <c r="I175" s="397">
        <v>8</v>
      </c>
      <c r="J175" s="398">
        <f t="shared" si="87"/>
        <v>75.617909875200013</v>
      </c>
      <c r="K175" s="399">
        <f>501300+589000+600000</f>
        <v>1690300</v>
      </c>
      <c r="L175" s="397">
        <v>0</v>
      </c>
      <c r="M175" s="400">
        <f t="shared" si="94"/>
        <v>0.84013694366635561</v>
      </c>
      <c r="N175" s="401">
        <f t="shared" si="115"/>
        <v>0.73511982570806111</v>
      </c>
      <c r="O175" s="402">
        <f t="shared" si="116"/>
        <v>0</v>
      </c>
      <c r="P175" s="387" t="s">
        <v>196</v>
      </c>
      <c r="Q175" s="417"/>
      <c r="R175" s="417"/>
      <c r="S175" s="417"/>
      <c r="T175" s="417"/>
      <c r="U175" s="405">
        <f>'[1]伸线工时wire drawing'!H11</f>
        <v>3.4223333760000001</v>
      </c>
      <c r="V175" s="406">
        <f t="shared" si="117"/>
        <v>0.29219830160695598</v>
      </c>
      <c r="W175" s="406">
        <f t="shared" si="118"/>
        <v>22.095424836601307</v>
      </c>
      <c r="X175" s="418"/>
      <c r="Y175" s="408">
        <f t="shared" si="119"/>
        <v>3.7571127971074625</v>
      </c>
      <c r="Z175" s="8"/>
    </row>
    <row r="176" spans="1:26" ht="25.5">
      <c r="A176" s="393">
        <v>45373</v>
      </c>
      <c r="B176" s="394" t="s">
        <v>208</v>
      </c>
      <c r="C176" s="394" t="s">
        <v>253</v>
      </c>
      <c r="D176" s="394"/>
      <c r="E176" s="395">
        <v>0.08</v>
      </c>
      <c r="F176" s="396" t="s">
        <v>185</v>
      </c>
      <c r="G176" s="397">
        <v>7</v>
      </c>
      <c r="H176" s="406">
        <f t="shared" si="95"/>
        <v>26.09197027372414</v>
      </c>
      <c r="I176" s="397">
        <v>8</v>
      </c>
      <c r="J176" s="398">
        <f t="shared" si="87"/>
        <v>21.920828159999999</v>
      </c>
      <c r="K176" s="399">
        <f>490000</f>
        <v>490000</v>
      </c>
      <c r="L176" s="397">
        <v>0</v>
      </c>
      <c r="M176" s="400">
        <f t="shared" si="94"/>
        <v>0.8401369436663555</v>
      </c>
      <c r="N176" s="401">
        <f t="shared" si="115"/>
        <v>0.73511982570806111</v>
      </c>
      <c r="O176" s="402">
        <f t="shared" si="116"/>
        <v>0</v>
      </c>
      <c r="P176" s="387" t="s">
        <v>196</v>
      </c>
      <c r="Q176" s="417"/>
      <c r="R176" s="417"/>
      <c r="S176" s="417"/>
      <c r="T176" s="417"/>
      <c r="U176" s="405">
        <f>'[1]伸线工时wire drawing'!H11</f>
        <v>3.4223333760000001</v>
      </c>
      <c r="V176" s="406">
        <f t="shared" si="117"/>
        <v>0.29219830160695598</v>
      </c>
      <c r="W176" s="406">
        <f t="shared" si="118"/>
        <v>6.4052287581699341</v>
      </c>
      <c r="X176" s="418"/>
      <c r="Y176" s="408">
        <f t="shared" si="119"/>
        <v>1.0891470570801967</v>
      </c>
      <c r="Z176" s="8"/>
    </row>
    <row r="177" spans="1:26" ht="25.5">
      <c r="A177" s="393">
        <v>45373</v>
      </c>
      <c r="B177" s="394" t="s">
        <v>209</v>
      </c>
      <c r="C177" s="394" t="s">
        <v>253</v>
      </c>
      <c r="D177" s="394"/>
      <c r="E177" s="395">
        <v>0.08</v>
      </c>
      <c r="F177" s="396" t="s">
        <v>185</v>
      </c>
      <c r="G177" s="397">
        <v>7</v>
      </c>
      <c r="H177" s="406">
        <f t="shared" si="95"/>
        <v>89.19193920099579</v>
      </c>
      <c r="I177" s="397">
        <v>8</v>
      </c>
      <c r="J177" s="398">
        <f t="shared" si="87"/>
        <v>74.933443200000013</v>
      </c>
      <c r="K177" s="399">
        <f>542800+537200+595000</f>
        <v>1675000</v>
      </c>
      <c r="L177" s="397">
        <v>0</v>
      </c>
      <c r="M177" s="400">
        <f t="shared" si="94"/>
        <v>0.84013694366635561</v>
      </c>
      <c r="N177" s="401">
        <f t="shared" si="115"/>
        <v>0.735119825708061</v>
      </c>
      <c r="O177" s="402">
        <f t="shared" si="116"/>
        <v>0</v>
      </c>
      <c r="P177" s="387" t="s">
        <v>196</v>
      </c>
      <c r="Q177" s="419"/>
      <c r="R177" s="419"/>
      <c r="S177" s="419"/>
      <c r="T177" s="419"/>
      <c r="U177" s="405">
        <f>'[1]伸线工时wire drawing'!H11</f>
        <v>3.4223333760000001</v>
      </c>
      <c r="V177" s="406">
        <f t="shared" si="117"/>
        <v>0.29219830160695598</v>
      </c>
      <c r="W177" s="406">
        <f t="shared" si="118"/>
        <v>21.895424836601308</v>
      </c>
      <c r="X177" s="420"/>
      <c r="Y177" s="408">
        <f t="shared" si="119"/>
        <v>3.7231047359374076</v>
      </c>
      <c r="Z177" s="8"/>
    </row>
    <row r="178" spans="1:26">
      <c r="A178" s="393"/>
      <c r="B178" s="394"/>
      <c r="C178" s="394"/>
      <c r="D178" s="394"/>
      <c r="E178" s="395"/>
      <c r="F178" s="396"/>
      <c r="G178" s="397"/>
      <c r="H178" s="406"/>
      <c r="I178" s="397"/>
      <c r="J178" s="398"/>
      <c r="K178" s="399"/>
      <c r="L178" s="397"/>
      <c r="M178" s="400" t="str">
        <f t="shared" si="94"/>
        <v/>
      </c>
      <c r="N178" s="401"/>
      <c r="O178" s="402"/>
      <c r="P178" s="387"/>
      <c r="Q178" s="422"/>
      <c r="R178" s="422"/>
      <c r="S178" s="422"/>
      <c r="T178" s="422"/>
      <c r="U178" s="405"/>
      <c r="V178" s="406"/>
      <c r="W178" s="406"/>
      <c r="X178" s="423"/>
      <c r="Y178" s="408"/>
      <c r="Z178" s="8"/>
    </row>
    <row r="179" spans="1:26" ht="25.5">
      <c r="A179" s="393">
        <v>45374</v>
      </c>
      <c r="B179" s="394" t="s">
        <v>190</v>
      </c>
      <c r="C179" s="394" t="s">
        <v>253</v>
      </c>
      <c r="D179" s="394"/>
      <c r="E179" s="395">
        <v>0.08</v>
      </c>
      <c r="F179" s="396" t="s">
        <v>185</v>
      </c>
      <c r="G179" s="397">
        <v>7</v>
      </c>
      <c r="H179" s="406">
        <f t="shared" ref="H179:H192" si="120">IFERROR(IF(G179&lt;&gt;"",G179*U179*Y179,""),"input error")</f>
        <v>65.49458611141624</v>
      </c>
      <c r="I179" s="397">
        <v>6</v>
      </c>
      <c r="J179" s="398">
        <f t="shared" ref="J179:J192" si="121">IFERROR(IF(K179&lt;&gt;"",E179*E179*0.7854*8.9*K179/1000,""),"input error")</f>
        <v>49.881068160000005</v>
      </c>
      <c r="K179" s="399">
        <f>353000+382000+380000</f>
        <v>1115000</v>
      </c>
      <c r="L179" s="397">
        <v>0</v>
      </c>
      <c r="M179" s="400">
        <f t="shared" si="94"/>
        <v>0.76160597572362287</v>
      </c>
      <c r="N179" s="401">
        <f t="shared" ref="N179:N184" si="122">IFERROR(IF(I179&lt;&gt;"",J179/(I179*U179*Y179),""),"input error")</f>
        <v>0.88854030501089343</v>
      </c>
      <c r="O179" s="402">
        <f t="shared" ref="O179:O184" si="123">IFERROR(IF(L179&lt;&gt;"",L179/(J179+L179),""),"input error")</f>
        <v>0</v>
      </c>
      <c r="P179" s="387" t="s">
        <v>196</v>
      </c>
      <c r="Q179" s="415">
        <v>3</v>
      </c>
      <c r="R179" s="415">
        <v>5</v>
      </c>
      <c r="S179" s="415">
        <v>0</v>
      </c>
      <c r="T179" s="415">
        <f>IFERROR(IF(R179&lt;&gt;"",R179*Q179-S179,""),"input error")</f>
        <v>15</v>
      </c>
      <c r="U179" s="405">
        <f>'[1]伸线工时wire drawing'!$H$11</f>
        <v>3.4223333760000001</v>
      </c>
      <c r="V179" s="406">
        <f t="shared" ref="V179:V184" si="124">IFERROR(IF(U179&lt;&gt;"",1/U179,""),"input error")</f>
        <v>0.29219830160695598</v>
      </c>
      <c r="W179" s="406">
        <f t="shared" ref="W179:W184" si="125">IFERROR(IF(V179&lt;&gt;"",V179*J179,""),"input error")</f>
        <v>14.57516339869281</v>
      </c>
      <c r="X179" s="416">
        <f>SUM(W179:W184)</f>
        <v>79.968627450980392</v>
      </c>
      <c r="Y179" s="408">
        <f>IFERROR(IF(W179&lt;&gt;"",$T$179*W179/$X$179,""),"input error")</f>
        <v>2.7339152608866222</v>
      </c>
      <c r="Z179" s="8"/>
    </row>
    <row r="180" spans="1:26" ht="25.5">
      <c r="A180" s="393">
        <v>45374</v>
      </c>
      <c r="B180" s="394" t="s">
        <v>192</v>
      </c>
      <c r="C180" s="394" t="s">
        <v>253</v>
      </c>
      <c r="D180" s="394"/>
      <c r="E180" s="395">
        <v>0.08</v>
      </c>
      <c r="F180" s="396" t="s">
        <v>185</v>
      </c>
      <c r="G180" s="397">
        <v>7</v>
      </c>
      <c r="H180" s="406">
        <f t="shared" si="120"/>
        <v>58.892261915072581</v>
      </c>
      <c r="I180" s="397">
        <v>6</v>
      </c>
      <c r="J180" s="398">
        <f t="shared" si="121"/>
        <v>44.852698598400004</v>
      </c>
      <c r="K180" s="399">
        <f>227600+375000+400000</f>
        <v>1002600</v>
      </c>
      <c r="L180" s="397">
        <v>0</v>
      </c>
      <c r="M180" s="400">
        <f t="shared" si="94"/>
        <v>0.76160597572362276</v>
      </c>
      <c r="N180" s="401">
        <f t="shared" si="122"/>
        <v>0.88854030501089332</v>
      </c>
      <c r="O180" s="402">
        <f t="shared" si="123"/>
        <v>0</v>
      </c>
      <c r="P180" s="387" t="s">
        <v>196</v>
      </c>
      <c r="Q180" s="417"/>
      <c r="R180" s="417"/>
      <c r="S180" s="417"/>
      <c r="T180" s="417"/>
      <c r="U180" s="405">
        <f>'[1]伸线工时wire drawing'!$H$11</f>
        <v>3.4223333760000001</v>
      </c>
      <c r="V180" s="406">
        <f t="shared" si="124"/>
        <v>0.29219830160695598</v>
      </c>
      <c r="W180" s="406">
        <f t="shared" si="125"/>
        <v>13.105882352941176</v>
      </c>
      <c r="X180" s="418"/>
      <c r="Y180" s="408">
        <f t="shared" ref="Y180:Y184" si="126">IFERROR(IF(W180&lt;&gt;"",$T$179*W180/$X$179,""),"input error")</f>
        <v>2.4583169870537467</v>
      </c>
      <c r="Z180" s="8"/>
    </row>
    <row r="181" spans="1:26" ht="25.5">
      <c r="A181" s="393">
        <v>45374</v>
      </c>
      <c r="B181" s="394" t="s">
        <v>193</v>
      </c>
      <c r="C181" s="394" t="s">
        <v>253</v>
      </c>
      <c r="D181" s="394"/>
      <c r="E181" s="395">
        <v>0.08</v>
      </c>
      <c r="F181" s="396" t="s">
        <v>185</v>
      </c>
      <c r="G181" s="397">
        <v>7</v>
      </c>
      <c r="H181" s="406">
        <f t="shared" si="120"/>
        <v>63.438702242448009</v>
      </c>
      <c r="I181" s="397">
        <v>6</v>
      </c>
      <c r="J181" s="398">
        <f t="shared" si="121"/>
        <v>48.315294720000004</v>
      </c>
      <c r="K181" s="399">
        <f>345000+385000+350000</f>
        <v>1080000</v>
      </c>
      <c r="L181" s="397">
        <v>0</v>
      </c>
      <c r="M181" s="400">
        <f t="shared" si="94"/>
        <v>0.76160597572362299</v>
      </c>
      <c r="N181" s="401">
        <f t="shared" si="122"/>
        <v>0.88854030501089354</v>
      </c>
      <c r="O181" s="402">
        <f t="shared" si="123"/>
        <v>0</v>
      </c>
      <c r="P181" s="387" t="s">
        <v>196</v>
      </c>
      <c r="Q181" s="417"/>
      <c r="R181" s="417"/>
      <c r="S181" s="417"/>
      <c r="T181" s="417"/>
      <c r="U181" s="405">
        <f>'[1]伸线工时wire drawing'!$H$11</f>
        <v>3.4223333760000001</v>
      </c>
      <c r="V181" s="406">
        <f t="shared" si="124"/>
        <v>0.29219830160695598</v>
      </c>
      <c r="W181" s="406">
        <f t="shared" si="125"/>
        <v>14.117647058823529</v>
      </c>
      <c r="X181" s="418"/>
      <c r="Y181" s="408">
        <f t="shared" si="126"/>
        <v>2.6480972930561002</v>
      </c>
      <c r="Z181" s="8"/>
    </row>
    <row r="182" spans="1:26" ht="25.5">
      <c r="A182" s="393">
        <v>45374</v>
      </c>
      <c r="B182" s="394" t="s">
        <v>197</v>
      </c>
      <c r="C182" s="394" t="s">
        <v>253</v>
      </c>
      <c r="D182" s="394"/>
      <c r="E182" s="395">
        <v>0.08</v>
      </c>
      <c r="F182" s="396" t="s">
        <v>185</v>
      </c>
      <c r="G182" s="397">
        <v>7</v>
      </c>
      <c r="H182" s="406">
        <f t="shared" si="120"/>
        <v>53.159282897606907</v>
      </c>
      <c r="I182" s="397">
        <v>6</v>
      </c>
      <c r="J182" s="398">
        <f t="shared" si="121"/>
        <v>40.486427520000007</v>
      </c>
      <c r="K182" s="399">
        <f>256000+384000+265000</f>
        <v>905000</v>
      </c>
      <c r="L182" s="397">
        <v>0</v>
      </c>
      <c r="M182" s="400">
        <f t="shared" si="94"/>
        <v>0.76160597572362287</v>
      </c>
      <c r="N182" s="401">
        <f t="shared" si="122"/>
        <v>0.88854030501089343</v>
      </c>
      <c r="O182" s="402">
        <f t="shared" si="123"/>
        <v>0</v>
      </c>
      <c r="P182" s="387" t="s">
        <v>196</v>
      </c>
      <c r="Q182" s="417"/>
      <c r="R182" s="417"/>
      <c r="S182" s="417"/>
      <c r="T182" s="417"/>
      <c r="U182" s="405">
        <f>'[1]伸线工时wire drawing'!$H$11</f>
        <v>3.4223333760000001</v>
      </c>
      <c r="V182" s="406">
        <f t="shared" si="124"/>
        <v>0.29219830160695598</v>
      </c>
      <c r="W182" s="406">
        <f t="shared" si="125"/>
        <v>11.830065359477125</v>
      </c>
      <c r="X182" s="418"/>
      <c r="Y182" s="408">
        <f t="shared" si="126"/>
        <v>2.2190074539034916</v>
      </c>
      <c r="Z182" s="8"/>
    </row>
    <row r="183" spans="1:26" ht="25.5">
      <c r="A183" s="393">
        <v>45374</v>
      </c>
      <c r="B183" s="394" t="s">
        <v>202</v>
      </c>
      <c r="C183" s="394" t="s">
        <v>253</v>
      </c>
      <c r="D183" s="394"/>
      <c r="E183" s="395">
        <v>0.08</v>
      </c>
      <c r="F183" s="396" t="s">
        <v>185</v>
      </c>
      <c r="G183" s="397">
        <v>7</v>
      </c>
      <c r="H183" s="406">
        <f t="shared" si="120"/>
        <v>58.152143722244013</v>
      </c>
      <c r="I183" s="397">
        <v>6</v>
      </c>
      <c r="J183" s="398">
        <f t="shared" si="121"/>
        <v>44.289020160000007</v>
      </c>
      <c r="K183" s="399">
        <f>245000+345000+400000</f>
        <v>990000</v>
      </c>
      <c r="L183" s="397">
        <v>0</v>
      </c>
      <c r="M183" s="400">
        <f t="shared" si="94"/>
        <v>0.76160597572362299</v>
      </c>
      <c r="N183" s="401">
        <f t="shared" si="122"/>
        <v>0.88854030501089343</v>
      </c>
      <c r="O183" s="402">
        <f t="shared" si="123"/>
        <v>0</v>
      </c>
      <c r="P183" s="387" t="s">
        <v>196</v>
      </c>
      <c r="Q183" s="417"/>
      <c r="R183" s="417"/>
      <c r="S183" s="417"/>
      <c r="T183" s="417"/>
      <c r="U183" s="405">
        <f>'[1]伸线工时wire drawing'!$H$11</f>
        <v>3.4223333760000001</v>
      </c>
      <c r="V183" s="406">
        <f t="shared" si="124"/>
        <v>0.29219830160695598</v>
      </c>
      <c r="W183" s="406">
        <f t="shared" si="125"/>
        <v>12.941176470588236</v>
      </c>
      <c r="X183" s="418"/>
      <c r="Y183" s="408">
        <f t="shared" si="126"/>
        <v>2.4274225186347587</v>
      </c>
      <c r="Z183" s="8"/>
    </row>
    <row r="184" spans="1:26" ht="25.5">
      <c r="A184" s="393">
        <v>45374</v>
      </c>
      <c r="B184" s="394" t="s">
        <v>209</v>
      </c>
      <c r="C184" s="394" t="s">
        <v>253</v>
      </c>
      <c r="D184" s="394"/>
      <c r="E184" s="395">
        <v>0.08</v>
      </c>
      <c r="F184" s="396" t="s">
        <v>185</v>
      </c>
      <c r="G184" s="397">
        <v>7</v>
      </c>
      <c r="H184" s="406">
        <f t="shared" si="120"/>
        <v>60.208027591212243</v>
      </c>
      <c r="I184" s="397">
        <v>6</v>
      </c>
      <c r="J184" s="398">
        <f t="shared" si="121"/>
        <v>45.854793600000008</v>
      </c>
      <c r="K184" s="399">
        <f>316000+379000+330000</f>
        <v>1025000</v>
      </c>
      <c r="L184" s="397">
        <v>0</v>
      </c>
      <c r="M184" s="400">
        <f t="shared" si="94"/>
        <v>0.76160597572362287</v>
      </c>
      <c r="N184" s="401">
        <f t="shared" si="122"/>
        <v>0.88854030501089343</v>
      </c>
      <c r="O184" s="402">
        <f t="shared" si="123"/>
        <v>0</v>
      </c>
      <c r="P184" s="387" t="s">
        <v>196</v>
      </c>
      <c r="Q184" s="419"/>
      <c r="R184" s="419"/>
      <c r="S184" s="419"/>
      <c r="T184" s="419"/>
      <c r="U184" s="405">
        <f>'[1]伸线工时wire drawing'!$H$11</f>
        <v>3.4223333760000001</v>
      </c>
      <c r="V184" s="406">
        <f t="shared" si="124"/>
        <v>0.29219830160695598</v>
      </c>
      <c r="W184" s="406">
        <f t="shared" si="125"/>
        <v>13.398692810457517</v>
      </c>
      <c r="X184" s="420"/>
      <c r="Y184" s="408">
        <f t="shared" si="126"/>
        <v>2.5132404864652806</v>
      </c>
      <c r="Z184" s="8"/>
    </row>
    <row r="185" spans="1:26">
      <c r="A185" s="393"/>
      <c r="B185" s="394"/>
      <c r="C185" s="394"/>
      <c r="D185" s="394"/>
      <c r="E185" s="395"/>
      <c r="F185" s="396"/>
      <c r="G185" s="397"/>
      <c r="H185" s="406"/>
      <c r="I185" s="397"/>
      <c r="J185" s="398"/>
      <c r="K185" s="399"/>
      <c r="L185" s="397"/>
      <c r="M185" s="400"/>
      <c r="N185" s="401"/>
      <c r="O185" s="402"/>
      <c r="P185" s="387"/>
      <c r="Q185" s="422"/>
      <c r="R185" s="422"/>
      <c r="S185" s="422"/>
      <c r="T185" s="422"/>
      <c r="U185" s="405"/>
      <c r="V185" s="406"/>
      <c r="W185" s="406"/>
      <c r="X185" s="423"/>
      <c r="Y185" s="408"/>
      <c r="Z185" s="8"/>
    </row>
    <row r="186" spans="1:26" ht="25.5">
      <c r="A186" s="393">
        <v>45376</v>
      </c>
      <c r="B186" s="394" t="s">
        <v>190</v>
      </c>
      <c r="C186" s="394" t="s">
        <v>253</v>
      </c>
      <c r="D186" s="394"/>
      <c r="E186" s="395">
        <v>0.08</v>
      </c>
      <c r="F186" s="396" t="s">
        <v>185</v>
      </c>
      <c r="G186" s="397">
        <v>7</v>
      </c>
      <c r="H186" s="406">
        <f t="shared" si="120"/>
        <v>1.9392913731523738</v>
      </c>
      <c r="I186" s="397">
        <v>7</v>
      </c>
      <c r="J186" s="398">
        <f t="shared" si="121"/>
        <v>0.98420044800000006</v>
      </c>
      <c r="K186" s="399">
        <v>22000</v>
      </c>
      <c r="L186" s="397">
        <v>0</v>
      </c>
      <c r="M186" s="400">
        <f t="shared" ref="M186:M192" si="127">IFERROR(IF(J186&lt;&gt;"",J186/H186,""),"input error")</f>
        <v>0.5075051957768234</v>
      </c>
      <c r="N186" s="401">
        <f t="shared" ref="N186:N192" si="128">IFERROR(IF(I186&lt;&gt;"",J186/(I186*U186*Y186),""),"input error")</f>
        <v>0.5075051957768234</v>
      </c>
      <c r="O186" s="402">
        <f t="shared" ref="O186:O192" si="129">IFERROR(IF(L186&lt;&gt;"",L186/(J186+L186),""),"input error")</f>
        <v>0</v>
      </c>
      <c r="P186" s="387" t="s">
        <v>196</v>
      </c>
      <c r="Q186" s="415">
        <v>3</v>
      </c>
      <c r="R186" s="415">
        <v>7.5</v>
      </c>
      <c r="S186" s="415">
        <v>0</v>
      </c>
      <c r="T186" s="415">
        <f>IFERROR(IF(R186&lt;&gt;"",R186*Q186-S1869,""),"input error")</f>
        <v>22.5</v>
      </c>
      <c r="U186" s="405">
        <f>'[1]伸线工时wire drawing'!H11</f>
        <v>3.4223333760000001</v>
      </c>
      <c r="V186" s="406">
        <f t="shared" ref="V186:V192" si="130">IFERROR(IF(U186&lt;&gt;"",1/U186,""),"input error")</f>
        <v>0.29219830160695598</v>
      </c>
      <c r="W186" s="406">
        <f t="shared" ref="W186:W192" si="131">IFERROR(IF(V186&lt;&gt;"",V186*J186,""),"input error")</f>
        <v>0.28758169934640521</v>
      </c>
      <c r="X186" s="416">
        <f>SUM(W186:W192)</f>
        <v>79.932068334849674</v>
      </c>
      <c r="Y186" s="408">
        <f>IFERROR(IF(W186&lt;&gt;"",$T$186*W186/$X$186,""),"input error")</f>
        <v>8.0951092222306453E-2</v>
      </c>
      <c r="Z186" s="8"/>
    </row>
    <row r="187" spans="1:26" ht="25.5">
      <c r="A187" s="393">
        <v>45376</v>
      </c>
      <c r="B187" s="394" t="s">
        <v>192</v>
      </c>
      <c r="C187" s="394" t="s">
        <v>253</v>
      </c>
      <c r="D187" s="394"/>
      <c r="E187" s="395">
        <v>0.08</v>
      </c>
      <c r="F187" s="396" t="s">
        <v>185</v>
      </c>
      <c r="G187" s="397">
        <v>7</v>
      </c>
      <c r="H187" s="406">
        <f t="shared" si="120"/>
        <v>106.13212787615718</v>
      </c>
      <c r="I187" s="397">
        <v>7</v>
      </c>
      <c r="J187" s="398">
        <f t="shared" si="121"/>
        <v>53.862606336000006</v>
      </c>
      <c r="K187" s="399">
        <f>560000+550000+94000</f>
        <v>1204000</v>
      </c>
      <c r="L187" s="397">
        <v>0</v>
      </c>
      <c r="M187" s="400">
        <f t="shared" si="127"/>
        <v>0.5075051957768234</v>
      </c>
      <c r="N187" s="401">
        <f t="shared" si="128"/>
        <v>0.5075051957768234</v>
      </c>
      <c r="O187" s="402">
        <f t="shared" si="129"/>
        <v>0</v>
      </c>
      <c r="P187" s="387" t="s">
        <v>196</v>
      </c>
      <c r="Q187" s="417"/>
      <c r="R187" s="417"/>
      <c r="S187" s="417"/>
      <c r="T187" s="417"/>
      <c r="U187" s="405">
        <f>'[1]伸线工时wire drawing'!H11</f>
        <v>3.4223333760000001</v>
      </c>
      <c r="V187" s="406">
        <f t="shared" si="130"/>
        <v>0.29219830160695598</v>
      </c>
      <c r="W187" s="406">
        <f t="shared" si="131"/>
        <v>15.738562091503267</v>
      </c>
      <c r="X187" s="418"/>
      <c r="Y187" s="408">
        <f t="shared" ref="Y187:Y192" si="132">IFERROR(IF(W187&lt;&gt;"",$T$186*W187/$X$186,""),"input error")</f>
        <v>4.4302325016207718</v>
      </c>
      <c r="Z187" s="8"/>
    </row>
    <row r="188" spans="1:26" ht="25.5">
      <c r="A188" s="393">
        <v>45376</v>
      </c>
      <c r="B188" s="394" t="s">
        <v>193</v>
      </c>
      <c r="C188" s="394" t="s">
        <v>253</v>
      </c>
      <c r="D188" s="394"/>
      <c r="E188" s="395">
        <v>0.08</v>
      </c>
      <c r="F188" s="396" t="s">
        <v>185</v>
      </c>
      <c r="G188" s="397">
        <v>7</v>
      </c>
      <c r="H188" s="406">
        <f t="shared" si="120"/>
        <v>65.124930294771531</v>
      </c>
      <c r="I188" s="397">
        <v>7</v>
      </c>
      <c r="J188" s="398">
        <f t="shared" si="121"/>
        <v>33.051240499199999</v>
      </c>
      <c r="K188" s="399">
        <f>530000+208800</f>
        <v>738800</v>
      </c>
      <c r="L188" s="397">
        <v>0</v>
      </c>
      <c r="M188" s="400">
        <f t="shared" si="127"/>
        <v>0.50750519577682329</v>
      </c>
      <c r="N188" s="401">
        <f t="shared" si="128"/>
        <v>0.50750519577682329</v>
      </c>
      <c r="O188" s="402">
        <f t="shared" si="129"/>
        <v>0</v>
      </c>
      <c r="P188" s="387" t="s">
        <v>196</v>
      </c>
      <c r="Q188" s="417"/>
      <c r="R188" s="417"/>
      <c r="S188" s="417"/>
      <c r="T188" s="417"/>
      <c r="U188" s="405">
        <v>3</v>
      </c>
      <c r="V188" s="406">
        <f t="shared" si="130"/>
        <v>0.33333333333333331</v>
      </c>
      <c r="W188" s="406">
        <f t="shared" si="131"/>
        <v>11.0170801664</v>
      </c>
      <c r="X188" s="418"/>
      <c r="Y188" s="408">
        <f t="shared" si="132"/>
        <v>3.1011871568938827</v>
      </c>
      <c r="Z188" s="8"/>
    </row>
    <row r="189" spans="1:26" ht="25.5">
      <c r="A189" s="393">
        <v>45376</v>
      </c>
      <c r="B189" s="394" t="s">
        <v>199</v>
      </c>
      <c r="C189" s="394" t="s">
        <v>253</v>
      </c>
      <c r="D189" s="394"/>
      <c r="E189" s="395">
        <v>0.08</v>
      </c>
      <c r="F189" s="396" t="s">
        <v>185</v>
      </c>
      <c r="G189" s="397">
        <v>7</v>
      </c>
      <c r="H189" s="406">
        <f t="shared" si="120"/>
        <v>81.097639240917459</v>
      </c>
      <c r="I189" s="397">
        <v>7</v>
      </c>
      <c r="J189" s="398">
        <f t="shared" si="121"/>
        <v>41.157473280000005</v>
      </c>
      <c r="K189" s="399">
        <f>305000+615000</f>
        <v>920000</v>
      </c>
      <c r="L189" s="397">
        <v>0</v>
      </c>
      <c r="M189" s="400">
        <f t="shared" si="127"/>
        <v>0.50750519577682329</v>
      </c>
      <c r="N189" s="401">
        <f t="shared" si="128"/>
        <v>0.50750519577682329</v>
      </c>
      <c r="O189" s="402">
        <f t="shared" si="129"/>
        <v>0</v>
      </c>
      <c r="P189" s="387" t="s">
        <v>196</v>
      </c>
      <c r="Q189" s="417"/>
      <c r="R189" s="417"/>
      <c r="S189" s="417"/>
      <c r="T189" s="417"/>
      <c r="U189" s="405">
        <v>3</v>
      </c>
      <c r="V189" s="406">
        <f t="shared" si="130"/>
        <v>0.33333333333333331</v>
      </c>
      <c r="W189" s="406">
        <f t="shared" si="131"/>
        <v>13.719157760000002</v>
      </c>
      <c r="X189" s="418"/>
      <c r="Y189" s="408">
        <f t="shared" si="132"/>
        <v>3.8617923448055933</v>
      </c>
      <c r="Z189" s="8"/>
    </row>
    <row r="190" spans="1:26" ht="25.5">
      <c r="A190" s="393">
        <v>45376</v>
      </c>
      <c r="B190" s="394" t="s">
        <v>197</v>
      </c>
      <c r="C190" s="394" t="s">
        <v>253</v>
      </c>
      <c r="D190" s="394"/>
      <c r="E190" s="395">
        <v>0.08</v>
      </c>
      <c r="F190" s="396" t="s">
        <v>185</v>
      </c>
      <c r="G190" s="397">
        <v>7</v>
      </c>
      <c r="H190" s="406">
        <f t="shared" si="120"/>
        <v>154.26181377348428</v>
      </c>
      <c r="I190" s="397">
        <v>7</v>
      </c>
      <c r="J190" s="398">
        <f t="shared" si="121"/>
        <v>78.288672000000005</v>
      </c>
      <c r="K190" s="399">
        <f>570000+555000+625000</f>
        <v>1750000</v>
      </c>
      <c r="L190" s="397">
        <v>0</v>
      </c>
      <c r="M190" s="400">
        <f t="shared" si="127"/>
        <v>0.5075051957768234</v>
      </c>
      <c r="N190" s="401">
        <f t="shared" si="128"/>
        <v>0.5075051957768234</v>
      </c>
      <c r="O190" s="402">
        <f t="shared" si="129"/>
        <v>0</v>
      </c>
      <c r="P190" s="387" t="s">
        <v>196</v>
      </c>
      <c r="Q190" s="417"/>
      <c r="R190" s="417"/>
      <c r="S190" s="417"/>
      <c r="T190" s="417"/>
      <c r="U190" s="405">
        <v>3</v>
      </c>
      <c r="V190" s="406">
        <f t="shared" si="130"/>
        <v>0.33333333333333331</v>
      </c>
      <c r="W190" s="406">
        <f t="shared" si="131"/>
        <v>26.096223999999999</v>
      </c>
      <c r="X190" s="418"/>
      <c r="Y190" s="408">
        <f t="shared" si="132"/>
        <v>7.3458006558802031</v>
      </c>
      <c r="Z190" s="8"/>
    </row>
    <row r="191" spans="1:26" ht="25.5">
      <c r="A191" s="393">
        <v>45376</v>
      </c>
      <c r="B191" s="394" t="s">
        <v>202</v>
      </c>
      <c r="C191" s="394" t="s">
        <v>253</v>
      </c>
      <c r="D191" s="394"/>
      <c r="E191" s="395">
        <v>0.08</v>
      </c>
      <c r="F191" s="396" t="s">
        <v>185</v>
      </c>
      <c r="G191" s="397">
        <v>7</v>
      </c>
      <c r="H191" s="406">
        <f t="shared" si="120"/>
        <v>64.058320039537733</v>
      </c>
      <c r="I191" s="397">
        <v>7</v>
      </c>
      <c r="J191" s="398">
        <f t="shared" si="121"/>
        <v>32.509930252800004</v>
      </c>
      <c r="K191" s="399">
        <f>136700+590000</f>
        <v>726700</v>
      </c>
      <c r="L191" s="397">
        <v>0</v>
      </c>
      <c r="M191" s="400">
        <f t="shared" si="127"/>
        <v>0.5075051957768234</v>
      </c>
      <c r="N191" s="401">
        <f t="shared" si="128"/>
        <v>0.5075051957768234</v>
      </c>
      <c r="O191" s="402">
        <f t="shared" si="129"/>
        <v>0</v>
      </c>
      <c r="P191" s="387" t="s">
        <v>196</v>
      </c>
      <c r="Q191" s="417"/>
      <c r="R191" s="417"/>
      <c r="S191" s="417"/>
      <c r="T191" s="417"/>
      <c r="U191" s="405">
        <v>3</v>
      </c>
      <c r="V191" s="406">
        <f t="shared" si="130"/>
        <v>0.33333333333333331</v>
      </c>
      <c r="W191" s="406">
        <f t="shared" si="131"/>
        <v>10.836643417600001</v>
      </c>
      <c r="X191" s="418"/>
      <c r="Y191" s="408">
        <f t="shared" si="132"/>
        <v>3.0503961923589396</v>
      </c>
      <c r="Z191" s="8"/>
    </row>
    <row r="192" spans="1:26" ht="25.5">
      <c r="A192" s="393">
        <v>45376</v>
      </c>
      <c r="B192" s="394" t="s">
        <v>209</v>
      </c>
      <c r="C192" s="394" t="s">
        <v>253</v>
      </c>
      <c r="D192" s="394"/>
      <c r="E192" s="395">
        <v>0.08</v>
      </c>
      <c r="F192" s="396" t="s">
        <v>185</v>
      </c>
      <c r="G192" s="397">
        <v>7</v>
      </c>
      <c r="H192" s="406">
        <f t="shared" si="120"/>
        <v>13.222441180584367</v>
      </c>
      <c r="I192" s="397">
        <v>7</v>
      </c>
      <c r="J192" s="398">
        <f t="shared" si="121"/>
        <v>6.7104576000000007</v>
      </c>
      <c r="K192" s="399">
        <f>150000</f>
        <v>150000</v>
      </c>
      <c r="L192" s="397">
        <v>0</v>
      </c>
      <c r="M192" s="400">
        <f t="shared" si="127"/>
        <v>0.5075051957768234</v>
      </c>
      <c r="N192" s="401">
        <f t="shared" si="128"/>
        <v>0.5075051957768234</v>
      </c>
      <c r="O192" s="402">
        <f t="shared" si="129"/>
        <v>0</v>
      </c>
      <c r="P192" s="387" t="s">
        <v>196</v>
      </c>
      <c r="Q192" s="419"/>
      <c r="R192" s="419"/>
      <c r="S192" s="419"/>
      <c r="T192" s="419"/>
      <c r="U192" s="405">
        <v>3</v>
      </c>
      <c r="V192" s="406">
        <f t="shared" si="130"/>
        <v>0.33333333333333331</v>
      </c>
      <c r="W192" s="406">
        <f t="shared" si="131"/>
        <v>2.2368192000000002</v>
      </c>
      <c r="X192" s="420"/>
      <c r="Y192" s="408">
        <f t="shared" si="132"/>
        <v>0.62964005621830321</v>
      </c>
      <c r="Z192" s="8"/>
    </row>
    <row r="193" spans="1:26">
      <c r="A193" s="393"/>
      <c r="B193" s="394"/>
      <c r="C193" s="394"/>
      <c r="D193" s="394"/>
      <c r="E193" s="395"/>
      <c r="F193" s="396"/>
      <c r="G193" s="397"/>
      <c r="H193" s="406"/>
      <c r="I193" s="397"/>
      <c r="J193" s="398"/>
      <c r="K193" s="399"/>
      <c r="L193" s="397"/>
      <c r="M193" s="400"/>
      <c r="N193" s="401"/>
      <c r="O193" s="402"/>
      <c r="P193" s="387"/>
      <c r="Q193" s="422"/>
      <c r="R193" s="422"/>
      <c r="S193" s="422"/>
      <c r="T193" s="422"/>
      <c r="U193" s="405"/>
      <c r="V193" s="406"/>
      <c r="W193" s="406"/>
      <c r="X193" s="423"/>
      <c r="Y193" s="408"/>
      <c r="Z193" s="8"/>
    </row>
    <row r="194" spans="1:26">
      <c r="A194" s="425"/>
      <c r="B194" s="394"/>
      <c r="C194" s="394"/>
      <c r="D194" s="394"/>
      <c r="E194" s="395"/>
      <c r="F194" s="396"/>
      <c r="G194" s="397"/>
      <c r="H194" s="406"/>
      <c r="I194" s="397"/>
      <c r="J194" s="398"/>
      <c r="K194" s="399"/>
      <c r="L194" s="397"/>
      <c r="M194" s="400"/>
      <c r="N194" s="401"/>
      <c r="O194" s="402"/>
      <c r="P194" s="387"/>
      <c r="Q194" s="422"/>
      <c r="R194" s="422"/>
      <c r="S194" s="422"/>
      <c r="T194" s="422"/>
      <c r="U194" s="405"/>
      <c r="V194" s="406"/>
      <c r="W194" s="406"/>
      <c r="X194" s="423"/>
      <c r="Y194" s="408"/>
      <c r="Z194" s="8"/>
    </row>
    <row r="195" spans="1:26" ht="37.5">
      <c r="M195" s="426"/>
      <c r="N195" s="426"/>
      <c r="O195" s="426"/>
      <c r="P195" s="426"/>
      <c r="Q195" s="426"/>
      <c r="R195" s="426"/>
      <c r="S195" s="426"/>
      <c r="T195" s="385"/>
      <c r="U195" s="385"/>
      <c r="V195" s="411" t="s">
        <v>254</v>
      </c>
      <c r="W195" s="411"/>
      <c r="X195" s="411" t="s">
        <v>255</v>
      </c>
      <c r="Y195" s="411"/>
      <c r="Z195" s="387" t="s">
        <v>256</v>
      </c>
    </row>
    <row r="196" spans="1:26" ht="45">
      <c r="J196" s="3" t="s">
        <v>210</v>
      </c>
      <c r="M196" s="385"/>
      <c r="N196" s="385"/>
      <c r="O196" s="385"/>
      <c r="P196" s="385">
        <f>2-2.5/(7+7+7+7+2.5)*2</f>
        <v>1.8360655737704918</v>
      </c>
      <c r="Q196" s="385">
        <f>3/(7+7+7+7+3+4.5)</f>
        <v>8.4507042253521125E-2</v>
      </c>
      <c r="R196" s="385">
        <f>SUM(Q196:Q198)</f>
        <v>1</v>
      </c>
      <c r="S196" s="385"/>
      <c r="T196" s="385"/>
      <c r="U196" s="385"/>
      <c r="V196" s="377" t="s">
        <v>211</v>
      </c>
      <c r="W196" s="377"/>
      <c r="X196" s="378" t="s">
        <v>212</v>
      </c>
      <c r="Y196" s="378"/>
      <c r="Z196" s="387" t="s">
        <v>213</v>
      </c>
    </row>
    <row r="197" spans="1:26" ht="15.75">
      <c r="B197" s="379"/>
      <c r="C197" s="379"/>
      <c r="D197" s="379"/>
      <c r="J197" s="427"/>
      <c r="P197" s="384"/>
      <c r="Q197" s="385">
        <f>4.5/(7+7+7+7+3+4.5)</f>
        <v>0.12676056338028169</v>
      </c>
      <c r="R197" s="384"/>
      <c r="S197" s="384"/>
      <c r="T197" s="384"/>
      <c r="U197" s="384"/>
      <c r="V197" s="428" t="s">
        <v>214</v>
      </c>
      <c r="W197" s="428"/>
      <c r="X197" s="428"/>
      <c r="Y197" s="428"/>
      <c r="Z197" s="428"/>
    </row>
    <row r="198" spans="1:26">
      <c r="Q198" s="385">
        <f>28/(7+7+7+7+3+4.5)</f>
        <v>0.78873239436619713</v>
      </c>
    </row>
  </sheetData>
  <autoFilter ref="A6:Z118"/>
  <mergeCells count="117">
    <mergeCell ref="V195:W195"/>
    <mergeCell ref="X195:Y195"/>
    <mergeCell ref="V196:W196"/>
    <mergeCell ref="X196:Y196"/>
    <mergeCell ref="B197:D197"/>
    <mergeCell ref="V197:Z197"/>
    <mergeCell ref="Q186:Q192"/>
    <mergeCell ref="R186:R192"/>
    <mergeCell ref="S186:S192"/>
    <mergeCell ref="T186:T192"/>
    <mergeCell ref="X186:X192"/>
    <mergeCell ref="Q179:Q184"/>
    <mergeCell ref="R179:R184"/>
    <mergeCell ref="S179:S184"/>
    <mergeCell ref="T179:T184"/>
    <mergeCell ref="X179:X184"/>
    <mergeCell ref="Q170:Q177"/>
    <mergeCell ref="R170:R177"/>
    <mergeCell ref="S170:S177"/>
    <mergeCell ref="T170:T177"/>
    <mergeCell ref="X170:X177"/>
    <mergeCell ref="X131:X138"/>
    <mergeCell ref="X141:X147"/>
    <mergeCell ref="X150:X158"/>
    <mergeCell ref="Q161:Q168"/>
    <mergeCell ref="R161:R168"/>
    <mergeCell ref="S161:S168"/>
    <mergeCell ref="T161:T168"/>
    <mergeCell ref="X161:X168"/>
    <mergeCell ref="T141:T147"/>
    <mergeCell ref="T150:T158"/>
    <mergeCell ref="X9:X14"/>
    <mergeCell ref="X17:X22"/>
    <mergeCell ref="X25:X30"/>
    <mergeCell ref="X33:X39"/>
    <mergeCell ref="X42:X49"/>
    <mergeCell ref="X52:X59"/>
    <mergeCell ref="X62:X69"/>
    <mergeCell ref="X72:X77"/>
    <mergeCell ref="X80:X81"/>
    <mergeCell ref="X82:X88"/>
    <mergeCell ref="X91:X98"/>
    <mergeCell ref="X101:X108"/>
    <mergeCell ref="X111:X118"/>
    <mergeCell ref="X121:X128"/>
    <mergeCell ref="T91:T98"/>
    <mergeCell ref="T101:T108"/>
    <mergeCell ref="T111:T118"/>
    <mergeCell ref="T121:T128"/>
    <mergeCell ref="T131:T138"/>
    <mergeCell ref="T52:T59"/>
    <mergeCell ref="T62:T69"/>
    <mergeCell ref="T72:T77"/>
    <mergeCell ref="T80:T81"/>
    <mergeCell ref="T82:T88"/>
    <mergeCell ref="T9:T14"/>
    <mergeCell ref="T17:T22"/>
    <mergeCell ref="T25:T30"/>
    <mergeCell ref="T33:T39"/>
    <mergeCell ref="T42:T49"/>
    <mergeCell ref="S111:S118"/>
    <mergeCell ref="S121:S128"/>
    <mergeCell ref="S131:S138"/>
    <mergeCell ref="S141:S147"/>
    <mergeCell ref="S150:S158"/>
    <mergeCell ref="R121:R128"/>
    <mergeCell ref="R131:R138"/>
    <mergeCell ref="R141:R147"/>
    <mergeCell ref="R150:R158"/>
    <mergeCell ref="S9:S14"/>
    <mergeCell ref="S17:S22"/>
    <mergeCell ref="S25:S30"/>
    <mergeCell ref="S33:S39"/>
    <mergeCell ref="S42:S49"/>
    <mergeCell ref="S52:S59"/>
    <mergeCell ref="S62:S69"/>
    <mergeCell ref="S72:S77"/>
    <mergeCell ref="S80:S81"/>
    <mergeCell ref="S82:S88"/>
    <mergeCell ref="S91:S98"/>
    <mergeCell ref="S101:S108"/>
    <mergeCell ref="R80:R81"/>
    <mergeCell ref="R82:R88"/>
    <mergeCell ref="R91:R98"/>
    <mergeCell ref="R101:R108"/>
    <mergeCell ref="R111:R118"/>
    <mergeCell ref="Q9:Q14"/>
    <mergeCell ref="Q17:Q22"/>
    <mergeCell ref="Q25:Q30"/>
    <mergeCell ref="Q33:Q39"/>
    <mergeCell ref="Q42:Q49"/>
    <mergeCell ref="Q52:Q59"/>
    <mergeCell ref="Q62:Q69"/>
    <mergeCell ref="Q72:Q77"/>
    <mergeCell ref="Q80:Q81"/>
    <mergeCell ref="Q82:Q88"/>
    <mergeCell ref="Q91:Q98"/>
    <mergeCell ref="Q101:Q108"/>
    <mergeCell ref="Q111:Q118"/>
    <mergeCell ref="Q121:Q128"/>
    <mergeCell ref="E6:F6"/>
    <mergeCell ref="Q131:Q138"/>
    <mergeCell ref="Q141:Q147"/>
    <mergeCell ref="Q150:Q158"/>
    <mergeCell ref="R9:R14"/>
    <mergeCell ref="R17:R22"/>
    <mergeCell ref="R25:R30"/>
    <mergeCell ref="R33:R39"/>
    <mergeCell ref="R42:R49"/>
    <mergeCell ref="R52:R59"/>
    <mergeCell ref="R62:R69"/>
    <mergeCell ref="R72:R77"/>
    <mergeCell ref="B1:Z1"/>
    <mergeCell ref="B2:Z2"/>
    <mergeCell ref="B3:Z3"/>
    <mergeCell ref="B4:Z4"/>
    <mergeCell ref="A5:B5"/>
  </mergeCells>
  <conditionalFormatting sqref="M15 M179:M185">
    <cfRule type="cellIs" dxfId="107" priority="26" operator="lessThan">
      <formula>0.5</formula>
    </cfRule>
  </conditionalFormatting>
  <conditionalFormatting sqref="M23">
    <cfRule type="cellIs" dxfId="105" priority="24" operator="lessThan">
      <formula>0.5</formula>
    </cfRule>
  </conditionalFormatting>
  <conditionalFormatting sqref="M31">
    <cfRule type="cellIs" dxfId="103" priority="25" operator="lessThan">
      <formula>0.5</formula>
    </cfRule>
  </conditionalFormatting>
  <conditionalFormatting sqref="M40">
    <cfRule type="cellIs" dxfId="101" priority="23" operator="lessThan">
      <formula>0.5</formula>
    </cfRule>
  </conditionalFormatting>
  <conditionalFormatting sqref="M70">
    <cfRule type="cellIs" dxfId="99" priority="18" operator="lessThan">
      <formula>0.5</formula>
    </cfRule>
  </conditionalFormatting>
  <conditionalFormatting sqref="M78">
    <cfRule type="cellIs" dxfId="97" priority="16" operator="lessThan">
      <formula>0.5</formula>
    </cfRule>
  </conditionalFormatting>
  <conditionalFormatting sqref="M99">
    <cfRule type="cellIs" dxfId="95" priority="14" operator="lessThan">
      <formula>0.5</formula>
    </cfRule>
  </conditionalFormatting>
  <conditionalFormatting sqref="M109">
    <cfRule type="cellIs" dxfId="93" priority="13" operator="lessThan">
      <formula>0.5</formula>
    </cfRule>
  </conditionalFormatting>
  <conditionalFormatting sqref="M129">
    <cfRule type="cellIs" dxfId="91" priority="11" operator="lessThan">
      <formula>0.5</formula>
    </cfRule>
  </conditionalFormatting>
  <conditionalFormatting sqref="M139">
    <cfRule type="cellIs" dxfId="89" priority="9" operator="lessThan">
      <formula>0.5</formula>
    </cfRule>
  </conditionalFormatting>
  <conditionalFormatting sqref="M160">
    <cfRule type="cellIs" dxfId="87" priority="5" operator="lessThan">
      <formula>0.5</formula>
    </cfRule>
  </conditionalFormatting>
  <conditionalFormatting sqref="M8:M14">
    <cfRule type="cellIs" dxfId="85" priority="32" operator="lessThan">
      <formula>0.5</formula>
    </cfRule>
  </conditionalFormatting>
  <conditionalFormatting sqref="M16:M22">
    <cfRule type="cellIs" dxfId="83" priority="30" operator="lessThan">
      <formula>0.5</formula>
    </cfRule>
  </conditionalFormatting>
  <conditionalFormatting sqref="M24:M30">
    <cfRule type="cellIs" dxfId="81" priority="29" operator="lessThan">
      <formula>0.5</formula>
    </cfRule>
  </conditionalFormatting>
  <conditionalFormatting sqref="M32:M39">
    <cfRule type="cellIs" dxfId="79" priority="28" operator="lessThan">
      <formula>0.5</formula>
    </cfRule>
  </conditionalFormatting>
  <conditionalFormatting sqref="M41:M49">
    <cfRule type="cellIs" dxfId="77" priority="27" operator="lessThan">
      <formula>0.5</formula>
    </cfRule>
  </conditionalFormatting>
  <conditionalFormatting sqref="M51:M59">
    <cfRule type="cellIs" dxfId="75" priority="21" operator="lessThan">
      <formula>0.5</formula>
    </cfRule>
  </conditionalFormatting>
  <conditionalFormatting sqref="M61:M69">
    <cfRule type="cellIs" dxfId="73" priority="20" operator="lessThan">
      <formula>0.5</formula>
    </cfRule>
  </conditionalFormatting>
  <conditionalFormatting sqref="M71:M77">
    <cfRule type="cellIs" dxfId="71" priority="19" operator="lessThan">
      <formula>0.5</formula>
    </cfRule>
  </conditionalFormatting>
  <conditionalFormatting sqref="M90:M98">
    <cfRule type="cellIs" dxfId="69" priority="17" operator="lessThan">
      <formula>0.5</formula>
    </cfRule>
  </conditionalFormatting>
  <conditionalFormatting sqref="M100:M108">
    <cfRule type="cellIs" dxfId="67" priority="15" operator="lessThan">
      <formula>0.5</formula>
    </cfRule>
  </conditionalFormatting>
  <conditionalFormatting sqref="M120:M128">
    <cfRule type="cellIs" dxfId="65" priority="12" operator="lessThan">
      <formula>0.5</formula>
    </cfRule>
  </conditionalFormatting>
  <conditionalFormatting sqref="M130:M138">
    <cfRule type="cellIs" dxfId="63" priority="10" operator="lessThan">
      <formula>0.5</formula>
    </cfRule>
  </conditionalFormatting>
  <conditionalFormatting sqref="M161:M168">
    <cfRule type="cellIs" dxfId="61" priority="6" operator="lessThan">
      <formula>0.5</formula>
    </cfRule>
  </conditionalFormatting>
  <conditionalFormatting sqref="M7 M79:M89 M110:M119 M178 M193:M194">
    <cfRule type="cellIs" dxfId="59" priority="31" operator="lessThan">
      <formula>0.5</formula>
    </cfRule>
  </conditionalFormatting>
  <conditionalFormatting sqref="M50 M60">
    <cfRule type="cellIs" dxfId="57" priority="22" operator="lessThan">
      <formula>0.5</formula>
    </cfRule>
  </conditionalFormatting>
  <conditionalFormatting sqref="M140:M148">
    <cfRule type="cellIs" dxfId="55" priority="8" operator="lessThan">
      <formula>0.5</formula>
    </cfRule>
  </conditionalFormatting>
  <conditionalFormatting sqref="M149:M158">
    <cfRule type="cellIs" dxfId="53" priority="7" operator="lessThan">
      <formula>0.5</formula>
    </cfRule>
  </conditionalFormatting>
  <conditionalFormatting sqref="M170:M177">
    <cfRule type="cellIs" dxfId="51" priority="4" operator="lessThan">
      <formula>0.5</formula>
    </cfRule>
  </conditionalFormatting>
  <conditionalFormatting sqref="M169">
    <cfRule type="cellIs" dxfId="49" priority="3" operator="lessThan">
      <formula>0.5</formula>
    </cfRule>
  </conditionalFormatting>
  <conditionalFormatting sqref="M159">
    <cfRule type="cellIs" dxfId="47" priority="2" operator="lessThan">
      <formula>0.5</formula>
    </cfRule>
  </conditionalFormatting>
  <conditionalFormatting sqref="M186:M192">
    <cfRule type="cellIs" dxfId="45" priority="1" operator="lessThan">
      <formula>0.5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showGridLines="0" zoomScale="85" zoomScaleNormal="85" workbookViewId="0">
      <selection activeCell="M14" sqref="M14"/>
    </sheetView>
  </sheetViews>
  <sheetFormatPr defaultColWidth="10.28515625" defaultRowHeight="15"/>
  <cols>
    <col min="1" max="1" width="9.28515625" style="2" customWidth="1"/>
    <col min="2" max="2" width="15.140625" style="2" customWidth="1"/>
    <col min="3" max="3" width="9.7109375" style="2" customWidth="1"/>
    <col min="4" max="4" width="13.28515625" style="2" customWidth="1"/>
    <col min="5" max="5" width="8" style="3" customWidth="1"/>
    <col min="6" max="6" width="3.28515625" style="3" customWidth="1"/>
    <col min="7" max="7" width="12.28515625" style="3" customWidth="1"/>
    <col min="8" max="8" width="12.42578125" style="3" customWidth="1"/>
    <col min="9" max="9" width="12.140625" style="3" customWidth="1"/>
    <col min="10" max="10" width="13.85546875" style="3" customWidth="1"/>
    <col min="11" max="11" width="10.5703125" style="3" customWidth="1"/>
    <col min="12" max="12" width="12.7109375" style="3" customWidth="1"/>
    <col min="13" max="13" width="17.42578125" style="3" customWidth="1"/>
    <col min="14" max="17" width="9.140625" style="3" customWidth="1"/>
    <col min="18" max="18" width="11.28515625" style="3" customWidth="1"/>
    <col min="19" max="19" width="10.140625" style="3" customWidth="1"/>
    <col min="20" max="20" width="12.85546875" style="3" customWidth="1"/>
    <col min="21" max="22" width="10.28515625" style="3" customWidth="1"/>
    <col min="23" max="23" width="22" style="3" customWidth="1"/>
    <col min="24" max="266" width="10.28515625" style="2"/>
    <col min="267" max="267" width="15.140625" style="2" customWidth="1"/>
    <col min="268" max="268" width="9" style="2" customWidth="1"/>
    <col min="269" max="269" width="13.28515625" style="2" customWidth="1"/>
    <col min="270" max="270" width="15.7109375" style="2" customWidth="1"/>
    <col min="271" max="271" width="12.28515625" style="2" customWidth="1"/>
    <col min="272" max="272" width="12.42578125" style="2" customWidth="1"/>
    <col min="273" max="273" width="12.140625" style="2" customWidth="1"/>
    <col min="274" max="274" width="13.85546875" style="2" customWidth="1"/>
    <col min="275" max="275" width="10.5703125" style="2" customWidth="1"/>
    <col min="276" max="276" width="12.7109375" style="2" customWidth="1"/>
    <col min="277" max="277" width="10.7109375" style="2" customWidth="1"/>
    <col min="278" max="278" width="10.140625" style="2" customWidth="1"/>
    <col min="279" max="279" width="18.28515625" style="2" customWidth="1"/>
    <col min="280" max="522" width="10.28515625" style="2"/>
    <col min="523" max="523" width="15.140625" style="2" customWidth="1"/>
    <col min="524" max="524" width="9" style="2" customWidth="1"/>
    <col min="525" max="525" width="13.28515625" style="2" customWidth="1"/>
    <col min="526" max="526" width="15.7109375" style="2" customWidth="1"/>
    <col min="527" max="527" width="12.28515625" style="2" customWidth="1"/>
    <col min="528" max="528" width="12.42578125" style="2" customWidth="1"/>
    <col min="529" max="529" width="12.140625" style="2" customWidth="1"/>
    <col min="530" max="530" width="13.85546875" style="2" customWidth="1"/>
    <col min="531" max="531" width="10.5703125" style="2" customWidth="1"/>
    <col min="532" max="532" width="12.7109375" style="2" customWidth="1"/>
    <col min="533" max="533" width="10.7109375" style="2" customWidth="1"/>
    <col min="534" max="534" width="10.140625" style="2" customWidth="1"/>
    <col min="535" max="535" width="18.28515625" style="2" customWidth="1"/>
    <col min="536" max="778" width="10.28515625" style="2"/>
    <col min="779" max="779" width="15.140625" style="2" customWidth="1"/>
    <col min="780" max="780" width="9" style="2" customWidth="1"/>
    <col min="781" max="781" width="13.28515625" style="2" customWidth="1"/>
    <col min="782" max="782" width="15.7109375" style="2" customWidth="1"/>
    <col min="783" max="783" width="12.28515625" style="2" customWidth="1"/>
    <col min="784" max="784" width="12.42578125" style="2" customWidth="1"/>
    <col min="785" max="785" width="12.140625" style="2" customWidth="1"/>
    <col min="786" max="786" width="13.85546875" style="2" customWidth="1"/>
    <col min="787" max="787" width="10.5703125" style="2" customWidth="1"/>
    <col min="788" max="788" width="12.7109375" style="2" customWidth="1"/>
    <col min="789" max="789" width="10.7109375" style="2" customWidth="1"/>
    <col min="790" max="790" width="10.140625" style="2" customWidth="1"/>
    <col min="791" max="791" width="18.28515625" style="2" customWidth="1"/>
    <col min="792" max="1034" width="10.28515625" style="2"/>
    <col min="1035" max="1035" width="15.140625" style="2" customWidth="1"/>
    <col min="1036" max="1036" width="9" style="2" customWidth="1"/>
    <col min="1037" max="1037" width="13.28515625" style="2" customWidth="1"/>
    <col min="1038" max="1038" width="15.7109375" style="2" customWidth="1"/>
    <col min="1039" max="1039" width="12.28515625" style="2" customWidth="1"/>
    <col min="1040" max="1040" width="12.42578125" style="2" customWidth="1"/>
    <col min="1041" max="1041" width="12.140625" style="2" customWidth="1"/>
    <col min="1042" max="1042" width="13.85546875" style="2" customWidth="1"/>
    <col min="1043" max="1043" width="10.5703125" style="2" customWidth="1"/>
    <col min="1044" max="1044" width="12.7109375" style="2" customWidth="1"/>
    <col min="1045" max="1045" width="10.7109375" style="2" customWidth="1"/>
    <col min="1046" max="1046" width="10.140625" style="2" customWidth="1"/>
    <col min="1047" max="1047" width="18.28515625" style="2" customWidth="1"/>
    <col min="1048" max="1290" width="10.28515625" style="2"/>
    <col min="1291" max="1291" width="15.140625" style="2" customWidth="1"/>
    <col min="1292" max="1292" width="9" style="2" customWidth="1"/>
    <col min="1293" max="1293" width="13.28515625" style="2" customWidth="1"/>
    <col min="1294" max="1294" width="15.7109375" style="2" customWidth="1"/>
    <col min="1295" max="1295" width="12.28515625" style="2" customWidth="1"/>
    <col min="1296" max="1296" width="12.42578125" style="2" customWidth="1"/>
    <col min="1297" max="1297" width="12.140625" style="2" customWidth="1"/>
    <col min="1298" max="1298" width="13.85546875" style="2" customWidth="1"/>
    <col min="1299" max="1299" width="10.5703125" style="2" customWidth="1"/>
    <col min="1300" max="1300" width="12.7109375" style="2" customWidth="1"/>
    <col min="1301" max="1301" width="10.7109375" style="2" customWidth="1"/>
    <col min="1302" max="1302" width="10.140625" style="2" customWidth="1"/>
    <col min="1303" max="1303" width="18.28515625" style="2" customWidth="1"/>
    <col min="1304" max="1546" width="10.28515625" style="2"/>
    <col min="1547" max="1547" width="15.140625" style="2" customWidth="1"/>
    <col min="1548" max="1548" width="9" style="2" customWidth="1"/>
    <col min="1549" max="1549" width="13.28515625" style="2" customWidth="1"/>
    <col min="1550" max="1550" width="15.7109375" style="2" customWidth="1"/>
    <col min="1551" max="1551" width="12.28515625" style="2" customWidth="1"/>
    <col min="1552" max="1552" width="12.42578125" style="2" customWidth="1"/>
    <col min="1553" max="1553" width="12.140625" style="2" customWidth="1"/>
    <col min="1554" max="1554" width="13.85546875" style="2" customWidth="1"/>
    <col min="1555" max="1555" width="10.5703125" style="2" customWidth="1"/>
    <col min="1556" max="1556" width="12.7109375" style="2" customWidth="1"/>
    <col min="1557" max="1557" width="10.7109375" style="2" customWidth="1"/>
    <col min="1558" max="1558" width="10.140625" style="2" customWidth="1"/>
    <col min="1559" max="1559" width="18.28515625" style="2" customWidth="1"/>
    <col min="1560" max="1802" width="10.28515625" style="2"/>
    <col min="1803" max="1803" width="15.140625" style="2" customWidth="1"/>
    <col min="1804" max="1804" width="9" style="2" customWidth="1"/>
    <col min="1805" max="1805" width="13.28515625" style="2" customWidth="1"/>
    <col min="1806" max="1806" width="15.7109375" style="2" customWidth="1"/>
    <col min="1807" max="1807" width="12.28515625" style="2" customWidth="1"/>
    <col min="1808" max="1808" width="12.42578125" style="2" customWidth="1"/>
    <col min="1809" max="1809" width="12.140625" style="2" customWidth="1"/>
    <col min="1810" max="1810" width="13.85546875" style="2" customWidth="1"/>
    <col min="1811" max="1811" width="10.5703125" style="2" customWidth="1"/>
    <col min="1812" max="1812" width="12.7109375" style="2" customWidth="1"/>
    <col min="1813" max="1813" width="10.7109375" style="2" customWidth="1"/>
    <col min="1814" max="1814" width="10.140625" style="2" customWidth="1"/>
    <col min="1815" max="1815" width="18.28515625" style="2" customWidth="1"/>
    <col min="1816" max="2058" width="10.28515625" style="2"/>
    <col min="2059" max="2059" width="15.140625" style="2" customWidth="1"/>
    <col min="2060" max="2060" width="9" style="2" customWidth="1"/>
    <col min="2061" max="2061" width="13.28515625" style="2" customWidth="1"/>
    <col min="2062" max="2062" width="15.7109375" style="2" customWidth="1"/>
    <col min="2063" max="2063" width="12.28515625" style="2" customWidth="1"/>
    <col min="2064" max="2064" width="12.42578125" style="2" customWidth="1"/>
    <col min="2065" max="2065" width="12.140625" style="2" customWidth="1"/>
    <col min="2066" max="2066" width="13.85546875" style="2" customWidth="1"/>
    <col min="2067" max="2067" width="10.5703125" style="2" customWidth="1"/>
    <col min="2068" max="2068" width="12.7109375" style="2" customWidth="1"/>
    <col min="2069" max="2069" width="10.7109375" style="2" customWidth="1"/>
    <col min="2070" max="2070" width="10.140625" style="2" customWidth="1"/>
    <col min="2071" max="2071" width="18.28515625" style="2" customWidth="1"/>
    <col min="2072" max="2314" width="10.28515625" style="2"/>
    <col min="2315" max="2315" width="15.140625" style="2" customWidth="1"/>
    <col min="2316" max="2316" width="9" style="2" customWidth="1"/>
    <col min="2317" max="2317" width="13.28515625" style="2" customWidth="1"/>
    <col min="2318" max="2318" width="15.7109375" style="2" customWidth="1"/>
    <col min="2319" max="2319" width="12.28515625" style="2" customWidth="1"/>
    <col min="2320" max="2320" width="12.42578125" style="2" customWidth="1"/>
    <col min="2321" max="2321" width="12.140625" style="2" customWidth="1"/>
    <col min="2322" max="2322" width="13.85546875" style="2" customWidth="1"/>
    <col min="2323" max="2323" width="10.5703125" style="2" customWidth="1"/>
    <col min="2324" max="2324" width="12.7109375" style="2" customWidth="1"/>
    <col min="2325" max="2325" width="10.7109375" style="2" customWidth="1"/>
    <col min="2326" max="2326" width="10.140625" style="2" customWidth="1"/>
    <col min="2327" max="2327" width="18.28515625" style="2" customWidth="1"/>
    <col min="2328" max="2570" width="10.28515625" style="2"/>
    <col min="2571" max="2571" width="15.140625" style="2" customWidth="1"/>
    <col min="2572" max="2572" width="9" style="2" customWidth="1"/>
    <col min="2573" max="2573" width="13.28515625" style="2" customWidth="1"/>
    <col min="2574" max="2574" width="15.7109375" style="2" customWidth="1"/>
    <col min="2575" max="2575" width="12.28515625" style="2" customWidth="1"/>
    <col min="2576" max="2576" width="12.42578125" style="2" customWidth="1"/>
    <col min="2577" max="2577" width="12.140625" style="2" customWidth="1"/>
    <col min="2578" max="2578" width="13.85546875" style="2" customWidth="1"/>
    <col min="2579" max="2579" width="10.5703125" style="2" customWidth="1"/>
    <col min="2580" max="2580" width="12.7109375" style="2" customWidth="1"/>
    <col min="2581" max="2581" width="10.7109375" style="2" customWidth="1"/>
    <col min="2582" max="2582" width="10.140625" style="2" customWidth="1"/>
    <col min="2583" max="2583" width="18.28515625" style="2" customWidth="1"/>
    <col min="2584" max="2826" width="10.28515625" style="2"/>
    <col min="2827" max="2827" width="15.140625" style="2" customWidth="1"/>
    <col min="2828" max="2828" width="9" style="2" customWidth="1"/>
    <col min="2829" max="2829" width="13.28515625" style="2" customWidth="1"/>
    <col min="2830" max="2830" width="15.7109375" style="2" customWidth="1"/>
    <col min="2831" max="2831" width="12.28515625" style="2" customWidth="1"/>
    <col min="2832" max="2832" width="12.42578125" style="2" customWidth="1"/>
    <col min="2833" max="2833" width="12.140625" style="2" customWidth="1"/>
    <col min="2834" max="2834" width="13.85546875" style="2" customWidth="1"/>
    <col min="2835" max="2835" width="10.5703125" style="2" customWidth="1"/>
    <col min="2836" max="2836" width="12.7109375" style="2" customWidth="1"/>
    <col min="2837" max="2837" width="10.7109375" style="2" customWidth="1"/>
    <col min="2838" max="2838" width="10.140625" style="2" customWidth="1"/>
    <col min="2839" max="2839" width="18.28515625" style="2" customWidth="1"/>
    <col min="2840" max="3082" width="10.28515625" style="2"/>
    <col min="3083" max="3083" width="15.140625" style="2" customWidth="1"/>
    <col min="3084" max="3084" width="9" style="2" customWidth="1"/>
    <col min="3085" max="3085" width="13.28515625" style="2" customWidth="1"/>
    <col min="3086" max="3086" width="15.7109375" style="2" customWidth="1"/>
    <col min="3087" max="3087" width="12.28515625" style="2" customWidth="1"/>
    <col min="3088" max="3088" width="12.42578125" style="2" customWidth="1"/>
    <col min="3089" max="3089" width="12.140625" style="2" customWidth="1"/>
    <col min="3090" max="3090" width="13.85546875" style="2" customWidth="1"/>
    <col min="3091" max="3091" width="10.5703125" style="2" customWidth="1"/>
    <col min="3092" max="3092" width="12.7109375" style="2" customWidth="1"/>
    <col min="3093" max="3093" width="10.7109375" style="2" customWidth="1"/>
    <col min="3094" max="3094" width="10.140625" style="2" customWidth="1"/>
    <col min="3095" max="3095" width="18.28515625" style="2" customWidth="1"/>
    <col min="3096" max="3338" width="10.28515625" style="2"/>
    <col min="3339" max="3339" width="15.140625" style="2" customWidth="1"/>
    <col min="3340" max="3340" width="9" style="2" customWidth="1"/>
    <col min="3341" max="3341" width="13.28515625" style="2" customWidth="1"/>
    <col min="3342" max="3342" width="15.7109375" style="2" customWidth="1"/>
    <col min="3343" max="3343" width="12.28515625" style="2" customWidth="1"/>
    <col min="3344" max="3344" width="12.42578125" style="2" customWidth="1"/>
    <col min="3345" max="3345" width="12.140625" style="2" customWidth="1"/>
    <col min="3346" max="3346" width="13.85546875" style="2" customWidth="1"/>
    <col min="3347" max="3347" width="10.5703125" style="2" customWidth="1"/>
    <col min="3348" max="3348" width="12.7109375" style="2" customWidth="1"/>
    <col min="3349" max="3349" width="10.7109375" style="2" customWidth="1"/>
    <col min="3350" max="3350" width="10.140625" style="2" customWidth="1"/>
    <col min="3351" max="3351" width="18.28515625" style="2" customWidth="1"/>
    <col min="3352" max="3594" width="10.28515625" style="2"/>
    <col min="3595" max="3595" width="15.140625" style="2" customWidth="1"/>
    <col min="3596" max="3596" width="9" style="2" customWidth="1"/>
    <col min="3597" max="3597" width="13.28515625" style="2" customWidth="1"/>
    <col min="3598" max="3598" width="15.7109375" style="2" customWidth="1"/>
    <col min="3599" max="3599" width="12.28515625" style="2" customWidth="1"/>
    <col min="3600" max="3600" width="12.42578125" style="2" customWidth="1"/>
    <col min="3601" max="3601" width="12.140625" style="2" customWidth="1"/>
    <col min="3602" max="3602" width="13.85546875" style="2" customWidth="1"/>
    <col min="3603" max="3603" width="10.5703125" style="2" customWidth="1"/>
    <col min="3604" max="3604" width="12.7109375" style="2" customWidth="1"/>
    <col min="3605" max="3605" width="10.7109375" style="2" customWidth="1"/>
    <col min="3606" max="3606" width="10.140625" style="2" customWidth="1"/>
    <col min="3607" max="3607" width="18.28515625" style="2" customWidth="1"/>
    <col min="3608" max="3850" width="10.28515625" style="2"/>
    <col min="3851" max="3851" width="15.140625" style="2" customWidth="1"/>
    <col min="3852" max="3852" width="9" style="2" customWidth="1"/>
    <col min="3853" max="3853" width="13.28515625" style="2" customWidth="1"/>
    <col min="3854" max="3854" width="15.7109375" style="2" customWidth="1"/>
    <col min="3855" max="3855" width="12.28515625" style="2" customWidth="1"/>
    <col min="3856" max="3856" width="12.42578125" style="2" customWidth="1"/>
    <col min="3857" max="3857" width="12.140625" style="2" customWidth="1"/>
    <col min="3858" max="3858" width="13.85546875" style="2" customWidth="1"/>
    <col min="3859" max="3859" width="10.5703125" style="2" customWidth="1"/>
    <col min="3860" max="3860" width="12.7109375" style="2" customWidth="1"/>
    <col min="3861" max="3861" width="10.7109375" style="2" customWidth="1"/>
    <col min="3862" max="3862" width="10.140625" style="2" customWidth="1"/>
    <col min="3863" max="3863" width="18.28515625" style="2" customWidth="1"/>
    <col min="3864" max="4106" width="10.28515625" style="2"/>
    <col min="4107" max="4107" width="15.140625" style="2" customWidth="1"/>
    <col min="4108" max="4108" width="9" style="2" customWidth="1"/>
    <col min="4109" max="4109" width="13.28515625" style="2" customWidth="1"/>
    <col min="4110" max="4110" width="15.7109375" style="2" customWidth="1"/>
    <col min="4111" max="4111" width="12.28515625" style="2" customWidth="1"/>
    <col min="4112" max="4112" width="12.42578125" style="2" customWidth="1"/>
    <col min="4113" max="4113" width="12.140625" style="2" customWidth="1"/>
    <col min="4114" max="4114" width="13.85546875" style="2" customWidth="1"/>
    <col min="4115" max="4115" width="10.5703125" style="2" customWidth="1"/>
    <col min="4116" max="4116" width="12.7109375" style="2" customWidth="1"/>
    <col min="4117" max="4117" width="10.7109375" style="2" customWidth="1"/>
    <col min="4118" max="4118" width="10.140625" style="2" customWidth="1"/>
    <col min="4119" max="4119" width="18.28515625" style="2" customWidth="1"/>
    <col min="4120" max="4362" width="10.28515625" style="2"/>
    <col min="4363" max="4363" width="15.140625" style="2" customWidth="1"/>
    <col min="4364" max="4364" width="9" style="2" customWidth="1"/>
    <col min="4365" max="4365" width="13.28515625" style="2" customWidth="1"/>
    <col min="4366" max="4366" width="15.7109375" style="2" customWidth="1"/>
    <col min="4367" max="4367" width="12.28515625" style="2" customWidth="1"/>
    <col min="4368" max="4368" width="12.42578125" style="2" customWidth="1"/>
    <col min="4369" max="4369" width="12.140625" style="2" customWidth="1"/>
    <col min="4370" max="4370" width="13.85546875" style="2" customWidth="1"/>
    <col min="4371" max="4371" width="10.5703125" style="2" customWidth="1"/>
    <col min="4372" max="4372" width="12.7109375" style="2" customWidth="1"/>
    <col min="4373" max="4373" width="10.7109375" style="2" customWidth="1"/>
    <col min="4374" max="4374" width="10.140625" style="2" customWidth="1"/>
    <col min="4375" max="4375" width="18.28515625" style="2" customWidth="1"/>
    <col min="4376" max="4618" width="10.28515625" style="2"/>
    <col min="4619" max="4619" width="15.140625" style="2" customWidth="1"/>
    <col min="4620" max="4620" width="9" style="2" customWidth="1"/>
    <col min="4621" max="4621" width="13.28515625" style="2" customWidth="1"/>
    <col min="4622" max="4622" width="15.7109375" style="2" customWidth="1"/>
    <col min="4623" max="4623" width="12.28515625" style="2" customWidth="1"/>
    <col min="4624" max="4624" width="12.42578125" style="2" customWidth="1"/>
    <col min="4625" max="4625" width="12.140625" style="2" customWidth="1"/>
    <col min="4626" max="4626" width="13.85546875" style="2" customWidth="1"/>
    <col min="4627" max="4627" width="10.5703125" style="2" customWidth="1"/>
    <col min="4628" max="4628" width="12.7109375" style="2" customWidth="1"/>
    <col min="4629" max="4629" width="10.7109375" style="2" customWidth="1"/>
    <col min="4630" max="4630" width="10.140625" style="2" customWidth="1"/>
    <col min="4631" max="4631" width="18.28515625" style="2" customWidth="1"/>
    <col min="4632" max="4874" width="10.28515625" style="2"/>
    <col min="4875" max="4875" width="15.140625" style="2" customWidth="1"/>
    <col min="4876" max="4876" width="9" style="2" customWidth="1"/>
    <col min="4877" max="4877" width="13.28515625" style="2" customWidth="1"/>
    <col min="4878" max="4878" width="15.7109375" style="2" customWidth="1"/>
    <col min="4879" max="4879" width="12.28515625" style="2" customWidth="1"/>
    <col min="4880" max="4880" width="12.42578125" style="2" customWidth="1"/>
    <col min="4881" max="4881" width="12.140625" style="2" customWidth="1"/>
    <col min="4882" max="4882" width="13.85546875" style="2" customWidth="1"/>
    <col min="4883" max="4883" width="10.5703125" style="2" customWidth="1"/>
    <col min="4884" max="4884" width="12.7109375" style="2" customWidth="1"/>
    <col min="4885" max="4885" width="10.7109375" style="2" customWidth="1"/>
    <col min="4886" max="4886" width="10.140625" style="2" customWidth="1"/>
    <col min="4887" max="4887" width="18.28515625" style="2" customWidth="1"/>
    <col min="4888" max="5130" width="10.28515625" style="2"/>
    <col min="5131" max="5131" width="15.140625" style="2" customWidth="1"/>
    <col min="5132" max="5132" width="9" style="2" customWidth="1"/>
    <col min="5133" max="5133" width="13.28515625" style="2" customWidth="1"/>
    <col min="5134" max="5134" width="15.7109375" style="2" customWidth="1"/>
    <col min="5135" max="5135" width="12.28515625" style="2" customWidth="1"/>
    <col min="5136" max="5136" width="12.42578125" style="2" customWidth="1"/>
    <col min="5137" max="5137" width="12.140625" style="2" customWidth="1"/>
    <col min="5138" max="5138" width="13.85546875" style="2" customWidth="1"/>
    <col min="5139" max="5139" width="10.5703125" style="2" customWidth="1"/>
    <col min="5140" max="5140" width="12.7109375" style="2" customWidth="1"/>
    <col min="5141" max="5141" width="10.7109375" style="2" customWidth="1"/>
    <col min="5142" max="5142" width="10.140625" style="2" customWidth="1"/>
    <col min="5143" max="5143" width="18.28515625" style="2" customWidth="1"/>
    <col min="5144" max="5386" width="10.28515625" style="2"/>
    <col min="5387" max="5387" width="15.140625" style="2" customWidth="1"/>
    <col min="5388" max="5388" width="9" style="2" customWidth="1"/>
    <col min="5389" max="5389" width="13.28515625" style="2" customWidth="1"/>
    <col min="5390" max="5390" width="15.7109375" style="2" customWidth="1"/>
    <col min="5391" max="5391" width="12.28515625" style="2" customWidth="1"/>
    <col min="5392" max="5392" width="12.42578125" style="2" customWidth="1"/>
    <col min="5393" max="5393" width="12.140625" style="2" customWidth="1"/>
    <col min="5394" max="5394" width="13.85546875" style="2" customWidth="1"/>
    <col min="5395" max="5395" width="10.5703125" style="2" customWidth="1"/>
    <col min="5396" max="5396" width="12.7109375" style="2" customWidth="1"/>
    <col min="5397" max="5397" width="10.7109375" style="2" customWidth="1"/>
    <col min="5398" max="5398" width="10.140625" style="2" customWidth="1"/>
    <col min="5399" max="5399" width="18.28515625" style="2" customWidth="1"/>
    <col min="5400" max="5642" width="10.28515625" style="2"/>
    <col min="5643" max="5643" width="15.140625" style="2" customWidth="1"/>
    <col min="5644" max="5644" width="9" style="2" customWidth="1"/>
    <col min="5645" max="5645" width="13.28515625" style="2" customWidth="1"/>
    <col min="5646" max="5646" width="15.7109375" style="2" customWidth="1"/>
    <col min="5647" max="5647" width="12.28515625" style="2" customWidth="1"/>
    <col min="5648" max="5648" width="12.42578125" style="2" customWidth="1"/>
    <col min="5649" max="5649" width="12.140625" style="2" customWidth="1"/>
    <col min="5650" max="5650" width="13.85546875" style="2" customWidth="1"/>
    <col min="5651" max="5651" width="10.5703125" style="2" customWidth="1"/>
    <col min="5652" max="5652" width="12.7109375" style="2" customWidth="1"/>
    <col min="5653" max="5653" width="10.7109375" style="2" customWidth="1"/>
    <col min="5654" max="5654" width="10.140625" style="2" customWidth="1"/>
    <col min="5655" max="5655" width="18.28515625" style="2" customWidth="1"/>
    <col min="5656" max="5898" width="10.28515625" style="2"/>
    <col min="5899" max="5899" width="15.140625" style="2" customWidth="1"/>
    <col min="5900" max="5900" width="9" style="2" customWidth="1"/>
    <col min="5901" max="5901" width="13.28515625" style="2" customWidth="1"/>
    <col min="5902" max="5902" width="15.7109375" style="2" customWidth="1"/>
    <col min="5903" max="5903" width="12.28515625" style="2" customWidth="1"/>
    <col min="5904" max="5904" width="12.42578125" style="2" customWidth="1"/>
    <col min="5905" max="5905" width="12.140625" style="2" customWidth="1"/>
    <col min="5906" max="5906" width="13.85546875" style="2" customWidth="1"/>
    <col min="5907" max="5907" width="10.5703125" style="2" customWidth="1"/>
    <col min="5908" max="5908" width="12.7109375" style="2" customWidth="1"/>
    <col min="5909" max="5909" width="10.7109375" style="2" customWidth="1"/>
    <col min="5910" max="5910" width="10.140625" style="2" customWidth="1"/>
    <col min="5911" max="5911" width="18.28515625" style="2" customWidth="1"/>
    <col min="5912" max="6154" width="10.28515625" style="2"/>
    <col min="6155" max="6155" width="15.140625" style="2" customWidth="1"/>
    <col min="6156" max="6156" width="9" style="2" customWidth="1"/>
    <col min="6157" max="6157" width="13.28515625" style="2" customWidth="1"/>
    <col min="6158" max="6158" width="15.7109375" style="2" customWidth="1"/>
    <col min="6159" max="6159" width="12.28515625" style="2" customWidth="1"/>
    <col min="6160" max="6160" width="12.42578125" style="2" customWidth="1"/>
    <col min="6161" max="6161" width="12.140625" style="2" customWidth="1"/>
    <col min="6162" max="6162" width="13.85546875" style="2" customWidth="1"/>
    <col min="6163" max="6163" width="10.5703125" style="2" customWidth="1"/>
    <col min="6164" max="6164" width="12.7109375" style="2" customWidth="1"/>
    <col min="6165" max="6165" width="10.7109375" style="2" customWidth="1"/>
    <col min="6166" max="6166" width="10.140625" style="2" customWidth="1"/>
    <col min="6167" max="6167" width="18.28515625" style="2" customWidth="1"/>
    <col min="6168" max="6410" width="10.28515625" style="2"/>
    <col min="6411" max="6411" width="15.140625" style="2" customWidth="1"/>
    <col min="6412" max="6412" width="9" style="2" customWidth="1"/>
    <col min="6413" max="6413" width="13.28515625" style="2" customWidth="1"/>
    <col min="6414" max="6414" width="15.7109375" style="2" customWidth="1"/>
    <col min="6415" max="6415" width="12.28515625" style="2" customWidth="1"/>
    <col min="6416" max="6416" width="12.42578125" style="2" customWidth="1"/>
    <col min="6417" max="6417" width="12.140625" style="2" customWidth="1"/>
    <col min="6418" max="6418" width="13.85546875" style="2" customWidth="1"/>
    <col min="6419" max="6419" width="10.5703125" style="2" customWidth="1"/>
    <col min="6420" max="6420" width="12.7109375" style="2" customWidth="1"/>
    <col min="6421" max="6421" width="10.7109375" style="2" customWidth="1"/>
    <col min="6422" max="6422" width="10.140625" style="2" customWidth="1"/>
    <col min="6423" max="6423" width="18.28515625" style="2" customWidth="1"/>
    <col min="6424" max="6666" width="10.28515625" style="2"/>
    <col min="6667" max="6667" width="15.140625" style="2" customWidth="1"/>
    <col min="6668" max="6668" width="9" style="2" customWidth="1"/>
    <col min="6669" max="6669" width="13.28515625" style="2" customWidth="1"/>
    <col min="6670" max="6670" width="15.7109375" style="2" customWidth="1"/>
    <col min="6671" max="6671" width="12.28515625" style="2" customWidth="1"/>
    <col min="6672" max="6672" width="12.42578125" style="2" customWidth="1"/>
    <col min="6673" max="6673" width="12.140625" style="2" customWidth="1"/>
    <col min="6674" max="6674" width="13.85546875" style="2" customWidth="1"/>
    <col min="6675" max="6675" width="10.5703125" style="2" customWidth="1"/>
    <col min="6676" max="6676" width="12.7109375" style="2" customWidth="1"/>
    <col min="6677" max="6677" width="10.7109375" style="2" customWidth="1"/>
    <col min="6678" max="6678" width="10.140625" style="2" customWidth="1"/>
    <col min="6679" max="6679" width="18.28515625" style="2" customWidth="1"/>
    <col min="6680" max="6922" width="10.28515625" style="2"/>
    <col min="6923" max="6923" width="15.140625" style="2" customWidth="1"/>
    <col min="6924" max="6924" width="9" style="2" customWidth="1"/>
    <col min="6925" max="6925" width="13.28515625" style="2" customWidth="1"/>
    <col min="6926" max="6926" width="15.7109375" style="2" customWidth="1"/>
    <col min="6927" max="6927" width="12.28515625" style="2" customWidth="1"/>
    <col min="6928" max="6928" width="12.42578125" style="2" customWidth="1"/>
    <col min="6929" max="6929" width="12.140625" style="2" customWidth="1"/>
    <col min="6930" max="6930" width="13.85546875" style="2" customWidth="1"/>
    <col min="6931" max="6931" width="10.5703125" style="2" customWidth="1"/>
    <col min="6932" max="6932" width="12.7109375" style="2" customWidth="1"/>
    <col min="6933" max="6933" width="10.7109375" style="2" customWidth="1"/>
    <col min="6934" max="6934" width="10.140625" style="2" customWidth="1"/>
    <col min="6935" max="6935" width="18.28515625" style="2" customWidth="1"/>
    <col min="6936" max="7178" width="10.28515625" style="2"/>
    <col min="7179" max="7179" width="15.140625" style="2" customWidth="1"/>
    <col min="7180" max="7180" width="9" style="2" customWidth="1"/>
    <col min="7181" max="7181" width="13.28515625" style="2" customWidth="1"/>
    <col min="7182" max="7182" width="15.7109375" style="2" customWidth="1"/>
    <col min="7183" max="7183" width="12.28515625" style="2" customWidth="1"/>
    <col min="7184" max="7184" width="12.42578125" style="2" customWidth="1"/>
    <col min="7185" max="7185" width="12.140625" style="2" customWidth="1"/>
    <col min="7186" max="7186" width="13.85546875" style="2" customWidth="1"/>
    <col min="7187" max="7187" width="10.5703125" style="2" customWidth="1"/>
    <col min="7188" max="7188" width="12.7109375" style="2" customWidth="1"/>
    <col min="7189" max="7189" width="10.7109375" style="2" customWidth="1"/>
    <col min="7190" max="7190" width="10.140625" style="2" customWidth="1"/>
    <col min="7191" max="7191" width="18.28515625" style="2" customWidth="1"/>
    <col min="7192" max="7434" width="10.28515625" style="2"/>
    <col min="7435" max="7435" width="15.140625" style="2" customWidth="1"/>
    <col min="7436" max="7436" width="9" style="2" customWidth="1"/>
    <col min="7437" max="7437" width="13.28515625" style="2" customWidth="1"/>
    <col min="7438" max="7438" width="15.7109375" style="2" customWidth="1"/>
    <col min="7439" max="7439" width="12.28515625" style="2" customWidth="1"/>
    <col min="7440" max="7440" width="12.42578125" style="2" customWidth="1"/>
    <col min="7441" max="7441" width="12.140625" style="2" customWidth="1"/>
    <col min="7442" max="7442" width="13.85546875" style="2" customWidth="1"/>
    <col min="7443" max="7443" width="10.5703125" style="2" customWidth="1"/>
    <col min="7444" max="7444" width="12.7109375" style="2" customWidth="1"/>
    <col min="7445" max="7445" width="10.7109375" style="2" customWidth="1"/>
    <col min="7446" max="7446" width="10.140625" style="2" customWidth="1"/>
    <col min="7447" max="7447" width="18.28515625" style="2" customWidth="1"/>
    <col min="7448" max="7690" width="10.28515625" style="2"/>
    <col min="7691" max="7691" width="15.140625" style="2" customWidth="1"/>
    <col min="7692" max="7692" width="9" style="2" customWidth="1"/>
    <col min="7693" max="7693" width="13.28515625" style="2" customWidth="1"/>
    <col min="7694" max="7694" width="15.7109375" style="2" customWidth="1"/>
    <col min="7695" max="7695" width="12.28515625" style="2" customWidth="1"/>
    <col min="7696" max="7696" width="12.42578125" style="2" customWidth="1"/>
    <col min="7697" max="7697" width="12.140625" style="2" customWidth="1"/>
    <col min="7698" max="7698" width="13.85546875" style="2" customWidth="1"/>
    <col min="7699" max="7699" width="10.5703125" style="2" customWidth="1"/>
    <col min="7700" max="7700" width="12.7109375" style="2" customWidth="1"/>
    <col min="7701" max="7701" width="10.7109375" style="2" customWidth="1"/>
    <col min="7702" max="7702" width="10.140625" style="2" customWidth="1"/>
    <col min="7703" max="7703" width="18.28515625" style="2" customWidth="1"/>
    <col min="7704" max="7946" width="10.28515625" style="2"/>
    <col min="7947" max="7947" width="15.140625" style="2" customWidth="1"/>
    <col min="7948" max="7948" width="9" style="2" customWidth="1"/>
    <col min="7949" max="7949" width="13.28515625" style="2" customWidth="1"/>
    <col min="7950" max="7950" width="15.7109375" style="2" customWidth="1"/>
    <col min="7951" max="7951" width="12.28515625" style="2" customWidth="1"/>
    <col min="7952" max="7952" width="12.42578125" style="2" customWidth="1"/>
    <col min="7953" max="7953" width="12.140625" style="2" customWidth="1"/>
    <col min="7954" max="7954" width="13.85546875" style="2" customWidth="1"/>
    <col min="7955" max="7955" width="10.5703125" style="2" customWidth="1"/>
    <col min="7956" max="7956" width="12.7109375" style="2" customWidth="1"/>
    <col min="7957" max="7957" width="10.7109375" style="2" customWidth="1"/>
    <col min="7958" max="7958" width="10.140625" style="2" customWidth="1"/>
    <col min="7959" max="7959" width="18.28515625" style="2" customWidth="1"/>
    <col min="7960" max="8202" width="10.28515625" style="2"/>
    <col min="8203" max="8203" width="15.140625" style="2" customWidth="1"/>
    <col min="8204" max="8204" width="9" style="2" customWidth="1"/>
    <col min="8205" max="8205" width="13.28515625" style="2" customWidth="1"/>
    <col min="8206" max="8206" width="15.7109375" style="2" customWidth="1"/>
    <col min="8207" max="8207" width="12.28515625" style="2" customWidth="1"/>
    <col min="8208" max="8208" width="12.42578125" style="2" customWidth="1"/>
    <col min="8209" max="8209" width="12.140625" style="2" customWidth="1"/>
    <col min="8210" max="8210" width="13.85546875" style="2" customWidth="1"/>
    <col min="8211" max="8211" width="10.5703125" style="2" customWidth="1"/>
    <col min="8212" max="8212" width="12.7109375" style="2" customWidth="1"/>
    <col min="8213" max="8213" width="10.7109375" style="2" customWidth="1"/>
    <col min="8214" max="8214" width="10.140625" style="2" customWidth="1"/>
    <col min="8215" max="8215" width="18.28515625" style="2" customWidth="1"/>
    <col min="8216" max="8458" width="10.28515625" style="2"/>
    <col min="8459" max="8459" width="15.140625" style="2" customWidth="1"/>
    <col min="8460" max="8460" width="9" style="2" customWidth="1"/>
    <col min="8461" max="8461" width="13.28515625" style="2" customWidth="1"/>
    <col min="8462" max="8462" width="15.7109375" style="2" customWidth="1"/>
    <col min="8463" max="8463" width="12.28515625" style="2" customWidth="1"/>
    <col min="8464" max="8464" width="12.42578125" style="2" customWidth="1"/>
    <col min="8465" max="8465" width="12.140625" style="2" customWidth="1"/>
    <col min="8466" max="8466" width="13.85546875" style="2" customWidth="1"/>
    <col min="8467" max="8467" width="10.5703125" style="2" customWidth="1"/>
    <col min="8468" max="8468" width="12.7109375" style="2" customWidth="1"/>
    <col min="8469" max="8469" width="10.7109375" style="2" customWidth="1"/>
    <col min="8470" max="8470" width="10.140625" style="2" customWidth="1"/>
    <col min="8471" max="8471" width="18.28515625" style="2" customWidth="1"/>
    <col min="8472" max="8714" width="10.28515625" style="2"/>
    <col min="8715" max="8715" width="15.140625" style="2" customWidth="1"/>
    <col min="8716" max="8716" width="9" style="2" customWidth="1"/>
    <col min="8717" max="8717" width="13.28515625" style="2" customWidth="1"/>
    <col min="8718" max="8718" width="15.7109375" style="2" customWidth="1"/>
    <col min="8719" max="8719" width="12.28515625" style="2" customWidth="1"/>
    <col min="8720" max="8720" width="12.42578125" style="2" customWidth="1"/>
    <col min="8721" max="8721" width="12.140625" style="2" customWidth="1"/>
    <col min="8722" max="8722" width="13.85546875" style="2" customWidth="1"/>
    <col min="8723" max="8723" width="10.5703125" style="2" customWidth="1"/>
    <col min="8724" max="8724" width="12.7109375" style="2" customWidth="1"/>
    <col min="8725" max="8725" width="10.7109375" style="2" customWidth="1"/>
    <col min="8726" max="8726" width="10.140625" style="2" customWidth="1"/>
    <col min="8727" max="8727" width="18.28515625" style="2" customWidth="1"/>
    <col min="8728" max="8970" width="10.28515625" style="2"/>
    <col min="8971" max="8971" width="15.140625" style="2" customWidth="1"/>
    <col min="8972" max="8972" width="9" style="2" customWidth="1"/>
    <col min="8973" max="8973" width="13.28515625" style="2" customWidth="1"/>
    <col min="8974" max="8974" width="15.7109375" style="2" customWidth="1"/>
    <col min="8975" max="8975" width="12.28515625" style="2" customWidth="1"/>
    <col min="8976" max="8976" width="12.42578125" style="2" customWidth="1"/>
    <col min="8977" max="8977" width="12.140625" style="2" customWidth="1"/>
    <col min="8978" max="8978" width="13.85546875" style="2" customWidth="1"/>
    <col min="8979" max="8979" width="10.5703125" style="2" customWidth="1"/>
    <col min="8980" max="8980" width="12.7109375" style="2" customWidth="1"/>
    <col min="8981" max="8981" width="10.7109375" style="2" customWidth="1"/>
    <col min="8982" max="8982" width="10.140625" style="2" customWidth="1"/>
    <col min="8983" max="8983" width="18.28515625" style="2" customWidth="1"/>
    <col min="8984" max="9226" width="10.28515625" style="2"/>
    <col min="9227" max="9227" width="15.140625" style="2" customWidth="1"/>
    <col min="9228" max="9228" width="9" style="2" customWidth="1"/>
    <col min="9229" max="9229" width="13.28515625" style="2" customWidth="1"/>
    <col min="9230" max="9230" width="15.7109375" style="2" customWidth="1"/>
    <col min="9231" max="9231" width="12.28515625" style="2" customWidth="1"/>
    <col min="9232" max="9232" width="12.42578125" style="2" customWidth="1"/>
    <col min="9233" max="9233" width="12.140625" style="2" customWidth="1"/>
    <col min="9234" max="9234" width="13.85546875" style="2" customWidth="1"/>
    <col min="9235" max="9235" width="10.5703125" style="2" customWidth="1"/>
    <col min="9236" max="9236" width="12.7109375" style="2" customWidth="1"/>
    <col min="9237" max="9237" width="10.7109375" style="2" customWidth="1"/>
    <col min="9238" max="9238" width="10.140625" style="2" customWidth="1"/>
    <col min="9239" max="9239" width="18.28515625" style="2" customWidth="1"/>
    <col min="9240" max="9482" width="10.28515625" style="2"/>
    <col min="9483" max="9483" width="15.140625" style="2" customWidth="1"/>
    <col min="9484" max="9484" width="9" style="2" customWidth="1"/>
    <col min="9485" max="9485" width="13.28515625" style="2" customWidth="1"/>
    <col min="9486" max="9486" width="15.7109375" style="2" customWidth="1"/>
    <col min="9487" max="9487" width="12.28515625" style="2" customWidth="1"/>
    <col min="9488" max="9488" width="12.42578125" style="2" customWidth="1"/>
    <col min="9489" max="9489" width="12.140625" style="2" customWidth="1"/>
    <col min="9490" max="9490" width="13.85546875" style="2" customWidth="1"/>
    <col min="9491" max="9491" width="10.5703125" style="2" customWidth="1"/>
    <col min="9492" max="9492" width="12.7109375" style="2" customWidth="1"/>
    <col min="9493" max="9493" width="10.7109375" style="2" customWidth="1"/>
    <col min="9494" max="9494" width="10.140625" style="2" customWidth="1"/>
    <col min="9495" max="9495" width="18.28515625" style="2" customWidth="1"/>
    <col min="9496" max="9738" width="10.28515625" style="2"/>
    <col min="9739" max="9739" width="15.140625" style="2" customWidth="1"/>
    <col min="9740" max="9740" width="9" style="2" customWidth="1"/>
    <col min="9741" max="9741" width="13.28515625" style="2" customWidth="1"/>
    <col min="9742" max="9742" width="15.7109375" style="2" customWidth="1"/>
    <col min="9743" max="9743" width="12.28515625" style="2" customWidth="1"/>
    <col min="9744" max="9744" width="12.42578125" style="2" customWidth="1"/>
    <col min="9745" max="9745" width="12.140625" style="2" customWidth="1"/>
    <col min="9746" max="9746" width="13.85546875" style="2" customWidth="1"/>
    <col min="9747" max="9747" width="10.5703125" style="2" customWidth="1"/>
    <col min="9748" max="9748" width="12.7109375" style="2" customWidth="1"/>
    <col min="9749" max="9749" width="10.7109375" style="2" customWidth="1"/>
    <col min="9750" max="9750" width="10.140625" style="2" customWidth="1"/>
    <col min="9751" max="9751" width="18.28515625" style="2" customWidth="1"/>
    <col min="9752" max="9994" width="10.28515625" style="2"/>
    <col min="9995" max="9995" width="15.140625" style="2" customWidth="1"/>
    <col min="9996" max="9996" width="9" style="2" customWidth="1"/>
    <col min="9997" max="9997" width="13.28515625" style="2" customWidth="1"/>
    <col min="9998" max="9998" width="15.7109375" style="2" customWidth="1"/>
    <col min="9999" max="9999" width="12.28515625" style="2" customWidth="1"/>
    <col min="10000" max="10000" width="12.42578125" style="2" customWidth="1"/>
    <col min="10001" max="10001" width="12.140625" style="2" customWidth="1"/>
    <col min="10002" max="10002" width="13.85546875" style="2" customWidth="1"/>
    <col min="10003" max="10003" width="10.5703125" style="2" customWidth="1"/>
    <col min="10004" max="10004" width="12.7109375" style="2" customWidth="1"/>
    <col min="10005" max="10005" width="10.7109375" style="2" customWidth="1"/>
    <col min="10006" max="10006" width="10.140625" style="2" customWidth="1"/>
    <col min="10007" max="10007" width="18.28515625" style="2" customWidth="1"/>
    <col min="10008" max="10250" width="10.28515625" style="2"/>
    <col min="10251" max="10251" width="15.140625" style="2" customWidth="1"/>
    <col min="10252" max="10252" width="9" style="2" customWidth="1"/>
    <col min="10253" max="10253" width="13.28515625" style="2" customWidth="1"/>
    <col min="10254" max="10254" width="15.7109375" style="2" customWidth="1"/>
    <col min="10255" max="10255" width="12.28515625" style="2" customWidth="1"/>
    <col min="10256" max="10256" width="12.42578125" style="2" customWidth="1"/>
    <col min="10257" max="10257" width="12.140625" style="2" customWidth="1"/>
    <col min="10258" max="10258" width="13.85546875" style="2" customWidth="1"/>
    <col min="10259" max="10259" width="10.5703125" style="2" customWidth="1"/>
    <col min="10260" max="10260" width="12.7109375" style="2" customWidth="1"/>
    <col min="10261" max="10261" width="10.7109375" style="2" customWidth="1"/>
    <col min="10262" max="10262" width="10.140625" style="2" customWidth="1"/>
    <col min="10263" max="10263" width="18.28515625" style="2" customWidth="1"/>
    <col min="10264" max="10506" width="10.28515625" style="2"/>
    <col min="10507" max="10507" width="15.140625" style="2" customWidth="1"/>
    <col min="10508" max="10508" width="9" style="2" customWidth="1"/>
    <col min="10509" max="10509" width="13.28515625" style="2" customWidth="1"/>
    <col min="10510" max="10510" width="15.7109375" style="2" customWidth="1"/>
    <col min="10511" max="10511" width="12.28515625" style="2" customWidth="1"/>
    <col min="10512" max="10512" width="12.42578125" style="2" customWidth="1"/>
    <col min="10513" max="10513" width="12.140625" style="2" customWidth="1"/>
    <col min="10514" max="10514" width="13.85546875" style="2" customWidth="1"/>
    <col min="10515" max="10515" width="10.5703125" style="2" customWidth="1"/>
    <col min="10516" max="10516" width="12.7109375" style="2" customWidth="1"/>
    <col min="10517" max="10517" width="10.7109375" style="2" customWidth="1"/>
    <col min="10518" max="10518" width="10.140625" style="2" customWidth="1"/>
    <col min="10519" max="10519" width="18.28515625" style="2" customWidth="1"/>
    <col min="10520" max="10762" width="10.28515625" style="2"/>
    <col min="10763" max="10763" width="15.140625" style="2" customWidth="1"/>
    <col min="10764" max="10764" width="9" style="2" customWidth="1"/>
    <col min="10765" max="10765" width="13.28515625" style="2" customWidth="1"/>
    <col min="10766" max="10766" width="15.7109375" style="2" customWidth="1"/>
    <col min="10767" max="10767" width="12.28515625" style="2" customWidth="1"/>
    <col min="10768" max="10768" width="12.42578125" style="2" customWidth="1"/>
    <col min="10769" max="10769" width="12.140625" style="2" customWidth="1"/>
    <col min="10770" max="10770" width="13.85546875" style="2" customWidth="1"/>
    <col min="10771" max="10771" width="10.5703125" style="2" customWidth="1"/>
    <col min="10772" max="10772" width="12.7109375" style="2" customWidth="1"/>
    <col min="10773" max="10773" width="10.7109375" style="2" customWidth="1"/>
    <col min="10774" max="10774" width="10.140625" style="2" customWidth="1"/>
    <col min="10775" max="10775" width="18.28515625" style="2" customWidth="1"/>
    <col min="10776" max="11018" width="10.28515625" style="2"/>
    <col min="11019" max="11019" width="15.140625" style="2" customWidth="1"/>
    <col min="11020" max="11020" width="9" style="2" customWidth="1"/>
    <col min="11021" max="11021" width="13.28515625" style="2" customWidth="1"/>
    <col min="11022" max="11022" width="15.7109375" style="2" customWidth="1"/>
    <col min="11023" max="11023" width="12.28515625" style="2" customWidth="1"/>
    <col min="11024" max="11024" width="12.42578125" style="2" customWidth="1"/>
    <col min="11025" max="11025" width="12.140625" style="2" customWidth="1"/>
    <col min="11026" max="11026" width="13.85546875" style="2" customWidth="1"/>
    <col min="11027" max="11027" width="10.5703125" style="2" customWidth="1"/>
    <col min="11028" max="11028" width="12.7109375" style="2" customWidth="1"/>
    <col min="11029" max="11029" width="10.7109375" style="2" customWidth="1"/>
    <col min="11030" max="11030" width="10.140625" style="2" customWidth="1"/>
    <col min="11031" max="11031" width="18.28515625" style="2" customWidth="1"/>
    <col min="11032" max="11274" width="10.28515625" style="2"/>
    <col min="11275" max="11275" width="15.140625" style="2" customWidth="1"/>
    <col min="11276" max="11276" width="9" style="2" customWidth="1"/>
    <col min="11277" max="11277" width="13.28515625" style="2" customWidth="1"/>
    <col min="11278" max="11278" width="15.7109375" style="2" customWidth="1"/>
    <col min="11279" max="11279" width="12.28515625" style="2" customWidth="1"/>
    <col min="11280" max="11280" width="12.42578125" style="2" customWidth="1"/>
    <col min="11281" max="11281" width="12.140625" style="2" customWidth="1"/>
    <col min="11282" max="11282" width="13.85546875" style="2" customWidth="1"/>
    <col min="11283" max="11283" width="10.5703125" style="2" customWidth="1"/>
    <col min="11284" max="11284" width="12.7109375" style="2" customWidth="1"/>
    <col min="11285" max="11285" width="10.7109375" style="2" customWidth="1"/>
    <col min="11286" max="11286" width="10.140625" style="2" customWidth="1"/>
    <col min="11287" max="11287" width="18.28515625" style="2" customWidth="1"/>
    <col min="11288" max="11530" width="10.28515625" style="2"/>
    <col min="11531" max="11531" width="15.140625" style="2" customWidth="1"/>
    <col min="11532" max="11532" width="9" style="2" customWidth="1"/>
    <col min="11533" max="11533" width="13.28515625" style="2" customWidth="1"/>
    <col min="11534" max="11534" width="15.7109375" style="2" customWidth="1"/>
    <col min="11535" max="11535" width="12.28515625" style="2" customWidth="1"/>
    <col min="11536" max="11536" width="12.42578125" style="2" customWidth="1"/>
    <col min="11537" max="11537" width="12.140625" style="2" customWidth="1"/>
    <col min="11538" max="11538" width="13.85546875" style="2" customWidth="1"/>
    <col min="11539" max="11539" width="10.5703125" style="2" customWidth="1"/>
    <col min="11540" max="11540" width="12.7109375" style="2" customWidth="1"/>
    <col min="11541" max="11541" width="10.7109375" style="2" customWidth="1"/>
    <col min="11542" max="11542" width="10.140625" style="2" customWidth="1"/>
    <col min="11543" max="11543" width="18.28515625" style="2" customWidth="1"/>
    <col min="11544" max="11786" width="10.28515625" style="2"/>
    <col min="11787" max="11787" width="15.140625" style="2" customWidth="1"/>
    <col min="11788" max="11788" width="9" style="2" customWidth="1"/>
    <col min="11789" max="11789" width="13.28515625" style="2" customWidth="1"/>
    <col min="11790" max="11790" width="15.7109375" style="2" customWidth="1"/>
    <col min="11791" max="11791" width="12.28515625" style="2" customWidth="1"/>
    <col min="11792" max="11792" width="12.42578125" style="2" customWidth="1"/>
    <col min="11793" max="11793" width="12.140625" style="2" customWidth="1"/>
    <col min="11794" max="11794" width="13.85546875" style="2" customWidth="1"/>
    <col min="11795" max="11795" width="10.5703125" style="2" customWidth="1"/>
    <col min="11796" max="11796" width="12.7109375" style="2" customWidth="1"/>
    <col min="11797" max="11797" width="10.7109375" style="2" customWidth="1"/>
    <col min="11798" max="11798" width="10.140625" style="2" customWidth="1"/>
    <col min="11799" max="11799" width="18.28515625" style="2" customWidth="1"/>
    <col min="11800" max="12042" width="10.28515625" style="2"/>
    <col min="12043" max="12043" width="15.140625" style="2" customWidth="1"/>
    <col min="12044" max="12044" width="9" style="2" customWidth="1"/>
    <col min="12045" max="12045" width="13.28515625" style="2" customWidth="1"/>
    <col min="12046" max="12046" width="15.7109375" style="2" customWidth="1"/>
    <col min="12047" max="12047" width="12.28515625" style="2" customWidth="1"/>
    <col min="12048" max="12048" width="12.42578125" style="2" customWidth="1"/>
    <col min="12049" max="12049" width="12.140625" style="2" customWidth="1"/>
    <col min="12050" max="12050" width="13.85546875" style="2" customWidth="1"/>
    <col min="12051" max="12051" width="10.5703125" style="2" customWidth="1"/>
    <col min="12052" max="12052" width="12.7109375" style="2" customWidth="1"/>
    <col min="12053" max="12053" width="10.7109375" style="2" customWidth="1"/>
    <col min="12054" max="12054" width="10.140625" style="2" customWidth="1"/>
    <col min="12055" max="12055" width="18.28515625" style="2" customWidth="1"/>
    <col min="12056" max="12298" width="10.28515625" style="2"/>
    <col min="12299" max="12299" width="15.140625" style="2" customWidth="1"/>
    <col min="12300" max="12300" width="9" style="2" customWidth="1"/>
    <col min="12301" max="12301" width="13.28515625" style="2" customWidth="1"/>
    <col min="12302" max="12302" width="15.7109375" style="2" customWidth="1"/>
    <col min="12303" max="12303" width="12.28515625" style="2" customWidth="1"/>
    <col min="12304" max="12304" width="12.42578125" style="2" customWidth="1"/>
    <col min="12305" max="12305" width="12.140625" style="2" customWidth="1"/>
    <col min="12306" max="12306" width="13.85546875" style="2" customWidth="1"/>
    <col min="12307" max="12307" width="10.5703125" style="2" customWidth="1"/>
    <col min="12308" max="12308" width="12.7109375" style="2" customWidth="1"/>
    <col min="12309" max="12309" width="10.7109375" style="2" customWidth="1"/>
    <col min="12310" max="12310" width="10.140625" style="2" customWidth="1"/>
    <col min="12311" max="12311" width="18.28515625" style="2" customWidth="1"/>
    <col min="12312" max="12554" width="10.28515625" style="2"/>
    <col min="12555" max="12555" width="15.140625" style="2" customWidth="1"/>
    <col min="12556" max="12556" width="9" style="2" customWidth="1"/>
    <col min="12557" max="12557" width="13.28515625" style="2" customWidth="1"/>
    <col min="12558" max="12558" width="15.7109375" style="2" customWidth="1"/>
    <col min="12559" max="12559" width="12.28515625" style="2" customWidth="1"/>
    <col min="12560" max="12560" width="12.42578125" style="2" customWidth="1"/>
    <col min="12561" max="12561" width="12.140625" style="2" customWidth="1"/>
    <col min="12562" max="12562" width="13.85546875" style="2" customWidth="1"/>
    <col min="12563" max="12563" width="10.5703125" style="2" customWidth="1"/>
    <col min="12564" max="12564" width="12.7109375" style="2" customWidth="1"/>
    <col min="12565" max="12565" width="10.7109375" style="2" customWidth="1"/>
    <col min="12566" max="12566" width="10.140625" style="2" customWidth="1"/>
    <col min="12567" max="12567" width="18.28515625" style="2" customWidth="1"/>
    <col min="12568" max="12810" width="10.28515625" style="2"/>
    <col min="12811" max="12811" width="15.140625" style="2" customWidth="1"/>
    <col min="12812" max="12812" width="9" style="2" customWidth="1"/>
    <col min="12813" max="12813" width="13.28515625" style="2" customWidth="1"/>
    <col min="12814" max="12814" width="15.7109375" style="2" customWidth="1"/>
    <col min="12815" max="12815" width="12.28515625" style="2" customWidth="1"/>
    <col min="12816" max="12816" width="12.42578125" style="2" customWidth="1"/>
    <col min="12817" max="12817" width="12.140625" style="2" customWidth="1"/>
    <col min="12818" max="12818" width="13.85546875" style="2" customWidth="1"/>
    <col min="12819" max="12819" width="10.5703125" style="2" customWidth="1"/>
    <col min="12820" max="12820" width="12.7109375" style="2" customWidth="1"/>
    <col min="12821" max="12821" width="10.7109375" style="2" customWidth="1"/>
    <col min="12822" max="12822" width="10.140625" style="2" customWidth="1"/>
    <col min="12823" max="12823" width="18.28515625" style="2" customWidth="1"/>
    <col min="12824" max="13066" width="10.28515625" style="2"/>
    <col min="13067" max="13067" width="15.140625" style="2" customWidth="1"/>
    <col min="13068" max="13068" width="9" style="2" customWidth="1"/>
    <col min="13069" max="13069" width="13.28515625" style="2" customWidth="1"/>
    <col min="13070" max="13070" width="15.7109375" style="2" customWidth="1"/>
    <col min="13071" max="13071" width="12.28515625" style="2" customWidth="1"/>
    <col min="13072" max="13072" width="12.42578125" style="2" customWidth="1"/>
    <col min="13073" max="13073" width="12.140625" style="2" customWidth="1"/>
    <col min="13074" max="13074" width="13.85546875" style="2" customWidth="1"/>
    <col min="13075" max="13075" width="10.5703125" style="2" customWidth="1"/>
    <col min="13076" max="13076" width="12.7109375" style="2" customWidth="1"/>
    <col min="13077" max="13077" width="10.7109375" style="2" customWidth="1"/>
    <col min="13078" max="13078" width="10.140625" style="2" customWidth="1"/>
    <col min="13079" max="13079" width="18.28515625" style="2" customWidth="1"/>
    <col min="13080" max="13322" width="10.28515625" style="2"/>
    <col min="13323" max="13323" width="15.140625" style="2" customWidth="1"/>
    <col min="13324" max="13324" width="9" style="2" customWidth="1"/>
    <col min="13325" max="13325" width="13.28515625" style="2" customWidth="1"/>
    <col min="13326" max="13326" width="15.7109375" style="2" customWidth="1"/>
    <col min="13327" max="13327" width="12.28515625" style="2" customWidth="1"/>
    <col min="13328" max="13328" width="12.42578125" style="2" customWidth="1"/>
    <col min="13329" max="13329" width="12.140625" style="2" customWidth="1"/>
    <col min="13330" max="13330" width="13.85546875" style="2" customWidth="1"/>
    <col min="13331" max="13331" width="10.5703125" style="2" customWidth="1"/>
    <col min="13332" max="13332" width="12.7109375" style="2" customWidth="1"/>
    <col min="13333" max="13333" width="10.7109375" style="2" customWidth="1"/>
    <col min="13334" max="13334" width="10.140625" style="2" customWidth="1"/>
    <col min="13335" max="13335" width="18.28515625" style="2" customWidth="1"/>
    <col min="13336" max="13578" width="10.28515625" style="2"/>
    <col min="13579" max="13579" width="15.140625" style="2" customWidth="1"/>
    <col min="13580" max="13580" width="9" style="2" customWidth="1"/>
    <col min="13581" max="13581" width="13.28515625" style="2" customWidth="1"/>
    <col min="13582" max="13582" width="15.7109375" style="2" customWidth="1"/>
    <col min="13583" max="13583" width="12.28515625" style="2" customWidth="1"/>
    <col min="13584" max="13584" width="12.42578125" style="2" customWidth="1"/>
    <col min="13585" max="13585" width="12.140625" style="2" customWidth="1"/>
    <col min="13586" max="13586" width="13.85546875" style="2" customWidth="1"/>
    <col min="13587" max="13587" width="10.5703125" style="2" customWidth="1"/>
    <col min="13588" max="13588" width="12.7109375" style="2" customWidth="1"/>
    <col min="13589" max="13589" width="10.7109375" style="2" customWidth="1"/>
    <col min="13590" max="13590" width="10.140625" style="2" customWidth="1"/>
    <col min="13591" max="13591" width="18.28515625" style="2" customWidth="1"/>
    <col min="13592" max="13834" width="10.28515625" style="2"/>
    <col min="13835" max="13835" width="15.140625" style="2" customWidth="1"/>
    <col min="13836" max="13836" width="9" style="2" customWidth="1"/>
    <col min="13837" max="13837" width="13.28515625" style="2" customWidth="1"/>
    <col min="13838" max="13838" width="15.7109375" style="2" customWidth="1"/>
    <col min="13839" max="13839" width="12.28515625" style="2" customWidth="1"/>
    <col min="13840" max="13840" width="12.42578125" style="2" customWidth="1"/>
    <col min="13841" max="13841" width="12.140625" style="2" customWidth="1"/>
    <col min="13842" max="13842" width="13.85546875" style="2" customWidth="1"/>
    <col min="13843" max="13843" width="10.5703125" style="2" customWidth="1"/>
    <col min="13844" max="13844" width="12.7109375" style="2" customWidth="1"/>
    <col min="13845" max="13845" width="10.7109375" style="2" customWidth="1"/>
    <col min="13846" max="13846" width="10.140625" style="2" customWidth="1"/>
    <col min="13847" max="13847" width="18.28515625" style="2" customWidth="1"/>
    <col min="13848" max="14090" width="10.28515625" style="2"/>
    <col min="14091" max="14091" width="15.140625" style="2" customWidth="1"/>
    <col min="14092" max="14092" width="9" style="2" customWidth="1"/>
    <col min="14093" max="14093" width="13.28515625" style="2" customWidth="1"/>
    <col min="14094" max="14094" width="15.7109375" style="2" customWidth="1"/>
    <col min="14095" max="14095" width="12.28515625" style="2" customWidth="1"/>
    <col min="14096" max="14096" width="12.42578125" style="2" customWidth="1"/>
    <col min="14097" max="14097" width="12.140625" style="2" customWidth="1"/>
    <col min="14098" max="14098" width="13.85546875" style="2" customWidth="1"/>
    <col min="14099" max="14099" width="10.5703125" style="2" customWidth="1"/>
    <col min="14100" max="14100" width="12.7109375" style="2" customWidth="1"/>
    <col min="14101" max="14101" width="10.7109375" style="2" customWidth="1"/>
    <col min="14102" max="14102" width="10.140625" style="2" customWidth="1"/>
    <col min="14103" max="14103" width="18.28515625" style="2" customWidth="1"/>
    <col min="14104" max="14346" width="10.28515625" style="2"/>
    <col min="14347" max="14347" width="15.140625" style="2" customWidth="1"/>
    <col min="14348" max="14348" width="9" style="2" customWidth="1"/>
    <col min="14349" max="14349" width="13.28515625" style="2" customWidth="1"/>
    <col min="14350" max="14350" width="15.7109375" style="2" customWidth="1"/>
    <col min="14351" max="14351" width="12.28515625" style="2" customWidth="1"/>
    <col min="14352" max="14352" width="12.42578125" style="2" customWidth="1"/>
    <col min="14353" max="14353" width="12.140625" style="2" customWidth="1"/>
    <col min="14354" max="14354" width="13.85546875" style="2" customWidth="1"/>
    <col min="14355" max="14355" width="10.5703125" style="2" customWidth="1"/>
    <col min="14356" max="14356" width="12.7109375" style="2" customWidth="1"/>
    <col min="14357" max="14357" width="10.7109375" style="2" customWidth="1"/>
    <col min="14358" max="14358" width="10.140625" style="2" customWidth="1"/>
    <col min="14359" max="14359" width="18.28515625" style="2" customWidth="1"/>
    <col min="14360" max="14602" width="10.28515625" style="2"/>
    <col min="14603" max="14603" width="15.140625" style="2" customWidth="1"/>
    <col min="14604" max="14604" width="9" style="2" customWidth="1"/>
    <col min="14605" max="14605" width="13.28515625" style="2" customWidth="1"/>
    <col min="14606" max="14606" width="15.7109375" style="2" customWidth="1"/>
    <col min="14607" max="14607" width="12.28515625" style="2" customWidth="1"/>
    <col min="14608" max="14608" width="12.42578125" style="2" customWidth="1"/>
    <col min="14609" max="14609" width="12.140625" style="2" customWidth="1"/>
    <col min="14610" max="14610" width="13.85546875" style="2" customWidth="1"/>
    <col min="14611" max="14611" width="10.5703125" style="2" customWidth="1"/>
    <col min="14612" max="14612" width="12.7109375" style="2" customWidth="1"/>
    <col min="14613" max="14613" width="10.7109375" style="2" customWidth="1"/>
    <col min="14614" max="14614" width="10.140625" style="2" customWidth="1"/>
    <col min="14615" max="14615" width="18.28515625" style="2" customWidth="1"/>
    <col min="14616" max="14858" width="10.28515625" style="2"/>
    <col min="14859" max="14859" width="15.140625" style="2" customWidth="1"/>
    <col min="14860" max="14860" width="9" style="2" customWidth="1"/>
    <col min="14861" max="14861" width="13.28515625" style="2" customWidth="1"/>
    <col min="14862" max="14862" width="15.7109375" style="2" customWidth="1"/>
    <col min="14863" max="14863" width="12.28515625" style="2" customWidth="1"/>
    <col min="14864" max="14864" width="12.42578125" style="2" customWidth="1"/>
    <col min="14865" max="14865" width="12.140625" style="2" customWidth="1"/>
    <col min="14866" max="14866" width="13.85546875" style="2" customWidth="1"/>
    <col min="14867" max="14867" width="10.5703125" style="2" customWidth="1"/>
    <col min="14868" max="14868" width="12.7109375" style="2" customWidth="1"/>
    <col min="14869" max="14869" width="10.7109375" style="2" customWidth="1"/>
    <col min="14870" max="14870" width="10.140625" style="2" customWidth="1"/>
    <col min="14871" max="14871" width="18.28515625" style="2" customWidth="1"/>
    <col min="14872" max="15114" width="10.28515625" style="2"/>
    <col min="15115" max="15115" width="15.140625" style="2" customWidth="1"/>
    <col min="15116" max="15116" width="9" style="2" customWidth="1"/>
    <col min="15117" max="15117" width="13.28515625" style="2" customWidth="1"/>
    <col min="15118" max="15118" width="15.7109375" style="2" customWidth="1"/>
    <col min="15119" max="15119" width="12.28515625" style="2" customWidth="1"/>
    <col min="15120" max="15120" width="12.42578125" style="2" customWidth="1"/>
    <col min="15121" max="15121" width="12.140625" style="2" customWidth="1"/>
    <col min="15122" max="15122" width="13.85546875" style="2" customWidth="1"/>
    <col min="15123" max="15123" width="10.5703125" style="2" customWidth="1"/>
    <col min="15124" max="15124" width="12.7109375" style="2" customWidth="1"/>
    <col min="15125" max="15125" width="10.7109375" style="2" customWidth="1"/>
    <col min="15126" max="15126" width="10.140625" style="2" customWidth="1"/>
    <col min="15127" max="15127" width="18.28515625" style="2" customWidth="1"/>
    <col min="15128" max="15370" width="10.28515625" style="2"/>
    <col min="15371" max="15371" width="15.140625" style="2" customWidth="1"/>
    <col min="15372" max="15372" width="9" style="2" customWidth="1"/>
    <col min="15373" max="15373" width="13.28515625" style="2" customWidth="1"/>
    <col min="15374" max="15374" width="15.7109375" style="2" customWidth="1"/>
    <col min="15375" max="15375" width="12.28515625" style="2" customWidth="1"/>
    <col min="15376" max="15376" width="12.42578125" style="2" customWidth="1"/>
    <col min="15377" max="15377" width="12.140625" style="2" customWidth="1"/>
    <col min="15378" max="15378" width="13.85546875" style="2" customWidth="1"/>
    <col min="15379" max="15379" width="10.5703125" style="2" customWidth="1"/>
    <col min="15380" max="15380" width="12.7109375" style="2" customWidth="1"/>
    <col min="15381" max="15381" width="10.7109375" style="2" customWidth="1"/>
    <col min="15382" max="15382" width="10.140625" style="2" customWidth="1"/>
    <col min="15383" max="15383" width="18.28515625" style="2" customWidth="1"/>
    <col min="15384" max="15626" width="10.28515625" style="2"/>
    <col min="15627" max="15627" width="15.140625" style="2" customWidth="1"/>
    <col min="15628" max="15628" width="9" style="2" customWidth="1"/>
    <col min="15629" max="15629" width="13.28515625" style="2" customWidth="1"/>
    <col min="15630" max="15630" width="15.7109375" style="2" customWidth="1"/>
    <col min="15631" max="15631" width="12.28515625" style="2" customWidth="1"/>
    <col min="15632" max="15632" width="12.42578125" style="2" customWidth="1"/>
    <col min="15633" max="15633" width="12.140625" style="2" customWidth="1"/>
    <col min="15634" max="15634" width="13.85546875" style="2" customWidth="1"/>
    <col min="15635" max="15635" width="10.5703125" style="2" customWidth="1"/>
    <col min="15636" max="15636" width="12.7109375" style="2" customWidth="1"/>
    <col min="15637" max="15637" width="10.7109375" style="2" customWidth="1"/>
    <col min="15638" max="15638" width="10.140625" style="2" customWidth="1"/>
    <col min="15639" max="15639" width="18.28515625" style="2" customWidth="1"/>
    <col min="15640" max="15882" width="10.28515625" style="2"/>
    <col min="15883" max="15883" width="15.140625" style="2" customWidth="1"/>
    <col min="15884" max="15884" width="9" style="2" customWidth="1"/>
    <col min="15885" max="15885" width="13.28515625" style="2" customWidth="1"/>
    <col min="15886" max="15886" width="15.7109375" style="2" customWidth="1"/>
    <col min="15887" max="15887" width="12.28515625" style="2" customWidth="1"/>
    <col min="15888" max="15888" width="12.42578125" style="2" customWidth="1"/>
    <col min="15889" max="15889" width="12.140625" style="2" customWidth="1"/>
    <col min="15890" max="15890" width="13.85546875" style="2" customWidth="1"/>
    <col min="15891" max="15891" width="10.5703125" style="2" customWidth="1"/>
    <col min="15892" max="15892" width="12.7109375" style="2" customWidth="1"/>
    <col min="15893" max="15893" width="10.7109375" style="2" customWidth="1"/>
    <col min="15894" max="15894" width="10.140625" style="2" customWidth="1"/>
    <col min="15895" max="15895" width="18.28515625" style="2" customWidth="1"/>
    <col min="15896" max="16138" width="10.28515625" style="2"/>
    <col min="16139" max="16139" width="15.140625" style="2" customWidth="1"/>
    <col min="16140" max="16140" width="9" style="2" customWidth="1"/>
    <col min="16141" max="16141" width="13.28515625" style="2" customWidth="1"/>
    <col min="16142" max="16142" width="15.7109375" style="2" customWidth="1"/>
    <col min="16143" max="16143" width="12.28515625" style="2" customWidth="1"/>
    <col min="16144" max="16144" width="12.42578125" style="2" customWidth="1"/>
    <col min="16145" max="16145" width="12.140625" style="2" customWidth="1"/>
    <col min="16146" max="16146" width="13.85546875" style="2" customWidth="1"/>
    <col min="16147" max="16147" width="10.5703125" style="2" customWidth="1"/>
    <col min="16148" max="16148" width="12.7109375" style="2" customWidth="1"/>
    <col min="16149" max="16149" width="10.7109375" style="2" customWidth="1"/>
    <col min="16150" max="16150" width="10.140625" style="2" customWidth="1"/>
    <col min="16151" max="16151" width="18.28515625" style="2" customWidth="1"/>
    <col min="16152" max="16384" width="10.28515625" style="2"/>
  </cols>
  <sheetData>
    <row r="1" spans="1:24" ht="15.75">
      <c r="B1" s="380" t="s">
        <v>170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</row>
    <row r="2" spans="1:24" ht="15.75">
      <c r="B2" s="380" t="s">
        <v>171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</row>
    <row r="3" spans="1:24" ht="16.5" customHeight="1">
      <c r="B3" s="381" t="s">
        <v>172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429"/>
    </row>
    <row r="4" spans="1:24" ht="15.75">
      <c r="B4" s="380" t="s">
        <v>173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</row>
    <row r="5" spans="1:24" ht="14.25" customHeight="1">
      <c r="A5" s="430" t="s">
        <v>257</v>
      </c>
      <c r="B5" s="430"/>
      <c r="C5" s="430"/>
      <c r="D5" s="383"/>
      <c r="E5" s="384"/>
      <c r="F5" s="384"/>
      <c r="G5" s="384"/>
      <c r="H5" s="384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431" t="s">
        <v>237</v>
      </c>
    </row>
    <row r="6" spans="1:24" s="1" customFormat="1" ht="63.75">
      <c r="A6" s="387" t="s">
        <v>238</v>
      </c>
      <c r="B6" s="387" t="s">
        <v>239</v>
      </c>
      <c r="C6" s="387" t="s">
        <v>240</v>
      </c>
      <c r="D6" s="387" t="s">
        <v>241</v>
      </c>
      <c r="E6" s="388" t="s">
        <v>242</v>
      </c>
      <c r="F6" s="389"/>
      <c r="G6" s="390" t="s">
        <v>258</v>
      </c>
      <c r="H6" s="387" t="s">
        <v>245</v>
      </c>
      <c r="I6" s="387" t="s">
        <v>246</v>
      </c>
      <c r="J6" s="387" t="s">
        <v>247</v>
      </c>
      <c r="K6" s="391" t="s">
        <v>259</v>
      </c>
      <c r="L6" s="390" t="s">
        <v>249</v>
      </c>
      <c r="M6" s="387" t="s">
        <v>250</v>
      </c>
      <c r="N6" s="5" t="s">
        <v>176</v>
      </c>
      <c r="O6" s="387" t="s">
        <v>251</v>
      </c>
      <c r="P6" s="5" t="s">
        <v>177</v>
      </c>
      <c r="Q6" s="5" t="s">
        <v>178</v>
      </c>
      <c r="R6" s="5" t="s">
        <v>179</v>
      </c>
      <c r="S6" s="6" t="s">
        <v>215</v>
      </c>
      <c r="T6" s="6" t="s">
        <v>181</v>
      </c>
      <c r="U6" s="6" t="s">
        <v>216</v>
      </c>
      <c r="V6" s="7" t="s">
        <v>183</v>
      </c>
      <c r="W6" s="387" t="s">
        <v>260</v>
      </c>
    </row>
    <row r="7" spans="1:24" ht="18.75" customHeight="1">
      <c r="A7" s="393">
        <v>45352</v>
      </c>
      <c r="B7" s="432" t="s">
        <v>217</v>
      </c>
      <c r="C7" s="394" t="s">
        <v>218</v>
      </c>
      <c r="D7" s="433"/>
      <c r="E7" s="434" t="s">
        <v>126</v>
      </c>
      <c r="F7" s="435"/>
      <c r="G7" s="406">
        <f t="shared" ref="G7" si="0">IFERROR(IF(R7&gt;0,V7*R7,""),"input error")</f>
        <v>292.30753305600001</v>
      </c>
      <c r="H7" s="436">
        <v>224.62</v>
      </c>
      <c r="I7" s="399" t="s">
        <v>219</v>
      </c>
      <c r="J7" s="397">
        <v>0</v>
      </c>
      <c r="K7" s="437">
        <f>IFERROR(IF(H7&gt;0,H7/G7,""),"input error")</f>
        <v>0.76843726075635388</v>
      </c>
      <c r="L7" s="438" t="str">
        <f>IFERROR(IF(J7&gt;0,J7/(H7+J7),""),"input error")</f>
        <v/>
      </c>
      <c r="M7" s="387" t="s">
        <v>220</v>
      </c>
      <c r="N7" s="387">
        <v>3</v>
      </c>
      <c r="O7" s="387">
        <v>7.5</v>
      </c>
      <c r="P7" s="387">
        <v>0</v>
      </c>
      <c r="Q7" s="387">
        <f>IFERROR(IF(O7&gt;0,O7*N7-P7,""),"input error")</f>
        <v>22.5</v>
      </c>
      <c r="R7" s="405">
        <f>'[1]退火 镀锡 烤漆工时anil celup cat'!G34</f>
        <v>12.9914459136</v>
      </c>
      <c r="S7" s="439">
        <f>IFERROR(IF(R7&gt;0,1/R7,""),"input error")</f>
        <v>7.6973726146460517E-2</v>
      </c>
      <c r="T7" s="439">
        <f t="shared" ref="T7" si="1">IFERROR(IF(H7&gt;0,S7*H7,""),"input error")</f>
        <v>17.289838367017961</v>
      </c>
      <c r="U7" s="440">
        <f>IFERROR(IF(T7&lt;&gt;"",SUM(T7),""),“input error”)</f>
        <v>17.289838367017961</v>
      </c>
      <c r="V7" s="441">
        <f t="shared" ref="V7" si="2">IFERROR(IF(T7&lt;&gt;"",Q7*T7/U7,""),"input error")</f>
        <v>22.5</v>
      </c>
      <c r="W7" s="8"/>
    </row>
    <row r="8" spans="1:24" ht="18.75" customHeight="1">
      <c r="A8" s="4"/>
      <c r="B8" s="394"/>
      <c r="C8" s="394"/>
      <c r="D8" s="394"/>
      <c r="E8" s="395"/>
      <c r="F8" s="442"/>
      <c r="G8" s="406"/>
      <c r="H8" s="443"/>
      <c r="I8" s="399"/>
      <c r="J8" s="397"/>
      <c r="K8" s="437" t="str">
        <f t="shared" ref="K8:K50" si="3">IFERROR(IF(H8&gt;0,H8/G8,""),"input error")</f>
        <v/>
      </c>
      <c r="L8" s="438" t="str">
        <f t="shared" ref="L8:L87" si="4">IFERROR(IF(J8&gt;0,J8/(H8+J8),""),"input error")</f>
        <v/>
      </c>
      <c r="M8" s="387"/>
      <c r="N8" s="403"/>
      <c r="O8" s="403"/>
      <c r="P8" s="403"/>
      <c r="Q8" s="387" t="str">
        <f t="shared" ref="Q8:Q87" si="5">IFERROR(IF(O8&gt;0,O8*N8-P8,""),"input error")</f>
        <v/>
      </c>
      <c r="R8" s="387"/>
      <c r="S8" s="439" t="str">
        <f t="shared" ref="S8:S87" si="6">IFERROR(IF(R8&gt;0,1/R8,""),"input error")</f>
        <v/>
      </c>
      <c r="T8" s="439"/>
      <c r="U8" s="444"/>
      <c r="V8" s="441"/>
      <c r="W8" s="8"/>
    </row>
    <row r="9" spans="1:24" ht="18.75" customHeight="1">
      <c r="A9" s="393">
        <v>45353</v>
      </c>
      <c r="B9" s="432" t="s">
        <v>217</v>
      </c>
      <c r="C9" s="394" t="s">
        <v>218</v>
      </c>
      <c r="D9" s="394"/>
      <c r="E9" s="434" t="s">
        <v>126</v>
      </c>
      <c r="F9" s="435"/>
      <c r="G9" s="406">
        <f t="shared" ref="G9:G17" si="7">IFERROR(IF(R9&gt;0,V9*R9,""),"input error")</f>
        <v>194.87168870400001</v>
      </c>
      <c r="H9" s="443">
        <v>161.74</v>
      </c>
      <c r="I9" s="399" t="s">
        <v>219</v>
      </c>
      <c r="J9" s="397">
        <v>0</v>
      </c>
      <c r="K9" s="437">
        <f t="shared" si="3"/>
        <v>0.82998203112856828</v>
      </c>
      <c r="L9" s="438" t="str">
        <f t="shared" si="4"/>
        <v/>
      </c>
      <c r="M9" s="387" t="s">
        <v>220</v>
      </c>
      <c r="N9" s="387">
        <v>3</v>
      </c>
      <c r="O9" s="387">
        <v>5</v>
      </c>
      <c r="P9" s="387">
        <v>0</v>
      </c>
      <c r="Q9" s="387">
        <f t="shared" si="5"/>
        <v>15</v>
      </c>
      <c r="R9" s="405">
        <f>'[1]退火 镀锡 烤漆工时anil celup cat'!G34</f>
        <v>12.9914459136</v>
      </c>
      <c r="S9" s="439">
        <f t="shared" si="6"/>
        <v>7.6973726146460517E-2</v>
      </c>
      <c r="T9" s="439">
        <f t="shared" ref="T9" si="8">IFERROR(IF(H9&gt;0,S9*H9,""),"input error")</f>
        <v>12.449730466928525</v>
      </c>
      <c r="U9" s="440">
        <f>IFERROR(IF(T9&lt;&gt;"",SUM(T9),""),“input error”)</f>
        <v>12.449730466928525</v>
      </c>
      <c r="V9" s="441">
        <f t="shared" ref="V9" si="9">IFERROR(IF(T9&lt;&gt;"",Q9*T9/U9,""),"input error")</f>
        <v>15</v>
      </c>
      <c r="W9" s="8"/>
    </row>
    <row r="10" spans="1:24" ht="18.75" customHeight="1">
      <c r="A10" s="393"/>
      <c r="B10" s="432"/>
      <c r="C10" s="394"/>
      <c r="D10" s="394"/>
      <c r="E10" s="395"/>
      <c r="F10" s="442"/>
      <c r="G10" s="406"/>
      <c r="H10" s="443"/>
      <c r="I10" s="399"/>
      <c r="J10" s="397"/>
      <c r="K10" s="437" t="str">
        <f t="shared" si="3"/>
        <v/>
      </c>
      <c r="L10" s="438"/>
      <c r="M10" s="387"/>
      <c r="N10" s="403"/>
      <c r="O10" s="403"/>
      <c r="P10" s="403"/>
      <c r="Q10" s="387"/>
      <c r="R10" s="405"/>
      <c r="S10" s="439"/>
      <c r="T10" s="439"/>
      <c r="U10" s="440"/>
      <c r="V10" s="441"/>
      <c r="W10" s="8"/>
    </row>
    <row r="11" spans="1:24" ht="18.75" customHeight="1">
      <c r="A11" s="393">
        <v>45355</v>
      </c>
      <c r="B11" s="394" t="s">
        <v>221</v>
      </c>
      <c r="C11" s="394" t="s">
        <v>218</v>
      </c>
      <c r="D11" s="394"/>
      <c r="E11" s="434" t="s">
        <v>113</v>
      </c>
      <c r="F11" s="435"/>
      <c r="G11" s="406">
        <f t="shared" si="7"/>
        <v>361.15682803199996</v>
      </c>
      <c r="H11" s="443">
        <v>372.38</v>
      </c>
      <c r="I11" s="399" t="s">
        <v>219</v>
      </c>
      <c r="J11" s="397">
        <v>0</v>
      </c>
      <c r="K11" s="437">
        <f t="shared" si="3"/>
        <v>1.0310756189469181</v>
      </c>
      <c r="L11" s="438"/>
      <c r="M11" s="387" t="s">
        <v>220</v>
      </c>
      <c r="N11" s="403">
        <v>3</v>
      </c>
      <c r="O11" s="403">
        <v>7.5</v>
      </c>
      <c r="P11" s="403">
        <v>0</v>
      </c>
      <c r="Q11" s="387">
        <f>IFERROR(IF(O11&gt;0,O11*N11-P11,""),"input error")</f>
        <v>22.5</v>
      </c>
      <c r="R11" s="405">
        <f>'[1]退火 镀锡 烤漆工时anil celup cat'!G6</f>
        <v>16.051414579199999</v>
      </c>
      <c r="S11" s="439">
        <f>IFERROR(IF(R11&gt;0,1/R11,""),"input error")</f>
        <v>6.2299805108506509E-2</v>
      </c>
      <c r="T11" s="439">
        <f t="shared" ref="T11:T12" si="10">IFERROR(IF(H11&gt;0,S11*H11,""),"input error")</f>
        <v>23.199201426305653</v>
      </c>
      <c r="U11" s="440">
        <f>IFERROR(IF(T11&lt;&gt;"",SUM(T11),""),“input error”)</f>
        <v>23.199201426305653</v>
      </c>
      <c r="V11" s="441">
        <f t="shared" ref="V11:V12" si="11">IFERROR(IF(T11&lt;&gt;"",Q11*T11/U11,""),"input error")</f>
        <v>22.5</v>
      </c>
      <c r="W11" s="8"/>
    </row>
    <row r="12" spans="1:24" ht="18.75" customHeight="1">
      <c r="A12" s="393">
        <v>45355</v>
      </c>
      <c r="B12" s="432" t="s">
        <v>217</v>
      </c>
      <c r="C12" s="394" t="s">
        <v>218</v>
      </c>
      <c r="D12" s="394"/>
      <c r="E12" s="434" t="s">
        <v>126</v>
      </c>
      <c r="F12" s="435"/>
      <c r="G12" s="406">
        <f t="shared" si="7"/>
        <v>97.435844352000004</v>
      </c>
      <c r="H12" s="443">
        <v>3.86</v>
      </c>
      <c r="I12" s="399" t="s">
        <v>219</v>
      </c>
      <c r="J12" s="397">
        <v>1</v>
      </c>
      <c r="K12" s="437">
        <f t="shared" si="3"/>
        <v>3.9615811056711678E-2</v>
      </c>
      <c r="L12" s="438"/>
      <c r="M12" s="387" t="s">
        <v>222</v>
      </c>
      <c r="N12" s="403">
        <v>1</v>
      </c>
      <c r="O12" s="403">
        <v>7.5</v>
      </c>
      <c r="P12" s="403">
        <v>0</v>
      </c>
      <c r="Q12" s="387">
        <f>IFERROR(IF(O12&gt;0,O12*N12-P12,""),"input error")</f>
        <v>7.5</v>
      </c>
      <c r="R12" s="405">
        <f>'[1]退火 镀锡 烤漆工时anil celup cat'!G34</f>
        <v>12.9914459136</v>
      </c>
      <c r="S12" s="439">
        <f>IFERROR(IF(R12&gt;0,1/R12,""),"input error")</f>
        <v>7.6973726146460517E-2</v>
      </c>
      <c r="T12" s="439">
        <f t="shared" si="10"/>
        <v>0.2971185829253376</v>
      </c>
      <c r="U12" s="440">
        <f>IFERROR(IF(T12&lt;&gt;"",SUM(T12),""),“input error”)</f>
        <v>0.2971185829253376</v>
      </c>
      <c r="V12" s="441">
        <f t="shared" si="11"/>
        <v>7.5</v>
      </c>
      <c r="W12" s="8"/>
    </row>
    <row r="13" spans="1:24" ht="18.75" customHeight="1">
      <c r="A13" s="393"/>
      <c r="B13" s="394"/>
      <c r="C13" s="394"/>
      <c r="D13" s="394"/>
      <c r="E13" s="395"/>
      <c r="F13" s="442"/>
      <c r="G13" s="406"/>
      <c r="H13" s="443"/>
      <c r="I13" s="399"/>
      <c r="J13" s="397"/>
      <c r="K13" s="437" t="str">
        <f t="shared" si="3"/>
        <v/>
      </c>
      <c r="L13" s="438"/>
      <c r="M13" s="387"/>
      <c r="N13" s="403"/>
      <c r="O13" s="403"/>
      <c r="P13" s="403"/>
      <c r="Q13" s="387"/>
      <c r="R13" s="405"/>
      <c r="S13" s="439"/>
      <c r="T13" s="439"/>
      <c r="U13" s="440"/>
      <c r="V13" s="441"/>
      <c r="W13" s="8"/>
    </row>
    <row r="14" spans="1:24" ht="18.75" customHeight="1">
      <c r="A14" s="393">
        <v>45356</v>
      </c>
      <c r="B14" s="445" t="s">
        <v>221</v>
      </c>
      <c r="C14" s="394" t="s">
        <v>223</v>
      </c>
      <c r="D14" s="394"/>
      <c r="E14" s="434" t="s">
        <v>113</v>
      </c>
      <c r="F14" s="435"/>
      <c r="G14" s="406">
        <f t="shared" si="7"/>
        <v>361.15682803199996</v>
      </c>
      <c r="H14" s="443">
        <v>394.7</v>
      </c>
      <c r="I14" s="399" t="s">
        <v>219</v>
      </c>
      <c r="J14" s="397">
        <v>0</v>
      </c>
      <c r="K14" s="437">
        <f t="shared" si="3"/>
        <v>1.0928770256145564</v>
      </c>
      <c r="L14" s="438"/>
      <c r="M14" s="387" t="s">
        <v>220</v>
      </c>
      <c r="N14" s="403">
        <v>3</v>
      </c>
      <c r="O14" s="403">
        <v>7.5</v>
      </c>
      <c r="P14" s="403">
        <v>0</v>
      </c>
      <c r="Q14" s="387">
        <f t="shared" ref="Q14:Q16" si="12">IFERROR(IF(O14&gt;0,O14*N14-P14,""),"input error")</f>
        <v>22.5</v>
      </c>
      <c r="R14" s="405">
        <f>'[1]退火 镀锡 烤漆工时anil celup cat'!G6</f>
        <v>16.051414579199999</v>
      </c>
      <c r="S14" s="439">
        <f t="shared" ref="S14:S17" si="13">IFERROR(IF(R14&gt;0,1/R14,""),"input error")</f>
        <v>6.2299805108506509E-2</v>
      </c>
      <c r="T14" s="439">
        <f t="shared" ref="T14:T17" si="14">IFERROR(IF(H14&gt;0,S14*H14,""),"input error")</f>
        <v>24.589733076327519</v>
      </c>
      <c r="U14" s="440">
        <f>IFERROR(IF(T14&lt;&gt;"",SUM(T14),""),“input error”)</f>
        <v>24.589733076327519</v>
      </c>
      <c r="V14" s="441">
        <f t="shared" ref="V14:V15" si="15">IFERROR(IF(T14&lt;&gt;"",Q14*T14/U14,""),"input error")</f>
        <v>22.5</v>
      </c>
      <c r="W14" s="8"/>
    </row>
    <row r="15" spans="1:24" ht="18.75" customHeight="1">
      <c r="A15" s="393">
        <v>45356</v>
      </c>
      <c r="B15" s="446"/>
      <c r="C15" s="394" t="s">
        <v>223</v>
      </c>
      <c r="D15" s="394"/>
      <c r="E15" s="434" t="s">
        <v>131</v>
      </c>
      <c r="F15" s="435"/>
      <c r="G15" s="406">
        <f t="shared" si="7"/>
        <v>837.46510848000003</v>
      </c>
      <c r="H15" s="443">
        <v>120.26</v>
      </c>
      <c r="I15" s="399" t="s">
        <v>219</v>
      </c>
      <c r="J15" s="397">
        <v>0</v>
      </c>
      <c r="K15" s="437">
        <f t="shared" si="3"/>
        <v>0.14360001244502235</v>
      </c>
      <c r="L15" s="438"/>
      <c r="M15" s="387" t="s">
        <v>224</v>
      </c>
      <c r="N15" s="403">
        <v>2</v>
      </c>
      <c r="O15" s="403">
        <v>7.5</v>
      </c>
      <c r="P15" s="403">
        <v>0</v>
      </c>
      <c r="Q15" s="387">
        <f t="shared" si="12"/>
        <v>15</v>
      </c>
      <c r="R15" s="405">
        <f>'[1]退火 镀锡 烤漆工时anil celup cat'!G10</f>
        <v>55.831007231999997</v>
      </c>
      <c r="S15" s="439">
        <f t="shared" si="13"/>
        <v>1.7911193968695623E-2</v>
      </c>
      <c r="T15" s="439">
        <f t="shared" si="14"/>
        <v>2.1540001866753355</v>
      </c>
      <c r="U15" s="440">
        <f>IFERROR(IF(T15&lt;&gt;"",SUM(T15),""),“input error”)</f>
        <v>2.1540001866753355</v>
      </c>
      <c r="V15" s="441">
        <f t="shared" si="15"/>
        <v>15.000000000000002</v>
      </c>
      <c r="W15" s="8"/>
    </row>
    <row r="16" spans="1:24" ht="18.75" customHeight="1">
      <c r="A16" s="393">
        <v>45356</v>
      </c>
      <c r="B16" s="446"/>
      <c r="C16" s="394" t="s">
        <v>223</v>
      </c>
      <c r="D16" s="394"/>
      <c r="E16" s="434" t="s">
        <v>119</v>
      </c>
      <c r="F16" s="435"/>
      <c r="G16" s="406">
        <f t="shared" si="7"/>
        <v>59.828502094050066</v>
      </c>
      <c r="H16" s="443">
        <v>9.02</v>
      </c>
      <c r="I16" s="399" t="s">
        <v>219</v>
      </c>
      <c r="J16" s="397">
        <v>0</v>
      </c>
      <c r="K16" s="437">
        <f t="shared" si="3"/>
        <v>0.15076426258876766</v>
      </c>
      <c r="L16" s="438"/>
      <c r="M16" s="387" t="s">
        <v>225</v>
      </c>
      <c r="N16" s="415">
        <v>1</v>
      </c>
      <c r="O16" s="415">
        <v>7.5</v>
      </c>
      <c r="P16" s="415">
        <v>0</v>
      </c>
      <c r="Q16" s="415">
        <f t="shared" si="12"/>
        <v>7.5</v>
      </c>
      <c r="R16" s="405">
        <f>'[1]退火 镀锡 烤漆工时anil celup cat'!G20</f>
        <v>15.353526988800001</v>
      </c>
      <c r="S16" s="439">
        <f t="shared" si="13"/>
        <v>6.5131614431620438E-2</v>
      </c>
      <c r="T16" s="439">
        <f t="shared" si="14"/>
        <v>0.58748716217321628</v>
      </c>
      <c r="U16" s="447">
        <f>IFERROR(IF(T16:T17&lt;&gt;"",SUM(T16:T17),""),“input error”)</f>
        <v>1.1307319694157574</v>
      </c>
      <c r="V16" s="441">
        <f>IFERROR(IF(T16&lt;&gt;"",$Q$16*T16/$U$16,""),"input error")</f>
        <v>3.8967269304110648</v>
      </c>
      <c r="W16" s="8"/>
    </row>
    <row r="17" spans="1:23" ht="18.75" customHeight="1">
      <c r="A17" s="393">
        <v>45356</v>
      </c>
      <c r="B17" s="448"/>
      <c r="C17" s="394" t="s">
        <v>223</v>
      </c>
      <c r="D17" s="394"/>
      <c r="E17" s="434" t="s">
        <v>121</v>
      </c>
      <c r="F17" s="435"/>
      <c r="G17" s="406">
        <f t="shared" si="7"/>
        <v>82.512923065408287</v>
      </c>
      <c r="H17" s="443">
        <v>12.44</v>
      </c>
      <c r="I17" s="399" t="s">
        <v>219</v>
      </c>
      <c r="J17" s="397">
        <v>0</v>
      </c>
      <c r="K17" s="437">
        <f t="shared" si="3"/>
        <v>0.15076426258876766</v>
      </c>
      <c r="L17" s="438"/>
      <c r="M17" s="387" t="s">
        <v>225</v>
      </c>
      <c r="N17" s="419"/>
      <c r="O17" s="419"/>
      <c r="P17" s="419"/>
      <c r="Q17" s="419"/>
      <c r="R17" s="405">
        <f>'[1]退火 镀锡 烤漆工时anil celup cat'!G21</f>
        <v>22.899436560000002</v>
      </c>
      <c r="S17" s="439">
        <f t="shared" si="13"/>
        <v>4.3669196723676938E-2</v>
      </c>
      <c r="T17" s="439">
        <f t="shared" si="14"/>
        <v>0.54324480724254109</v>
      </c>
      <c r="U17" s="449"/>
      <c r="V17" s="441">
        <f>IFERROR(IF(T17&lt;&gt;"",$Q$16*T17/$U$16,""),"input error")</f>
        <v>3.6032730695889352</v>
      </c>
      <c r="W17" s="8"/>
    </row>
    <row r="18" spans="1:23" ht="18.75" customHeight="1">
      <c r="A18" s="393"/>
      <c r="B18" s="450"/>
      <c r="C18" s="394"/>
      <c r="D18" s="394"/>
      <c r="E18" s="395"/>
      <c r="F18" s="442"/>
      <c r="G18" s="406"/>
      <c r="H18" s="443"/>
      <c r="I18" s="399"/>
      <c r="J18" s="397"/>
      <c r="K18" s="437" t="str">
        <f t="shared" si="3"/>
        <v/>
      </c>
      <c r="L18" s="438"/>
      <c r="M18" s="387"/>
      <c r="N18" s="421"/>
      <c r="O18" s="421"/>
      <c r="P18" s="421"/>
      <c r="Q18" s="422"/>
      <c r="R18" s="405"/>
      <c r="S18" s="439"/>
      <c r="T18" s="439"/>
      <c r="U18" s="451"/>
      <c r="V18" s="441"/>
      <c r="W18" s="8"/>
    </row>
    <row r="19" spans="1:23" ht="18.75" customHeight="1">
      <c r="A19" s="393">
        <v>45357</v>
      </c>
      <c r="B19" s="445" t="s">
        <v>221</v>
      </c>
      <c r="C19" s="394" t="s">
        <v>223</v>
      </c>
      <c r="D19" s="394"/>
      <c r="E19" s="434" t="s">
        <v>113</v>
      </c>
      <c r="F19" s="435"/>
      <c r="G19" s="406">
        <f t="shared" ref="G19:G22" si="16">IFERROR(IF(R19&gt;0,V19*R19,""),"input error")</f>
        <v>361.15682803200002</v>
      </c>
      <c r="H19" s="443">
        <v>382.02</v>
      </c>
      <c r="I19" s="399" t="s">
        <v>219</v>
      </c>
      <c r="J19" s="397">
        <v>0</v>
      </c>
      <c r="K19" s="437">
        <f t="shared" si="3"/>
        <v>1.0577676243356291</v>
      </c>
      <c r="L19" s="438"/>
      <c r="M19" s="387" t="s">
        <v>220</v>
      </c>
      <c r="N19" s="403">
        <v>3</v>
      </c>
      <c r="O19" s="403">
        <v>7.5</v>
      </c>
      <c r="P19" s="403">
        <v>0</v>
      </c>
      <c r="Q19" s="387">
        <f t="shared" ref="Q19:Q20" si="17">IFERROR(IF(O19&gt;0,O19*N19-P19,""),"input error")</f>
        <v>22.5</v>
      </c>
      <c r="R19" s="405">
        <f>'[1]退火 镀锡 烤漆工时anil celup cat'!G6</f>
        <v>16.051414579199999</v>
      </c>
      <c r="S19" s="439">
        <f t="shared" ref="S19:S22" si="18">IFERROR(IF(R19&gt;0,1/R19,""),"input error")</f>
        <v>6.2299805108506509E-2</v>
      </c>
      <c r="T19" s="439">
        <f t="shared" ref="T19:T22" si="19">IFERROR(IF(H19&gt;0,S19*H19,""),"input error")</f>
        <v>23.799771547551657</v>
      </c>
      <c r="U19" s="440">
        <f>IFERROR(IF(T19&lt;&gt;"",SUM(T19),""),“input error”)</f>
        <v>23.799771547551657</v>
      </c>
      <c r="V19" s="441">
        <f t="shared" ref="V19" si="20">IFERROR(IF(T19&lt;&gt;"",Q19*T19/U19,""),"input error")</f>
        <v>22.500000000000004</v>
      </c>
      <c r="W19" s="8"/>
    </row>
    <row r="20" spans="1:23" ht="18.75" customHeight="1">
      <c r="A20" s="393">
        <v>45357</v>
      </c>
      <c r="B20" s="446"/>
      <c r="C20" s="394" t="s">
        <v>223</v>
      </c>
      <c r="D20" s="394"/>
      <c r="E20" s="434" t="s">
        <v>131</v>
      </c>
      <c r="F20" s="435"/>
      <c r="G20" s="406">
        <f t="shared" si="16"/>
        <v>297.07082689680249</v>
      </c>
      <c r="H20" s="443">
        <v>76.84</v>
      </c>
      <c r="I20" s="399" t="s">
        <v>219</v>
      </c>
      <c r="J20" s="397">
        <v>0</v>
      </c>
      <c r="K20" s="437">
        <f t="shared" si="3"/>
        <v>0.25865885520523679</v>
      </c>
      <c r="L20" s="438"/>
      <c r="M20" s="387" t="s">
        <v>226</v>
      </c>
      <c r="N20" s="411">
        <v>1</v>
      </c>
      <c r="O20" s="411">
        <v>7.5</v>
      </c>
      <c r="P20" s="411">
        <v>0</v>
      </c>
      <c r="Q20" s="411">
        <f t="shared" si="17"/>
        <v>7.5</v>
      </c>
      <c r="R20" s="405">
        <f>'[1]退火 镀锡 烤漆工时anil celup cat'!G10</f>
        <v>55.831007231999997</v>
      </c>
      <c r="S20" s="439">
        <f t="shared" si="18"/>
        <v>1.7911193968695623E-2</v>
      </c>
      <c r="T20" s="439">
        <f t="shared" si="19"/>
        <v>1.3762961445545716</v>
      </c>
      <c r="U20" s="452">
        <f>SUM(T20:T22)</f>
        <v>1.9399414140392759</v>
      </c>
      <c r="V20" s="441">
        <f>IFERROR(IF(T20&lt;&gt;"",$Q$20*T20/$U$20,""),"input error")</f>
        <v>5.3208932029894296</v>
      </c>
      <c r="W20" s="8"/>
    </row>
    <row r="21" spans="1:23" ht="18.75" customHeight="1">
      <c r="A21" s="393">
        <v>45357</v>
      </c>
      <c r="B21" s="446"/>
      <c r="C21" s="394" t="s">
        <v>223</v>
      </c>
      <c r="D21" s="394"/>
      <c r="E21" s="434" t="s">
        <v>119</v>
      </c>
      <c r="F21" s="435"/>
      <c r="G21" s="406">
        <f t="shared" si="16"/>
        <v>23.969796027592086</v>
      </c>
      <c r="H21" s="443">
        <v>6.2</v>
      </c>
      <c r="I21" s="399" t="s">
        <v>219</v>
      </c>
      <c r="J21" s="397">
        <v>0</v>
      </c>
      <c r="K21" s="437">
        <f t="shared" si="3"/>
        <v>0.25865885520523674</v>
      </c>
      <c r="L21" s="438"/>
      <c r="M21" s="387" t="s">
        <v>226</v>
      </c>
      <c r="N21" s="411"/>
      <c r="O21" s="411"/>
      <c r="P21" s="411"/>
      <c r="Q21" s="411"/>
      <c r="R21" s="405">
        <f>'[1]退火 镀锡 烤漆工时anil celup cat'!G20</f>
        <v>15.353526988800001</v>
      </c>
      <c r="S21" s="439">
        <f t="shared" si="18"/>
        <v>6.5131614431620438E-2</v>
      </c>
      <c r="T21" s="439">
        <f t="shared" si="19"/>
        <v>0.40381600947604673</v>
      </c>
      <c r="U21" s="452"/>
      <c r="V21" s="441">
        <f t="shared" ref="V21:V22" si="21">IFERROR(IF(T21&lt;&gt;"",$Q$20*T21/$U$20,""),"input error")</f>
        <v>1.5611915128737148</v>
      </c>
      <c r="W21" s="8"/>
    </row>
    <row r="22" spans="1:23" ht="18.75" customHeight="1">
      <c r="A22" s="393">
        <v>45357</v>
      </c>
      <c r="B22" s="448"/>
      <c r="C22" s="394" t="s">
        <v>223</v>
      </c>
      <c r="D22" s="394"/>
      <c r="E22" s="434" t="s">
        <v>121</v>
      </c>
      <c r="F22" s="435"/>
      <c r="G22" s="406">
        <f t="shared" si="16"/>
        <v>14.149911848546294</v>
      </c>
      <c r="H22" s="443">
        <v>3.66</v>
      </c>
      <c r="I22" s="399" t="s">
        <v>219</v>
      </c>
      <c r="J22" s="397">
        <v>0</v>
      </c>
      <c r="K22" s="437">
        <f t="shared" si="3"/>
        <v>0.25865885520523679</v>
      </c>
      <c r="L22" s="438"/>
      <c r="M22" s="387" t="s">
        <v>226</v>
      </c>
      <c r="N22" s="411"/>
      <c r="O22" s="411"/>
      <c r="P22" s="411"/>
      <c r="Q22" s="411"/>
      <c r="R22" s="405">
        <f>'[1]退火 镀锡 烤漆工时anil celup cat'!G21</f>
        <v>22.899436560000002</v>
      </c>
      <c r="S22" s="439">
        <f t="shared" si="18"/>
        <v>4.3669196723676938E-2</v>
      </c>
      <c r="T22" s="439">
        <f t="shared" si="19"/>
        <v>0.1598292600086576</v>
      </c>
      <c r="U22" s="452"/>
      <c r="V22" s="441">
        <f t="shared" si="21"/>
        <v>0.61791528413685537</v>
      </c>
      <c r="W22" s="8"/>
    </row>
    <row r="23" spans="1:23" ht="18.75" customHeight="1">
      <c r="A23" s="393"/>
      <c r="B23" s="450"/>
      <c r="C23" s="394"/>
      <c r="D23" s="394"/>
      <c r="E23" s="395"/>
      <c r="F23" s="442"/>
      <c r="G23" s="406"/>
      <c r="H23" s="443"/>
      <c r="I23" s="399"/>
      <c r="J23" s="397"/>
      <c r="K23" s="437" t="str">
        <f t="shared" si="3"/>
        <v/>
      </c>
      <c r="L23" s="438"/>
      <c r="M23" s="387"/>
      <c r="N23" s="421"/>
      <c r="O23" s="421"/>
      <c r="P23" s="421"/>
      <c r="Q23" s="422"/>
      <c r="R23" s="405"/>
      <c r="S23" s="439"/>
      <c r="T23" s="439"/>
      <c r="U23" s="451"/>
      <c r="V23" s="441"/>
      <c r="W23" s="8"/>
    </row>
    <row r="24" spans="1:23" ht="18.75" customHeight="1">
      <c r="A24" s="393">
        <v>45358</v>
      </c>
      <c r="B24" s="394" t="s">
        <v>221</v>
      </c>
      <c r="C24" s="394" t="s">
        <v>227</v>
      </c>
      <c r="D24" s="394"/>
      <c r="E24" s="434" t="s">
        <v>113</v>
      </c>
      <c r="F24" s="435"/>
      <c r="G24" s="406">
        <f t="shared" ref="G24" si="22">IFERROR(IF(R24&gt;0,V24*R24,""),"input error")</f>
        <v>361.15682803199996</v>
      </c>
      <c r="H24" s="443">
        <v>502.94</v>
      </c>
      <c r="I24" s="399" t="s">
        <v>219</v>
      </c>
      <c r="J24" s="397">
        <v>0</v>
      </c>
      <c r="K24" s="437">
        <f t="shared" si="3"/>
        <v>1.3925806213898786</v>
      </c>
      <c r="L24" s="438"/>
      <c r="M24" s="387" t="s">
        <v>220</v>
      </c>
      <c r="N24" s="403">
        <v>3</v>
      </c>
      <c r="O24" s="403">
        <v>7.5</v>
      </c>
      <c r="P24" s="403">
        <v>0</v>
      </c>
      <c r="Q24" s="387">
        <f t="shared" ref="Q24" si="23">IFERROR(IF(O24&gt;0,O24*N24-P24,""),"input error")</f>
        <v>22.5</v>
      </c>
      <c r="R24" s="405">
        <f>'[1]退火 镀锡 烤漆工时anil celup cat'!G6</f>
        <v>16.051414579199999</v>
      </c>
      <c r="S24" s="439">
        <f t="shared" ref="S24" si="24">IFERROR(IF(R24&gt;0,1/R24,""),"input error")</f>
        <v>6.2299805108506509E-2</v>
      </c>
      <c r="T24" s="439">
        <f t="shared" ref="T24" si="25">IFERROR(IF(H24&gt;0,S24*H24,""),"input error")</f>
        <v>31.333063981272264</v>
      </c>
      <c r="U24" s="440">
        <f>IFERROR(IF(T24&lt;&gt;"",SUM(T24),""),“input error”)</f>
        <v>31.333063981272264</v>
      </c>
      <c r="V24" s="441">
        <f t="shared" ref="V24" si="26">IFERROR(IF(T24&lt;&gt;"",Q24*T24/U24,""),"input error")</f>
        <v>22.5</v>
      </c>
      <c r="W24" s="8"/>
    </row>
    <row r="25" spans="1:23" ht="18.75" customHeight="1">
      <c r="A25" s="393"/>
      <c r="B25" s="450"/>
      <c r="C25" s="394"/>
      <c r="D25" s="394"/>
      <c r="E25" s="395"/>
      <c r="F25" s="442"/>
      <c r="G25" s="406"/>
      <c r="H25" s="443"/>
      <c r="I25" s="399"/>
      <c r="J25" s="397"/>
      <c r="K25" s="437" t="str">
        <f t="shared" si="3"/>
        <v/>
      </c>
      <c r="L25" s="438"/>
      <c r="M25" s="387"/>
      <c r="N25" s="403"/>
      <c r="O25" s="403"/>
      <c r="P25" s="403"/>
      <c r="Q25" s="387"/>
      <c r="R25" s="405"/>
      <c r="S25" s="439"/>
      <c r="T25" s="439"/>
      <c r="U25" s="440"/>
      <c r="V25" s="441"/>
      <c r="W25" s="8"/>
    </row>
    <row r="26" spans="1:23" ht="18.75" customHeight="1">
      <c r="A26" s="393">
        <v>45359</v>
      </c>
      <c r="B26" s="445" t="s">
        <v>221</v>
      </c>
      <c r="C26" s="394" t="s">
        <v>227</v>
      </c>
      <c r="D26" s="394"/>
      <c r="E26" s="434" t="s">
        <v>113</v>
      </c>
      <c r="F26" s="435"/>
      <c r="G26" s="406">
        <f t="shared" ref="G26:G27" si="27">IFERROR(IF(R26&gt;0,V26*R26,""),"input error")</f>
        <v>361.15682803199996</v>
      </c>
      <c r="H26" s="443">
        <v>486.42</v>
      </c>
      <c r="I26" s="399" t="s">
        <v>219</v>
      </c>
      <c r="J26" s="397">
        <v>0</v>
      </c>
      <c r="K26" s="437">
        <f t="shared" si="3"/>
        <v>1.3468387200390994</v>
      </c>
      <c r="L26" s="438"/>
      <c r="M26" s="387" t="s">
        <v>220</v>
      </c>
      <c r="N26" s="403">
        <v>3</v>
      </c>
      <c r="O26" s="403">
        <v>7.5</v>
      </c>
      <c r="P26" s="403">
        <v>0</v>
      </c>
      <c r="Q26" s="387">
        <f t="shared" ref="Q26:Q27" si="28">IFERROR(IF(O26&gt;0,O26*N26-P26,""),"input error")</f>
        <v>22.5</v>
      </c>
      <c r="R26" s="405">
        <f>'[1]退火 镀锡 烤漆工时anil celup cat'!G6</f>
        <v>16.051414579199999</v>
      </c>
      <c r="S26" s="439">
        <f t="shared" ref="S26:S27" si="29">IFERROR(IF(R26&gt;0,1/R26,""),"input error")</f>
        <v>6.2299805108506509E-2</v>
      </c>
      <c r="T26" s="439">
        <f t="shared" ref="T26:T27" si="30">IFERROR(IF(H26&gt;0,S26*H26,""),"input error")</f>
        <v>30.303871200879737</v>
      </c>
      <c r="U26" s="440">
        <f>IFERROR(IF(T26&lt;&gt;"",SUM(T26),""),“input error”)</f>
        <v>30.303871200879737</v>
      </c>
      <c r="V26" s="441">
        <f t="shared" ref="V26:V27" si="31">IFERROR(IF(T26&lt;&gt;"",Q26*T26/U26,""),"input error")</f>
        <v>22.5</v>
      </c>
      <c r="W26" s="8"/>
    </row>
    <row r="27" spans="1:23" ht="18.75" customHeight="1">
      <c r="A27" s="393">
        <v>45359</v>
      </c>
      <c r="B27" s="448"/>
      <c r="C27" s="394" t="s">
        <v>227</v>
      </c>
      <c r="D27" s="394"/>
      <c r="E27" s="434" t="s">
        <v>119</v>
      </c>
      <c r="F27" s="435"/>
      <c r="G27" s="406">
        <f t="shared" si="27"/>
        <v>115.151452416</v>
      </c>
      <c r="H27" s="443">
        <v>3.76</v>
      </c>
      <c r="I27" s="399" t="s">
        <v>219</v>
      </c>
      <c r="J27" s="397">
        <v>0</v>
      </c>
      <c r="K27" s="437">
        <f t="shared" si="3"/>
        <v>3.265264936838571E-2</v>
      </c>
      <c r="L27" s="438"/>
      <c r="M27" s="387" t="s">
        <v>226</v>
      </c>
      <c r="N27" s="403">
        <v>1</v>
      </c>
      <c r="O27" s="403">
        <v>7.5</v>
      </c>
      <c r="P27" s="403">
        <v>0</v>
      </c>
      <c r="Q27" s="387">
        <f t="shared" si="28"/>
        <v>7.5</v>
      </c>
      <c r="R27" s="405">
        <f>'[1]退火 镀锡 烤漆工时anil celup cat'!G20</f>
        <v>15.353526988800001</v>
      </c>
      <c r="S27" s="439">
        <f t="shared" si="29"/>
        <v>6.5131614431620438E-2</v>
      </c>
      <c r="T27" s="439">
        <f t="shared" si="30"/>
        <v>0.24489487026289283</v>
      </c>
      <c r="U27" s="440">
        <f>IFERROR(IF(T27&lt;&gt;"",SUM(T27),""),“input error”)</f>
        <v>0.24489487026289283</v>
      </c>
      <c r="V27" s="441">
        <f t="shared" si="31"/>
        <v>7.5</v>
      </c>
      <c r="W27" s="8"/>
    </row>
    <row r="28" spans="1:23" ht="18.75" customHeight="1">
      <c r="A28" s="393"/>
      <c r="B28" s="450"/>
      <c r="C28" s="394"/>
      <c r="D28" s="394"/>
      <c r="E28" s="395"/>
      <c r="F28" s="442"/>
      <c r="G28" s="406"/>
      <c r="H28" s="443"/>
      <c r="I28" s="399"/>
      <c r="J28" s="397"/>
      <c r="K28" s="437" t="str">
        <f t="shared" si="3"/>
        <v/>
      </c>
      <c r="L28" s="438"/>
      <c r="M28" s="387"/>
      <c r="N28" s="403"/>
      <c r="O28" s="403"/>
      <c r="P28" s="403"/>
      <c r="Q28" s="387"/>
      <c r="R28" s="405"/>
      <c r="S28" s="439"/>
      <c r="T28" s="439"/>
      <c r="U28" s="440"/>
      <c r="V28" s="441"/>
      <c r="W28" s="8"/>
    </row>
    <row r="29" spans="1:23" ht="18.75" customHeight="1">
      <c r="A29" s="393">
        <v>45360</v>
      </c>
      <c r="B29" s="394" t="s">
        <v>221</v>
      </c>
      <c r="C29" s="394" t="s">
        <v>218</v>
      </c>
      <c r="D29" s="394"/>
      <c r="E29" s="434" t="s">
        <v>113</v>
      </c>
      <c r="F29" s="435"/>
      <c r="G29" s="406">
        <f t="shared" ref="G29:G46" si="32">IFERROR(IF(R29&gt;0,V29*R29,""),"input error")</f>
        <v>240.77121868799998</v>
      </c>
      <c r="H29" s="443">
        <v>337.68</v>
      </c>
      <c r="I29" s="399" t="s">
        <v>219</v>
      </c>
      <c r="J29" s="397">
        <v>0</v>
      </c>
      <c r="K29" s="437">
        <f t="shared" si="3"/>
        <v>1.4024932126026988</v>
      </c>
      <c r="L29" s="438"/>
      <c r="M29" s="387" t="s">
        <v>220</v>
      </c>
      <c r="N29" s="403">
        <v>3</v>
      </c>
      <c r="O29" s="403">
        <v>5</v>
      </c>
      <c r="P29" s="403">
        <v>0</v>
      </c>
      <c r="Q29" s="387">
        <f t="shared" ref="Q29" si="33">IFERROR(IF(O29&gt;0,O29*N29-P29,""),"input error")</f>
        <v>15</v>
      </c>
      <c r="R29" s="405">
        <f>'[1]退火 镀锡 烤漆工时anil celup cat'!G6</f>
        <v>16.051414579199999</v>
      </c>
      <c r="S29" s="439">
        <f t="shared" ref="S29" si="34">IFERROR(IF(R29&gt;0,1/R29,""),"input error")</f>
        <v>6.2299805108506509E-2</v>
      </c>
      <c r="T29" s="439">
        <f t="shared" ref="T29" si="35">IFERROR(IF(H29&gt;0,S29*H29,""),"input error")</f>
        <v>21.037398189040477</v>
      </c>
      <c r="U29" s="440">
        <f>IFERROR(IF(T29&lt;&gt;"",SUM(T29),""),“input error”)</f>
        <v>21.037398189040477</v>
      </c>
      <c r="V29" s="441">
        <f t="shared" ref="V29" si="36">IFERROR(IF(T29&lt;&gt;"",Q29*T29/U29,""),"input error")</f>
        <v>15</v>
      </c>
      <c r="W29" s="8"/>
    </row>
    <row r="30" spans="1:23" ht="18.75" customHeight="1">
      <c r="A30" s="393"/>
      <c r="B30" s="394"/>
      <c r="C30" s="394"/>
      <c r="D30" s="394"/>
      <c r="E30" s="395"/>
      <c r="F30" s="442"/>
      <c r="G30" s="406"/>
      <c r="H30" s="443"/>
      <c r="I30" s="399"/>
      <c r="J30" s="397"/>
      <c r="K30" s="437" t="str">
        <f t="shared" si="3"/>
        <v/>
      </c>
      <c r="L30" s="438"/>
      <c r="M30" s="387"/>
      <c r="N30" s="403"/>
      <c r="O30" s="403"/>
      <c r="P30" s="403"/>
      <c r="Q30" s="387"/>
      <c r="R30" s="405"/>
      <c r="S30" s="439"/>
      <c r="T30" s="439"/>
      <c r="U30" s="440"/>
      <c r="V30" s="441"/>
      <c r="W30" s="8"/>
    </row>
    <row r="31" spans="1:23" ht="18.75" customHeight="1">
      <c r="A31" s="393">
        <v>45363</v>
      </c>
      <c r="B31" s="445" t="s">
        <v>221</v>
      </c>
      <c r="C31" s="394" t="s">
        <v>227</v>
      </c>
      <c r="D31" s="394"/>
      <c r="E31" s="434" t="s">
        <v>113</v>
      </c>
      <c r="F31" s="435"/>
      <c r="G31" s="406">
        <f t="shared" si="32"/>
        <v>221.01249939000442</v>
      </c>
      <c r="H31" s="443">
        <v>275.92</v>
      </c>
      <c r="I31" s="399" t="s">
        <v>219</v>
      </c>
      <c r="J31" s="397">
        <v>0</v>
      </c>
      <c r="K31" s="437">
        <f t="shared" si="3"/>
        <v>1.2484361778702135</v>
      </c>
      <c r="L31" s="438"/>
      <c r="M31" s="387" t="s">
        <v>228</v>
      </c>
      <c r="N31" s="403">
        <v>2</v>
      </c>
      <c r="O31" s="403">
        <v>7.5</v>
      </c>
      <c r="P31" s="403">
        <v>0</v>
      </c>
      <c r="Q31" s="415">
        <f t="shared" ref="Q31:Q33" si="37">IFERROR(IF(O31&gt;0,O31*N31-P31,""),"input error")</f>
        <v>15</v>
      </c>
      <c r="R31" s="405">
        <f>'[1]退火 镀锡 烤漆工时anil celup cat'!G6</f>
        <v>16.051414579199999</v>
      </c>
      <c r="S31" s="439">
        <f t="shared" ref="S31:S39" si="38">IFERROR(IF(R31&gt;0,1/R31,""),"input error")</f>
        <v>6.2299805108506509E-2</v>
      </c>
      <c r="T31" s="439">
        <f t="shared" ref="T31:T33" si="39">IFERROR(IF(H31&gt;0,S31*H31,""),"input error")</f>
        <v>17.189762225539116</v>
      </c>
      <c r="U31" s="447">
        <f>IFERROR(IF(T31:T32&lt;&gt;"",SUM(T31:T32),""),“input error”)</f>
        <v>18.726542668053199</v>
      </c>
      <c r="V31" s="441">
        <f>IFERROR(IF(T31&lt;&gt;"",$Q$31*T31/$U$31,""),"input error")</f>
        <v>13.76903563854119</v>
      </c>
      <c r="W31" s="8"/>
    </row>
    <row r="32" spans="1:23" ht="18.75" customHeight="1">
      <c r="A32" s="393">
        <v>45363</v>
      </c>
      <c r="B32" s="448"/>
      <c r="C32" s="394" t="s">
        <v>227</v>
      </c>
      <c r="D32" s="394"/>
      <c r="E32" s="434" t="s">
        <v>131</v>
      </c>
      <c r="F32" s="435"/>
      <c r="G32" s="406">
        <f t="shared" si="32"/>
        <v>569.10038577267142</v>
      </c>
      <c r="H32" s="443">
        <v>85.8</v>
      </c>
      <c r="I32" s="399" t="s">
        <v>219</v>
      </c>
      <c r="J32" s="397">
        <v>0</v>
      </c>
      <c r="K32" s="437">
        <f t="shared" si="3"/>
        <v>0.15076426258876763</v>
      </c>
      <c r="L32" s="438"/>
      <c r="M32" s="387" t="s">
        <v>229</v>
      </c>
      <c r="N32" s="403">
        <v>1</v>
      </c>
      <c r="O32" s="403">
        <v>7.5</v>
      </c>
      <c r="P32" s="403">
        <v>0</v>
      </c>
      <c r="Q32" s="419"/>
      <c r="R32" s="405">
        <f>'[1]退火 镀锡 烤漆工时anil celup cat'!G10</f>
        <v>55.831007231999997</v>
      </c>
      <c r="S32" s="439">
        <f t="shared" si="38"/>
        <v>1.7911193968695623E-2</v>
      </c>
      <c r="T32" s="439">
        <f t="shared" si="39"/>
        <v>1.5367804425140843</v>
      </c>
      <c r="U32" s="449"/>
      <c r="V32" s="441">
        <f>IFERROR(IF(T32&lt;&gt;"",$Q$16*T32/$U$16,""),"input error")</f>
        <v>10.193267397233823</v>
      </c>
      <c r="W32" s="8"/>
    </row>
    <row r="33" spans="1:23" ht="18.75" customHeight="1">
      <c r="A33" s="393">
        <v>45363</v>
      </c>
      <c r="B33" s="432" t="s">
        <v>217</v>
      </c>
      <c r="C33" s="394" t="s">
        <v>218</v>
      </c>
      <c r="D33" s="394"/>
      <c r="E33" s="434" t="s">
        <v>126</v>
      </c>
      <c r="F33" s="435"/>
      <c r="G33" s="406">
        <f t="shared" si="32"/>
        <v>194.87168870399998</v>
      </c>
      <c r="H33" s="443">
        <v>146.80000000000001</v>
      </c>
      <c r="I33" s="399" t="s">
        <v>219</v>
      </c>
      <c r="J33" s="397">
        <v>0</v>
      </c>
      <c r="K33" s="437">
        <f t="shared" si="3"/>
        <v>0.75331619988669374</v>
      </c>
      <c r="L33" s="438"/>
      <c r="M33" s="387" t="s">
        <v>230</v>
      </c>
      <c r="N33" s="403">
        <v>2</v>
      </c>
      <c r="O33" s="403">
        <v>7.5</v>
      </c>
      <c r="P33" s="403">
        <v>0</v>
      </c>
      <c r="Q33" s="387">
        <f t="shared" si="37"/>
        <v>15</v>
      </c>
      <c r="R33" s="405">
        <f>'[1]退火 镀锡 烤漆工时anil celup cat'!G34</f>
        <v>12.9914459136</v>
      </c>
      <c r="S33" s="439">
        <f t="shared" si="38"/>
        <v>7.6973726146460517E-2</v>
      </c>
      <c r="T33" s="439">
        <f t="shared" si="39"/>
        <v>11.299742998300404</v>
      </c>
      <c r="U33" s="440">
        <f>IFERROR(IF(T33&lt;&gt;"",SUM(T33),""),“input error”)</f>
        <v>11.299742998300404</v>
      </c>
      <c r="V33" s="441">
        <f t="shared" ref="V33" si="40">IFERROR(IF(T33&lt;&gt;"",Q33*T33/U33,""),"input error")</f>
        <v>14.999999999999998</v>
      </c>
      <c r="W33" s="8"/>
    </row>
    <row r="34" spans="1:23" ht="18.75" customHeight="1">
      <c r="A34" s="393"/>
      <c r="B34" s="432"/>
      <c r="C34" s="394"/>
      <c r="D34" s="394"/>
      <c r="E34" s="395"/>
      <c r="F34" s="442"/>
      <c r="G34" s="406"/>
      <c r="H34" s="443"/>
      <c r="I34" s="399"/>
      <c r="J34" s="397"/>
      <c r="K34" s="437" t="str">
        <f t="shared" si="3"/>
        <v/>
      </c>
      <c r="L34" s="438"/>
      <c r="M34" s="387"/>
      <c r="N34" s="403"/>
      <c r="O34" s="403"/>
      <c r="P34" s="403"/>
      <c r="Q34" s="387"/>
      <c r="R34" s="405"/>
      <c r="S34" s="439"/>
      <c r="T34" s="439"/>
      <c r="U34" s="440"/>
      <c r="V34" s="441"/>
      <c r="W34" s="8"/>
    </row>
    <row r="35" spans="1:23" ht="18.75" customHeight="1">
      <c r="A35" s="393">
        <v>45364</v>
      </c>
      <c r="B35" s="445" t="s">
        <v>221</v>
      </c>
      <c r="C35" s="394" t="s">
        <v>223</v>
      </c>
      <c r="D35" s="394"/>
      <c r="E35" s="434" t="s">
        <v>113</v>
      </c>
      <c r="F35" s="435"/>
      <c r="G35" s="406">
        <f t="shared" si="32"/>
        <v>123.48200218141787</v>
      </c>
      <c r="H35" s="443">
        <v>162.36000000000001</v>
      </c>
      <c r="I35" s="399" t="s">
        <v>219</v>
      </c>
      <c r="J35" s="397">
        <v>0</v>
      </c>
      <c r="K35" s="437">
        <f t="shared" si="3"/>
        <v>1.3148474849109038</v>
      </c>
      <c r="L35" s="438"/>
      <c r="M35" s="415" t="s">
        <v>231</v>
      </c>
      <c r="N35" s="415">
        <v>3</v>
      </c>
      <c r="O35" s="415">
        <v>7.5</v>
      </c>
      <c r="P35" s="415">
        <v>0</v>
      </c>
      <c r="Q35" s="415">
        <f>IFERROR(IF(O35&gt;0,O35*N35-P35,""),"input error")</f>
        <v>22.5</v>
      </c>
      <c r="R35" s="405">
        <f>'[1]退火 镀锡 烤漆工时anil celup cat'!G6</f>
        <v>16.051414579199999</v>
      </c>
      <c r="S35" s="439">
        <f t="shared" si="38"/>
        <v>6.2299805108506509E-2</v>
      </c>
      <c r="T35" s="439">
        <f t="shared" ref="T35:T39" si="41">IFERROR(IF(H35&gt;0,S35*H35,""),"input error")</f>
        <v>10.114996357417118</v>
      </c>
      <c r="U35" s="447">
        <f>SUM(T35:T39)</f>
        <v>29.584068410495334</v>
      </c>
      <c r="V35" s="441">
        <f t="shared" ref="V35:V38" si="42">IFERROR(IF(T35&lt;&gt;"",$Q$35*T35/$U$35,""),"input error")</f>
        <v>7.6929046703105088</v>
      </c>
      <c r="W35" s="8"/>
    </row>
    <row r="36" spans="1:23" ht="18.75" customHeight="1">
      <c r="A36" s="393">
        <v>45364</v>
      </c>
      <c r="B36" s="446"/>
      <c r="C36" s="394" t="s">
        <v>223</v>
      </c>
      <c r="D36" s="394"/>
      <c r="E36" s="434" t="s">
        <v>131</v>
      </c>
      <c r="F36" s="435"/>
      <c r="G36" s="406">
        <f t="shared" si="32"/>
        <v>246.78147368703176</v>
      </c>
      <c r="H36" s="443">
        <v>324.48</v>
      </c>
      <c r="I36" s="399" t="s">
        <v>219</v>
      </c>
      <c r="J36" s="397">
        <v>0</v>
      </c>
      <c r="K36" s="437">
        <f t="shared" si="3"/>
        <v>1.3148474849109035</v>
      </c>
      <c r="L36" s="438"/>
      <c r="M36" s="417"/>
      <c r="N36" s="417"/>
      <c r="O36" s="417"/>
      <c r="P36" s="417"/>
      <c r="Q36" s="417"/>
      <c r="R36" s="405">
        <f>'[1]退火 镀锡 烤漆工时anil celup cat'!G10</f>
        <v>55.831007231999997</v>
      </c>
      <c r="S36" s="439">
        <f t="shared" si="38"/>
        <v>1.7911193968695623E-2</v>
      </c>
      <c r="T36" s="439">
        <f t="shared" si="41"/>
        <v>5.8118242189623563</v>
      </c>
      <c r="U36" s="453"/>
      <c r="V36" s="441">
        <f t="shared" si="42"/>
        <v>4.4201508430889804</v>
      </c>
      <c r="W36" s="8"/>
    </row>
    <row r="37" spans="1:23" ht="18.75" customHeight="1">
      <c r="A37" s="393">
        <v>45364</v>
      </c>
      <c r="B37" s="446"/>
      <c r="C37" s="394" t="s">
        <v>223</v>
      </c>
      <c r="D37" s="394"/>
      <c r="E37" s="434" t="s">
        <v>232</v>
      </c>
      <c r="F37" s="435"/>
      <c r="G37" s="406">
        <f t="shared" si="32"/>
        <v>22.147055330887458</v>
      </c>
      <c r="H37" s="443">
        <v>29.12</v>
      </c>
      <c r="I37" s="399" t="s">
        <v>219</v>
      </c>
      <c r="J37" s="397">
        <v>0</v>
      </c>
      <c r="K37" s="437">
        <f t="shared" si="3"/>
        <v>1.314847484910904</v>
      </c>
      <c r="L37" s="438"/>
      <c r="M37" s="417"/>
      <c r="N37" s="417"/>
      <c r="O37" s="417"/>
      <c r="P37" s="417"/>
      <c r="Q37" s="417"/>
      <c r="R37" s="405">
        <f>'[1]退火 镀锡 烤漆工时anil celup cat'!G24</f>
        <v>53.039456870400002</v>
      </c>
      <c r="S37" s="439">
        <f t="shared" si="38"/>
        <v>1.8853888388100652E-2</v>
      </c>
      <c r="T37" s="439">
        <f t="shared" si="41"/>
        <v>0.54902522986149094</v>
      </c>
      <c r="U37" s="453"/>
      <c r="V37" s="441">
        <f t="shared" si="42"/>
        <v>0.41755810933364168</v>
      </c>
      <c r="W37" s="8"/>
    </row>
    <row r="38" spans="1:23" ht="18.75" customHeight="1">
      <c r="A38" s="393">
        <v>45364</v>
      </c>
      <c r="B38" s="448"/>
      <c r="C38" s="394" t="s">
        <v>223</v>
      </c>
      <c r="D38" s="394"/>
      <c r="E38" s="434" t="s">
        <v>123</v>
      </c>
      <c r="F38" s="435"/>
      <c r="G38" s="406">
        <f t="shared" si="32"/>
        <v>33.935494809896923</v>
      </c>
      <c r="H38" s="443">
        <v>44.62</v>
      </c>
      <c r="I38" s="399" t="s">
        <v>219</v>
      </c>
      <c r="J38" s="397">
        <v>0</v>
      </c>
      <c r="K38" s="437">
        <f t="shared" si="3"/>
        <v>1.3148474849109038</v>
      </c>
      <c r="L38" s="438"/>
      <c r="M38" s="419"/>
      <c r="N38" s="419"/>
      <c r="O38" s="419"/>
      <c r="P38" s="419"/>
      <c r="Q38" s="419"/>
      <c r="R38" s="405">
        <f>'[1]退火 镀锡 烤漆工时anil celup cat'!G23</f>
        <v>36.934501227623997</v>
      </c>
      <c r="S38" s="439">
        <f t="shared" si="38"/>
        <v>2.7074956118591943E-2</v>
      </c>
      <c r="T38" s="439">
        <f t="shared" si="41"/>
        <v>1.2080845420115724</v>
      </c>
      <c r="U38" s="449"/>
      <c r="V38" s="441">
        <f t="shared" si="42"/>
        <v>0.91880203284066386</v>
      </c>
      <c r="W38" s="8"/>
    </row>
    <row r="39" spans="1:23" ht="18.75" customHeight="1">
      <c r="A39" s="393">
        <v>45364</v>
      </c>
      <c r="B39" s="432" t="s">
        <v>217</v>
      </c>
      <c r="C39" s="394" t="s">
        <v>218</v>
      </c>
      <c r="D39" s="394"/>
      <c r="E39" s="434" t="s">
        <v>126</v>
      </c>
      <c r="F39" s="435"/>
      <c r="G39" s="406">
        <f t="shared" si="32"/>
        <v>292.30753305600001</v>
      </c>
      <c r="H39" s="443">
        <v>154.6</v>
      </c>
      <c r="I39" s="399" t="s">
        <v>219</v>
      </c>
      <c r="J39" s="397">
        <v>0</v>
      </c>
      <c r="K39" s="437">
        <f t="shared" si="3"/>
        <v>0.52889502498856866</v>
      </c>
      <c r="L39" s="438"/>
      <c r="M39" s="387" t="s">
        <v>233</v>
      </c>
      <c r="N39" s="403">
        <v>3</v>
      </c>
      <c r="O39" s="403">
        <v>7.5</v>
      </c>
      <c r="P39" s="403">
        <v>0</v>
      </c>
      <c r="Q39" s="387">
        <f t="shared" ref="Q39" si="43">IFERROR(IF(O39&gt;0,O39*N39-P39,""),"input error")</f>
        <v>22.5</v>
      </c>
      <c r="R39" s="405">
        <f>'[1]退火 镀锡 烤漆工时anil celup cat'!G34</f>
        <v>12.9914459136</v>
      </c>
      <c r="S39" s="439">
        <f t="shared" si="38"/>
        <v>7.6973726146460517E-2</v>
      </c>
      <c r="T39" s="439">
        <f t="shared" si="41"/>
        <v>11.900138062242796</v>
      </c>
      <c r="U39" s="440">
        <f>IFERROR(IF(T39&lt;&gt;"",SUM(T39),""),“input error”)</f>
        <v>11.900138062242796</v>
      </c>
      <c r="V39" s="441">
        <f t="shared" ref="V39" si="44">IFERROR(IF(T39&lt;&gt;"",Q39*T39/U39,""),"input error")</f>
        <v>22.5</v>
      </c>
      <c r="W39" s="8"/>
    </row>
    <row r="40" spans="1:23" ht="18.75" customHeight="1">
      <c r="A40" s="393"/>
      <c r="B40" s="432"/>
      <c r="C40" s="394"/>
      <c r="D40" s="394"/>
      <c r="E40" s="395"/>
      <c r="F40" s="442"/>
      <c r="G40" s="406"/>
      <c r="H40" s="443"/>
      <c r="I40" s="399"/>
      <c r="J40" s="397"/>
      <c r="K40" s="437" t="str">
        <f t="shared" si="3"/>
        <v/>
      </c>
      <c r="L40" s="438"/>
      <c r="M40" s="387"/>
      <c r="N40" s="403"/>
      <c r="O40" s="403"/>
      <c r="P40" s="403"/>
      <c r="Q40" s="387"/>
      <c r="R40" s="405"/>
      <c r="S40" s="439"/>
      <c r="T40" s="439"/>
      <c r="U40" s="440"/>
      <c r="V40" s="441"/>
      <c r="W40" s="8"/>
    </row>
    <row r="41" spans="1:23" ht="42.75" customHeight="1">
      <c r="A41" s="393">
        <v>45365</v>
      </c>
      <c r="B41" s="445" t="s">
        <v>221</v>
      </c>
      <c r="C41" s="394" t="s">
        <v>223</v>
      </c>
      <c r="D41" s="394"/>
      <c r="E41" s="434" t="s">
        <v>113</v>
      </c>
      <c r="F41" s="435"/>
      <c r="G41" s="406">
        <f t="shared" si="32"/>
        <v>270.17503411479578</v>
      </c>
      <c r="H41" s="443">
        <v>273.68</v>
      </c>
      <c r="I41" s="399" t="s">
        <v>219</v>
      </c>
      <c r="J41" s="397">
        <v>0</v>
      </c>
      <c r="K41" s="437">
        <f t="shared" si="3"/>
        <v>1.0129729451008971</v>
      </c>
      <c r="L41" s="438"/>
      <c r="M41" s="415" t="s">
        <v>231</v>
      </c>
      <c r="N41" s="415">
        <v>3</v>
      </c>
      <c r="O41" s="415">
        <v>7.5</v>
      </c>
      <c r="P41" s="415">
        <v>0</v>
      </c>
      <c r="Q41" s="415">
        <f>IFERROR(IF(O41&gt;0,O41*N41-P41,""),"input error")</f>
        <v>22.5</v>
      </c>
      <c r="R41" s="405">
        <f>'[1]退火 镀锡 烤漆工时anil celup cat'!G6</f>
        <v>16.051414579199999</v>
      </c>
      <c r="S41" s="439">
        <f t="shared" ref="S41:S44" si="45">IFERROR(IF(R41&gt;0,1/R41,""),"input error")</f>
        <v>6.2299805108506509E-2</v>
      </c>
      <c r="T41" s="439">
        <f t="shared" ref="T41:T47" si="46">IFERROR(IF(H41&gt;0,S41*H41,""),"input error")</f>
        <v>17.050210662096063</v>
      </c>
      <c r="U41" s="447">
        <f>SUM(T41:T44)</f>
        <v>22.791891264770182</v>
      </c>
      <c r="V41" s="441">
        <f>IFERROR(IF(T41&lt;&gt;"",$Q$41*T41/$U$41,""),"input error")</f>
        <v>16.831851970535876</v>
      </c>
      <c r="W41" s="8"/>
    </row>
    <row r="42" spans="1:23" ht="28.5" customHeight="1">
      <c r="A42" s="393">
        <v>45365</v>
      </c>
      <c r="B42" s="446"/>
      <c r="C42" s="394" t="s">
        <v>223</v>
      </c>
      <c r="D42" s="394"/>
      <c r="E42" s="434" t="s">
        <v>131</v>
      </c>
      <c r="F42" s="435"/>
      <c r="G42" s="406">
        <f t="shared" si="32"/>
        <v>268.67450045557888</v>
      </c>
      <c r="H42" s="443">
        <v>272.16000000000003</v>
      </c>
      <c r="I42" s="399" t="s">
        <v>219</v>
      </c>
      <c r="J42" s="397">
        <v>0</v>
      </c>
      <c r="K42" s="437">
        <f t="shared" si="3"/>
        <v>1.0129729451008971</v>
      </c>
      <c r="L42" s="438"/>
      <c r="M42" s="417"/>
      <c r="N42" s="417"/>
      <c r="O42" s="417"/>
      <c r="P42" s="417"/>
      <c r="Q42" s="417"/>
      <c r="R42" s="405">
        <f>'[1]退火 镀锡 烤漆工时anil celup cat'!G10</f>
        <v>55.831007231999997</v>
      </c>
      <c r="S42" s="439">
        <f t="shared" si="45"/>
        <v>1.7911193968695623E-2</v>
      </c>
      <c r="T42" s="439">
        <f t="shared" si="46"/>
        <v>4.8747105505202013</v>
      </c>
      <c r="U42" s="453"/>
      <c r="V42" s="441">
        <f t="shared" ref="V42:V44" si="47">IFERROR(IF(T42&lt;&gt;"",$Q$41*T42/$U$41,""),"input error")</f>
        <v>4.8122810921022738</v>
      </c>
      <c r="W42" s="8"/>
    </row>
    <row r="43" spans="1:23" ht="19.5" customHeight="1">
      <c r="A43" s="393">
        <v>45365</v>
      </c>
      <c r="B43" s="446"/>
      <c r="C43" s="394" t="s">
        <v>223</v>
      </c>
      <c r="D43" s="394"/>
      <c r="E43" s="434" t="s">
        <v>123</v>
      </c>
      <c r="F43" s="435"/>
      <c r="G43" s="406">
        <f t="shared" si="32"/>
        <v>17.848452999106645</v>
      </c>
      <c r="H43" s="443">
        <v>18.079999999999998</v>
      </c>
      <c r="I43" s="399" t="s">
        <v>219</v>
      </c>
      <c r="J43" s="397">
        <v>0</v>
      </c>
      <c r="K43" s="437">
        <f t="shared" si="3"/>
        <v>1.0129729451008971</v>
      </c>
      <c r="L43" s="438"/>
      <c r="M43" s="417"/>
      <c r="N43" s="417"/>
      <c r="O43" s="417"/>
      <c r="P43" s="417"/>
      <c r="Q43" s="417"/>
      <c r="R43" s="405">
        <f>'[1]退火 镀锡 烤漆工时anil celup cat'!G23</f>
        <v>36.934501227623997</v>
      </c>
      <c r="S43" s="439">
        <f t="shared" si="45"/>
        <v>2.7074956118591943E-2</v>
      </c>
      <c r="T43" s="439">
        <f t="shared" si="46"/>
        <v>0.48951520662414227</v>
      </c>
      <c r="U43" s="453"/>
      <c r="V43" s="441">
        <f t="shared" si="47"/>
        <v>0.48324608173556322</v>
      </c>
      <c r="W43" s="8"/>
    </row>
    <row r="44" spans="1:23">
      <c r="A44" s="393">
        <v>45365</v>
      </c>
      <c r="B44" s="448"/>
      <c r="C44" s="394" t="s">
        <v>223</v>
      </c>
      <c r="D44" s="394"/>
      <c r="E44" s="434" t="s">
        <v>232</v>
      </c>
      <c r="F44" s="435"/>
      <c r="G44" s="406">
        <f t="shared" si="32"/>
        <v>19.763607801001942</v>
      </c>
      <c r="H44" s="443">
        <v>20.02</v>
      </c>
      <c r="I44" s="399" t="s">
        <v>219</v>
      </c>
      <c r="J44" s="397">
        <v>0</v>
      </c>
      <c r="K44" s="437">
        <f t="shared" si="3"/>
        <v>1.0129729451008969</v>
      </c>
      <c r="L44" s="438"/>
      <c r="M44" s="419"/>
      <c r="N44" s="419"/>
      <c r="O44" s="419"/>
      <c r="P44" s="419"/>
      <c r="Q44" s="419"/>
      <c r="R44" s="405">
        <f>'[1]退火 镀锡 烤漆工时anil celup cat'!G24</f>
        <v>53.039456870400002</v>
      </c>
      <c r="S44" s="439">
        <f t="shared" si="45"/>
        <v>1.8853888388100652E-2</v>
      </c>
      <c r="T44" s="439">
        <f t="shared" si="46"/>
        <v>0.37745484552977504</v>
      </c>
      <c r="U44" s="449"/>
      <c r="V44" s="441">
        <f t="shared" si="47"/>
        <v>0.372620855626286</v>
      </c>
      <c r="W44" s="8"/>
    </row>
    <row r="45" spans="1:23" ht="15" customHeight="1">
      <c r="A45" s="393"/>
      <c r="B45" s="432"/>
      <c r="C45" s="394"/>
      <c r="D45" s="394"/>
      <c r="E45" s="395"/>
      <c r="F45" s="442"/>
      <c r="G45" s="406"/>
      <c r="H45" s="443"/>
      <c r="I45" s="399"/>
      <c r="J45" s="397"/>
      <c r="K45" s="437" t="str">
        <f t="shared" si="3"/>
        <v/>
      </c>
      <c r="L45" s="438"/>
      <c r="M45" s="387"/>
      <c r="N45" s="403"/>
      <c r="O45" s="403"/>
      <c r="P45" s="403"/>
      <c r="Q45" s="387"/>
      <c r="R45" s="405"/>
      <c r="S45" s="439"/>
      <c r="T45" s="439"/>
      <c r="U45" s="440"/>
      <c r="V45" s="441"/>
      <c r="W45" s="8"/>
    </row>
    <row r="46" spans="1:23">
      <c r="A46" s="393">
        <v>45366</v>
      </c>
      <c r="B46" s="445" t="s">
        <v>221</v>
      </c>
      <c r="C46" s="394" t="s">
        <v>227</v>
      </c>
      <c r="D46" s="394"/>
      <c r="E46" s="434" t="s">
        <v>131</v>
      </c>
      <c r="F46" s="435"/>
      <c r="G46" s="406">
        <f t="shared" si="32"/>
        <v>418.73255423999996</v>
      </c>
      <c r="H46" s="443">
        <v>17.559999999999999</v>
      </c>
      <c r="I46" s="399" t="s">
        <v>219</v>
      </c>
      <c r="J46" s="397">
        <v>0</v>
      </c>
      <c r="K46" s="437">
        <f t="shared" si="3"/>
        <v>4.1936075478706016E-2</v>
      </c>
      <c r="L46" s="438"/>
      <c r="M46" s="387" t="s">
        <v>222</v>
      </c>
      <c r="N46" s="403">
        <v>1</v>
      </c>
      <c r="O46" s="403">
        <v>7.5</v>
      </c>
      <c r="P46" s="403">
        <v>0</v>
      </c>
      <c r="Q46" s="403">
        <f>IFERROR(IF(O46&gt;0,O46*N46-P46,""),"input error")</f>
        <v>7.5</v>
      </c>
      <c r="R46" s="405">
        <f>'[1]退火 镀锡 烤漆工时anil celup cat'!G10</f>
        <v>55.831007231999997</v>
      </c>
      <c r="S46" s="439">
        <f t="shared" ref="S46:S47" si="48">IFERROR(IF(R46&gt;0,1/R46,""),"input error")</f>
        <v>1.7911193968695623E-2</v>
      </c>
      <c r="T46" s="439">
        <f t="shared" si="46"/>
        <v>0.31452056609029511</v>
      </c>
      <c r="U46" s="440">
        <f>SUM(T46)</f>
        <v>0.31452056609029511</v>
      </c>
      <c r="V46" s="441">
        <f t="shared" ref="V46:V47" si="49">IFERROR(IF(T46&lt;&gt;"",Q46*T46/U46,""),"input error")</f>
        <v>7.4999999999999991</v>
      </c>
      <c r="W46" s="8"/>
    </row>
    <row r="47" spans="1:23" ht="15" customHeight="1">
      <c r="A47" s="393">
        <v>45366</v>
      </c>
      <c r="B47" s="448"/>
      <c r="C47" s="394" t="s">
        <v>227</v>
      </c>
      <c r="D47" s="394"/>
      <c r="E47" s="454" t="s">
        <v>113</v>
      </c>
      <c r="F47" s="455"/>
      <c r="G47" s="456">
        <f>IFERROR(IF(R47&gt;0,V47*R47*2,""),"input error")</f>
        <v>722.31365606399993</v>
      </c>
      <c r="H47" s="457">
        <v>744.78</v>
      </c>
      <c r="I47" s="457"/>
      <c r="J47" s="457">
        <v>0</v>
      </c>
      <c r="K47" s="458">
        <f t="shared" si="3"/>
        <v>1.0311033077491885</v>
      </c>
      <c r="L47" s="459"/>
      <c r="M47" s="415" t="s">
        <v>234</v>
      </c>
      <c r="N47" s="415">
        <v>3</v>
      </c>
      <c r="O47" s="415">
        <v>7.5</v>
      </c>
      <c r="P47" s="415">
        <v>0</v>
      </c>
      <c r="Q47" s="415">
        <f>IFERROR(IF(O47&gt;0,O47*N47-P47,""),"input error")</f>
        <v>22.5</v>
      </c>
      <c r="R47" s="460">
        <f>'[1]退火 镀锡 烤漆工时anil celup cat'!G6</f>
        <v>16.051414579199999</v>
      </c>
      <c r="S47" s="447">
        <f t="shared" si="48"/>
        <v>6.2299805108506509E-2</v>
      </c>
      <c r="T47" s="447">
        <f t="shared" si="46"/>
        <v>46.399648848713476</v>
      </c>
      <c r="U47" s="453">
        <f>SUM(T47)</f>
        <v>46.399648848713476</v>
      </c>
      <c r="V47" s="461">
        <f t="shared" si="49"/>
        <v>22.5</v>
      </c>
      <c r="W47" s="8"/>
    </row>
    <row r="48" spans="1:23" ht="37.5" customHeight="1">
      <c r="A48" s="393">
        <v>45366</v>
      </c>
      <c r="B48" s="432" t="s">
        <v>217</v>
      </c>
      <c r="C48" s="394" t="s">
        <v>235</v>
      </c>
      <c r="D48" s="394"/>
      <c r="E48" s="462"/>
      <c r="F48" s="463"/>
      <c r="G48" s="464"/>
      <c r="H48" s="465"/>
      <c r="I48" s="465"/>
      <c r="J48" s="465"/>
      <c r="K48" s="466"/>
      <c r="L48" s="467"/>
      <c r="M48" s="419"/>
      <c r="N48" s="419"/>
      <c r="O48" s="419"/>
      <c r="P48" s="419"/>
      <c r="Q48" s="419"/>
      <c r="R48" s="468"/>
      <c r="S48" s="449"/>
      <c r="T48" s="449"/>
      <c r="U48" s="449"/>
      <c r="V48" s="469"/>
      <c r="W48" s="8"/>
    </row>
    <row r="49" spans="1:23">
      <c r="A49" s="393"/>
      <c r="B49" s="432"/>
      <c r="C49" s="394"/>
      <c r="D49" s="394"/>
      <c r="E49" s="395"/>
      <c r="F49" s="442"/>
      <c r="G49" s="406"/>
      <c r="H49" s="443"/>
      <c r="I49" s="399"/>
      <c r="J49" s="397"/>
      <c r="K49" s="437" t="str">
        <f t="shared" si="3"/>
        <v/>
      </c>
      <c r="L49" s="438"/>
      <c r="M49" s="387"/>
      <c r="N49" s="403"/>
      <c r="O49" s="403"/>
      <c r="P49" s="403"/>
      <c r="Q49" s="387"/>
      <c r="R49" s="405"/>
      <c r="S49" s="439"/>
      <c r="T49" s="439"/>
      <c r="U49" s="440"/>
      <c r="V49" s="441"/>
      <c r="W49" s="8"/>
    </row>
    <row r="50" spans="1:23" ht="15.75" customHeight="1">
      <c r="A50" s="470">
        <v>45367</v>
      </c>
      <c r="B50" s="394" t="s">
        <v>221</v>
      </c>
      <c r="C50" s="394" t="s">
        <v>218</v>
      </c>
      <c r="D50" s="394"/>
      <c r="E50" s="454" t="s">
        <v>113</v>
      </c>
      <c r="F50" s="455"/>
      <c r="G50" s="456">
        <f>IFERROR(IF(R50&gt;0,V50*R50*2,""),"input error")</f>
        <v>481.54243737599995</v>
      </c>
      <c r="H50" s="457">
        <v>519.84</v>
      </c>
      <c r="I50" s="457"/>
      <c r="J50" s="457">
        <v>0</v>
      </c>
      <c r="K50" s="458">
        <f t="shared" si="3"/>
        <v>1.0795310229202009</v>
      </c>
      <c r="L50" s="459"/>
      <c r="M50" s="415" t="s">
        <v>234</v>
      </c>
      <c r="N50" s="415">
        <v>3</v>
      </c>
      <c r="O50" s="415">
        <v>5</v>
      </c>
      <c r="P50" s="415">
        <v>0</v>
      </c>
      <c r="Q50" s="415">
        <f>IFERROR(IF(O50&gt;0,O50*N50-P50,""),"input error")</f>
        <v>15</v>
      </c>
      <c r="R50" s="460">
        <f>'[1]退火 镀锡 烤漆工时anil celup cat'!G6</f>
        <v>16.051414579199999</v>
      </c>
      <c r="S50" s="447">
        <f t="shared" ref="S50" si="50">IFERROR(IF(R50&gt;0,1/R50,""),"input error")</f>
        <v>6.2299805108506509E-2</v>
      </c>
      <c r="T50" s="447">
        <f t="shared" ref="T50" si="51">IFERROR(IF(H50&gt;0,S50*H50,""),"input error")</f>
        <v>32.385930687606027</v>
      </c>
      <c r="U50" s="447">
        <f>SUM(T50)</f>
        <v>32.385930687606027</v>
      </c>
      <c r="V50" s="461">
        <f>IFERROR(IF(T50&lt;&gt;"",Q50*T50/U50,""),"input error")</f>
        <v>15</v>
      </c>
      <c r="W50" s="8"/>
    </row>
    <row r="51" spans="1:23" ht="37.5" customHeight="1">
      <c r="A51" s="471"/>
      <c r="B51" s="432" t="s">
        <v>217</v>
      </c>
      <c r="C51" s="394" t="s">
        <v>218</v>
      </c>
      <c r="D51" s="394"/>
      <c r="E51" s="462"/>
      <c r="F51" s="463"/>
      <c r="G51" s="464"/>
      <c r="H51" s="465"/>
      <c r="I51" s="465"/>
      <c r="J51" s="465"/>
      <c r="K51" s="466"/>
      <c r="L51" s="467"/>
      <c r="M51" s="419"/>
      <c r="N51" s="419"/>
      <c r="O51" s="419"/>
      <c r="P51" s="419"/>
      <c r="Q51" s="419"/>
      <c r="R51" s="468"/>
      <c r="S51" s="449"/>
      <c r="T51" s="449"/>
      <c r="U51" s="449"/>
      <c r="V51" s="469"/>
      <c r="W51" s="8"/>
    </row>
    <row r="52" spans="1:23">
      <c r="A52" s="472"/>
      <c r="B52" s="432"/>
      <c r="C52" s="394"/>
      <c r="D52" s="394"/>
      <c r="E52" s="473"/>
      <c r="F52" s="474"/>
      <c r="G52" s="475"/>
      <c r="H52" s="476"/>
      <c r="I52" s="476"/>
      <c r="J52" s="476"/>
      <c r="K52" s="477"/>
      <c r="L52" s="478"/>
      <c r="M52" s="422"/>
      <c r="N52" s="421"/>
      <c r="O52" s="421"/>
      <c r="P52" s="421"/>
      <c r="Q52" s="422"/>
      <c r="R52" s="479"/>
      <c r="S52" s="480"/>
      <c r="T52" s="480"/>
      <c r="U52" s="451"/>
      <c r="V52" s="481"/>
      <c r="W52" s="8"/>
    </row>
    <row r="53" spans="1:23" ht="15.75" customHeight="1">
      <c r="A53" s="470">
        <v>45369</v>
      </c>
      <c r="B53" s="394" t="s">
        <v>221</v>
      </c>
      <c r="C53" s="394" t="s">
        <v>218</v>
      </c>
      <c r="D53" s="394"/>
      <c r="E53" s="454" t="s">
        <v>113</v>
      </c>
      <c r="F53" s="455"/>
      <c r="G53" s="456">
        <f>IFERROR(IF(R53&gt;0,V53*R53*2,""),"input error")</f>
        <v>722.31365606399993</v>
      </c>
      <c r="H53" s="457">
        <v>603.9</v>
      </c>
      <c r="I53" s="457"/>
      <c r="J53" s="457">
        <v>0</v>
      </c>
      <c r="K53" s="458">
        <f t="shared" ref="K53" si="52">IFERROR(IF(H53&gt;0,H53/G53,""),"input error")</f>
        <v>0.83606338455615736</v>
      </c>
      <c r="L53" s="459"/>
      <c r="M53" s="415" t="s">
        <v>234</v>
      </c>
      <c r="N53" s="415">
        <v>3</v>
      </c>
      <c r="O53" s="415">
        <v>7.5</v>
      </c>
      <c r="P53" s="415">
        <v>0</v>
      </c>
      <c r="Q53" s="415">
        <f>IFERROR(IF(O53&gt;0,O53*N53-P53,""),"input error")</f>
        <v>22.5</v>
      </c>
      <c r="R53" s="460">
        <f>'[1]退火 镀锡 烤漆工时anil celup cat'!G6</f>
        <v>16.051414579199999</v>
      </c>
      <c r="S53" s="447">
        <f t="shared" ref="S53" si="53">IFERROR(IF(R53&gt;0,1/R53,""),"input error")</f>
        <v>6.2299805108506509E-2</v>
      </c>
      <c r="T53" s="447">
        <f t="shared" ref="T53" si="54">IFERROR(IF(H53&gt;0,S53*H53,""),"input error")</f>
        <v>37.622852305027081</v>
      </c>
      <c r="U53" s="447">
        <f>SUM(T53)</f>
        <v>37.622852305027081</v>
      </c>
      <c r="V53" s="461">
        <f>IFERROR(IF(T53&lt;&gt;"",Q53*T53/U53,""),"input error")</f>
        <v>22.5</v>
      </c>
      <c r="W53" s="8"/>
    </row>
    <row r="54" spans="1:23" ht="37.5" customHeight="1">
      <c r="A54" s="471"/>
      <c r="B54" s="432" t="s">
        <v>217</v>
      </c>
      <c r="C54" s="394" t="s">
        <v>218</v>
      </c>
      <c r="D54" s="394"/>
      <c r="E54" s="462"/>
      <c r="F54" s="463"/>
      <c r="G54" s="464"/>
      <c r="H54" s="465"/>
      <c r="I54" s="465"/>
      <c r="J54" s="465"/>
      <c r="K54" s="466"/>
      <c r="L54" s="467"/>
      <c r="M54" s="419"/>
      <c r="N54" s="419"/>
      <c r="O54" s="419"/>
      <c r="P54" s="419"/>
      <c r="Q54" s="419"/>
      <c r="R54" s="468"/>
      <c r="S54" s="449"/>
      <c r="T54" s="449"/>
      <c r="U54" s="449"/>
      <c r="V54" s="469"/>
      <c r="W54" s="8"/>
    </row>
    <row r="55" spans="1:23">
      <c r="A55" s="472"/>
      <c r="B55" s="432"/>
      <c r="C55" s="394"/>
      <c r="D55" s="394"/>
      <c r="E55" s="473"/>
      <c r="F55" s="474"/>
      <c r="G55" s="475"/>
      <c r="H55" s="476"/>
      <c r="I55" s="476"/>
      <c r="J55" s="476"/>
      <c r="K55" s="477"/>
      <c r="L55" s="478"/>
      <c r="M55" s="422"/>
      <c r="N55" s="421"/>
      <c r="O55" s="421"/>
      <c r="P55" s="421"/>
      <c r="Q55" s="422"/>
      <c r="R55" s="479"/>
      <c r="S55" s="480"/>
      <c r="T55" s="480"/>
      <c r="U55" s="451"/>
      <c r="V55" s="481"/>
      <c r="W55" s="8"/>
    </row>
    <row r="56" spans="1:23" ht="15.75" customHeight="1">
      <c r="A56" s="470">
        <v>45370</v>
      </c>
      <c r="B56" s="394" t="s">
        <v>221</v>
      </c>
      <c r="C56" s="394" t="s">
        <v>218</v>
      </c>
      <c r="D56" s="394"/>
      <c r="E56" s="454" t="s">
        <v>113</v>
      </c>
      <c r="F56" s="455"/>
      <c r="G56" s="456">
        <f>IFERROR(IF(R56&gt;0,V56*R56*2,""),"input error")</f>
        <v>722.31365606399982</v>
      </c>
      <c r="H56" s="457">
        <v>400.38</v>
      </c>
      <c r="I56" s="457"/>
      <c r="J56" s="457">
        <v>0</v>
      </c>
      <c r="K56" s="458">
        <f t="shared" ref="K56" si="55">IFERROR(IF(H56&gt;0,H56/G56,""),"input error")</f>
        <v>0.55430213265208539</v>
      </c>
      <c r="L56" s="459"/>
      <c r="M56" s="415" t="s">
        <v>234</v>
      </c>
      <c r="N56" s="415">
        <v>3</v>
      </c>
      <c r="O56" s="415">
        <v>7.5</v>
      </c>
      <c r="P56" s="415">
        <v>0</v>
      </c>
      <c r="Q56" s="415">
        <f>IFERROR(IF(O56&gt;0,O56*N56-P56,""),"input error")</f>
        <v>22.5</v>
      </c>
      <c r="R56" s="460">
        <f>'[1]退火 镀锡 烤漆工时anil celup cat'!G6</f>
        <v>16.051414579199999</v>
      </c>
      <c r="S56" s="447">
        <f t="shared" ref="S56" si="56">IFERROR(IF(R56&gt;0,1/R56,""),"input error")</f>
        <v>6.2299805108506509E-2</v>
      </c>
      <c r="T56" s="447">
        <f t="shared" ref="T56" si="57">IFERROR(IF(H56&gt;0,S56*H56,""),"input error")</f>
        <v>24.943595969343836</v>
      </c>
      <c r="U56" s="447">
        <f>SUM(T56)</f>
        <v>24.943595969343836</v>
      </c>
      <c r="V56" s="461">
        <f>IFERROR(IF(T56&lt;&gt;"",Q56*T56/U56,""),"input error")</f>
        <v>22.499999999999996</v>
      </c>
      <c r="W56" s="8"/>
    </row>
    <row r="57" spans="1:23">
      <c r="A57" s="471"/>
      <c r="B57" s="432" t="s">
        <v>217</v>
      </c>
      <c r="C57" s="394" t="s">
        <v>218</v>
      </c>
      <c r="D57" s="394"/>
      <c r="E57" s="462"/>
      <c r="F57" s="463"/>
      <c r="G57" s="464"/>
      <c r="H57" s="465"/>
      <c r="I57" s="465"/>
      <c r="J57" s="465"/>
      <c r="K57" s="466"/>
      <c r="L57" s="467"/>
      <c r="M57" s="419"/>
      <c r="N57" s="419"/>
      <c r="O57" s="419"/>
      <c r="P57" s="419"/>
      <c r="Q57" s="419"/>
      <c r="R57" s="468"/>
      <c r="S57" s="449"/>
      <c r="T57" s="449"/>
      <c r="U57" s="449"/>
      <c r="V57" s="469"/>
      <c r="W57" s="8"/>
    </row>
    <row r="58" spans="1:23" ht="37.5" customHeight="1">
      <c r="A58" s="472"/>
      <c r="B58" s="432"/>
      <c r="C58" s="394"/>
      <c r="D58" s="394"/>
      <c r="E58" s="473"/>
      <c r="F58" s="474"/>
      <c r="G58" s="475"/>
      <c r="H58" s="476"/>
      <c r="I58" s="476"/>
      <c r="J58" s="476"/>
      <c r="K58" s="477"/>
      <c r="L58" s="478"/>
      <c r="M58" s="422"/>
      <c r="N58" s="421"/>
      <c r="O58" s="421"/>
      <c r="P58" s="421"/>
      <c r="Q58" s="422"/>
      <c r="R58" s="479"/>
      <c r="S58" s="480"/>
      <c r="T58" s="480"/>
      <c r="U58" s="451"/>
      <c r="V58" s="481"/>
      <c r="W58" s="8"/>
    </row>
    <row r="59" spans="1:23" ht="15" customHeight="1">
      <c r="A59" s="470">
        <v>45371</v>
      </c>
      <c r="B59" s="445" t="s">
        <v>221</v>
      </c>
      <c r="C59" s="394" t="s">
        <v>227</v>
      </c>
      <c r="D59" s="394"/>
      <c r="E59" s="434" t="s">
        <v>113</v>
      </c>
      <c r="F59" s="435"/>
      <c r="G59" s="406">
        <f t="shared" ref="G59:G61" si="58">IFERROR(IF(R59&gt;0,V59*R59,""),"input error")</f>
        <v>282.36660780076625</v>
      </c>
      <c r="H59" s="476">
        <v>341</v>
      </c>
      <c r="I59" s="476"/>
      <c r="J59" s="397">
        <v>0</v>
      </c>
      <c r="K59" s="437">
        <f t="shared" ref="K59:K61" si="59">IFERROR(IF(H59&gt;0,H59/G59,""),"input error")</f>
        <v>1.2076498799057878</v>
      </c>
      <c r="L59" s="478"/>
      <c r="M59" s="415" t="s">
        <v>234</v>
      </c>
      <c r="N59" s="415">
        <v>3</v>
      </c>
      <c r="O59" s="415">
        <v>7.5</v>
      </c>
      <c r="P59" s="415">
        <v>0</v>
      </c>
      <c r="Q59" s="415">
        <f>IFERROR(IF(O59&gt;0,O59*N59-P59,""),"input error")</f>
        <v>22.5</v>
      </c>
      <c r="R59" s="479">
        <f>'[1]退火 镀锡 烤漆工时anil celup cat'!G6</f>
        <v>16.051414579199999</v>
      </c>
      <c r="S59" s="439">
        <f t="shared" ref="S59:S61" si="60">IFERROR(IF(R59&gt;0,1/R59,""),"input error")</f>
        <v>6.2299805108506509E-2</v>
      </c>
      <c r="T59" s="439">
        <f t="shared" ref="T59:T61" si="61">IFERROR(IF(H59&gt;0,S59*H59,""),"input error")</f>
        <v>21.244233542000721</v>
      </c>
      <c r="U59" s="452">
        <f>SUM(T59:T60)</f>
        <v>27.172122297880225</v>
      </c>
      <c r="V59" s="441">
        <f>IFERROR(IF(T59&lt;&gt;"",$Q$59*T59/$U$59,""),"input error")</f>
        <v>17.591384635137832</v>
      </c>
      <c r="W59" s="8"/>
    </row>
    <row r="60" spans="1:23" ht="15.75" customHeight="1">
      <c r="A60" s="471"/>
      <c r="B60" s="448"/>
      <c r="C60" s="394" t="s">
        <v>227</v>
      </c>
      <c r="D60" s="394"/>
      <c r="E60" s="434" t="s">
        <v>131</v>
      </c>
      <c r="F60" s="435"/>
      <c r="G60" s="406">
        <f t="shared" si="58"/>
        <v>274.052939934726</v>
      </c>
      <c r="H60" s="476">
        <v>330.96</v>
      </c>
      <c r="I60" s="476"/>
      <c r="J60" s="397">
        <v>0</v>
      </c>
      <c r="K60" s="437">
        <f t="shared" si="59"/>
        <v>1.207649879905788</v>
      </c>
      <c r="L60" s="478"/>
      <c r="M60" s="419"/>
      <c r="N60" s="419"/>
      <c r="O60" s="419"/>
      <c r="P60" s="419"/>
      <c r="Q60" s="419"/>
      <c r="R60" s="479">
        <f>'[1]退火 镀锡 烤漆工时anil celup cat'!G10</f>
        <v>55.831007231999997</v>
      </c>
      <c r="S60" s="439">
        <f t="shared" si="60"/>
        <v>1.7911193968695623E-2</v>
      </c>
      <c r="T60" s="439">
        <f t="shared" si="61"/>
        <v>5.9278887558795033</v>
      </c>
      <c r="U60" s="452"/>
      <c r="V60" s="441">
        <f>IFERROR(IF(T60&lt;&gt;"",$Q$59*T60/$U$59,""),"input error")</f>
        <v>4.9086153648621682</v>
      </c>
      <c r="W60" s="8"/>
    </row>
    <row r="61" spans="1:23" ht="25.5" customHeight="1">
      <c r="A61" s="425">
        <v>45371</v>
      </c>
      <c r="B61" s="432" t="s">
        <v>217</v>
      </c>
      <c r="C61" s="394" t="s">
        <v>235</v>
      </c>
      <c r="D61" s="394"/>
      <c r="E61" s="434" t="s">
        <v>126</v>
      </c>
      <c r="F61" s="435"/>
      <c r="G61" s="406">
        <f t="shared" si="58"/>
        <v>292.30753305600001</v>
      </c>
      <c r="H61" s="476">
        <v>131.66</v>
      </c>
      <c r="I61" s="476"/>
      <c r="J61" s="397">
        <v>0</v>
      </c>
      <c r="K61" s="437">
        <f t="shared" si="59"/>
        <v>0.45041603486413295</v>
      </c>
      <c r="L61" s="478"/>
      <c r="M61" s="422" t="s">
        <v>234</v>
      </c>
      <c r="N61" s="387">
        <v>3</v>
      </c>
      <c r="O61" s="387">
        <v>7.5</v>
      </c>
      <c r="P61" s="387">
        <v>0</v>
      </c>
      <c r="Q61" s="422">
        <f>IFERROR(IF(O61&gt;0,O61*N61-P61,""),"input error")</f>
        <v>22.5</v>
      </c>
      <c r="R61" s="479">
        <f>'[1]退火 镀锡 烤漆工时anil celup cat'!G34</f>
        <v>12.9914459136</v>
      </c>
      <c r="S61" s="439">
        <f t="shared" si="60"/>
        <v>7.6973726146460517E-2</v>
      </c>
      <c r="T61" s="439">
        <f t="shared" si="61"/>
        <v>10.134360784442991</v>
      </c>
      <c r="U61" s="440">
        <f>IFERROR(IF(T61&lt;&gt;"",SUM(T61),""),“input error”)</f>
        <v>10.134360784442991</v>
      </c>
      <c r="V61" s="441">
        <f t="shared" ref="V61" si="62">IFERROR(IF(T61&lt;&gt;"",Q61*T61/U61,""),"input error")</f>
        <v>22.5</v>
      </c>
      <c r="W61" s="8"/>
    </row>
    <row r="62" spans="1:23">
      <c r="A62" s="472"/>
      <c r="B62" s="432"/>
      <c r="C62" s="394"/>
      <c r="D62" s="394"/>
      <c r="E62" s="473"/>
      <c r="F62" s="474"/>
      <c r="G62" s="475"/>
      <c r="H62" s="476"/>
      <c r="I62" s="476"/>
      <c r="J62" s="476"/>
      <c r="K62" s="477"/>
      <c r="L62" s="478"/>
      <c r="M62" s="422"/>
      <c r="N62" s="387"/>
      <c r="O62" s="387"/>
      <c r="P62" s="387"/>
      <c r="Q62" s="422"/>
      <c r="R62" s="479"/>
      <c r="S62" s="480"/>
      <c r="T62" s="480"/>
      <c r="U62" s="444"/>
      <c r="V62" s="481"/>
      <c r="W62" s="8"/>
    </row>
    <row r="63" spans="1:23">
      <c r="A63" s="472"/>
      <c r="B63" s="432"/>
      <c r="C63" s="394"/>
      <c r="D63" s="394"/>
      <c r="E63" s="473"/>
      <c r="F63" s="474"/>
      <c r="G63" s="475"/>
      <c r="H63" s="476"/>
      <c r="I63" s="476"/>
      <c r="J63" s="476"/>
      <c r="K63" s="477"/>
      <c r="L63" s="478"/>
      <c r="M63" s="422"/>
      <c r="N63" s="387"/>
      <c r="O63" s="387"/>
      <c r="P63" s="387"/>
      <c r="Q63" s="422"/>
      <c r="R63" s="479"/>
      <c r="S63" s="480"/>
      <c r="T63" s="480"/>
      <c r="U63" s="444"/>
      <c r="V63" s="481"/>
      <c r="W63" s="8"/>
    </row>
    <row r="64" spans="1:23">
      <c r="A64" s="425">
        <v>45372</v>
      </c>
      <c r="B64" s="445" t="s">
        <v>221</v>
      </c>
      <c r="C64" s="394" t="s">
        <v>227</v>
      </c>
      <c r="D64" s="394"/>
      <c r="E64" s="434" t="s">
        <v>113</v>
      </c>
      <c r="F64" s="435"/>
      <c r="G64" s="406">
        <f t="shared" ref="G64:G75" si="63">IFERROR(IF(R64&gt;0,V64*R64,""),"input error")</f>
        <v>216.48648531451613</v>
      </c>
      <c r="H64" s="476">
        <v>195.42</v>
      </c>
      <c r="I64" s="476"/>
      <c r="J64" s="397">
        <v>0</v>
      </c>
      <c r="K64" s="437">
        <f t="shared" ref="K64:K69" si="64">IFERROR(IF(H64&gt;0,H64/G64,""),"input error")</f>
        <v>0.90268914346357321</v>
      </c>
      <c r="L64" s="478"/>
      <c r="M64" s="415" t="s">
        <v>234</v>
      </c>
      <c r="N64" s="482">
        <v>3</v>
      </c>
      <c r="O64" s="482">
        <v>7.5</v>
      </c>
      <c r="P64" s="482">
        <v>0</v>
      </c>
      <c r="Q64" s="482">
        <f>IFERROR(IF(O64&gt;0,O64*N64-P64,""),"input error")</f>
        <v>22.5</v>
      </c>
      <c r="R64" s="479">
        <f>'[1]退火 镀锡 烤漆工时anil celup cat'!G6</f>
        <v>16.051414579199999</v>
      </c>
      <c r="S64" s="439">
        <f t="shared" ref="S64:S69" si="65">IFERROR(IF(R64&gt;0,1/R64,""),"input error")</f>
        <v>6.2299805108506509E-2</v>
      </c>
      <c r="T64" s="439">
        <f t="shared" ref="T64:T69" si="66">IFERROR(IF(H64&gt;0,S64*H64,""),"input error")</f>
        <v>12.174627914304342</v>
      </c>
      <c r="U64" s="447">
        <f>SUM(T64:T68)</f>
        <v>20.310505727930398</v>
      </c>
      <c r="V64" s="441">
        <f>IFERROR(IF(T64&lt;&gt;"",$Q$64*T64/$U$64,""),"input error")</f>
        <v>13.487065843719911</v>
      </c>
      <c r="W64" s="8"/>
    </row>
    <row r="65" spans="1:23">
      <c r="A65" s="425">
        <v>45372</v>
      </c>
      <c r="B65" s="446"/>
      <c r="C65" s="394" t="s">
        <v>261</v>
      </c>
      <c r="D65" s="394"/>
      <c r="E65" s="434" t="s">
        <v>119</v>
      </c>
      <c r="F65" s="435"/>
      <c r="G65" s="406">
        <f t="shared" si="63"/>
        <v>9.4163091043567047</v>
      </c>
      <c r="H65" s="476">
        <v>8.5</v>
      </c>
      <c r="I65" s="476"/>
      <c r="J65" s="397">
        <v>0</v>
      </c>
      <c r="K65" s="437">
        <f t="shared" si="64"/>
        <v>0.90268914346357321</v>
      </c>
      <c r="L65" s="478"/>
      <c r="M65" s="417"/>
      <c r="N65" s="483"/>
      <c r="O65" s="483"/>
      <c r="P65" s="483"/>
      <c r="Q65" s="483"/>
      <c r="R65" s="479">
        <f>'[1]退火 镀锡 烤漆工时anil celup cat'!G20</f>
        <v>15.353526988800001</v>
      </c>
      <c r="S65" s="439">
        <f t="shared" si="65"/>
        <v>6.5131614431620438E-2</v>
      </c>
      <c r="T65" s="439">
        <f t="shared" si="66"/>
        <v>0.55361872266877377</v>
      </c>
      <c r="U65" s="453"/>
      <c r="V65" s="441">
        <f t="shared" ref="V65:V68" si="67">IFERROR(IF(T65&lt;&gt;"",$Q$64*T65/$U$64,""),"input error")</f>
        <v>0.61329941395391807</v>
      </c>
      <c r="W65" s="8"/>
    </row>
    <row r="66" spans="1:23">
      <c r="A66" s="425">
        <v>45372</v>
      </c>
      <c r="B66" s="446"/>
      <c r="C66" s="394" t="s">
        <v>261</v>
      </c>
      <c r="D66" s="394"/>
      <c r="E66" s="434" t="s">
        <v>131</v>
      </c>
      <c r="F66" s="435"/>
      <c r="G66" s="406">
        <f t="shared" si="63"/>
        <v>401.51142020976988</v>
      </c>
      <c r="H66" s="476">
        <v>362.44</v>
      </c>
      <c r="I66" s="476"/>
      <c r="J66" s="397">
        <v>0</v>
      </c>
      <c r="K66" s="437">
        <f t="shared" si="64"/>
        <v>0.90268914346357321</v>
      </c>
      <c r="L66" s="478"/>
      <c r="M66" s="417"/>
      <c r="N66" s="483"/>
      <c r="O66" s="483"/>
      <c r="P66" s="483"/>
      <c r="Q66" s="483"/>
      <c r="R66" s="479">
        <f>'[1]退火 镀锡 烤漆工时anil celup cat'!G10</f>
        <v>55.831007231999997</v>
      </c>
      <c r="S66" s="439">
        <f t="shared" si="65"/>
        <v>1.7911193968695623E-2</v>
      </c>
      <c r="T66" s="439">
        <f t="shared" si="66"/>
        <v>6.4917331420140414</v>
      </c>
      <c r="U66" s="453"/>
      <c r="V66" s="441">
        <f t="shared" si="67"/>
        <v>7.1915489280236438</v>
      </c>
      <c r="W66" s="8"/>
    </row>
    <row r="67" spans="1:23">
      <c r="A67" s="425">
        <v>45372</v>
      </c>
      <c r="B67" s="446"/>
      <c r="C67" s="394" t="s">
        <v>261</v>
      </c>
      <c r="D67" s="394"/>
      <c r="E67" s="434" t="s">
        <v>123</v>
      </c>
      <c r="F67" s="435"/>
      <c r="G67" s="406">
        <f t="shared" si="63"/>
        <v>26.609381727840944</v>
      </c>
      <c r="H67" s="476">
        <v>24.02</v>
      </c>
      <c r="I67" s="476"/>
      <c r="J67" s="397">
        <v>0</v>
      </c>
      <c r="K67" s="437">
        <f t="shared" si="64"/>
        <v>0.90268914346357332</v>
      </c>
      <c r="L67" s="478"/>
      <c r="M67" s="417"/>
      <c r="N67" s="483"/>
      <c r="O67" s="483"/>
      <c r="P67" s="483"/>
      <c r="Q67" s="483"/>
      <c r="R67" s="479">
        <f>'[1]退火 镀锡 烤漆工时anil celup cat'!G23</f>
        <v>36.934501227623997</v>
      </c>
      <c r="S67" s="439">
        <f t="shared" si="65"/>
        <v>2.7074956118591943E-2</v>
      </c>
      <c r="T67" s="439">
        <f t="shared" si="66"/>
        <v>0.65034044596857843</v>
      </c>
      <c r="U67" s="453"/>
      <c r="V67" s="441">
        <f t="shared" si="67"/>
        <v>0.72044784262415584</v>
      </c>
      <c r="W67" s="8"/>
    </row>
    <row r="68" spans="1:23">
      <c r="A68" s="425">
        <v>45372</v>
      </c>
      <c r="B68" s="448"/>
      <c r="C68" s="394" t="s">
        <v>261</v>
      </c>
      <c r="D68" s="394"/>
      <c r="E68" s="434" t="s">
        <v>262</v>
      </c>
      <c r="F68" s="435"/>
      <c r="G68" s="406">
        <f t="shared" si="63"/>
        <v>11.166634796695952</v>
      </c>
      <c r="H68" s="476">
        <v>10.08</v>
      </c>
      <c r="I68" s="476"/>
      <c r="J68" s="397">
        <v>0</v>
      </c>
      <c r="K68" s="437">
        <f t="shared" si="64"/>
        <v>0.9026891434635731</v>
      </c>
      <c r="L68" s="478"/>
      <c r="M68" s="419"/>
      <c r="N68" s="484"/>
      <c r="O68" s="484"/>
      <c r="P68" s="484"/>
      <c r="Q68" s="484"/>
      <c r="R68" s="479">
        <f>'[1]退火 镀锡 烤漆工时anil celup cat'!G21</f>
        <v>22.899436560000002</v>
      </c>
      <c r="S68" s="439">
        <f t="shared" si="65"/>
        <v>4.3669196723676938E-2</v>
      </c>
      <c r="T68" s="439">
        <f t="shared" si="66"/>
        <v>0.44018550297466352</v>
      </c>
      <c r="U68" s="449"/>
      <c r="V68" s="441">
        <f t="shared" si="67"/>
        <v>0.48763797167837175</v>
      </c>
      <c r="W68" s="8"/>
    </row>
    <row r="69" spans="1:23" ht="25.5">
      <c r="A69" s="425">
        <v>45372</v>
      </c>
      <c r="B69" s="432" t="s">
        <v>217</v>
      </c>
      <c r="C69" s="394" t="s">
        <v>235</v>
      </c>
      <c r="D69" s="394"/>
      <c r="E69" s="434" t="s">
        <v>126</v>
      </c>
      <c r="F69" s="435"/>
      <c r="G69" s="406">
        <f t="shared" si="63"/>
        <v>292.30753305600001</v>
      </c>
      <c r="H69" s="476">
        <v>98.02</v>
      </c>
      <c r="I69" s="476"/>
      <c r="J69" s="397">
        <v>0</v>
      </c>
      <c r="K69" s="437">
        <f t="shared" si="64"/>
        <v>0.33533176163893597</v>
      </c>
      <c r="L69" s="478"/>
      <c r="M69" s="422" t="s">
        <v>234</v>
      </c>
      <c r="N69" s="387">
        <v>3</v>
      </c>
      <c r="O69" s="387">
        <v>7.5</v>
      </c>
      <c r="P69" s="387">
        <v>0</v>
      </c>
      <c r="Q69" s="422">
        <f>IFERROR(IF(O69&gt;0,O69*N69-P69,""),"input error")</f>
        <v>22.5</v>
      </c>
      <c r="R69" s="479">
        <f>'[1]退火 镀锡 烤漆工时anil celup cat'!G34</f>
        <v>12.9914459136</v>
      </c>
      <c r="S69" s="439">
        <f t="shared" si="65"/>
        <v>7.6973726146460517E-2</v>
      </c>
      <c r="T69" s="439">
        <f t="shared" si="66"/>
        <v>7.5449646368760597</v>
      </c>
      <c r="U69" s="440">
        <f>IFERROR(IF(T69&lt;&gt;"",SUM(T69),""),“input error”)</f>
        <v>7.5449646368760597</v>
      </c>
      <c r="V69" s="441">
        <f t="shared" ref="V69" si="68">IFERROR(IF(T69&lt;&gt;"",Q69*T69/U69,""),"input error")</f>
        <v>22.5</v>
      </c>
      <c r="W69" s="8"/>
    </row>
    <row r="70" spans="1:23" ht="37.5" customHeight="1">
      <c r="A70" s="472"/>
      <c r="B70" s="432"/>
      <c r="C70" s="394"/>
      <c r="D70" s="394"/>
      <c r="E70" s="473"/>
      <c r="F70" s="474"/>
      <c r="G70" s="475"/>
      <c r="H70" s="476"/>
      <c r="I70" s="476"/>
      <c r="J70" s="476"/>
      <c r="K70" s="477"/>
      <c r="L70" s="478"/>
      <c r="M70" s="422"/>
      <c r="N70" s="387"/>
      <c r="O70" s="387"/>
      <c r="P70" s="387"/>
      <c r="Q70" s="422"/>
      <c r="R70" s="479"/>
      <c r="S70" s="480"/>
      <c r="T70" s="480"/>
      <c r="U70" s="444"/>
      <c r="V70" s="481"/>
      <c r="W70" s="8"/>
    </row>
    <row r="71" spans="1:23">
      <c r="A71" s="425">
        <v>45373</v>
      </c>
      <c r="B71" s="445" t="s">
        <v>221</v>
      </c>
      <c r="C71" s="394" t="s">
        <v>223</v>
      </c>
      <c r="D71" s="394"/>
      <c r="E71" s="434" t="s">
        <v>113</v>
      </c>
      <c r="F71" s="435"/>
      <c r="G71" s="406">
        <f t="shared" si="63"/>
        <v>334.51099312682521</v>
      </c>
      <c r="H71" s="476">
        <v>360.74</v>
      </c>
      <c r="I71" s="476"/>
      <c r="J71" s="397">
        <v>0</v>
      </c>
      <c r="K71" s="437">
        <f t="shared" ref="K71:K75" si="69">IFERROR(IF(H71&gt;0,H71/G71,""),"input error")</f>
        <v>1.0784099997073353</v>
      </c>
      <c r="L71" s="478"/>
      <c r="M71" s="415" t="s">
        <v>234</v>
      </c>
      <c r="N71" s="415">
        <v>3</v>
      </c>
      <c r="O71" s="415">
        <v>7.5</v>
      </c>
      <c r="P71" s="415">
        <v>0</v>
      </c>
      <c r="Q71" s="415">
        <f>IFERROR(IF(O71&gt;0,O71*N71-P71,""),"input error")</f>
        <v>22.5</v>
      </c>
      <c r="R71" s="479">
        <f>'[1]退火 镀锡 烤漆工时anil celup cat'!G6</f>
        <v>16.051414579199999</v>
      </c>
      <c r="S71" s="439">
        <f t="shared" ref="S71:S75" si="70">IFERROR(IF(R71&gt;0,1/R71,""),"input error")</f>
        <v>6.2299805108506509E-2</v>
      </c>
      <c r="T71" s="439">
        <f t="shared" ref="T71:T75" si="71">IFERROR(IF(H71&gt;0,S71*H71,""),"input error")</f>
        <v>22.47403169484264</v>
      </c>
      <c r="U71" s="447">
        <f>SUM(T71:T74)</f>
        <v>24.264224993415045</v>
      </c>
      <c r="V71" s="441">
        <f>IFERROR(IF(T71&lt;&gt;"",$Q$71*T71/$U$71,""),"input error")</f>
        <v>20.839969678454171</v>
      </c>
      <c r="W71" s="8"/>
    </row>
    <row r="72" spans="1:23" ht="15.75" customHeight="1">
      <c r="A72" s="425">
        <v>45373</v>
      </c>
      <c r="B72" s="446"/>
      <c r="C72" s="394" t="s">
        <v>223</v>
      </c>
      <c r="D72" s="394"/>
      <c r="E72" s="434" t="s">
        <v>131</v>
      </c>
      <c r="F72" s="435"/>
      <c r="G72" s="406">
        <f t="shared" si="63"/>
        <v>13.390083552562386</v>
      </c>
      <c r="H72" s="476">
        <v>14.44</v>
      </c>
      <c r="I72" s="476"/>
      <c r="J72" s="397">
        <v>0</v>
      </c>
      <c r="K72" s="437">
        <f t="shared" si="69"/>
        <v>1.0784099997073355</v>
      </c>
      <c r="L72" s="478"/>
      <c r="M72" s="417"/>
      <c r="N72" s="417"/>
      <c r="O72" s="417"/>
      <c r="P72" s="417"/>
      <c r="Q72" s="417"/>
      <c r="R72" s="479">
        <f>'[1]退火 镀锡 烤漆工时anil celup cat'!G10</f>
        <v>55.831007231999997</v>
      </c>
      <c r="S72" s="439">
        <f t="shared" si="70"/>
        <v>1.7911193968695623E-2</v>
      </c>
      <c r="T72" s="439">
        <f t="shared" si="71"/>
        <v>0.25863764090796476</v>
      </c>
      <c r="U72" s="453"/>
      <c r="V72" s="441">
        <f>IFERROR(IF(T72&lt;&gt;"",$Q$71*T72/$U$71,""),"input error")</f>
        <v>0.23983238376698585</v>
      </c>
      <c r="W72" s="8"/>
    </row>
    <row r="73" spans="1:23">
      <c r="A73" s="425">
        <v>45373</v>
      </c>
      <c r="B73" s="446"/>
      <c r="C73" s="394" t="s">
        <v>223</v>
      </c>
      <c r="D73" s="394"/>
      <c r="E73" s="434" t="s">
        <v>119</v>
      </c>
      <c r="F73" s="435"/>
      <c r="G73" s="406">
        <f t="shared" si="63"/>
        <v>11.127493256977054</v>
      </c>
      <c r="H73" s="476">
        <v>12</v>
      </c>
      <c r="I73" s="476"/>
      <c r="J73" s="397">
        <v>0</v>
      </c>
      <c r="K73" s="437">
        <f t="shared" si="69"/>
        <v>1.0784099997073353</v>
      </c>
      <c r="L73" s="478"/>
      <c r="M73" s="417"/>
      <c r="N73" s="417"/>
      <c r="O73" s="417"/>
      <c r="P73" s="417"/>
      <c r="Q73" s="417"/>
      <c r="R73" s="479">
        <f>'[1]退火 镀锡 烤漆工时anil celup cat'!G20</f>
        <v>15.353526988800001</v>
      </c>
      <c r="S73" s="439">
        <f t="shared" si="70"/>
        <v>6.5131614431620438E-2</v>
      </c>
      <c r="T73" s="439">
        <f t="shared" si="71"/>
        <v>0.78157937317944526</v>
      </c>
      <c r="U73" s="453"/>
      <c r="V73" s="441">
        <f t="shared" ref="V73:V74" si="72">IFERROR(IF(T73&lt;&gt;"",$Q$71*T73/$U$71,""),"input error")</f>
        <v>0.72475160040388575</v>
      </c>
      <c r="W73" s="8"/>
    </row>
    <row r="74" spans="1:23">
      <c r="A74" s="425">
        <v>45373</v>
      </c>
      <c r="B74" s="448"/>
      <c r="C74" s="394" t="s">
        <v>223</v>
      </c>
      <c r="D74" s="394"/>
      <c r="E74" s="434" t="s">
        <v>123</v>
      </c>
      <c r="F74" s="435"/>
      <c r="G74" s="406">
        <f t="shared" si="63"/>
        <v>25.68596360152203</v>
      </c>
      <c r="H74" s="476">
        <v>27.7</v>
      </c>
      <c r="I74" s="476"/>
      <c r="J74" s="397">
        <v>0</v>
      </c>
      <c r="K74" s="437">
        <f t="shared" si="69"/>
        <v>1.0784099997073353</v>
      </c>
      <c r="L74" s="478"/>
      <c r="M74" s="419"/>
      <c r="N74" s="419"/>
      <c r="O74" s="419"/>
      <c r="P74" s="419"/>
      <c r="Q74" s="419"/>
      <c r="R74" s="479">
        <f>'[1]退火 镀锡 烤漆工时anil celup cat'!G23</f>
        <v>36.934501227623997</v>
      </c>
      <c r="S74" s="439">
        <f t="shared" si="70"/>
        <v>2.7074956118591943E-2</v>
      </c>
      <c r="T74" s="439">
        <f t="shared" si="71"/>
        <v>0.74997628448499676</v>
      </c>
      <c r="U74" s="449"/>
      <c r="V74" s="441">
        <f t="shared" si="72"/>
        <v>0.69544633737495887</v>
      </c>
      <c r="W74" s="8"/>
    </row>
    <row r="75" spans="1:23" ht="25.5">
      <c r="A75" s="425">
        <v>45373</v>
      </c>
      <c r="B75" s="432" t="s">
        <v>217</v>
      </c>
      <c r="C75" s="394" t="s">
        <v>235</v>
      </c>
      <c r="D75" s="394"/>
      <c r="E75" s="434" t="s">
        <v>126</v>
      </c>
      <c r="F75" s="435"/>
      <c r="G75" s="406">
        <f t="shared" si="63"/>
        <v>292.30753305600001</v>
      </c>
      <c r="H75" s="476">
        <v>65.72</v>
      </c>
      <c r="I75" s="476"/>
      <c r="J75" s="397">
        <v>0</v>
      </c>
      <c r="K75" s="437">
        <f t="shared" si="69"/>
        <v>0.22483170143757267</v>
      </c>
      <c r="L75" s="478"/>
      <c r="M75" s="422" t="s">
        <v>234</v>
      </c>
      <c r="N75" s="403">
        <v>3</v>
      </c>
      <c r="O75" s="403">
        <v>7.5</v>
      </c>
      <c r="P75" s="403">
        <v>0</v>
      </c>
      <c r="Q75" s="422">
        <f>IFERROR(IF(O75&gt;0,O75*N75-P75,""),"input error")</f>
        <v>22.5</v>
      </c>
      <c r="R75" s="479">
        <f>'[1]退火 镀锡 烤漆工时anil celup cat'!G34</f>
        <v>12.9914459136</v>
      </c>
      <c r="S75" s="439">
        <f t="shared" si="70"/>
        <v>7.6973726146460517E-2</v>
      </c>
      <c r="T75" s="439">
        <f t="shared" si="71"/>
        <v>5.0587132823453853</v>
      </c>
      <c r="U75" s="440">
        <f>IFERROR(IF(T75&lt;&gt;"",SUM(T75),""),“input error”)</f>
        <v>5.0587132823453853</v>
      </c>
      <c r="V75" s="441">
        <f t="shared" ref="V75" si="73">IFERROR(IF(T75&lt;&gt;"",Q75*T75/U75,""),"input error")</f>
        <v>22.5</v>
      </c>
      <c r="W75" s="8"/>
    </row>
    <row r="76" spans="1:23">
      <c r="A76" s="472"/>
      <c r="B76" s="432"/>
      <c r="C76" s="394"/>
      <c r="D76" s="394"/>
      <c r="E76" s="473"/>
      <c r="F76" s="474"/>
      <c r="G76" s="475"/>
      <c r="H76" s="476"/>
      <c r="I76" s="476"/>
      <c r="J76" s="476"/>
      <c r="K76" s="477"/>
      <c r="L76" s="478"/>
      <c r="M76" s="422"/>
      <c r="N76" s="403"/>
      <c r="O76" s="403"/>
      <c r="P76" s="403"/>
      <c r="Q76" s="422"/>
      <c r="R76" s="479"/>
      <c r="S76" s="480"/>
      <c r="T76" s="480"/>
      <c r="U76" s="444"/>
      <c r="V76" s="481"/>
      <c r="W76" s="8"/>
    </row>
    <row r="77" spans="1:23">
      <c r="A77" s="425">
        <v>45374</v>
      </c>
      <c r="B77" s="445" t="s">
        <v>221</v>
      </c>
      <c r="C77" s="394" t="s">
        <v>227</v>
      </c>
      <c r="D77" s="394"/>
      <c r="E77" s="434" t="s">
        <v>113</v>
      </c>
      <c r="F77" s="435"/>
      <c r="G77" s="406">
        <f t="shared" ref="G77:G84" si="74">IFERROR(IF(R77&gt;0,V77*R77,""),"input error")</f>
        <v>217.67327169584374</v>
      </c>
      <c r="H77" s="476">
        <v>247.02</v>
      </c>
      <c r="I77" s="476" t="s">
        <v>219</v>
      </c>
      <c r="J77" s="397">
        <v>0</v>
      </c>
      <c r="K77" s="437">
        <f t="shared" ref="K77:K79" si="75">IFERROR(IF(H77&gt;0,H77/G77,""),"input error")</f>
        <v>1.134820081838815</v>
      </c>
      <c r="L77" s="478"/>
      <c r="M77" s="415" t="s">
        <v>234</v>
      </c>
      <c r="N77" s="415">
        <v>3</v>
      </c>
      <c r="O77" s="415">
        <v>5</v>
      </c>
      <c r="P77" s="415">
        <v>0</v>
      </c>
      <c r="Q77" s="415">
        <f>IFERROR(IF(O77&gt;0,O77*N77-P77,""),"input error")</f>
        <v>15</v>
      </c>
      <c r="R77" s="479">
        <f>'[1]退火 镀锡 烤漆工时anil celup cat'!$G$6</f>
        <v>16.051414579199999</v>
      </c>
      <c r="S77" s="439">
        <f t="shared" ref="S77:S79" si="76">IFERROR(IF(R77&gt;0,1/R77,""),"input error")</f>
        <v>6.2299805108506509E-2</v>
      </c>
      <c r="T77" s="439">
        <f t="shared" ref="T77:T79" si="77">IFERROR(IF(H77&gt;0,S77*H77,""),"input error")</f>
        <v>15.389297857903278</v>
      </c>
      <c r="U77" s="447">
        <f>SUM(T77:T79)</f>
        <v>17.022301227582226</v>
      </c>
      <c r="V77" s="441">
        <f>IFERROR(IF(T77&lt;&gt;"",$Q$77*T77/$U$77,""),"input error")</f>
        <v>13.561002403982052</v>
      </c>
      <c r="W77" s="8"/>
    </row>
    <row r="78" spans="1:23">
      <c r="A78" s="425">
        <v>45374</v>
      </c>
      <c r="B78" s="446"/>
      <c r="C78" s="394" t="s">
        <v>223</v>
      </c>
      <c r="D78" s="394"/>
      <c r="E78" s="434" t="s">
        <v>117</v>
      </c>
      <c r="F78" s="435"/>
      <c r="G78" s="406">
        <f t="shared" si="74"/>
        <v>1.7095220916927245</v>
      </c>
      <c r="H78" s="476">
        <v>1.94</v>
      </c>
      <c r="I78" s="476" t="s">
        <v>219</v>
      </c>
      <c r="J78" s="397">
        <v>0</v>
      </c>
      <c r="K78" s="437">
        <f t="shared" si="75"/>
        <v>1.134820081838815</v>
      </c>
      <c r="L78" s="478"/>
      <c r="M78" s="417"/>
      <c r="N78" s="417"/>
      <c r="O78" s="417"/>
      <c r="P78" s="417"/>
      <c r="Q78" s="417"/>
      <c r="R78" s="479">
        <f>'[1]退火 镀锡 烤漆工时anil celup cat'!G8</f>
        <v>34.545435724800001</v>
      </c>
      <c r="S78" s="439">
        <f t="shared" si="76"/>
        <v>2.8947384191831307E-2</v>
      </c>
      <c r="T78" s="439">
        <f t="shared" si="77"/>
        <v>5.6157925332152733E-2</v>
      </c>
      <c r="U78" s="453"/>
      <c r="V78" s="441">
        <f>IFERROR(IF(T78&lt;&gt;"",$Q$77*T78/$U$77,""),"input error")</f>
        <v>4.9486192772652364E-2</v>
      </c>
      <c r="W78" s="8"/>
    </row>
    <row r="79" spans="1:23">
      <c r="A79" s="425">
        <v>45374</v>
      </c>
      <c r="B79" s="448"/>
      <c r="C79" s="394" t="s">
        <v>223</v>
      </c>
      <c r="D79" s="394"/>
      <c r="E79" s="434" t="s">
        <v>123</v>
      </c>
      <c r="F79" s="435"/>
      <c r="G79" s="406">
        <f t="shared" si="74"/>
        <v>51.320910628960966</v>
      </c>
      <c r="H79" s="476">
        <v>58.24</v>
      </c>
      <c r="I79" s="476" t="s">
        <v>219</v>
      </c>
      <c r="J79" s="397">
        <v>0</v>
      </c>
      <c r="K79" s="437">
        <f t="shared" si="75"/>
        <v>1.1348200818388152</v>
      </c>
      <c r="L79" s="478"/>
      <c r="M79" s="419"/>
      <c r="N79" s="419"/>
      <c r="O79" s="419"/>
      <c r="P79" s="419"/>
      <c r="Q79" s="419"/>
      <c r="R79" s="479">
        <f>'[1]退火 镀锡 烤漆工时anil celup cat'!$G$23</f>
        <v>36.934501227623997</v>
      </c>
      <c r="S79" s="439">
        <f t="shared" si="76"/>
        <v>2.7074956118591943E-2</v>
      </c>
      <c r="T79" s="439">
        <f t="shared" si="77"/>
        <v>1.5768454443467947</v>
      </c>
      <c r="U79" s="449"/>
      <c r="V79" s="441">
        <f>IFERROR(IF(T79&lt;&gt;"",$Q$77*T79/$U$77,""),"input error")</f>
        <v>1.3895114032452971</v>
      </c>
      <c r="W79" s="8"/>
    </row>
    <row r="80" spans="1:23">
      <c r="A80" s="472"/>
      <c r="B80" s="485"/>
      <c r="C80" s="394"/>
      <c r="D80" s="394"/>
      <c r="E80" s="473"/>
      <c r="F80" s="474"/>
      <c r="G80" s="475"/>
      <c r="H80" s="476"/>
      <c r="I80" s="476"/>
      <c r="J80" s="486"/>
      <c r="K80" s="477"/>
      <c r="L80" s="478"/>
      <c r="M80" s="422"/>
      <c r="N80" s="421"/>
      <c r="O80" s="421"/>
      <c r="P80" s="421"/>
      <c r="Q80" s="422"/>
      <c r="R80" s="479"/>
      <c r="S80" s="480"/>
      <c r="T80" s="480"/>
      <c r="U80" s="451"/>
      <c r="V80" s="481"/>
      <c r="W80" s="8"/>
    </row>
    <row r="81" spans="1:23">
      <c r="A81" s="425">
        <v>45376</v>
      </c>
      <c r="B81" s="445" t="s">
        <v>221</v>
      </c>
      <c r="C81" s="394" t="s">
        <v>227</v>
      </c>
      <c r="D81" s="394"/>
      <c r="E81" s="434" t="s">
        <v>113</v>
      </c>
      <c r="F81" s="435"/>
      <c r="G81" s="406">
        <f t="shared" si="74"/>
        <v>345.79946586638812</v>
      </c>
      <c r="H81" s="476">
        <v>355.94</v>
      </c>
      <c r="I81" s="476" t="s">
        <v>219</v>
      </c>
      <c r="J81" s="397">
        <v>0</v>
      </c>
      <c r="K81" s="437">
        <f t="shared" ref="K81:K84" si="78">IFERROR(IF(H81&gt;0,H81/G81,""),"input error")</f>
        <v>1.0293248981984549</v>
      </c>
      <c r="L81" s="478"/>
      <c r="M81" s="422"/>
      <c r="N81" s="415">
        <v>3</v>
      </c>
      <c r="O81" s="415">
        <v>7.5</v>
      </c>
      <c r="P81" s="415">
        <v>0</v>
      </c>
      <c r="Q81" s="415">
        <f>IFERROR(IF(O81&gt;0,O81*N81-P81,""),"input error")</f>
        <v>22.5</v>
      </c>
      <c r="R81" s="479">
        <f>'[1]退火 镀锡 烤漆工时anil celup cat'!G6</f>
        <v>16.051414579199999</v>
      </c>
      <c r="S81" s="439">
        <f t="shared" ref="S81:S84" si="79">IFERROR(IF(R81&gt;0,1/R81,""),"input error")</f>
        <v>6.2299805108506509E-2</v>
      </c>
      <c r="T81" s="439">
        <f t="shared" ref="T81:T84" si="80">IFERROR(IF(H81&gt;0,S81*H81,""),"input error")</f>
        <v>22.174992630321807</v>
      </c>
      <c r="U81" s="447">
        <f>SUM(T81:T83)</f>
        <v>23.159810209465235</v>
      </c>
      <c r="V81" s="441">
        <f>IFERROR(IF(T81&lt;&gt;"",$Q$81*T81/$U$81,""),"input error")</f>
        <v>21.543239330101628</v>
      </c>
      <c r="W81" s="8"/>
    </row>
    <row r="82" spans="1:23">
      <c r="A82" s="425">
        <v>45376</v>
      </c>
      <c r="B82" s="446"/>
      <c r="C82" s="394" t="s">
        <v>223</v>
      </c>
      <c r="D82" s="394"/>
      <c r="E82" s="434" t="s">
        <v>119</v>
      </c>
      <c r="F82" s="435"/>
      <c r="G82" s="406">
        <f t="shared" si="74"/>
        <v>12.590776753465164</v>
      </c>
      <c r="H82" s="476">
        <v>12.96</v>
      </c>
      <c r="I82" s="476" t="s">
        <v>219</v>
      </c>
      <c r="J82" s="397">
        <v>0</v>
      </c>
      <c r="K82" s="437">
        <f t="shared" si="78"/>
        <v>1.0293248981984549</v>
      </c>
      <c r="L82" s="478"/>
      <c r="M82" s="422"/>
      <c r="N82" s="417"/>
      <c r="O82" s="417"/>
      <c r="P82" s="417"/>
      <c r="Q82" s="417"/>
      <c r="R82" s="479">
        <f>'[1]退火 镀锡 烤漆工时anil celup cat'!G20</f>
        <v>15.353526988800001</v>
      </c>
      <c r="S82" s="439">
        <f t="shared" si="79"/>
        <v>6.5131614431620438E-2</v>
      </c>
      <c r="T82" s="439">
        <f t="shared" si="80"/>
        <v>0.84410572303380094</v>
      </c>
      <c r="U82" s="453"/>
      <c r="V82" s="441">
        <f t="shared" ref="V82:V83" si="81">IFERROR(IF(T82&lt;&gt;"",$Q$81*T82/$U$81,""),"input error")</f>
        <v>0.82005761690130274</v>
      </c>
      <c r="W82" s="8"/>
    </row>
    <row r="83" spans="1:23">
      <c r="A83" s="425">
        <v>45376</v>
      </c>
      <c r="B83" s="448"/>
      <c r="C83" s="394" t="s">
        <v>223</v>
      </c>
      <c r="D83" s="394"/>
      <c r="E83" s="434" t="s">
        <v>263</v>
      </c>
      <c r="F83" s="435"/>
      <c r="G83" s="406">
        <f t="shared" si="74"/>
        <v>4.5078089611171563</v>
      </c>
      <c r="H83" s="476">
        <v>4.6399999999999997</v>
      </c>
      <c r="I83" s="476" t="s">
        <v>219</v>
      </c>
      <c r="J83" s="397">
        <v>0</v>
      </c>
      <c r="K83" s="437">
        <f t="shared" si="78"/>
        <v>1.0293248981984549</v>
      </c>
      <c r="L83" s="478"/>
      <c r="M83" s="422"/>
      <c r="N83" s="419"/>
      <c r="O83" s="419"/>
      <c r="P83" s="419"/>
      <c r="Q83" s="419"/>
      <c r="R83" s="479">
        <f>'[1]退火 镀锡 烤漆工时anil celup cat'!G22</f>
        <v>32.975188646399999</v>
      </c>
      <c r="S83" s="439">
        <f t="shared" si="79"/>
        <v>3.0325831058108987E-2</v>
      </c>
      <c r="T83" s="439">
        <f t="shared" si="80"/>
        <v>0.14071185610962569</v>
      </c>
      <c r="U83" s="449"/>
      <c r="V83" s="441">
        <f t="shared" si="81"/>
        <v>0.13670305299706867</v>
      </c>
      <c r="W83" s="8"/>
    </row>
    <row r="84" spans="1:23">
      <c r="A84" s="425">
        <v>45376</v>
      </c>
      <c r="B84" s="432" t="s">
        <v>217</v>
      </c>
      <c r="C84" s="394" t="s">
        <v>235</v>
      </c>
      <c r="D84" s="394"/>
      <c r="E84" s="434" t="s">
        <v>126</v>
      </c>
      <c r="F84" s="435"/>
      <c r="G84" s="406">
        <f t="shared" si="74"/>
        <v>292.30753305600001</v>
      </c>
      <c r="H84" s="476">
        <v>125.86</v>
      </c>
      <c r="I84" s="476" t="s">
        <v>219</v>
      </c>
      <c r="J84" s="397">
        <v>0</v>
      </c>
      <c r="K84" s="437">
        <f t="shared" si="78"/>
        <v>0.43057391879082313</v>
      </c>
      <c r="L84" s="478"/>
      <c r="M84" s="422"/>
      <c r="N84" s="403">
        <v>3</v>
      </c>
      <c r="O84" s="403">
        <v>7.5</v>
      </c>
      <c r="P84" s="403">
        <v>0</v>
      </c>
      <c r="Q84" s="422">
        <f>IFERROR(IF(O84&gt;0,O84*N84-P84,""),"input error")</f>
        <v>22.5</v>
      </c>
      <c r="R84" s="479">
        <f>'[1]退火 镀锡 烤漆工时anil celup cat'!G34</f>
        <v>12.9914459136</v>
      </c>
      <c r="S84" s="439">
        <f t="shared" si="79"/>
        <v>7.6973726146460517E-2</v>
      </c>
      <c r="T84" s="439">
        <f t="shared" si="80"/>
        <v>9.6879131727935199</v>
      </c>
      <c r="U84" s="440">
        <f>IFERROR(IF(T84&lt;&gt;"",SUM(T84),""),“input error”)</f>
        <v>9.6879131727935199</v>
      </c>
      <c r="V84" s="441">
        <f t="shared" ref="V84" si="82">IFERROR(IF(T84&lt;&gt;"",Q84*T84/U84,""),"input error")</f>
        <v>22.5</v>
      </c>
      <c r="W84" s="8"/>
    </row>
    <row r="85" spans="1:23">
      <c r="A85" s="472"/>
      <c r="B85" s="432"/>
      <c r="C85" s="394"/>
      <c r="D85" s="394"/>
      <c r="E85" s="473"/>
      <c r="F85" s="474"/>
      <c r="G85" s="475"/>
      <c r="H85" s="476"/>
      <c r="I85" s="476"/>
      <c r="J85" s="476"/>
      <c r="K85" s="477"/>
      <c r="L85" s="478"/>
      <c r="M85" s="422"/>
      <c r="N85" s="403"/>
      <c r="O85" s="403"/>
      <c r="P85" s="403"/>
      <c r="Q85" s="422"/>
      <c r="R85" s="479"/>
      <c r="S85" s="480"/>
      <c r="T85" s="480"/>
      <c r="U85" s="444"/>
      <c r="V85" s="481"/>
      <c r="W85" s="8"/>
    </row>
    <row r="86" spans="1:23">
      <c r="A86" s="472"/>
      <c r="B86" s="432"/>
      <c r="C86" s="394"/>
      <c r="D86" s="394"/>
      <c r="E86" s="473"/>
      <c r="F86" s="474"/>
      <c r="G86" s="475"/>
      <c r="H86" s="476"/>
      <c r="I86" s="476"/>
      <c r="J86" s="476"/>
      <c r="K86" s="477"/>
      <c r="L86" s="478"/>
      <c r="M86" s="422"/>
      <c r="N86" s="403"/>
      <c r="O86" s="403"/>
      <c r="P86" s="403"/>
      <c r="Q86" s="422"/>
      <c r="R86" s="479"/>
      <c r="S86" s="480"/>
      <c r="T86" s="480"/>
      <c r="U86" s="444"/>
      <c r="V86" s="481"/>
      <c r="W86" s="8"/>
    </row>
    <row r="87" spans="1:23">
      <c r="A87" s="425"/>
      <c r="B87" s="394"/>
      <c r="C87" s="394"/>
      <c r="D87" s="394"/>
      <c r="E87" s="434"/>
      <c r="F87" s="435"/>
      <c r="G87" s="406"/>
      <c r="H87" s="443"/>
      <c r="I87" s="399"/>
      <c r="J87" s="397"/>
      <c r="K87" s="437" t="str">
        <f t="shared" ref="K87:K148" si="83">IFERROR(IF(H87&gt;0,H87/G87,""),"input error")</f>
        <v/>
      </c>
      <c r="L87" s="438" t="str">
        <f t="shared" si="4"/>
        <v/>
      </c>
      <c r="M87" s="387"/>
      <c r="N87" s="403"/>
      <c r="O87" s="403"/>
      <c r="P87" s="403"/>
      <c r="Q87" s="387" t="str">
        <f t="shared" si="5"/>
        <v/>
      </c>
      <c r="R87" s="405"/>
      <c r="S87" s="439" t="str">
        <f t="shared" si="6"/>
        <v/>
      </c>
      <c r="T87" s="439"/>
      <c r="U87" s="444"/>
      <c r="V87" s="441"/>
      <c r="W87" s="8"/>
    </row>
    <row r="88" spans="1:23" ht="37.5">
      <c r="K88" s="426"/>
      <c r="L88" s="426"/>
      <c r="M88" s="426"/>
      <c r="N88" s="426"/>
      <c r="O88" s="426"/>
      <c r="P88" s="426"/>
      <c r="Q88" s="426"/>
      <c r="R88" s="426"/>
      <c r="S88" s="411" t="s">
        <v>254</v>
      </c>
      <c r="T88" s="411"/>
      <c r="U88" s="411" t="s">
        <v>255</v>
      </c>
      <c r="V88" s="411"/>
      <c r="W88" s="387" t="s">
        <v>256</v>
      </c>
    </row>
    <row r="89" spans="1:23">
      <c r="K89" s="385"/>
      <c r="L89" s="385"/>
      <c r="M89" s="385"/>
      <c r="N89" s="385"/>
      <c r="O89" s="385"/>
      <c r="P89" s="385"/>
      <c r="Q89" s="385"/>
      <c r="R89" s="385"/>
      <c r="S89" s="377" t="s">
        <v>211</v>
      </c>
      <c r="T89" s="377"/>
      <c r="U89" s="378" t="s">
        <v>212</v>
      </c>
      <c r="V89" s="378"/>
      <c r="W89" s="387" t="s">
        <v>213</v>
      </c>
    </row>
    <row r="90" spans="1:23" ht="15.75">
      <c r="B90" s="379"/>
      <c r="C90" s="379"/>
      <c r="D90" s="379"/>
      <c r="M90" s="384"/>
      <c r="N90" s="384"/>
      <c r="O90" s="384"/>
      <c r="P90" s="384"/>
      <c r="Q90" s="384"/>
      <c r="R90" s="384"/>
      <c r="S90" s="428" t="s">
        <v>214</v>
      </c>
      <c r="T90" s="428"/>
      <c r="U90" s="428"/>
      <c r="V90" s="428"/>
      <c r="W90" s="428"/>
    </row>
  </sheetData>
  <autoFilter ref="A6:W54"/>
  <mergeCells count="200">
    <mergeCell ref="E84:F84"/>
    <mergeCell ref="E87:F87"/>
    <mergeCell ref="S88:T88"/>
    <mergeCell ref="U88:V88"/>
    <mergeCell ref="S89:T89"/>
    <mergeCell ref="U89:V89"/>
    <mergeCell ref="B90:D90"/>
    <mergeCell ref="S90:W90"/>
    <mergeCell ref="B81:B83"/>
    <mergeCell ref="E81:F81"/>
    <mergeCell ref="N81:N83"/>
    <mergeCell ref="O81:O83"/>
    <mergeCell ref="P81:P83"/>
    <mergeCell ref="Q81:Q83"/>
    <mergeCell ref="U81:U83"/>
    <mergeCell ref="E82:F82"/>
    <mergeCell ref="E83:F83"/>
    <mergeCell ref="E75:F75"/>
    <mergeCell ref="B77:B79"/>
    <mergeCell ref="E77:F77"/>
    <mergeCell ref="M77:M79"/>
    <mergeCell ref="N77:N79"/>
    <mergeCell ref="O77:O79"/>
    <mergeCell ref="P77:P79"/>
    <mergeCell ref="Q77:Q79"/>
    <mergeCell ref="U77:U79"/>
    <mergeCell ref="E78:F78"/>
    <mergeCell ref="E79:F79"/>
    <mergeCell ref="V47:V48"/>
    <mergeCell ref="V50:V51"/>
    <mergeCell ref="V53:V54"/>
    <mergeCell ref="V56:V57"/>
    <mergeCell ref="E56:F57"/>
    <mergeCell ref="E47:F48"/>
    <mergeCell ref="E50:F51"/>
    <mergeCell ref="E53:F54"/>
    <mergeCell ref="B64:B68"/>
    <mergeCell ref="E64:F64"/>
    <mergeCell ref="M64:M68"/>
    <mergeCell ref="N64:N68"/>
    <mergeCell ref="O64:O68"/>
    <mergeCell ref="P64:P68"/>
    <mergeCell ref="Q64:Q68"/>
    <mergeCell ref="U64:U68"/>
    <mergeCell ref="E65:F65"/>
    <mergeCell ref="E66:F66"/>
    <mergeCell ref="E67:F67"/>
    <mergeCell ref="E68:F68"/>
    <mergeCell ref="U16:U17"/>
    <mergeCell ref="U20:U22"/>
    <mergeCell ref="U31:U32"/>
    <mergeCell ref="U35:U38"/>
    <mergeCell ref="U41:U44"/>
    <mergeCell ref="U47:U48"/>
    <mergeCell ref="U50:U51"/>
    <mergeCell ref="U53:U54"/>
    <mergeCell ref="U56:U57"/>
    <mergeCell ref="R47:R48"/>
    <mergeCell ref="R50:R51"/>
    <mergeCell ref="R53:R54"/>
    <mergeCell ref="R56:R57"/>
    <mergeCell ref="S47:S48"/>
    <mergeCell ref="S50:S51"/>
    <mergeCell ref="S53:S54"/>
    <mergeCell ref="S56:S57"/>
    <mergeCell ref="T47:T48"/>
    <mergeCell ref="T50:T51"/>
    <mergeCell ref="T53:T54"/>
    <mergeCell ref="T56:T57"/>
    <mergeCell ref="Q16:Q17"/>
    <mergeCell ref="Q20:Q22"/>
    <mergeCell ref="Q31:Q32"/>
    <mergeCell ref="Q35:Q38"/>
    <mergeCell ref="Q41:Q44"/>
    <mergeCell ref="Q47:Q48"/>
    <mergeCell ref="Q50:Q51"/>
    <mergeCell ref="Q53:Q54"/>
    <mergeCell ref="Q56:Q57"/>
    <mergeCell ref="P16:P17"/>
    <mergeCell ref="P20:P22"/>
    <mergeCell ref="P35:P38"/>
    <mergeCell ref="P41:P44"/>
    <mergeCell ref="P47:P48"/>
    <mergeCell ref="P50:P51"/>
    <mergeCell ref="P53:P54"/>
    <mergeCell ref="P56:P57"/>
    <mergeCell ref="P59:P60"/>
    <mergeCell ref="O16:O17"/>
    <mergeCell ref="O20:O22"/>
    <mergeCell ref="O35:O38"/>
    <mergeCell ref="O41:O44"/>
    <mergeCell ref="O47:O48"/>
    <mergeCell ref="O50:O51"/>
    <mergeCell ref="O53:O54"/>
    <mergeCell ref="O56:O57"/>
    <mergeCell ref="O59:O60"/>
    <mergeCell ref="M35:M38"/>
    <mergeCell ref="M41:M44"/>
    <mergeCell ref="M47:M48"/>
    <mergeCell ref="M50:M51"/>
    <mergeCell ref="M53:M54"/>
    <mergeCell ref="M56:M57"/>
    <mergeCell ref="M59:M60"/>
    <mergeCell ref="N16:N17"/>
    <mergeCell ref="N20:N22"/>
    <mergeCell ref="N35:N38"/>
    <mergeCell ref="N41:N44"/>
    <mergeCell ref="N47:N48"/>
    <mergeCell ref="N50:N51"/>
    <mergeCell ref="N53:N54"/>
    <mergeCell ref="N56:N57"/>
    <mergeCell ref="N59:N60"/>
    <mergeCell ref="J47:J48"/>
    <mergeCell ref="J50:J51"/>
    <mergeCell ref="J53:J54"/>
    <mergeCell ref="J56:J57"/>
    <mergeCell ref="K47:K48"/>
    <mergeCell ref="K50:K51"/>
    <mergeCell ref="K53:K54"/>
    <mergeCell ref="K56:K57"/>
    <mergeCell ref="L47:L48"/>
    <mergeCell ref="L50:L51"/>
    <mergeCell ref="L53:L54"/>
    <mergeCell ref="L56:L57"/>
    <mergeCell ref="G47:G48"/>
    <mergeCell ref="G50:G51"/>
    <mergeCell ref="G53:G54"/>
    <mergeCell ref="G56:G57"/>
    <mergeCell ref="H47:H48"/>
    <mergeCell ref="H50:H51"/>
    <mergeCell ref="H53:H54"/>
    <mergeCell ref="H56:H57"/>
    <mergeCell ref="I47:I48"/>
    <mergeCell ref="I50:I51"/>
    <mergeCell ref="I53:I54"/>
    <mergeCell ref="I56:I57"/>
    <mergeCell ref="A50:A51"/>
    <mergeCell ref="A53:A54"/>
    <mergeCell ref="A56:A57"/>
    <mergeCell ref="A59:A60"/>
    <mergeCell ref="B14:B17"/>
    <mergeCell ref="B19:B22"/>
    <mergeCell ref="B26:B27"/>
    <mergeCell ref="B31:B32"/>
    <mergeCell ref="B35:B38"/>
    <mergeCell ref="B41:B44"/>
    <mergeCell ref="B46:B47"/>
    <mergeCell ref="B59:B60"/>
    <mergeCell ref="E60:F60"/>
    <mergeCell ref="E61:F61"/>
    <mergeCell ref="E69:F69"/>
    <mergeCell ref="Q59:Q60"/>
    <mergeCell ref="U59:U60"/>
    <mergeCell ref="B71:B74"/>
    <mergeCell ref="E71:F71"/>
    <mergeCell ref="M71:M74"/>
    <mergeCell ref="N71:N74"/>
    <mergeCell ref="O71:O74"/>
    <mergeCell ref="P71:P74"/>
    <mergeCell ref="Q71:Q74"/>
    <mergeCell ref="U71:U74"/>
    <mergeCell ref="E72:F72"/>
    <mergeCell ref="E73:F73"/>
    <mergeCell ref="E74:F74"/>
    <mergeCell ref="E37:F37"/>
    <mergeCell ref="E38:F38"/>
    <mergeCell ref="E39:F39"/>
    <mergeCell ref="E41:F41"/>
    <mergeCell ref="E42:F42"/>
    <mergeCell ref="E43:F43"/>
    <mergeCell ref="E44:F44"/>
    <mergeCell ref="E46:F46"/>
    <mergeCell ref="E59:F59"/>
    <mergeCell ref="E24:F24"/>
    <mergeCell ref="E26:F26"/>
    <mergeCell ref="E27:F27"/>
    <mergeCell ref="E29:F29"/>
    <mergeCell ref="E31:F31"/>
    <mergeCell ref="E32:F32"/>
    <mergeCell ref="E33:F33"/>
    <mergeCell ref="E35:F35"/>
    <mergeCell ref="E36:F36"/>
    <mergeCell ref="E12:F12"/>
    <mergeCell ref="E14:F14"/>
    <mergeCell ref="E15:F15"/>
    <mergeCell ref="E16:F16"/>
    <mergeCell ref="E17:F17"/>
    <mergeCell ref="E19:F19"/>
    <mergeCell ref="E20:F20"/>
    <mergeCell ref="E21:F21"/>
    <mergeCell ref="E22:F22"/>
    <mergeCell ref="B1:W1"/>
    <mergeCell ref="B2:W2"/>
    <mergeCell ref="B3:W3"/>
    <mergeCell ref="B4:W4"/>
    <mergeCell ref="A5:C5"/>
    <mergeCell ref="E6:F6"/>
    <mergeCell ref="E7:F7"/>
    <mergeCell ref="E9:F9"/>
    <mergeCell ref="E11:F11"/>
  </mergeCells>
  <conditionalFormatting sqref="K9 K77:K80">
    <cfRule type="cellIs" dxfId="43" priority="21" operator="lessThan">
      <formula>0.5</formula>
    </cfRule>
  </conditionalFormatting>
  <conditionalFormatting sqref="K10">
    <cfRule type="cellIs" dxfId="41" priority="19" operator="lessThan">
      <formula>0.5</formula>
    </cfRule>
  </conditionalFormatting>
  <conditionalFormatting sqref="K13">
    <cfRule type="cellIs" dxfId="39" priority="16" operator="lessThan">
      <formula>0.5</formula>
    </cfRule>
  </conditionalFormatting>
  <conditionalFormatting sqref="K18">
    <cfRule type="cellIs" dxfId="37" priority="17" operator="lessThan">
      <formula>0.5</formula>
    </cfRule>
  </conditionalFormatting>
  <conditionalFormatting sqref="K25">
    <cfRule type="cellIs" dxfId="35" priority="13" operator="lessThan">
      <formula>0.5</formula>
    </cfRule>
  </conditionalFormatting>
  <conditionalFormatting sqref="K26">
    <cfRule type="cellIs" dxfId="33" priority="15" operator="lessThan">
      <formula>0.5</formula>
    </cfRule>
  </conditionalFormatting>
  <conditionalFormatting sqref="K27">
    <cfRule type="cellIs" dxfId="31" priority="14" operator="lessThan">
      <formula>0.5</formula>
    </cfRule>
  </conditionalFormatting>
  <conditionalFormatting sqref="K28">
    <cfRule type="cellIs" dxfId="29" priority="11" operator="lessThan">
      <formula>0.5</formula>
    </cfRule>
  </conditionalFormatting>
  <conditionalFormatting sqref="K29">
    <cfRule type="cellIs" dxfId="27" priority="12" operator="lessThan">
      <formula>0.5</formula>
    </cfRule>
  </conditionalFormatting>
  <conditionalFormatting sqref="K47">
    <cfRule type="cellIs" dxfId="25" priority="4" operator="lessThan">
      <formula>0.5</formula>
    </cfRule>
  </conditionalFormatting>
  <conditionalFormatting sqref="K53">
    <cfRule type="cellIs" dxfId="23" priority="7" operator="lessThan">
      <formula>0.5</formula>
    </cfRule>
  </conditionalFormatting>
  <conditionalFormatting sqref="K56">
    <cfRule type="cellIs" dxfId="21" priority="6" operator="lessThan">
      <formula>0.5</formula>
    </cfRule>
  </conditionalFormatting>
  <conditionalFormatting sqref="K11:K12">
    <cfRule type="cellIs" dxfId="19" priority="20" operator="lessThan">
      <formula>0.5</formula>
    </cfRule>
  </conditionalFormatting>
  <conditionalFormatting sqref="K31:K33">
    <cfRule type="cellIs" dxfId="17" priority="10" operator="lessThan">
      <formula>0.5</formula>
    </cfRule>
  </conditionalFormatting>
  <conditionalFormatting sqref="K35:K40">
    <cfRule type="cellIs" dxfId="15" priority="9" operator="lessThan">
      <formula>0.5</formula>
    </cfRule>
  </conditionalFormatting>
  <conditionalFormatting sqref="K59:K61">
    <cfRule type="cellIs" dxfId="13" priority="5" operator="lessThan">
      <formula>0.5</formula>
    </cfRule>
  </conditionalFormatting>
  <conditionalFormatting sqref="K64:K69">
    <cfRule type="cellIs" dxfId="11" priority="3" operator="lessThan">
      <formula>0.5</formula>
    </cfRule>
  </conditionalFormatting>
  <conditionalFormatting sqref="K7:K8 K30 K34 K41:K46">
    <cfRule type="cellIs" dxfId="9" priority="22" operator="lessThan">
      <formula>0.5</formula>
    </cfRule>
  </conditionalFormatting>
  <conditionalFormatting sqref="K14:K17 K19:K24">
    <cfRule type="cellIs" dxfId="7" priority="18" operator="lessThan">
      <formula>0.5</formula>
    </cfRule>
  </conditionalFormatting>
  <conditionalFormatting sqref="K87 K49:K50">
    <cfRule type="cellIs" dxfId="5" priority="8" operator="lessThan">
      <formula>0.5</formula>
    </cfRule>
  </conditionalFormatting>
  <conditionalFormatting sqref="K71:K75">
    <cfRule type="cellIs" dxfId="3" priority="2" operator="lessThan">
      <formula>0.5</formula>
    </cfRule>
  </conditionalFormatting>
  <conditionalFormatting sqref="K81:K84">
    <cfRule type="cellIs" dxfId="1" priority="1" operator="lessThan">
      <formula>0.5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02</vt:lpstr>
      <vt:lpstr>03</vt:lpstr>
      <vt:lpstr>04</vt:lpstr>
      <vt:lpstr>Sheet1</vt:lpstr>
      <vt:lpstr>伸线wire drawing</vt:lpstr>
      <vt:lpstr>退火anil </vt:lpstr>
      <vt:lpstr>'02'!Print_Area</vt:lpstr>
      <vt:lpstr>'03'!Print_Area</vt:lpstr>
      <vt:lpstr>'04'!Print_Area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2024-02-17T01:12:00Z</cp:lastPrinted>
  <dcterms:created xsi:type="dcterms:W3CDTF">2024-02-01T04:10:00Z</dcterms:created>
  <dcterms:modified xsi:type="dcterms:W3CDTF">2024-03-26T05:58:53Z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6C74F1BEE8C04F04AEBF96B2946919A1_12</vt:lpwstr>
  </property>
  <property fmtid="{D5CDD505-2E9C-101B-9397-08002B2CF9AE}" pid="3" name="KSOProductBuildVer">
    <vt:lpwstr>2052-12.1.0.16417</vt:lpwstr>
  </property>
</Properties>
</file>