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davis2\Box\Justin\Teaching\2025 Winter BUS 202\Group Project\Data\"/>
    </mc:Choice>
  </mc:AlternateContent>
  <xr:revisionPtr revIDLastSave="0" documentId="13_ncr:1_{08FAE897-33AF-4F3E-8818-104DE4D94AD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Sheet2!$A$1:$P$589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7" i="1" l="1"/>
  <c r="F336" i="1"/>
  <c r="F335" i="1"/>
  <c r="F334" i="1"/>
  <c r="J333" i="1"/>
  <c r="F333" i="1"/>
  <c r="F332" i="1"/>
  <c r="J331" i="1"/>
  <c r="F331" i="1"/>
  <c r="F330" i="1"/>
  <c r="F329" i="1"/>
  <c r="J328" i="1"/>
  <c r="F328" i="1"/>
  <c r="F327" i="1"/>
  <c r="F326" i="1"/>
  <c r="F325" i="1"/>
  <c r="J324" i="1"/>
  <c r="F324" i="1"/>
  <c r="J323" i="1"/>
  <c r="F323" i="1"/>
  <c r="F322" i="1"/>
  <c r="J321" i="1"/>
  <c r="F321" i="1"/>
  <c r="F320" i="1"/>
  <c r="F319" i="1"/>
  <c r="J318" i="1"/>
  <c r="F318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F268" i="1"/>
  <c r="F267" i="1"/>
  <c r="J266" i="1"/>
  <c r="F266" i="1"/>
  <c r="J265" i="1"/>
  <c r="F265" i="1"/>
  <c r="F264" i="1"/>
  <c r="F263" i="1"/>
  <c r="F262" i="1"/>
  <c r="F261" i="1"/>
  <c r="F260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F202" i="1"/>
  <c r="F201" i="1"/>
  <c r="F200" i="1"/>
  <c r="F199" i="1"/>
  <c r="F198" i="1"/>
  <c r="F197" i="1"/>
  <c r="F196" i="1"/>
  <c r="F195" i="1"/>
  <c r="F194" i="1"/>
  <c r="J193" i="1"/>
  <c r="F193" i="1"/>
  <c r="J192" i="1"/>
  <c r="F192" i="1"/>
  <c r="F191" i="1"/>
  <c r="J190" i="1"/>
  <c r="F190" i="1"/>
  <c r="J189" i="1"/>
  <c r="F189" i="1"/>
  <c r="J188" i="1"/>
  <c r="F188" i="1"/>
  <c r="J187" i="1"/>
  <c r="F187" i="1"/>
  <c r="J186" i="1"/>
  <c r="F186" i="1"/>
  <c r="F185" i="1"/>
  <c r="J184" i="1"/>
  <c r="F184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F133" i="1"/>
  <c r="F132" i="1"/>
  <c r="F131" i="1"/>
  <c r="F130" i="1"/>
  <c r="F129" i="1"/>
  <c r="F128" i="1"/>
  <c r="F127" i="1"/>
  <c r="J126" i="1"/>
  <c r="F126" i="1"/>
  <c r="F125" i="1"/>
  <c r="F124" i="1"/>
  <c r="J123" i="1"/>
  <c r="F123" i="1"/>
  <c r="F122" i="1"/>
  <c r="F121" i="1"/>
  <c r="F120" i="1"/>
  <c r="F119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F64" i="1"/>
  <c r="F63" i="1"/>
  <c r="F62" i="1"/>
  <c r="F61" i="1"/>
  <c r="F60" i="1"/>
  <c r="F59" i="1"/>
  <c r="F58" i="1"/>
  <c r="J57" i="1"/>
  <c r="F57" i="1"/>
  <c r="F56" i="1"/>
  <c r="F55" i="1"/>
  <c r="J54" i="1"/>
  <c r="F54" i="1"/>
  <c r="J53" i="1"/>
  <c r="F53" i="1"/>
  <c r="F52" i="1"/>
  <c r="J51" i="1"/>
  <c r="F51" i="1"/>
  <c r="F50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</calcChain>
</file>

<file path=xl/sharedStrings.xml><?xml version="1.0" encoding="utf-8"?>
<sst xmlns="http://schemas.openxmlformats.org/spreadsheetml/2006/main" count="713" uniqueCount="192">
  <si>
    <t>Strength of Schedule</t>
  </si>
  <si>
    <t>Year</t>
  </si>
  <si>
    <r>
      <rPr>
        <u/>
        <sz val="11"/>
        <color rgb="FF1155CC"/>
        <rFont val="inherit"/>
      </rPr>
      <t>Rk</t>
    </r>
  </si>
  <si>
    <r>
      <rPr>
        <u/>
        <sz val="11"/>
        <color rgb="FF1155CC"/>
        <rFont val="inherit"/>
      </rPr>
      <t>Team</t>
    </r>
  </si>
  <si>
    <t>Tournament Ranking</t>
  </si>
  <si>
    <r>
      <rPr>
        <u/>
        <sz val="11"/>
        <color rgb="FF1155CC"/>
        <rFont val="inherit"/>
      </rPr>
      <t>W</t>
    </r>
    <r>
      <rPr>
        <sz val="11"/>
        <rFont val="inherit"/>
      </rPr>
      <t>in Rate</t>
    </r>
  </si>
  <si>
    <r>
      <rPr>
        <u/>
        <sz val="11"/>
        <color rgb="FF1155CC"/>
        <rFont val="inherit"/>
      </rPr>
      <t>NetRtg</t>
    </r>
  </si>
  <si>
    <r>
      <rPr>
        <u/>
        <sz val="11"/>
        <color rgb="FF1155CC"/>
        <rFont val="inherit"/>
      </rPr>
      <t>ORtg</t>
    </r>
  </si>
  <si>
    <r>
      <rPr>
        <u/>
        <sz val="11"/>
        <color rgb="FF1155CC"/>
        <rFont val="inherit"/>
      </rPr>
      <t>DRtg</t>
    </r>
  </si>
  <si>
    <r>
      <rPr>
        <u/>
        <sz val="11"/>
        <color rgb="FF1155CC"/>
        <rFont val="inherit"/>
      </rPr>
      <t>AdjT</t>
    </r>
  </si>
  <si>
    <r>
      <rPr>
        <u/>
        <sz val="11"/>
        <color rgb="FF1155CC"/>
        <rFont val="inherit"/>
      </rPr>
      <t>NetRtg</t>
    </r>
  </si>
  <si>
    <r>
      <rPr>
        <u/>
        <sz val="11"/>
        <color rgb="FF1155CC"/>
        <rFont val="inherit"/>
      </rPr>
      <t>ORtg</t>
    </r>
  </si>
  <si>
    <r>
      <rPr>
        <u/>
        <sz val="11"/>
        <color rgb="FF1155CC"/>
        <rFont val="inherit"/>
      </rPr>
      <t>DRtg</t>
    </r>
  </si>
  <si>
    <t>Made sweet 16?</t>
  </si>
  <si>
    <t>Made elite 8?</t>
  </si>
  <si>
    <t>Made final 4?</t>
  </si>
  <si>
    <t>Made round of 32?</t>
  </si>
  <si>
    <t>Connecticut</t>
  </si>
  <si>
    <t>Houston</t>
  </si>
  <si>
    <t>Purdue</t>
  </si>
  <si>
    <t>Auburn</t>
  </si>
  <si>
    <t>Tennessee</t>
  </si>
  <si>
    <t>Arizona</t>
  </si>
  <si>
    <t>Duke</t>
  </si>
  <si>
    <t>Iowa St.</t>
  </si>
  <si>
    <t>North Carolina</t>
  </si>
  <si>
    <t>Illinois</t>
  </si>
  <si>
    <t>Creighton</t>
  </si>
  <si>
    <t>Gonzaga</t>
  </si>
  <si>
    <t>Marquette</t>
  </si>
  <si>
    <t>Alabama</t>
  </si>
  <si>
    <t>Baylor</t>
  </si>
  <si>
    <t>Michigan St.</t>
  </si>
  <si>
    <t>Wisconsin</t>
  </si>
  <si>
    <t>BYU</t>
  </si>
  <si>
    <t>Clemson</t>
  </si>
  <si>
    <t>Saint Mary's</t>
  </si>
  <si>
    <t>San Diego St.</t>
  </si>
  <si>
    <t>Kentucky</t>
  </si>
  <si>
    <t>Colorado</t>
  </si>
  <si>
    <t>Texas</t>
  </si>
  <si>
    <t>Florida</t>
  </si>
  <si>
    <t>Kansas</t>
  </si>
  <si>
    <t>New Mexico</t>
  </si>
  <si>
    <t>Nebraska</t>
  </si>
  <si>
    <t>Texas Tech</t>
  </si>
  <si>
    <t>Dayton</t>
  </si>
  <si>
    <t>Mississippi St.</t>
  </si>
  <si>
    <t>Texas A&amp;M</t>
  </si>
  <si>
    <t>Colorado St.</t>
  </si>
  <si>
    <t>Nevada</t>
  </si>
  <si>
    <t>Northwestern</t>
  </si>
  <si>
    <t>Washington St.</t>
  </si>
  <si>
    <t>TCU</t>
  </si>
  <si>
    <t>Boise St.</t>
  </si>
  <si>
    <t>N.C. State</t>
  </si>
  <si>
    <t>Florida Atlantic</t>
  </si>
  <si>
    <t>Utah St.</t>
  </si>
  <si>
    <t>Grand Canyon</t>
  </si>
  <si>
    <t>Drake</t>
  </si>
  <si>
    <t>South Carolina</t>
  </si>
  <si>
    <t>Oregon</t>
  </si>
  <si>
    <t>James Madison</t>
  </si>
  <si>
    <t>McNeese St.</t>
  </si>
  <si>
    <t>Virginia</t>
  </si>
  <si>
    <t>Samford</t>
  </si>
  <si>
    <t>Duquesne</t>
  </si>
  <si>
    <t>Yale</t>
  </si>
  <si>
    <t>Charleston</t>
  </si>
  <si>
    <t>Vermont</t>
  </si>
  <si>
    <t>UAB</t>
  </si>
  <si>
    <t>Morehead St.</t>
  </si>
  <si>
    <t>Akron</t>
  </si>
  <si>
    <t>Oakland</t>
  </si>
  <si>
    <t>Western Kentucky</t>
  </si>
  <si>
    <t>South Dakota St.</t>
  </si>
  <si>
    <t>Colgate</t>
  </si>
  <si>
    <t>Longwood</t>
  </si>
  <si>
    <t>Long Beach St.</t>
  </si>
  <si>
    <t>Saint Peter's</t>
  </si>
  <si>
    <t>Stetson</t>
  </si>
  <si>
    <t>Montana St.</t>
  </si>
  <si>
    <t>Grambling St.</t>
  </si>
  <si>
    <t>Howard</t>
  </si>
  <si>
    <t>Wagner</t>
  </si>
  <si>
    <t>UCLA</t>
  </si>
  <si>
    <t>Xavier</t>
  </si>
  <si>
    <t>West Virginia</t>
  </si>
  <si>
    <t>Memphis</t>
  </si>
  <si>
    <t>Kansas St.</t>
  </si>
  <si>
    <t>Arkansas</t>
  </si>
  <si>
    <t>Maryland</t>
  </si>
  <si>
    <t>Miami FL</t>
  </si>
  <si>
    <t>Indiana</t>
  </si>
  <si>
    <t>Penn St.</t>
  </si>
  <si>
    <t>Iowa</t>
  </si>
  <si>
    <t>USC</t>
  </si>
  <si>
    <t>Arizona St.</t>
  </si>
  <si>
    <t>Missouri</t>
  </si>
  <si>
    <t>Pittsburgh</t>
  </si>
  <si>
    <t>VCU</t>
  </si>
  <si>
    <t>Oral Roberts</t>
  </si>
  <si>
    <t>Iona</t>
  </si>
  <si>
    <t>Kent St.</t>
  </si>
  <si>
    <t>Louisiana</t>
  </si>
  <si>
    <t>Princeton</t>
  </si>
  <si>
    <t>Furman</t>
  </si>
  <si>
    <t>UC Santa Barbara</t>
  </si>
  <si>
    <t>Kennesaw St.</t>
  </si>
  <si>
    <t>UNC Asheville</t>
  </si>
  <si>
    <t>Northern Kentucky</t>
  </si>
  <si>
    <t>Texas A&amp;M Corpus Chris</t>
  </si>
  <si>
    <t>Southeast Missouri St.</t>
  </si>
  <si>
    <t>Fairleigh Dickinson</t>
  </si>
  <si>
    <t>Texas Southern</t>
  </si>
  <si>
    <t>Villanova</t>
  </si>
  <si>
    <t>Virginia Tech</t>
  </si>
  <si>
    <t>LSU</t>
  </si>
  <si>
    <t>San Francisco</t>
  </si>
  <si>
    <t>Michigan</t>
  </si>
  <si>
    <t>Loyola Chicago</t>
  </si>
  <si>
    <t>Ohio St.</t>
  </si>
  <si>
    <t>Providence</t>
  </si>
  <si>
    <t>Murray St.</t>
  </si>
  <si>
    <t>Notre Dame</t>
  </si>
  <si>
    <t>Davidson</t>
  </si>
  <si>
    <t>Seton Hall</t>
  </si>
  <si>
    <t>Wyoming</t>
  </si>
  <si>
    <t>Chattanooga</t>
  </si>
  <si>
    <t>Rutgers</t>
  </si>
  <si>
    <t>New Mexico St.</t>
  </si>
  <si>
    <t>Richmond</t>
  </si>
  <si>
    <t>Delaware</t>
  </si>
  <si>
    <t>Jacksonville St.</t>
  </si>
  <si>
    <t>Georgia St.</t>
  </si>
  <si>
    <t>Cal St. Fullerton</t>
  </si>
  <si>
    <t>Wright St.</t>
  </si>
  <si>
    <t>Norfolk St.</t>
  </si>
  <si>
    <t>Bryant</t>
  </si>
  <si>
    <t>Florida St.</t>
  </si>
  <si>
    <t>St. Bonaventure</t>
  </si>
  <si>
    <t>Oklahoma St.</t>
  </si>
  <si>
    <t>Georgia Tech</t>
  </si>
  <si>
    <t>Oklahoma</t>
  </si>
  <si>
    <t>Syracuse</t>
  </si>
  <si>
    <t>Oregon St.</t>
  </si>
  <si>
    <t>SMU</t>
  </si>
  <si>
    <t>Georgetown</t>
  </si>
  <si>
    <t>Wichita St.</t>
  </si>
  <si>
    <t>North Texas</t>
  </si>
  <si>
    <t>Ohio</t>
  </si>
  <si>
    <t>Abilene Christian</t>
  </si>
  <si>
    <t>Liberty</t>
  </si>
  <si>
    <t>Winthrop</t>
  </si>
  <si>
    <t>Eastern Washington</t>
  </si>
  <si>
    <t>UNC Greensboro</t>
  </si>
  <si>
    <t>Drexel</t>
  </si>
  <si>
    <t>Cleveland St.</t>
  </si>
  <si>
    <t>Hartford</t>
  </si>
  <si>
    <t>Appalachian St.</t>
  </si>
  <si>
    <t>Mount St. Mary's</t>
  </si>
  <si>
    <t>Wofford</t>
  </si>
  <si>
    <t>Buffalo</t>
  </si>
  <si>
    <t>Louisville</t>
  </si>
  <si>
    <t>Cincinnati</t>
  </si>
  <si>
    <t>UCF</t>
  </si>
  <si>
    <t>Minnesota</t>
  </si>
  <si>
    <t>Washington</t>
  </si>
  <si>
    <t>Belmont</t>
  </si>
  <si>
    <t>Mississippi</t>
  </si>
  <si>
    <t>Temple</t>
  </si>
  <si>
    <t>UC Irvine</t>
  </si>
  <si>
    <t>St. John's</t>
  </si>
  <si>
    <t>Northeastern</t>
  </si>
  <si>
    <t>Saint Louis</t>
  </si>
  <si>
    <t>Old Dominion</t>
  </si>
  <si>
    <t>Montana</t>
  </si>
  <si>
    <t>Bradley</t>
  </si>
  <si>
    <t>Gardner Webb</t>
  </si>
  <si>
    <t>North Dakota St.</t>
  </si>
  <si>
    <t>Prairie View A&amp;M</t>
  </si>
  <si>
    <t>North Carolina Central</t>
  </si>
  <si>
    <t>Rk</t>
  </si>
  <si>
    <t>Team</t>
  </si>
  <si>
    <t>Win Rate</t>
  </si>
  <si>
    <t>NetRtg</t>
  </si>
  <si>
    <t>ORtg</t>
  </si>
  <si>
    <t>DRtg</t>
  </si>
  <si>
    <t>AdjT</t>
  </si>
  <si>
    <t>sos NetRtg</t>
  </si>
  <si>
    <t>sos ORtg</t>
  </si>
  <si>
    <t>sos DRtg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</si>
</sst>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3399"/>
      <name val="Inherit"/>
    </font>
    <font>
      <sz val="10"/>
      <name val="Arial"/>
    </font>
    <font>
      <sz val="11"/>
      <color theme="1"/>
      <name val="Inherit"/>
    </font>
    <font>
      <u/>
      <sz val="11"/>
      <color rgb="FF0000FF"/>
      <name val="Inherit"/>
    </font>
    <font>
      <u/>
      <sz val="11"/>
      <color rgb="FF0000FF"/>
      <name val="Inherit"/>
    </font>
    <font>
      <u/>
      <sz val="11"/>
      <color rgb="FF0000FF"/>
      <name val="Inherit"/>
    </font>
    <font>
      <u/>
      <sz val="11"/>
      <color rgb="FF0000FF"/>
      <name val="Inherit"/>
    </font>
    <font>
      <sz val="11"/>
      <color rgb="FF000000"/>
      <name val="Inherit"/>
    </font>
    <font>
      <sz val="9"/>
      <color rgb="FF222222"/>
      <name val="Inherit"/>
    </font>
    <font>
      <u/>
      <sz val="11"/>
      <color rgb="FF1155CC"/>
      <name val="inherit"/>
    </font>
    <font>
      <sz val="11"/>
      <name val="inherit"/>
    </font>
  </fonts>
  <fills count="6">
    <fill>
      <patternFill patternType="none"/>
    </fill>
    <fill>
      <patternFill patternType="gray125"/>
    </fill>
    <fill>
      <patternFill patternType="solid">
        <fgColor rgb="FFC3D9FF"/>
        <bgColor rgb="FFC3D9FF"/>
      </patternFill>
    </fill>
    <fill>
      <patternFill patternType="solid">
        <fgColor rgb="FFFFCCCC"/>
        <bgColor rgb="FFFFCCCC"/>
      </patternFill>
    </fill>
    <fill>
      <patternFill patternType="solid">
        <fgColor rgb="FFE5ECF9"/>
        <bgColor rgb="FFE5ECF9"/>
      </patternFill>
    </fill>
    <fill>
      <patternFill patternType="solid">
        <fgColor rgb="FFF2FAFD"/>
        <bgColor rgb="FFF2FAFD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BBBBBB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BBBBB"/>
      </left>
      <right/>
      <top/>
      <bottom style="thin">
        <color rgb="FF000000"/>
      </bottom>
      <diagonal/>
    </border>
    <border>
      <left style="thin">
        <color rgb="FFBBBBBB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 applyAlignment="1"/>
    <xf numFmtId="0" fontId="9" fillId="2" borderId="0" xfId="0" applyFont="1" applyFill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0" borderId="0" xfId="0" applyNumberFormat="1" applyFont="1" applyAlignment="1"/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npom.com/index.php?y=2024&amp;s=RankSOS" TargetMode="External"/><Relationship Id="rId3" Type="http://schemas.openxmlformats.org/officeDocument/2006/relationships/hyperlink" Target="https://kenpom.com/index.php?y=2024&amp;s=Wins" TargetMode="External"/><Relationship Id="rId7" Type="http://schemas.openxmlformats.org/officeDocument/2006/relationships/hyperlink" Target="https://kenpom.com/index.php?y=2024&amp;s=RankAdjTempo" TargetMode="External"/><Relationship Id="rId2" Type="http://schemas.openxmlformats.org/officeDocument/2006/relationships/hyperlink" Target="https://kenpom.com/index.php?y=2024&amp;s=TeamName" TargetMode="External"/><Relationship Id="rId1" Type="http://schemas.openxmlformats.org/officeDocument/2006/relationships/hyperlink" Target="https://kenpom.com/index.php?y=2024" TargetMode="External"/><Relationship Id="rId6" Type="http://schemas.openxmlformats.org/officeDocument/2006/relationships/hyperlink" Target="https://kenpom.com/index.php?y=2024&amp;s=RankAdjDE" TargetMode="External"/><Relationship Id="rId5" Type="http://schemas.openxmlformats.org/officeDocument/2006/relationships/hyperlink" Target="https://kenpom.com/index.php?y=2024&amp;s=RankAdjOE" TargetMode="External"/><Relationship Id="rId10" Type="http://schemas.openxmlformats.org/officeDocument/2006/relationships/hyperlink" Target="https://kenpom.com/index.php?y=2024&amp;s=RankSOSD" TargetMode="External"/><Relationship Id="rId4" Type="http://schemas.openxmlformats.org/officeDocument/2006/relationships/hyperlink" Target="https://kenpom.com/index.php?y=2024" TargetMode="External"/><Relationship Id="rId9" Type="http://schemas.openxmlformats.org/officeDocument/2006/relationships/hyperlink" Target="https://kenpom.com/index.php?y=2024&amp;s=RankSO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89"/>
  <sheetViews>
    <sheetView workbookViewId="0">
      <selection sqref="A1:XFD1048576"/>
    </sheetView>
  </sheetViews>
  <sheetFormatPr defaultColWidth="12.6640625" defaultRowHeight="15.75" customHeight="1"/>
  <cols>
    <col min="1" max="1" width="10.33203125" customWidth="1"/>
    <col min="3" max="3" width="21" customWidth="1"/>
    <col min="5" max="5" width="10" customWidth="1"/>
    <col min="13" max="13" width="14.6640625" customWidth="1"/>
    <col min="14" max="14" width="12.6640625" customWidth="1"/>
    <col min="15" max="15" width="13.6640625" customWidth="1"/>
  </cols>
  <sheetData>
    <row r="1" spans="1:16" ht="13.2">
      <c r="E1" s="1"/>
    </row>
    <row r="2" spans="1:16" ht="13.8">
      <c r="A2" s="2"/>
      <c r="B2" s="3"/>
      <c r="C2" s="3"/>
      <c r="D2" s="36"/>
      <c r="E2" s="37"/>
      <c r="F2" s="37"/>
      <c r="G2" s="38"/>
      <c r="H2" s="39"/>
      <c r="I2" s="4"/>
      <c r="J2" s="38" t="s">
        <v>0</v>
      </c>
      <c r="K2" s="39"/>
      <c r="L2" s="39"/>
    </row>
    <row r="3" spans="1:16" ht="13.8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6" t="s">
        <v>6</v>
      </c>
      <c r="G3" s="10" t="s">
        <v>7</v>
      </c>
      <c r="H3" s="6" t="s">
        <v>8</v>
      </c>
      <c r="I3" s="10" t="s">
        <v>9</v>
      </c>
      <c r="J3" s="10" t="s">
        <v>10</v>
      </c>
      <c r="K3" s="6" t="s">
        <v>11</v>
      </c>
      <c r="L3" s="6" t="s">
        <v>12</v>
      </c>
      <c r="M3" s="11" t="s">
        <v>13</v>
      </c>
      <c r="N3" s="11" t="s">
        <v>14</v>
      </c>
      <c r="O3" s="11" t="s">
        <v>15</v>
      </c>
      <c r="P3" s="11" t="s">
        <v>16</v>
      </c>
    </row>
    <row r="4" spans="1:16" ht="13.8">
      <c r="A4" s="12">
        <v>2024</v>
      </c>
      <c r="B4" s="13">
        <v>1</v>
      </c>
      <c r="C4" s="11" t="s">
        <v>17</v>
      </c>
      <c r="D4" s="14">
        <v>1</v>
      </c>
      <c r="E4" s="15">
        <v>0.92500000000000004</v>
      </c>
      <c r="F4" s="16">
        <f>36.43</f>
        <v>36.43</v>
      </c>
      <c r="G4" s="17">
        <v>127.5</v>
      </c>
      <c r="H4" s="13">
        <v>91.1</v>
      </c>
      <c r="I4" s="17">
        <v>64.599999999999994</v>
      </c>
      <c r="J4" s="18">
        <f>12.42</f>
        <v>12.42</v>
      </c>
      <c r="K4" s="13">
        <v>113.2</v>
      </c>
      <c r="L4" s="13">
        <v>100.8</v>
      </c>
      <c r="M4" s="11">
        <v>1</v>
      </c>
      <c r="N4" s="11">
        <v>1</v>
      </c>
      <c r="O4" s="11">
        <v>1</v>
      </c>
      <c r="P4" s="11">
        <v>1</v>
      </c>
    </row>
    <row r="5" spans="1:16" ht="13.8">
      <c r="A5" s="12">
        <v>2024</v>
      </c>
      <c r="B5" s="19">
        <v>2</v>
      </c>
      <c r="C5" s="11" t="s">
        <v>18</v>
      </c>
      <c r="D5" s="14">
        <v>1</v>
      </c>
      <c r="E5" s="15">
        <v>0.8649</v>
      </c>
      <c r="F5" s="20">
        <f>31.17</f>
        <v>31.17</v>
      </c>
      <c r="G5" s="21">
        <v>118.9</v>
      </c>
      <c r="H5" s="19">
        <v>87.7</v>
      </c>
      <c r="I5" s="21">
        <v>63.5</v>
      </c>
      <c r="J5" s="22">
        <f>11.57</f>
        <v>11.57</v>
      </c>
      <c r="K5" s="19">
        <v>111.9</v>
      </c>
      <c r="L5" s="19">
        <v>100.3</v>
      </c>
      <c r="M5" s="11">
        <v>1</v>
      </c>
      <c r="P5" s="11">
        <v>1</v>
      </c>
    </row>
    <row r="6" spans="1:16" ht="13.8">
      <c r="A6" s="12">
        <v>2024</v>
      </c>
      <c r="B6" s="23">
        <v>3</v>
      </c>
      <c r="C6" s="11" t="s">
        <v>19</v>
      </c>
      <c r="D6" s="14">
        <v>1</v>
      </c>
      <c r="E6" s="15">
        <v>0.87180000000000002</v>
      </c>
      <c r="F6" s="24">
        <f>30.62</f>
        <v>30.62</v>
      </c>
      <c r="G6" s="25">
        <v>125.2</v>
      </c>
      <c r="H6" s="23">
        <v>94.6</v>
      </c>
      <c r="I6" s="25">
        <v>67</v>
      </c>
      <c r="J6" s="26">
        <f>14.65</f>
        <v>14.65</v>
      </c>
      <c r="K6" s="23">
        <v>114.4</v>
      </c>
      <c r="L6" s="23">
        <v>99.8</v>
      </c>
      <c r="M6" s="11">
        <v>1</v>
      </c>
      <c r="N6" s="11">
        <v>1</v>
      </c>
      <c r="O6" s="11">
        <v>1</v>
      </c>
      <c r="P6" s="11">
        <v>1</v>
      </c>
    </row>
    <row r="7" spans="1:16" ht="13.8">
      <c r="A7" s="12">
        <v>2024</v>
      </c>
      <c r="B7" s="19">
        <v>4</v>
      </c>
      <c r="C7" s="11" t="s">
        <v>20</v>
      </c>
      <c r="D7" s="14">
        <v>4</v>
      </c>
      <c r="E7" s="15">
        <v>0.77139999999999997</v>
      </c>
      <c r="F7" s="20">
        <f>27.99</f>
        <v>27.99</v>
      </c>
      <c r="G7" s="21">
        <v>120.4</v>
      </c>
      <c r="H7" s="19">
        <v>92.4</v>
      </c>
      <c r="I7" s="21">
        <v>70</v>
      </c>
      <c r="J7" s="22">
        <f>9.49</f>
        <v>9.49</v>
      </c>
      <c r="K7" s="19">
        <v>111.9</v>
      </c>
      <c r="L7" s="19">
        <v>102.4</v>
      </c>
    </row>
    <row r="8" spans="1:16" ht="13.8">
      <c r="A8" s="12">
        <v>2024</v>
      </c>
      <c r="B8" s="23">
        <v>5</v>
      </c>
      <c r="C8" s="11" t="s">
        <v>21</v>
      </c>
      <c r="D8" s="14">
        <v>2</v>
      </c>
      <c r="E8" s="15">
        <v>0.75</v>
      </c>
      <c r="F8" s="24">
        <f>26.61</f>
        <v>26.61</v>
      </c>
      <c r="G8" s="25">
        <v>116.8</v>
      </c>
      <c r="H8" s="23">
        <v>90.2</v>
      </c>
      <c r="I8" s="25">
        <v>69.3</v>
      </c>
      <c r="J8" s="26">
        <f>13.35</f>
        <v>13.35</v>
      </c>
      <c r="K8" s="23">
        <v>114.6</v>
      </c>
      <c r="L8" s="23">
        <v>101.2</v>
      </c>
      <c r="M8" s="11">
        <v>1</v>
      </c>
      <c r="N8" s="11">
        <v>1</v>
      </c>
      <c r="P8" s="11">
        <v>1</v>
      </c>
    </row>
    <row r="9" spans="1:16" ht="13.8">
      <c r="A9" s="12">
        <v>2024</v>
      </c>
      <c r="B9" s="19">
        <v>6</v>
      </c>
      <c r="C9" s="11" t="s">
        <v>22</v>
      </c>
      <c r="D9" s="14">
        <v>2</v>
      </c>
      <c r="E9" s="15">
        <v>0.75</v>
      </c>
      <c r="F9" s="20">
        <f>26.55</f>
        <v>26.55</v>
      </c>
      <c r="G9" s="21">
        <v>120.2</v>
      </c>
      <c r="H9" s="19">
        <v>93.7</v>
      </c>
      <c r="I9" s="21">
        <v>72.2</v>
      </c>
      <c r="J9" s="22">
        <f>11.12</f>
        <v>11.12</v>
      </c>
      <c r="K9" s="19">
        <v>112.2</v>
      </c>
      <c r="L9" s="19">
        <v>101.1</v>
      </c>
      <c r="M9" s="11">
        <v>1</v>
      </c>
      <c r="P9" s="11">
        <v>1</v>
      </c>
    </row>
    <row r="10" spans="1:16" ht="13.8">
      <c r="A10" s="12">
        <v>2024</v>
      </c>
      <c r="B10" s="23">
        <v>7</v>
      </c>
      <c r="C10" s="11" t="s">
        <v>23</v>
      </c>
      <c r="D10" s="14">
        <v>4</v>
      </c>
      <c r="E10" s="15">
        <v>0.75</v>
      </c>
      <c r="F10" s="24">
        <f t="shared" ref="F10:F11" si="0">26.47</f>
        <v>26.47</v>
      </c>
      <c r="G10" s="25">
        <v>121.6</v>
      </c>
      <c r="H10" s="23">
        <v>95.2</v>
      </c>
      <c r="I10" s="25">
        <v>66.400000000000006</v>
      </c>
      <c r="J10" s="26">
        <f>10.07</f>
        <v>10.07</v>
      </c>
      <c r="K10" s="23">
        <v>111.1</v>
      </c>
      <c r="L10" s="23">
        <v>101.1</v>
      </c>
      <c r="M10" s="11">
        <v>1</v>
      </c>
      <c r="N10" s="11">
        <v>1</v>
      </c>
      <c r="P10" s="11">
        <v>1</v>
      </c>
    </row>
    <row r="11" spans="1:16" ht="13.8">
      <c r="A11" s="12">
        <v>2024</v>
      </c>
      <c r="B11" s="19">
        <v>8</v>
      </c>
      <c r="C11" s="11" t="s">
        <v>24</v>
      </c>
      <c r="D11" s="14">
        <v>2</v>
      </c>
      <c r="E11" s="15">
        <v>0.78380000000000005</v>
      </c>
      <c r="F11" s="20">
        <f t="shared" si="0"/>
        <v>26.47</v>
      </c>
      <c r="G11" s="21">
        <v>113.9</v>
      </c>
      <c r="H11" s="19">
        <v>87.5</v>
      </c>
      <c r="I11" s="21">
        <v>67.2</v>
      </c>
      <c r="J11" s="22">
        <f>10.43</f>
        <v>10.43</v>
      </c>
      <c r="K11" s="19">
        <v>111.3</v>
      </c>
      <c r="L11" s="19">
        <v>100.8</v>
      </c>
      <c r="M11" s="11">
        <v>1</v>
      </c>
      <c r="P11" s="11">
        <v>1</v>
      </c>
    </row>
    <row r="12" spans="1:16" ht="13.8">
      <c r="A12" s="12">
        <v>2024</v>
      </c>
      <c r="B12" s="23">
        <v>9</v>
      </c>
      <c r="C12" s="11" t="s">
        <v>25</v>
      </c>
      <c r="D12" s="14">
        <v>1</v>
      </c>
      <c r="E12" s="15">
        <v>0.78380000000000005</v>
      </c>
      <c r="F12" s="24">
        <f>26.19</f>
        <v>26.19</v>
      </c>
      <c r="G12" s="25">
        <v>119.7</v>
      </c>
      <c r="H12" s="23">
        <v>93.5</v>
      </c>
      <c r="I12" s="25">
        <v>70.599999999999994</v>
      </c>
      <c r="J12" s="26">
        <f>12.17</f>
        <v>12.17</v>
      </c>
      <c r="K12" s="23">
        <v>112.6</v>
      </c>
      <c r="L12" s="23">
        <v>100.5</v>
      </c>
      <c r="M12" s="11">
        <v>1</v>
      </c>
      <c r="P12" s="11">
        <v>1</v>
      </c>
    </row>
    <row r="13" spans="1:16" ht="13.8">
      <c r="A13" s="12">
        <v>2024</v>
      </c>
      <c r="B13" s="27">
        <v>10</v>
      </c>
      <c r="C13" s="11" t="s">
        <v>26</v>
      </c>
      <c r="D13" s="28">
        <v>3</v>
      </c>
      <c r="E13" s="15">
        <v>0.76319999999999999</v>
      </c>
      <c r="F13" s="29">
        <f>24.53</f>
        <v>24.53</v>
      </c>
      <c r="G13" s="30">
        <v>125.5</v>
      </c>
      <c r="H13" s="27">
        <v>101</v>
      </c>
      <c r="I13" s="30">
        <v>69.8</v>
      </c>
      <c r="J13" s="31">
        <f>11.92</f>
        <v>11.92</v>
      </c>
      <c r="K13" s="27">
        <v>111.8</v>
      </c>
      <c r="L13" s="27">
        <v>99.9</v>
      </c>
      <c r="M13" s="11">
        <v>1</v>
      </c>
      <c r="N13" s="11">
        <v>1</v>
      </c>
      <c r="P13" s="11">
        <v>1</v>
      </c>
    </row>
    <row r="14" spans="1:16" ht="13.8">
      <c r="A14" s="12">
        <v>2024</v>
      </c>
      <c r="B14" s="23">
        <v>11</v>
      </c>
      <c r="C14" s="11" t="s">
        <v>27</v>
      </c>
      <c r="D14" s="14">
        <v>3</v>
      </c>
      <c r="E14" s="15">
        <v>0.71430000000000005</v>
      </c>
      <c r="F14" s="24">
        <f>24.22</f>
        <v>24.22</v>
      </c>
      <c r="G14" s="25">
        <v>120.9</v>
      </c>
      <c r="H14" s="23">
        <v>96.7</v>
      </c>
      <c r="I14" s="25">
        <v>66.8</v>
      </c>
      <c r="J14" s="26">
        <f>11.96</f>
        <v>11.96</v>
      </c>
      <c r="K14" s="23">
        <v>112.3</v>
      </c>
      <c r="L14" s="23">
        <v>100.4</v>
      </c>
      <c r="M14" s="11">
        <v>1</v>
      </c>
      <c r="P14" s="11">
        <v>1</v>
      </c>
    </row>
    <row r="15" spans="1:16" ht="13.8">
      <c r="A15" s="12">
        <v>2024</v>
      </c>
      <c r="B15" s="19">
        <v>12</v>
      </c>
      <c r="C15" s="11" t="s">
        <v>28</v>
      </c>
      <c r="D15" s="14">
        <v>5</v>
      </c>
      <c r="E15" s="15">
        <v>0.77139999999999997</v>
      </c>
      <c r="F15" s="20">
        <f>23.17</f>
        <v>23.17</v>
      </c>
      <c r="G15" s="21">
        <v>122.6</v>
      </c>
      <c r="H15" s="19">
        <v>99.4</v>
      </c>
      <c r="I15" s="21">
        <v>68.900000000000006</v>
      </c>
      <c r="J15" s="22">
        <f>5.21</f>
        <v>5.21</v>
      </c>
      <c r="K15" s="19">
        <v>109.3</v>
      </c>
      <c r="L15" s="19">
        <v>104.1</v>
      </c>
      <c r="M15" s="11">
        <v>1</v>
      </c>
      <c r="P15" s="11">
        <v>1</v>
      </c>
    </row>
    <row r="16" spans="1:16" ht="13.8">
      <c r="A16" s="12">
        <v>2024</v>
      </c>
      <c r="B16" s="23">
        <v>13</v>
      </c>
      <c r="C16" s="11" t="s">
        <v>29</v>
      </c>
      <c r="D16" s="14">
        <v>2</v>
      </c>
      <c r="E16" s="15">
        <v>0.72970000000000002</v>
      </c>
      <c r="F16" s="24">
        <f>23.02</f>
        <v>23.02</v>
      </c>
      <c r="G16" s="25">
        <v>118.2</v>
      </c>
      <c r="H16" s="23">
        <v>95.2</v>
      </c>
      <c r="I16" s="25">
        <v>69.099999999999994</v>
      </c>
      <c r="J16" s="26">
        <f>13.6</f>
        <v>13.6</v>
      </c>
      <c r="K16" s="23">
        <v>113.4</v>
      </c>
      <c r="L16" s="23">
        <v>99.8</v>
      </c>
      <c r="M16" s="11">
        <v>1</v>
      </c>
      <c r="P16" s="11">
        <v>1</v>
      </c>
    </row>
    <row r="17" spans="1:16" ht="13.8">
      <c r="A17" s="12">
        <v>2024</v>
      </c>
      <c r="B17" s="19">
        <v>14</v>
      </c>
      <c r="C17" s="11" t="s">
        <v>30</v>
      </c>
      <c r="D17" s="14">
        <v>4</v>
      </c>
      <c r="E17" s="15">
        <v>0.67569999999999997</v>
      </c>
      <c r="F17" s="20">
        <f>22.96</f>
        <v>22.96</v>
      </c>
      <c r="G17" s="21">
        <v>126</v>
      </c>
      <c r="H17" s="19">
        <v>103</v>
      </c>
      <c r="I17" s="21">
        <v>72.599999999999994</v>
      </c>
      <c r="J17" s="22">
        <f>14.71</f>
        <v>14.71</v>
      </c>
      <c r="K17" s="19">
        <v>115.1</v>
      </c>
      <c r="L17" s="19">
        <v>100.4</v>
      </c>
      <c r="M17" s="11">
        <v>1</v>
      </c>
      <c r="N17" s="11">
        <v>1</v>
      </c>
      <c r="O17" s="11">
        <v>1</v>
      </c>
      <c r="P17" s="11">
        <v>1</v>
      </c>
    </row>
    <row r="18" spans="1:16" ht="13.8">
      <c r="A18" s="12">
        <v>2024</v>
      </c>
      <c r="B18" s="23">
        <v>15</v>
      </c>
      <c r="C18" s="11" t="s">
        <v>31</v>
      </c>
      <c r="D18" s="14">
        <v>3</v>
      </c>
      <c r="E18" s="15">
        <v>0.68569999999999998</v>
      </c>
      <c r="F18" s="24">
        <f>21.9</f>
        <v>21.9</v>
      </c>
      <c r="G18" s="25">
        <v>122.4</v>
      </c>
      <c r="H18" s="23">
        <v>100.5</v>
      </c>
      <c r="I18" s="25">
        <v>65.8</v>
      </c>
      <c r="J18" s="26">
        <f>13.44</f>
        <v>13.44</v>
      </c>
      <c r="K18" s="23">
        <v>112.4</v>
      </c>
      <c r="L18" s="23">
        <v>99</v>
      </c>
      <c r="P18" s="11">
        <v>1</v>
      </c>
    </row>
    <row r="19" spans="1:16" ht="13.8">
      <c r="A19" s="12">
        <v>2024</v>
      </c>
      <c r="B19" s="19">
        <v>16</v>
      </c>
      <c r="C19" s="11" t="s">
        <v>32</v>
      </c>
      <c r="D19" s="14">
        <v>9</v>
      </c>
      <c r="E19" s="15">
        <v>0.57140000000000002</v>
      </c>
      <c r="F19" s="20">
        <f>20.58</f>
        <v>20.58</v>
      </c>
      <c r="G19" s="21">
        <v>114.3</v>
      </c>
      <c r="H19" s="19">
        <v>93.7</v>
      </c>
      <c r="I19" s="21">
        <v>65.3</v>
      </c>
      <c r="J19" s="22">
        <f>13.03</f>
        <v>13.03</v>
      </c>
      <c r="K19" s="19">
        <v>114.2</v>
      </c>
      <c r="L19" s="19">
        <v>101.1</v>
      </c>
      <c r="P19" s="11">
        <v>1</v>
      </c>
    </row>
    <row r="20" spans="1:16" ht="13.8">
      <c r="A20" s="12">
        <v>2024</v>
      </c>
      <c r="B20" s="23">
        <v>17</v>
      </c>
      <c r="C20" s="11" t="s">
        <v>33</v>
      </c>
      <c r="D20" s="14">
        <v>5</v>
      </c>
      <c r="E20" s="15">
        <v>0.61109999999999998</v>
      </c>
      <c r="F20" s="24">
        <f>20.06</f>
        <v>20.059999999999999</v>
      </c>
      <c r="G20" s="25">
        <v>119.2</v>
      </c>
      <c r="H20" s="23">
        <v>99.2</v>
      </c>
      <c r="I20" s="25">
        <v>65.5</v>
      </c>
      <c r="J20" s="26">
        <f>14.04</f>
        <v>14.04</v>
      </c>
      <c r="K20" s="23">
        <v>113.2</v>
      </c>
      <c r="L20" s="23">
        <v>99.2</v>
      </c>
    </row>
    <row r="21" spans="1:16" ht="13.8">
      <c r="A21" s="12">
        <v>2024</v>
      </c>
      <c r="B21" s="19">
        <v>18</v>
      </c>
      <c r="C21" s="11" t="s">
        <v>34</v>
      </c>
      <c r="D21" s="14">
        <v>6</v>
      </c>
      <c r="E21" s="15">
        <v>0.67649999999999999</v>
      </c>
      <c r="F21" s="20">
        <f>19.96</f>
        <v>19.96</v>
      </c>
      <c r="G21" s="21">
        <v>119.8</v>
      </c>
      <c r="H21" s="19">
        <v>99.9</v>
      </c>
      <c r="I21" s="21">
        <v>69.2</v>
      </c>
      <c r="J21" s="22">
        <f>9.21</f>
        <v>9.2100000000000009</v>
      </c>
      <c r="K21" s="19">
        <v>110.1</v>
      </c>
      <c r="L21" s="19">
        <v>100.9</v>
      </c>
    </row>
    <row r="22" spans="1:16" ht="13.8">
      <c r="A22" s="12">
        <v>2024</v>
      </c>
      <c r="B22" s="23">
        <v>19</v>
      </c>
      <c r="C22" s="11" t="s">
        <v>35</v>
      </c>
      <c r="D22" s="14">
        <v>6</v>
      </c>
      <c r="E22" s="15">
        <v>0.66669999999999996</v>
      </c>
      <c r="F22" s="24">
        <f>19.44</f>
        <v>19.440000000000001</v>
      </c>
      <c r="G22" s="25">
        <v>117.7</v>
      </c>
      <c r="H22" s="23">
        <v>98.3</v>
      </c>
      <c r="I22" s="25">
        <v>66.400000000000006</v>
      </c>
      <c r="J22" s="26">
        <f>12.09</f>
        <v>12.09</v>
      </c>
      <c r="K22" s="23">
        <v>113.5</v>
      </c>
      <c r="L22" s="23">
        <v>101.4</v>
      </c>
      <c r="M22" s="11">
        <v>1</v>
      </c>
      <c r="N22" s="11">
        <v>1</v>
      </c>
      <c r="P22" s="11">
        <v>1</v>
      </c>
    </row>
    <row r="23" spans="1:16" ht="13.8">
      <c r="A23" s="12">
        <v>2024</v>
      </c>
      <c r="B23" s="27">
        <v>20</v>
      </c>
      <c r="C23" s="11" t="s">
        <v>36</v>
      </c>
      <c r="D23" s="28">
        <v>5</v>
      </c>
      <c r="E23" s="15">
        <v>0.76470000000000005</v>
      </c>
      <c r="F23" s="29">
        <f>19.43</f>
        <v>19.43</v>
      </c>
      <c r="G23" s="30">
        <v>114.5</v>
      </c>
      <c r="H23" s="27">
        <v>95</v>
      </c>
      <c r="I23" s="30">
        <v>62.5</v>
      </c>
      <c r="J23" s="31">
        <f>3.54</f>
        <v>3.54</v>
      </c>
      <c r="K23" s="27">
        <v>108.5</v>
      </c>
      <c r="L23" s="27">
        <v>104.9</v>
      </c>
    </row>
    <row r="24" spans="1:16" ht="13.8">
      <c r="A24" s="12">
        <v>2024</v>
      </c>
      <c r="B24" s="19">
        <v>22</v>
      </c>
      <c r="C24" s="11" t="s">
        <v>37</v>
      </c>
      <c r="D24" s="14">
        <v>5</v>
      </c>
      <c r="E24" s="15">
        <v>0.70269999999999999</v>
      </c>
      <c r="F24" s="20">
        <f>19.36</f>
        <v>19.36</v>
      </c>
      <c r="G24" s="21">
        <v>113.4</v>
      </c>
      <c r="H24" s="19">
        <v>94</v>
      </c>
      <c r="I24" s="21">
        <v>66.2</v>
      </c>
      <c r="J24" s="22">
        <f>11.16</f>
        <v>11.16</v>
      </c>
      <c r="K24" s="19">
        <v>112.8</v>
      </c>
      <c r="L24" s="19">
        <v>101.7</v>
      </c>
      <c r="M24" s="11">
        <v>1</v>
      </c>
      <c r="P24" s="11">
        <v>1</v>
      </c>
    </row>
    <row r="25" spans="1:16" ht="13.8">
      <c r="A25" s="12">
        <v>2024</v>
      </c>
      <c r="B25" s="23">
        <v>23</v>
      </c>
      <c r="C25" s="11" t="s">
        <v>38</v>
      </c>
      <c r="D25" s="14">
        <v>3</v>
      </c>
      <c r="E25" s="15">
        <v>0.69699999999999995</v>
      </c>
      <c r="F25" s="24">
        <f>19.29</f>
        <v>19.29</v>
      </c>
      <c r="G25" s="25">
        <v>122.2</v>
      </c>
      <c r="H25" s="23">
        <v>102.9</v>
      </c>
      <c r="I25" s="25">
        <v>72.7</v>
      </c>
      <c r="J25" s="26">
        <f>8.94</f>
        <v>8.94</v>
      </c>
      <c r="K25" s="23">
        <v>111.4</v>
      </c>
      <c r="L25" s="23">
        <v>102.5</v>
      </c>
    </row>
    <row r="26" spans="1:16" ht="13.8">
      <c r="A26" s="12">
        <v>2024</v>
      </c>
      <c r="B26" s="19">
        <v>24</v>
      </c>
      <c r="C26" s="11" t="s">
        <v>39</v>
      </c>
      <c r="D26" s="14">
        <v>10</v>
      </c>
      <c r="E26" s="15">
        <v>0.70269999999999999</v>
      </c>
      <c r="F26" s="20">
        <f>19.03</f>
        <v>19.03</v>
      </c>
      <c r="G26" s="21">
        <v>118.4</v>
      </c>
      <c r="H26" s="19">
        <v>99.3</v>
      </c>
      <c r="I26" s="21">
        <v>67.599999999999994</v>
      </c>
      <c r="J26" s="22">
        <f>9.34</f>
        <v>9.34</v>
      </c>
      <c r="K26" s="19">
        <v>110.9</v>
      </c>
      <c r="L26" s="19">
        <v>101.6</v>
      </c>
      <c r="P26" s="11">
        <v>1</v>
      </c>
    </row>
    <row r="27" spans="1:16" ht="13.8">
      <c r="A27" s="12">
        <v>2024</v>
      </c>
      <c r="B27" s="23">
        <v>25</v>
      </c>
      <c r="C27" s="11" t="s">
        <v>40</v>
      </c>
      <c r="D27" s="14">
        <v>7</v>
      </c>
      <c r="E27" s="15">
        <v>0.61760000000000004</v>
      </c>
      <c r="F27" s="24">
        <f>18.77</f>
        <v>18.77</v>
      </c>
      <c r="G27" s="25">
        <v>116.5</v>
      </c>
      <c r="H27" s="23">
        <v>97.7</v>
      </c>
      <c r="I27" s="25">
        <v>67.400000000000006</v>
      </c>
      <c r="J27" s="26">
        <f>10.91</f>
        <v>10.91</v>
      </c>
      <c r="K27" s="23">
        <v>111.4</v>
      </c>
      <c r="L27" s="23">
        <v>100.5</v>
      </c>
      <c r="P27" s="11">
        <v>1</v>
      </c>
    </row>
    <row r="28" spans="1:16" ht="13.8">
      <c r="A28" s="12">
        <v>2024</v>
      </c>
      <c r="B28" s="19">
        <v>26</v>
      </c>
      <c r="C28" s="11" t="s">
        <v>41</v>
      </c>
      <c r="D28" s="14">
        <v>7</v>
      </c>
      <c r="E28" s="15">
        <v>0.66669999999999996</v>
      </c>
      <c r="F28" s="20">
        <f>18.19</f>
        <v>18.190000000000001</v>
      </c>
      <c r="G28" s="21">
        <v>120</v>
      </c>
      <c r="H28" s="19">
        <v>101.8</v>
      </c>
      <c r="I28" s="21">
        <v>72</v>
      </c>
      <c r="J28" s="22">
        <f>11</f>
        <v>11</v>
      </c>
      <c r="K28" s="19">
        <v>112.5</v>
      </c>
      <c r="L28" s="19">
        <v>101.5</v>
      </c>
    </row>
    <row r="29" spans="1:16" ht="13.8">
      <c r="A29" s="12">
        <v>2024</v>
      </c>
      <c r="B29" s="23">
        <v>27</v>
      </c>
      <c r="C29" s="11" t="s">
        <v>42</v>
      </c>
      <c r="D29" s="14">
        <v>4</v>
      </c>
      <c r="E29" s="15">
        <v>0.67649999999999999</v>
      </c>
      <c r="F29" s="24">
        <f>17.94</f>
        <v>17.940000000000001</v>
      </c>
      <c r="G29" s="25">
        <v>113.5</v>
      </c>
      <c r="H29" s="23">
        <v>95.6</v>
      </c>
      <c r="I29" s="25">
        <v>69.2</v>
      </c>
      <c r="J29" s="26">
        <f>13.61</f>
        <v>13.61</v>
      </c>
      <c r="K29" s="23">
        <v>113</v>
      </c>
      <c r="L29" s="23">
        <v>99.3</v>
      </c>
      <c r="P29" s="11">
        <v>1</v>
      </c>
    </row>
    <row r="30" spans="1:16" ht="13.8">
      <c r="A30" s="12">
        <v>2024</v>
      </c>
      <c r="B30" s="23">
        <v>29</v>
      </c>
      <c r="C30" s="11" t="s">
        <v>43</v>
      </c>
      <c r="D30" s="14">
        <v>11</v>
      </c>
      <c r="E30" s="15">
        <v>0.72219999999999995</v>
      </c>
      <c r="F30" s="24">
        <f>17.8</f>
        <v>17.8</v>
      </c>
      <c r="G30" s="25">
        <v>114.4</v>
      </c>
      <c r="H30" s="23">
        <v>96.6</v>
      </c>
      <c r="I30" s="25">
        <v>72.8</v>
      </c>
      <c r="J30" s="26">
        <f>7.04</f>
        <v>7.04</v>
      </c>
      <c r="K30" s="23">
        <v>110.2</v>
      </c>
      <c r="L30" s="23">
        <v>103.2</v>
      </c>
    </row>
    <row r="31" spans="1:16" ht="13.8">
      <c r="A31" s="12">
        <v>2024</v>
      </c>
      <c r="B31" s="27">
        <v>30</v>
      </c>
      <c r="C31" s="11" t="s">
        <v>44</v>
      </c>
      <c r="D31" s="28">
        <v>8</v>
      </c>
      <c r="E31" s="15">
        <v>0.67649999999999999</v>
      </c>
      <c r="F31" s="29">
        <f>17.55</f>
        <v>17.55</v>
      </c>
      <c r="G31" s="30">
        <v>116.2</v>
      </c>
      <c r="H31" s="27">
        <v>98.7</v>
      </c>
      <c r="I31" s="30">
        <v>69</v>
      </c>
      <c r="J31" s="31">
        <f>9.39</f>
        <v>9.39</v>
      </c>
      <c r="K31" s="27">
        <v>110.9</v>
      </c>
      <c r="L31" s="27">
        <v>101.6</v>
      </c>
    </row>
    <row r="32" spans="1:16" ht="13.8">
      <c r="A32" s="12">
        <v>2024</v>
      </c>
      <c r="B32" s="23">
        <v>31</v>
      </c>
      <c r="C32" s="11" t="s">
        <v>45</v>
      </c>
      <c r="D32" s="14">
        <v>6</v>
      </c>
      <c r="E32" s="15">
        <v>0.67649999999999999</v>
      </c>
      <c r="F32" s="24">
        <f>17.32</f>
        <v>17.32</v>
      </c>
      <c r="G32" s="25">
        <v>117.4</v>
      </c>
      <c r="H32" s="23">
        <v>100.1</v>
      </c>
      <c r="I32" s="25">
        <v>66.8</v>
      </c>
      <c r="J32" s="26">
        <f>10.24</f>
        <v>10.24</v>
      </c>
      <c r="K32" s="23">
        <v>111.1</v>
      </c>
      <c r="L32" s="23">
        <v>100.9</v>
      </c>
    </row>
    <row r="33" spans="1:16" ht="13.8">
      <c r="A33" s="12">
        <v>2024</v>
      </c>
      <c r="B33" s="19">
        <v>32</v>
      </c>
      <c r="C33" s="11" t="s">
        <v>46</v>
      </c>
      <c r="D33" s="14">
        <v>7</v>
      </c>
      <c r="E33" s="15">
        <v>0.75760000000000005</v>
      </c>
      <c r="F33" s="20">
        <f>17.3</f>
        <v>17.3</v>
      </c>
      <c r="G33" s="21">
        <v>117.7</v>
      </c>
      <c r="H33" s="19">
        <v>100.4</v>
      </c>
      <c r="I33" s="21">
        <v>64.5</v>
      </c>
      <c r="J33" s="22">
        <f>6.88</f>
        <v>6.88</v>
      </c>
      <c r="K33" s="19">
        <v>109.3</v>
      </c>
      <c r="L33" s="19">
        <v>102.4</v>
      </c>
      <c r="P33" s="11">
        <v>1</v>
      </c>
    </row>
    <row r="34" spans="1:16" ht="13.8">
      <c r="A34" s="12">
        <v>2024</v>
      </c>
      <c r="B34" s="19">
        <v>34</v>
      </c>
      <c r="C34" s="11" t="s">
        <v>47</v>
      </c>
      <c r="D34" s="14">
        <v>8</v>
      </c>
      <c r="E34" s="15">
        <v>0.6</v>
      </c>
      <c r="F34" s="20">
        <f>17.07</f>
        <v>17.07</v>
      </c>
      <c r="G34" s="21">
        <v>113</v>
      </c>
      <c r="H34" s="19">
        <v>95.9</v>
      </c>
      <c r="I34" s="21">
        <v>67.099999999999994</v>
      </c>
      <c r="J34" s="22">
        <f>11.36</f>
        <v>11.36</v>
      </c>
      <c r="K34" s="19">
        <v>112.7</v>
      </c>
      <c r="L34" s="19">
        <v>101.3</v>
      </c>
    </row>
    <row r="35" spans="1:16" ht="13.8">
      <c r="A35" s="12">
        <v>2024</v>
      </c>
      <c r="B35" s="23">
        <v>35</v>
      </c>
      <c r="C35" s="11" t="s">
        <v>48</v>
      </c>
      <c r="D35" s="14">
        <v>9</v>
      </c>
      <c r="E35" s="15">
        <v>0.58330000000000004</v>
      </c>
      <c r="F35" s="24">
        <f t="shared" ref="F35:F36" si="1">17.02</f>
        <v>17.02</v>
      </c>
      <c r="G35" s="25">
        <v>117.5</v>
      </c>
      <c r="H35" s="23">
        <v>100.5</v>
      </c>
      <c r="I35" s="25">
        <v>66.599999999999994</v>
      </c>
      <c r="J35" s="26">
        <f>12.06</f>
        <v>12.06</v>
      </c>
      <c r="K35" s="23">
        <v>112.9</v>
      </c>
      <c r="L35" s="23">
        <v>100.9</v>
      </c>
      <c r="P35" s="11">
        <v>1</v>
      </c>
    </row>
    <row r="36" spans="1:16" ht="13.8">
      <c r="A36" s="12">
        <v>2024</v>
      </c>
      <c r="B36" s="19">
        <v>36</v>
      </c>
      <c r="C36" s="11" t="s">
        <v>49</v>
      </c>
      <c r="D36" s="14">
        <v>10</v>
      </c>
      <c r="E36" s="15">
        <v>0.69440000000000002</v>
      </c>
      <c r="F36" s="20">
        <f t="shared" si="1"/>
        <v>17.02</v>
      </c>
      <c r="G36" s="21">
        <v>114</v>
      </c>
      <c r="H36" s="19">
        <v>97</v>
      </c>
      <c r="I36" s="21">
        <v>66.099999999999994</v>
      </c>
      <c r="J36" s="22">
        <f>9.3</f>
        <v>9.3000000000000007</v>
      </c>
      <c r="K36" s="19">
        <v>111.9</v>
      </c>
      <c r="L36" s="19">
        <v>102.6</v>
      </c>
    </row>
    <row r="37" spans="1:16" ht="13.8">
      <c r="A37" s="12">
        <v>2024</v>
      </c>
      <c r="B37" s="27">
        <v>40</v>
      </c>
      <c r="C37" s="11" t="s">
        <v>50</v>
      </c>
      <c r="D37" s="28">
        <v>10</v>
      </c>
      <c r="E37" s="15">
        <v>0.76470000000000005</v>
      </c>
      <c r="F37" s="29">
        <f t="shared" ref="F37:F38" si="2">16.41</f>
        <v>16.41</v>
      </c>
      <c r="G37" s="30">
        <v>115</v>
      </c>
      <c r="H37" s="27">
        <v>98.6</v>
      </c>
      <c r="I37" s="30">
        <v>66.8</v>
      </c>
      <c r="J37" s="31">
        <f>5.79</f>
        <v>5.79</v>
      </c>
      <c r="K37" s="27">
        <v>109.7</v>
      </c>
      <c r="L37" s="27">
        <v>103.9</v>
      </c>
    </row>
    <row r="38" spans="1:16" ht="13.8">
      <c r="A38" s="12">
        <v>2024</v>
      </c>
      <c r="B38" s="23">
        <v>41</v>
      </c>
      <c r="C38" s="11" t="s">
        <v>51</v>
      </c>
      <c r="D38" s="14">
        <v>9</v>
      </c>
      <c r="E38" s="15">
        <v>0.64710000000000001</v>
      </c>
      <c r="F38" s="24">
        <f t="shared" si="2"/>
        <v>16.41</v>
      </c>
      <c r="G38" s="25">
        <v>115.9</v>
      </c>
      <c r="H38" s="23">
        <v>99.5</v>
      </c>
      <c r="I38" s="25">
        <v>64.2</v>
      </c>
      <c r="J38" s="26">
        <f>10.71</f>
        <v>10.71</v>
      </c>
      <c r="K38" s="23">
        <v>112.4</v>
      </c>
      <c r="L38" s="23">
        <v>101.7</v>
      </c>
      <c r="P38" s="11">
        <v>1</v>
      </c>
    </row>
    <row r="39" spans="1:16" ht="13.8">
      <c r="A39" s="12">
        <v>2024</v>
      </c>
      <c r="B39" s="19">
        <v>42</v>
      </c>
      <c r="C39" s="11" t="s">
        <v>52</v>
      </c>
      <c r="D39" s="14">
        <v>7</v>
      </c>
      <c r="E39" s="15">
        <v>0.71430000000000005</v>
      </c>
      <c r="F39" s="20">
        <f>16.33</f>
        <v>16.329999999999998</v>
      </c>
      <c r="G39" s="21">
        <v>113.2</v>
      </c>
      <c r="H39" s="19">
        <v>96.9</v>
      </c>
      <c r="I39" s="21">
        <v>64.8</v>
      </c>
      <c r="J39" s="22">
        <f>7.91</f>
        <v>7.91</v>
      </c>
      <c r="K39" s="19">
        <v>110.3</v>
      </c>
      <c r="L39" s="19">
        <v>102.4</v>
      </c>
      <c r="P39" s="11">
        <v>1</v>
      </c>
    </row>
    <row r="40" spans="1:16" ht="13.8">
      <c r="A40" s="12">
        <v>2024</v>
      </c>
      <c r="B40" s="23">
        <v>43</v>
      </c>
      <c r="C40" s="11" t="s">
        <v>53</v>
      </c>
      <c r="D40" s="14">
        <v>9</v>
      </c>
      <c r="E40" s="15">
        <v>0.61760000000000004</v>
      </c>
      <c r="F40" s="24">
        <f>16.04</f>
        <v>16.04</v>
      </c>
      <c r="G40" s="25">
        <v>114.7</v>
      </c>
      <c r="H40" s="23">
        <v>98.7</v>
      </c>
      <c r="I40" s="25">
        <v>69.8</v>
      </c>
      <c r="J40" s="26">
        <f>9.71</f>
        <v>9.7100000000000009</v>
      </c>
      <c r="K40" s="23">
        <v>110.6</v>
      </c>
      <c r="L40" s="23">
        <v>100.9</v>
      </c>
      <c r="P40" s="11">
        <v>1</v>
      </c>
    </row>
    <row r="41" spans="1:16" ht="13.8">
      <c r="A41" s="12">
        <v>2024</v>
      </c>
      <c r="B41" s="19">
        <v>44</v>
      </c>
      <c r="C41" s="11" t="s">
        <v>54</v>
      </c>
      <c r="D41" s="14">
        <v>10</v>
      </c>
      <c r="E41" s="15">
        <v>0.66669999999999996</v>
      </c>
      <c r="F41" s="20">
        <f>15.97</f>
        <v>15.97</v>
      </c>
      <c r="G41" s="21">
        <v>113.4</v>
      </c>
      <c r="H41" s="19">
        <v>97.4</v>
      </c>
      <c r="I41" s="21">
        <v>66.599999999999994</v>
      </c>
      <c r="J41" s="22">
        <f>9.55</f>
        <v>9.5500000000000007</v>
      </c>
      <c r="K41" s="19">
        <v>111.1</v>
      </c>
      <c r="L41" s="19">
        <v>101.5</v>
      </c>
    </row>
    <row r="42" spans="1:16" ht="13.8">
      <c r="A42" s="12">
        <v>2024</v>
      </c>
      <c r="B42" s="23">
        <v>45</v>
      </c>
      <c r="C42" s="11" t="s">
        <v>55</v>
      </c>
      <c r="D42" s="14">
        <v>11</v>
      </c>
      <c r="E42" s="15">
        <v>0.6341</v>
      </c>
      <c r="F42" s="24">
        <f>15.9</f>
        <v>15.9</v>
      </c>
      <c r="G42" s="25">
        <v>114.3</v>
      </c>
      <c r="H42" s="23">
        <v>98.4</v>
      </c>
      <c r="I42" s="25">
        <v>68</v>
      </c>
      <c r="J42" s="26">
        <f>11.33</f>
        <v>11.33</v>
      </c>
      <c r="K42" s="23">
        <v>112.2</v>
      </c>
      <c r="L42" s="23">
        <v>100.8</v>
      </c>
      <c r="M42" s="11">
        <v>1</v>
      </c>
      <c r="N42" s="11">
        <v>1</v>
      </c>
      <c r="O42" s="11">
        <v>1</v>
      </c>
      <c r="P42" s="11">
        <v>1</v>
      </c>
    </row>
    <row r="43" spans="1:16" ht="13.8">
      <c r="A43" s="12">
        <v>2024</v>
      </c>
      <c r="B43" s="23">
        <v>47</v>
      </c>
      <c r="C43" s="11" t="s">
        <v>56</v>
      </c>
      <c r="D43" s="14">
        <v>8</v>
      </c>
      <c r="E43" s="15">
        <v>0.73529999999999995</v>
      </c>
      <c r="F43" s="24">
        <f>15.74</f>
        <v>15.74</v>
      </c>
      <c r="G43" s="25">
        <v>117.8</v>
      </c>
      <c r="H43" s="23">
        <v>102.1</v>
      </c>
      <c r="I43" s="25">
        <v>68.3</v>
      </c>
      <c r="J43" s="26">
        <f>5.56</f>
        <v>5.56</v>
      </c>
      <c r="K43" s="23">
        <v>109.6</v>
      </c>
      <c r="L43" s="23">
        <v>104.1</v>
      </c>
    </row>
    <row r="44" spans="1:16" ht="13.8">
      <c r="A44" s="12">
        <v>2024</v>
      </c>
      <c r="B44" s="23">
        <v>51</v>
      </c>
      <c r="C44" s="11" t="s">
        <v>57</v>
      </c>
      <c r="D44" s="14">
        <v>8</v>
      </c>
      <c r="E44" s="15">
        <v>0.8</v>
      </c>
      <c r="F44" s="24">
        <f>14.89</f>
        <v>14.89</v>
      </c>
      <c r="G44" s="25">
        <v>116</v>
      </c>
      <c r="H44" s="23">
        <v>101.1</v>
      </c>
      <c r="I44" s="25">
        <v>68.900000000000006</v>
      </c>
      <c r="J44" s="26">
        <f>6.83</f>
        <v>6.83</v>
      </c>
      <c r="K44" s="23">
        <v>109.8</v>
      </c>
      <c r="L44" s="23">
        <v>103</v>
      </c>
      <c r="P44" s="11">
        <v>1</v>
      </c>
    </row>
    <row r="45" spans="1:16" ht="13.8">
      <c r="A45" s="12">
        <v>2024</v>
      </c>
      <c r="B45" s="19">
        <v>52</v>
      </c>
      <c r="C45" s="11" t="s">
        <v>58</v>
      </c>
      <c r="D45" s="14">
        <v>12</v>
      </c>
      <c r="E45" s="15">
        <v>0.85709999999999997</v>
      </c>
      <c r="F45" s="20">
        <f>14.84</f>
        <v>14.84</v>
      </c>
      <c r="G45" s="21">
        <v>112.9</v>
      </c>
      <c r="H45" s="19">
        <v>98.1</v>
      </c>
      <c r="I45" s="21">
        <v>68.5</v>
      </c>
      <c r="J45" s="22">
        <f>0.17</f>
        <v>0.17</v>
      </c>
      <c r="K45" s="19">
        <v>105.2</v>
      </c>
      <c r="L45" s="19">
        <v>105.1</v>
      </c>
      <c r="P45" s="11">
        <v>1</v>
      </c>
    </row>
    <row r="46" spans="1:16" ht="13.8">
      <c r="A46" s="12">
        <v>2024</v>
      </c>
      <c r="B46" s="23">
        <v>53</v>
      </c>
      <c r="C46" s="11" t="s">
        <v>59</v>
      </c>
      <c r="D46" s="14">
        <v>10</v>
      </c>
      <c r="E46" s="15">
        <v>0.8</v>
      </c>
      <c r="F46" s="24">
        <f>14.53</f>
        <v>14.53</v>
      </c>
      <c r="G46" s="25">
        <v>115.1</v>
      </c>
      <c r="H46" s="23">
        <v>100.5</v>
      </c>
      <c r="I46" s="25">
        <v>68</v>
      </c>
      <c r="J46" s="26">
        <f>2.95</f>
        <v>2.95</v>
      </c>
      <c r="K46" s="23">
        <v>108</v>
      </c>
      <c r="L46" s="23">
        <v>105</v>
      </c>
    </row>
    <row r="47" spans="1:16" ht="13.8">
      <c r="A47" s="12">
        <v>2024</v>
      </c>
      <c r="B47" s="19">
        <v>54</v>
      </c>
      <c r="C47" s="11" t="s">
        <v>60</v>
      </c>
      <c r="D47" s="14">
        <v>6</v>
      </c>
      <c r="E47" s="15">
        <v>0.76470000000000005</v>
      </c>
      <c r="F47" s="20">
        <f>14.4</f>
        <v>14.4</v>
      </c>
      <c r="G47" s="21">
        <v>114.9</v>
      </c>
      <c r="H47" s="19">
        <v>100.5</v>
      </c>
      <c r="I47" s="21">
        <v>63.2</v>
      </c>
      <c r="J47" s="22">
        <f>7.94</f>
        <v>7.94</v>
      </c>
      <c r="K47" s="19">
        <v>110.5</v>
      </c>
      <c r="L47" s="19">
        <v>102.6</v>
      </c>
    </row>
    <row r="48" spans="1:16" ht="13.8">
      <c r="A48" s="12">
        <v>2024</v>
      </c>
      <c r="B48" s="23">
        <v>55</v>
      </c>
      <c r="C48" s="11" t="s">
        <v>61</v>
      </c>
      <c r="D48" s="14">
        <v>11</v>
      </c>
      <c r="E48" s="15">
        <v>0.66669999999999996</v>
      </c>
      <c r="F48" s="24">
        <f>14.19</f>
        <v>14.19</v>
      </c>
      <c r="G48" s="25">
        <v>114.7</v>
      </c>
      <c r="H48" s="23">
        <v>100.5</v>
      </c>
      <c r="I48" s="25">
        <v>67.3</v>
      </c>
      <c r="J48" s="26">
        <f>9.88</f>
        <v>9.8800000000000008</v>
      </c>
      <c r="K48" s="23">
        <v>111.3</v>
      </c>
      <c r="L48" s="23">
        <v>101.5</v>
      </c>
      <c r="P48" s="11">
        <v>1</v>
      </c>
    </row>
    <row r="49" spans="1:16" ht="13.8">
      <c r="A49" s="12">
        <v>2024</v>
      </c>
      <c r="B49" s="23">
        <v>63</v>
      </c>
      <c r="C49" s="11" t="s">
        <v>62</v>
      </c>
      <c r="D49" s="14">
        <v>12</v>
      </c>
      <c r="E49" s="15">
        <v>0.88890000000000002</v>
      </c>
      <c r="F49" s="24">
        <f>12.42</f>
        <v>12.42</v>
      </c>
      <c r="G49" s="25">
        <v>113</v>
      </c>
      <c r="H49" s="23">
        <v>100.6</v>
      </c>
      <c r="I49" s="25">
        <v>69.7</v>
      </c>
      <c r="J49" s="25">
        <v>-3.41</v>
      </c>
      <c r="K49" s="23">
        <v>104.1</v>
      </c>
      <c r="L49" s="23">
        <v>107.5</v>
      </c>
      <c r="P49" s="11">
        <v>1</v>
      </c>
    </row>
    <row r="50" spans="1:16" ht="13.8">
      <c r="A50" s="12">
        <v>2024</v>
      </c>
      <c r="B50" s="23">
        <v>67</v>
      </c>
      <c r="C50" s="11" t="s">
        <v>63</v>
      </c>
      <c r="D50" s="14">
        <v>12</v>
      </c>
      <c r="E50" s="15">
        <v>0.88239999999999996</v>
      </c>
      <c r="F50" s="24">
        <f t="shared" ref="F50:F51" si="3">11.8</f>
        <v>11.8</v>
      </c>
      <c r="G50" s="25">
        <v>113.4</v>
      </c>
      <c r="H50" s="23">
        <v>101.5</v>
      </c>
      <c r="I50" s="25">
        <v>65.900000000000006</v>
      </c>
      <c r="J50" s="25">
        <v>-6.38</v>
      </c>
      <c r="K50" s="23">
        <v>102.6</v>
      </c>
      <c r="L50" s="23">
        <v>109</v>
      </c>
    </row>
    <row r="51" spans="1:16" ht="13.8">
      <c r="A51" s="12">
        <v>2024</v>
      </c>
      <c r="B51" s="19">
        <v>68</v>
      </c>
      <c r="C51" s="11" t="s">
        <v>64</v>
      </c>
      <c r="D51" s="14">
        <v>10</v>
      </c>
      <c r="E51" s="15">
        <v>0.67649999999999999</v>
      </c>
      <c r="F51" s="20">
        <f t="shared" si="3"/>
        <v>11.8</v>
      </c>
      <c r="G51" s="21">
        <v>105.1</v>
      </c>
      <c r="H51" s="19">
        <v>93.3</v>
      </c>
      <c r="I51" s="21">
        <v>60.1</v>
      </c>
      <c r="J51" s="22">
        <f>9.07</f>
        <v>9.07</v>
      </c>
      <c r="K51" s="19">
        <v>111.6</v>
      </c>
      <c r="L51" s="19">
        <v>102.5</v>
      </c>
    </row>
    <row r="52" spans="1:16" ht="13.8">
      <c r="A52" s="12">
        <v>2024</v>
      </c>
      <c r="B52" s="23">
        <v>81</v>
      </c>
      <c r="C52" s="11" t="s">
        <v>65</v>
      </c>
      <c r="D52" s="14">
        <v>13</v>
      </c>
      <c r="E52" s="15">
        <v>0.8286</v>
      </c>
      <c r="F52" s="24">
        <f>10.03</f>
        <v>10.029999999999999</v>
      </c>
      <c r="G52" s="25">
        <v>113.6</v>
      </c>
      <c r="H52" s="23">
        <v>103.6</v>
      </c>
      <c r="I52" s="25">
        <v>72.8</v>
      </c>
      <c r="J52" s="25">
        <v>-2.14</v>
      </c>
      <c r="K52" s="23">
        <v>104.5</v>
      </c>
      <c r="L52" s="23">
        <v>106.7</v>
      </c>
    </row>
    <row r="53" spans="1:16" ht="13.8">
      <c r="A53" s="12">
        <v>2024</v>
      </c>
      <c r="B53" s="19">
        <v>88</v>
      </c>
      <c r="C53" s="11" t="s">
        <v>66</v>
      </c>
      <c r="D53" s="14">
        <v>11</v>
      </c>
      <c r="E53" s="15">
        <v>0.67569999999999997</v>
      </c>
      <c r="F53" s="20">
        <f>9.19</f>
        <v>9.19</v>
      </c>
      <c r="G53" s="21">
        <v>107.2</v>
      </c>
      <c r="H53" s="19">
        <v>98</v>
      </c>
      <c r="I53" s="21">
        <v>66.2</v>
      </c>
      <c r="J53" s="22">
        <f>5.68</f>
        <v>5.68</v>
      </c>
      <c r="K53" s="19">
        <v>109.7</v>
      </c>
      <c r="L53" s="19">
        <v>104</v>
      </c>
      <c r="P53" s="11">
        <v>1</v>
      </c>
    </row>
    <row r="54" spans="1:16" ht="13.8">
      <c r="A54" s="12">
        <v>2024</v>
      </c>
      <c r="B54" s="27">
        <v>90</v>
      </c>
      <c r="C54" s="11" t="s">
        <v>67</v>
      </c>
      <c r="D54" s="28">
        <v>13</v>
      </c>
      <c r="E54" s="15">
        <v>0.69699999999999995</v>
      </c>
      <c r="F54" s="29">
        <f>9.07</f>
        <v>9.07</v>
      </c>
      <c r="G54" s="30">
        <v>110.9</v>
      </c>
      <c r="H54" s="27">
        <v>101.8</v>
      </c>
      <c r="I54" s="30">
        <v>64.900000000000006</v>
      </c>
      <c r="J54" s="31">
        <f>3.07</f>
        <v>3.07</v>
      </c>
      <c r="K54" s="27">
        <v>108.7</v>
      </c>
      <c r="L54" s="27">
        <v>105.6</v>
      </c>
      <c r="P54" s="11">
        <v>1</v>
      </c>
    </row>
    <row r="55" spans="1:16" ht="13.8">
      <c r="A55" s="12">
        <v>2024</v>
      </c>
      <c r="B55" s="23">
        <v>101</v>
      </c>
      <c r="C55" s="11" t="s">
        <v>68</v>
      </c>
      <c r="D55" s="14">
        <v>13</v>
      </c>
      <c r="E55" s="15">
        <v>0.77139999999999997</v>
      </c>
      <c r="F55" s="24">
        <f>7.52</f>
        <v>7.52</v>
      </c>
      <c r="G55" s="25">
        <v>113.9</v>
      </c>
      <c r="H55" s="23">
        <v>106.4</v>
      </c>
      <c r="I55" s="25">
        <v>70.3</v>
      </c>
      <c r="J55" s="25">
        <v>-1.68</v>
      </c>
      <c r="K55" s="23">
        <v>105.9</v>
      </c>
      <c r="L55" s="23">
        <v>107.5</v>
      </c>
    </row>
    <row r="56" spans="1:16" ht="13.8">
      <c r="A56" s="12">
        <v>2024</v>
      </c>
      <c r="B56" s="19">
        <v>104</v>
      </c>
      <c r="C56" s="11" t="s">
        <v>69</v>
      </c>
      <c r="D56" s="14">
        <v>13</v>
      </c>
      <c r="E56" s="15">
        <v>0.8</v>
      </c>
      <c r="F56" s="20">
        <f>6.61</f>
        <v>6.61</v>
      </c>
      <c r="G56" s="21">
        <v>106.5</v>
      </c>
      <c r="H56" s="19">
        <v>99.9</v>
      </c>
      <c r="I56" s="21">
        <v>63.3</v>
      </c>
      <c r="J56" s="21">
        <v>-2.2000000000000002</v>
      </c>
      <c r="K56" s="19">
        <v>104.7</v>
      </c>
      <c r="L56" s="19">
        <v>106.9</v>
      </c>
    </row>
    <row r="57" spans="1:16" ht="18" customHeight="1">
      <c r="A57" s="12">
        <v>2024</v>
      </c>
      <c r="B57" s="19">
        <v>106</v>
      </c>
      <c r="C57" s="11" t="s">
        <v>70</v>
      </c>
      <c r="D57" s="14">
        <v>12</v>
      </c>
      <c r="E57" s="15">
        <v>0.65710000000000002</v>
      </c>
      <c r="F57" s="20">
        <f>6.49</f>
        <v>6.49</v>
      </c>
      <c r="G57" s="21">
        <v>113.7</v>
      </c>
      <c r="H57" s="19">
        <v>107.2</v>
      </c>
      <c r="I57" s="21">
        <v>67.8</v>
      </c>
      <c r="J57" s="22">
        <f>4.78</f>
        <v>4.78</v>
      </c>
      <c r="K57" s="19">
        <v>108.9</v>
      </c>
      <c r="L57" s="19">
        <v>104.2</v>
      </c>
    </row>
    <row r="58" spans="1:16" ht="13.8">
      <c r="A58" s="12">
        <v>2024</v>
      </c>
      <c r="B58" s="19">
        <v>116</v>
      </c>
      <c r="C58" s="11" t="s">
        <v>71</v>
      </c>
      <c r="D58" s="14">
        <v>14</v>
      </c>
      <c r="E58" s="15">
        <v>0.7429</v>
      </c>
      <c r="F58" s="20">
        <f>5.15</f>
        <v>5.15</v>
      </c>
      <c r="G58" s="21">
        <v>109.1</v>
      </c>
      <c r="H58" s="19">
        <v>104</v>
      </c>
      <c r="I58" s="21">
        <v>64.3</v>
      </c>
      <c r="J58" s="21">
        <v>-5.27</v>
      </c>
      <c r="K58" s="19">
        <v>103.6</v>
      </c>
      <c r="L58" s="19">
        <v>108.9</v>
      </c>
    </row>
    <row r="59" spans="1:16" ht="13.8">
      <c r="A59" s="12">
        <v>2024</v>
      </c>
      <c r="B59" s="19">
        <v>122</v>
      </c>
      <c r="C59" s="11" t="s">
        <v>72</v>
      </c>
      <c r="D59" s="14">
        <v>14</v>
      </c>
      <c r="E59" s="15">
        <v>0.68569999999999998</v>
      </c>
      <c r="F59" s="20">
        <f>4.58</f>
        <v>4.58</v>
      </c>
      <c r="G59" s="21">
        <v>106.8</v>
      </c>
      <c r="H59" s="19">
        <v>102.2</v>
      </c>
      <c r="I59" s="21">
        <v>66</v>
      </c>
      <c r="J59" s="21">
        <v>-1.43</v>
      </c>
      <c r="K59" s="19">
        <v>105.7</v>
      </c>
      <c r="L59" s="19">
        <v>107.2</v>
      </c>
    </row>
    <row r="60" spans="1:16" ht="13.8">
      <c r="A60" s="12">
        <v>2024</v>
      </c>
      <c r="B60" s="23">
        <v>131</v>
      </c>
      <c r="C60" s="11" t="s">
        <v>73</v>
      </c>
      <c r="D60" s="14">
        <v>14</v>
      </c>
      <c r="E60" s="15">
        <v>0.66669999999999996</v>
      </c>
      <c r="F60" s="24">
        <f>3.73</f>
        <v>3.73</v>
      </c>
      <c r="G60" s="25">
        <v>109.3</v>
      </c>
      <c r="H60" s="23">
        <v>105.6</v>
      </c>
      <c r="I60" s="25">
        <v>66.5</v>
      </c>
      <c r="J60" s="25">
        <v>-0.08</v>
      </c>
      <c r="K60" s="23">
        <v>107.6</v>
      </c>
      <c r="L60" s="23">
        <v>107.7</v>
      </c>
      <c r="P60" s="11">
        <v>1</v>
      </c>
    </row>
    <row r="61" spans="1:16" ht="13.8">
      <c r="A61" s="12">
        <v>2024</v>
      </c>
      <c r="B61" s="23">
        <v>135</v>
      </c>
      <c r="C61" s="11" t="s">
        <v>74</v>
      </c>
      <c r="D61" s="14">
        <v>15</v>
      </c>
      <c r="E61" s="15">
        <v>0.64710000000000001</v>
      </c>
      <c r="F61" s="24">
        <f>2.9</f>
        <v>2.9</v>
      </c>
      <c r="G61" s="25">
        <v>105.4</v>
      </c>
      <c r="H61" s="23">
        <v>102.5</v>
      </c>
      <c r="I61" s="25">
        <v>75.3</v>
      </c>
      <c r="J61" s="25">
        <v>-2.0699999999999998</v>
      </c>
      <c r="K61" s="23">
        <v>104</v>
      </c>
      <c r="L61" s="23">
        <v>106.1</v>
      </c>
    </row>
    <row r="62" spans="1:16" ht="13.8">
      <c r="A62" s="12">
        <v>2024</v>
      </c>
      <c r="B62" s="19">
        <v>138</v>
      </c>
      <c r="C62" s="11" t="s">
        <v>75</v>
      </c>
      <c r="D62" s="14">
        <v>15</v>
      </c>
      <c r="E62" s="15">
        <v>0.62860000000000005</v>
      </c>
      <c r="F62" s="20">
        <f>2.69</f>
        <v>2.69</v>
      </c>
      <c r="G62" s="21">
        <v>108.8</v>
      </c>
      <c r="H62" s="19">
        <v>106.1</v>
      </c>
      <c r="I62" s="21">
        <v>68</v>
      </c>
      <c r="J62" s="21">
        <v>-2.0499999999999998</v>
      </c>
      <c r="K62" s="19">
        <v>105.7</v>
      </c>
      <c r="L62" s="19">
        <v>107.7</v>
      </c>
    </row>
    <row r="63" spans="1:16" ht="13.8">
      <c r="A63" s="12">
        <v>2024</v>
      </c>
      <c r="B63" s="27">
        <v>150</v>
      </c>
      <c r="C63" s="11" t="s">
        <v>76</v>
      </c>
      <c r="D63" s="28">
        <v>14</v>
      </c>
      <c r="E63" s="15">
        <v>0.71430000000000005</v>
      </c>
      <c r="F63" s="29">
        <f>1.5</f>
        <v>1.5</v>
      </c>
      <c r="G63" s="30">
        <v>104.8</v>
      </c>
      <c r="H63" s="27">
        <v>103.3</v>
      </c>
      <c r="I63" s="30">
        <v>66.400000000000006</v>
      </c>
      <c r="J63" s="30">
        <v>-6.51</v>
      </c>
      <c r="K63" s="27">
        <v>102.3</v>
      </c>
      <c r="L63" s="27">
        <v>108.8</v>
      </c>
    </row>
    <row r="64" spans="1:16" ht="13.8">
      <c r="A64" s="12">
        <v>2024</v>
      </c>
      <c r="B64" s="23">
        <v>161</v>
      </c>
      <c r="C64" s="11" t="s">
        <v>77</v>
      </c>
      <c r="D64" s="14">
        <v>16</v>
      </c>
      <c r="E64" s="15">
        <v>0.6</v>
      </c>
      <c r="F64" s="24">
        <f>0.35</f>
        <v>0.35</v>
      </c>
      <c r="G64" s="25">
        <v>105.5</v>
      </c>
      <c r="H64" s="23">
        <v>105.2</v>
      </c>
      <c r="I64" s="25">
        <v>66.900000000000006</v>
      </c>
      <c r="J64" s="25">
        <v>-3.4</v>
      </c>
      <c r="K64" s="23">
        <v>104.7</v>
      </c>
      <c r="L64" s="23">
        <v>108.1</v>
      </c>
    </row>
    <row r="65" spans="1:16" ht="13.8">
      <c r="A65" s="12">
        <v>2024</v>
      </c>
      <c r="B65" s="23">
        <v>165</v>
      </c>
      <c r="C65" s="11" t="s">
        <v>78</v>
      </c>
      <c r="D65" s="14">
        <v>15</v>
      </c>
      <c r="E65" s="15">
        <v>0.58330000000000004</v>
      </c>
      <c r="F65" s="23">
        <v>-0.25</v>
      </c>
      <c r="G65" s="25">
        <v>107.3</v>
      </c>
      <c r="H65" s="23">
        <v>107.5</v>
      </c>
      <c r="I65" s="25">
        <v>71.5</v>
      </c>
      <c r="J65" s="25">
        <v>-0.3</v>
      </c>
      <c r="K65" s="23">
        <v>105.2</v>
      </c>
      <c r="L65" s="23">
        <v>105.5</v>
      </c>
    </row>
    <row r="66" spans="1:16" ht="13.8">
      <c r="A66" s="12">
        <v>2024</v>
      </c>
      <c r="B66" s="23">
        <v>201</v>
      </c>
      <c r="C66" s="11" t="s">
        <v>79</v>
      </c>
      <c r="D66" s="14">
        <v>15</v>
      </c>
      <c r="E66" s="15">
        <v>0.57579999999999998</v>
      </c>
      <c r="F66" s="23">
        <v>-3.03</v>
      </c>
      <c r="G66" s="25">
        <v>98.4</v>
      </c>
      <c r="H66" s="23">
        <v>101.4</v>
      </c>
      <c r="I66" s="25">
        <v>64.099999999999994</v>
      </c>
      <c r="J66" s="25">
        <v>-3.95</v>
      </c>
      <c r="K66" s="23">
        <v>102.8</v>
      </c>
      <c r="L66" s="23">
        <v>106.8</v>
      </c>
    </row>
    <row r="67" spans="1:16" ht="13.8">
      <c r="A67" s="12">
        <v>2024</v>
      </c>
      <c r="B67" s="27">
        <v>220</v>
      </c>
      <c r="C67" s="11" t="s">
        <v>80</v>
      </c>
      <c r="D67" s="28">
        <v>16</v>
      </c>
      <c r="E67" s="15">
        <v>0.62860000000000005</v>
      </c>
      <c r="F67" s="27">
        <v>-4.51</v>
      </c>
      <c r="G67" s="30">
        <v>109.8</v>
      </c>
      <c r="H67" s="27">
        <v>114.3</v>
      </c>
      <c r="I67" s="30">
        <v>66.5</v>
      </c>
      <c r="J67" s="30">
        <v>-2.86</v>
      </c>
      <c r="K67" s="27">
        <v>105.7</v>
      </c>
      <c r="L67" s="27">
        <v>108.6</v>
      </c>
    </row>
    <row r="68" spans="1:16" ht="13.8">
      <c r="A68" s="12">
        <v>2024</v>
      </c>
      <c r="B68" s="23">
        <v>223</v>
      </c>
      <c r="C68" s="11" t="s">
        <v>81</v>
      </c>
      <c r="D68" s="14">
        <v>16</v>
      </c>
      <c r="E68" s="15">
        <v>0.48570000000000002</v>
      </c>
      <c r="F68" s="23">
        <v>-4.6500000000000004</v>
      </c>
      <c r="G68" s="25">
        <v>103.5</v>
      </c>
      <c r="H68" s="23">
        <v>108.2</v>
      </c>
      <c r="I68" s="25">
        <v>69</v>
      </c>
      <c r="J68" s="25">
        <v>-3.58</v>
      </c>
      <c r="K68" s="23">
        <v>105.1</v>
      </c>
      <c r="L68" s="23">
        <v>108.7</v>
      </c>
    </row>
    <row r="69" spans="1:16" ht="13.8">
      <c r="A69" s="12">
        <v>2024</v>
      </c>
      <c r="B69" s="23">
        <v>259</v>
      </c>
      <c r="C69" s="11" t="s">
        <v>82</v>
      </c>
      <c r="D69" s="14">
        <v>16</v>
      </c>
      <c r="E69" s="15">
        <v>0.58330000000000004</v>
      </c>
      <c r="F69" s="23">
        <v>-7.09</v>
      </c>
      <c r="G69" s="25">
        <v>100.1</v>
      </c>
      <c r="H69" s="23">
        <v>107.2</v>
      </c>
      <c r="I69" s="25">
        <v>64.8</v>
      </c>
      <c r="J69" s="25">
        <v>-4.42</v>
      </c>
      <c r="K69" s="23">
        <v>101.9</v>
      </c>
      <c r="L69" s="23">
        <v>106.3</v>
      </c>
    </row>
    <row r="70" spans="1:16" ht="13.8">
      <c r="A70" s="12">
        <v>2024</v>
      </c>
      <c r="B70" s="23">
        <v>275</v>
      </c>
      <c r="C70" s="11" t="s">
        <v>83</v>
      </c>
      <c r="D70" s="14">
        <v>16</v>
      </c>
      <c r="E70" s="15">
        <v>0.51429999999999998</v>
      </c>
      <c r="F70" s="23">
        <v>-8.3800000000000008</v>
      </c>
      <c r="G70" s="25">
        <v>105.6</v>
      </c>
      <c r="H70" s="23">
        <v>113.9</v>
      </c>
      <c r="I70" s="25">
        <v>67.8</v>
      </c>
      <c r="J70" s="25">
        <v>-7.02</v>
      </c>
      <c r="K70" s="23">
        <v>100.6</v>
      </c>
      <c r="L70" s="23">
        <v>107.6</v>
      </c>
    </row>
    <row r="71" spans="1:16" ht="13.8">
      <c r="A71" s="12">
        <v>2024</v>
      </c>
      <c r="B71" s="19">
        <v>292</v>
      </c>
      <c r="C71" s="11" t="s">
        <v>84</v>
      </c>
      <c r="D71" s="14">
        <v>16</v>
      </c>
      <c r="E71" s="15">
        <v>0.51519999999999999</v>
      </c>
      <c r="F71" s="19">
        <v>-10</v>
      </c>
      <c r="G71" s="21">
        <v>96.4</v>
      </c>
      <c r="H71" s="19">
        <v>106.4</v>
      </c>
      <c r="I71" s="21">
        <v>61.6</v>
      </c>
      <c r="J71" s="21">
        <v>-7.47</v>
      </c>
      <c r="K71" s="19">
        <v>100.8</v>
      </c>
      <c r="L71" s="19">
        <v>108.3</v>
      </c>
    </row>
    <row r="72" spans="1:16" ht="13.8">
      <c r="A72" s="12">
        <v>2023</v>
      </c>
      <c r="B72" s="13">
        <v>1</v>
      </c>
      <c r="C72" s="11" t="s">
        <v>17</v>
      </c>
      <c r="D72" s="14">
        <v>4</v>
      </c>
      <c r="E72" s="15">
        <v>0.79490000000000005</v>
      </c>
      <c r="F72" s="16">
        <f>29.86</f>
        <v>29.86</v>
      </c>
      <c r="G72" s="17">
        <v>120.8</v>
      </c>
      <c r="H72" s="13">
        <v>90.9</v>
      </c>
      <c r="I72" s="17">
        <v>66.599999999999994</v>
      </c>
      <c r="J72" s="18">
        <f>10.39</f>
        <v>10.39</v>
      </c>
      <c r="K72" s="13">
        <v>109.7</v>
      </c>
      <c r="L72" s="13">
        <v>99.3</v>
      </c>
      <c r="M72" s="11">
        <v>1</v>
      </c>
      <c r="N72" s="11">
        <v>1</v>
      </c>
      <c r="O72" s="11">
        <v>1</v>
      </c>
      <c r="P72" s="11">
        <v>1</v>
      </c>
    </row>
    <row r="73" spans="1:16" ht="13.8">
      <c r="A73" s="12">
        <v>2023</v>
      </c>
      <c r="B73" s="19">
        <v>2</v>
      </c>
      <c r="C73" s="11" t="s">
        <v>18</v>
      </c>
      <c r="D73" s="14">
        <v>1</v>
      </c>
      <c r="E73" s="15">
        <v>0.89190000000000003</v>
      </c>
      <c r="F73" s="20">
        <f>27.72</f>
        <v>27.72</v>
      </c>
      <c r="G73" s="21">
        <v>118.1</v>
      </c>
      <c r="H73" s="19">
        <v>90.4</v>
      </c>
      <c r="I73" s="21">
        <v>63.5</v>
      </c>
      <c r="J73" s="22">
        <f>4.56</f>
        <v>4.5599999999999996</v>
      </c>
      <c r="K73" s="19">
        <v>107.2</v>
      </c>
      <c r="L73" s="19">
        <v>102.6</v>
      </c>
      <c r="M73" s="11">
        <v>1</v>
      </c>
      <c r="P73" s="11">
        <v>1</v>
      </c>
    </row>
    <row r="74" spans="1:16" ht="13.8">
      <c r="A74" s="12">
        <v>2023</v>
      </c>
      <c r="B74" s="23">
        <v>3</v>
      </c>
      <c r="C74" s="11" t="s">
        <v>85</v>
      </c>
      <c r="D74" s="14">
        <v>2</v>
      </c>
      <c r="E74" s="15">
        <v>0.83779999999999999</v>
      </c>
      <c r="F74" s="24">
        <f>27.29</f>
        <v>27.29</v>
      </c>
      <c r="G74" s="25">
        <v>115.2</v>
      </c>
      <c r="H74" s="23">
        <v>88</v>
      </c>
      <c r="I74" s="25">
        <v>66.099999999999994</v>
      </c>
      <c r="J74" s="26">
        <f>8.7</f>
        <v>8.6999999999999993</v>
      </c>
      <c r="K74" s="23">
        <v>109.2</v>
      </c>
      <c r="L74" s="23">
        <v>100.5</v>
      </c>
      <c r="M74" s="11">
        <v>1</v>
      </c>
      <c r="P74" s="11">
        <v>1</v>
      </c>
    </row>
    <row r="75" spans="1:16" ht="13.8">
      <c r="A75" s="12">
        <v>2023</v>
      </c>
      <c r="B75" s="19">
        <v>4</v>
      </c>
      <c r="C75" s="11" t="s">
        <v>30</v>
      </c>
      <c r="D75" s="14">
        <v>1</v>
      </c>
      <c r="E75" s="15">
        <v>0.83779999999999999</v>
      </c>
      <c r="F75" s="20">
        <f>27.28</f>
        <v>27.28</v>
      </c>
      <c r="G75" s="21">
        <v>115.5</v>
      </c>
      <c r="H75" s="19">
        <v>88.2</v>
      </c>
      <c r="I75" s="21">
        <v>72.599999999999994</v>
      </c>
      <c r="J75" s="22">
        <f>11.07</f>
        <v>11.07</v>
      </c>
      <c r="K75" s="19">
        <v>110.2</v>
      </c>
      <c r="L75" s="19">
        <v>99.2</v>
      </c>
      <c r="M75" s="11">
        <v>1</v>
      </c>
      <c r="P75" s="11">
        <v>1</v>
      </c>
    </row>
    <row r="76" spans="1:16" ht="13.8">
      <c r="A76" s="12">
        <v>2023</v>
      </c>
      <c r="B76" s="23">
        <v>5</v>
      </c>
      <c r="C76" s="11" t="s">
        <v>40</v>
      </c>
      <c r="D76" s="14">
        <v>2</v>
      </c>
      <c r="E76" s="15">
        <v>0.76319999999999999</v>
      </c>
      <c r="F76" s="24">
        <f>24.43</f>
        <v>24.43</v>
      </c>
      <c r="G76" s="25">
        <v>116.5</v>
      </c>
      <c r="H76" s="23">
        <v>92.1</v>
      </c>
      <c r="I76" s="25">
        <v>68.8</v>
      </c>
      <c r="J76" s="26">
        <f>11.91</f>
        <v>11.91</v>
      </c>
      <c r="K76" s="23">
        <v>111.1</v>
      </c>
      <c r="L76" s="23">
        <v>99.2</v>
      </c>
      <c r="M76" s="11">
        <v>1</v>
      </c>
      <c r="N76" s="11">
        <v>1</v>
      </c>
      <c r="P76" s="11">
        <v>1</v>
      </c>
    </row>
    <row r="77" spans="1:16" ht="13.8">
      <c r="A77" s="12">
        <v>2023</v>
      </c>
      <c r="B77" s="19">
        <v>6</v>
      </c>
      <c r="C77" s="11" t="s">
        <v>21</v>
      </c>
      <c r="D77" s="14">
        <v>4</v>
      </c>
      <c r="E77" s="15">
        <v>0.69440000000000002</v>
      </c>
      <c r="F77" s="20">
        <f>23.8</f>
        <v>23.8</v>
      </c>
      <c r="G77" s="21">
        <v>111.3</v>
      </c>
      <c r="H77" s="19">
        <v>87.5</v>
      </c>
      <c r="I77" s="21">
        <v>65.099999999999994</v>
      </c>
      <c r="J77" s="22">
        <f>8.69</f>
        <v>8.69</v>
      </c>
      <c r="K77" s="19">
        <v>109.2</v>
      </c>
      <c r="L77" s="19">
        <v>100.5</v>
      </c>
      <c r="M77" s="11">
        <v>1</v>
      </c>
      <c r="P77" s="11">
        <v>1</v>
      </c>
    </row>
    <row r="78" spans="1:16" ht="13.8">
      <c r="A78" s="12">
        <v>2023</v>
      </c>
      <c r="B78" s="23">
        <v>7</v>
      </c>
      <c r="C78" s="11" t="s">
        <v>19</v>
      </c>
      <c r="D78" s="14">
        <v>1</v>
      </c>
      <c r="E78" s="15">
        <v>0.8286</v>
      </c>
      <c r="F78" s="24">
        <f>23.24</f>
        <v>23.24</v>
      </c>
      <c r="G78" s="25">
        <v>117.7</v>
      </c>
      <c r="H78" s="23">
        <v>94.5</v>
      </c>
      <c r="I78" s="25">
        <v>64.2</v>
      </c>
      <c r="J78" s="26">
        <f>9.17</f>
        <v>9.17</v>
      </c>
      <c r="K78" s="23">
        <v>110.1</v>
      </c>
      <c r="L78" s="23">
        <v>100.9</v>
      </c>
    </row>
    <row r="79" spans="1:16" ht="13.8">
      <c r="A79" s="12">
        <v>2023</v>
      </c>
      <c r="B79" s="19">
        <v>8</v>
      </c>
      <c r="C79" s="11" t="s">
        <v>28</v>
      </c>
      <c r="D79" s="14">
        <v>3</v>
      </c>
      <c r="E79" s="15">
        <v>0.83779999999999999</v>
      </c>
      <c r="F79" s="20">
        <f>23.02</f>
        <v>23.02</v>
      </c>
      <c r="G79" s="21">
        <v>122.3</v>
      </c>
      <c r="H79" s="19">
        <v>99.3</v>
      </c>
      <c r="I79" s="21">
        <v>70.3</v>
      </c>
      <c r="J79" s="22">
        <f>8.26</f>
        <v>8.26</v>
      </c>
      <c r="K79" s="19">
        <v>110.1</v>
      </c>
      <c r="L79" s="19">
        <v>101.9</v>
      </c>
      <c r="M79" s="11">
        <v>1</v>
      </c>
      <c r="N79" s="11">
        <v>1</v>
      </c>
      <c r="P79" s="11">
        <v>1</v>
      </c>
    </row>
    <row r="80" spans="1:16" ht="13.8">
      <c r="A80" s="12">
        <v>2023</v>
      </c>
      <c r="B80" s="23">
        <v>9</v>
      </c>
      <c r="C80" s="11" t="s">
        <v>42</v>
      </c>
      <c r="D80" s="14">
        <v>1</v>
      </c>
      <c r="E80" s="15">
        <v>0.77780000000000005</v>
      </c>
      <c r="F80" s="24">
        <f>22.85</f>
        <v>22.85</v>
      </c>
      <c r="G80" s="25">
        <v>114.6</v>
      </c>
      <c r="H80" s="23">
        <v>91.8</v>
      </c>
      <c r="I80" s="25">
        <v>69.2</v>
      </c>
      <c r="J80" s="26">
        <f>13.38</f>
        <v>13.38</v>
      </c>
      <c r="K80" s="23">
        <v>111</v>
      </c>
      <c r="L80" s="23">
        <v>97.6</v>
      </c>
      <c r="P80" s="11">
        <v>1</v>
      </c>
    </row>
    <row r="81" spans="1:16" ht="13.8">
      <c r="A81" s="12">
        <v>2023</v>
      </c>
      <c r="B81" s="27">
        <v>10</v>
      </c>
      <c r="C81" s="11" t="s">
        <v>29</v>
      </c>
      <c r="D81" s="28">
        <v>2</v>
      </c>
      <c r="E81" s="15">
        <v>0.80559999999999998</v>
      </c>
      <c r="F81" s="29">
        <f>22.38</f>
        <v>22.38</v>
      </c>
      <c r="G81" s="30">
        <v>119.1</v>
      </c>
      <c r="H81" s="27">
        <v>96.7</v>
      </c>
      <c r="I81" s="30">
        <v>68.099999999999994</v>
      </c>
      <c r="J81" s="31">
        <f>9.31</f>
        <v>9.31</v>
      </c>
      <c r="K81" s="27">
        <v>109.5</v>
      </c>
      <c r="L81" s="27">
        <v>100.2</v>
      </c>
      <c r="P81" s="11">
        <v>1</v>
      </c>
    </row>
    <row r="82" spans="1:16" ht="13.8">
      <c r="A82" s="12">
        <v>2023</v>
      </c>
      <c r="B82" s="23">
        <v>11</v>
      </c>
      <c r="C82" s="11" t="s">
        <v>22</v>
      </c>
      <c r="D82" s="14">
        <v>2</v>
      </c>
      <c r="E82" s="15">
        <v>0.8</v>
      </c>
      <c r="F82" s="24">
        <f>21.9</f>
        <v>21.9</v>
      </c>
      <c r="G82" s="25">
        <v>118.2</v>
      </c>
      <c r="H82" s="23">
        <v>96.3</v>
      </c>
      <c r="I82" s="25">
        <v>72</v>
      </c>
      <c r="J82" s="26">
        <f>8.32</f>
        <v>8.32</v>
      </c>
      <c r="K82" s="23">
        <v>107.5</v>
      </c>
      <c r="L82" s="23">
        <v>99.2</v>
      </c>
    </row>
    <row r="83" spans="1:16" ht="13.8">
      <c r="A83" s="12">
        <v>2023</v>
      </c>
      <c r="B83" s="19">
        <v>12</v>
      </c>
      <c r="C83" s="11" t="s">
        <v>27</v>
      </c>
      <c r="D83" s="14">
        <v>6</v>
      </c>
      <c r="E83" s="15">
        <v>0.64859999999999995</v>
      </c>
      <c r="F83" s="20">
        <f>21.83</f>
        <v>21.83</v>
      </c>
      <c r="G83" s="21">
        <v>115</v>
      </c>
      <c r="H83" s="19">
        <v>93.2</v>
      </c>
      <c r="I83" s="21">
        <v>67.8</v>
      </c>
      <c r="J83" s="22">
        <f>11.15</f>
        <v>11.15</v>
      </c>
      <c r="K83" s="19">
        <v>111</v>
      </c>
      <c r="L83" s="19">
        <v>99.8</v>
      </c>
      <c r="M83" s="11">
        <v>1</v>
      </c>
      <c r="N83" s="11">
        <v>1</v>
      </c>
      <c r="P83" s="11">
        <v>1</v>
      </c>
    </row>
    <row r="84" spans="1:16" ht="13.8">
      <c r="A84" s="12">
        <v>2023</v>
      </c>
      <c r="B84" s="23">
        <v>13</v>
      </c>
      <c r="C84" s="11" t="s">
        <v>36</v>
      </c>
      <c r="D84" s="14">
        <v>5</v>
      </c>
      <c r="E84" s="15">
        <v>0.77139999999999997</v>
      </c>
      <c r="F84" s="24">
        <f>21.24</f>
        <v>21.24</v>
      </c>
      <c r="G84" s="25">
        <v>112.6</v>
      </c>
      <c r="H84" s="23">
        <v>91.4</v>
      </c>
      <c r="I84" s="25">
        <v>61.6</v>
      </c>
      <c r="J84" s="26">
        <f>6.45</f>
        <v>6.45</v>
      </c>
      <c r="K84" s="23">
        <v>109.7</v>
      </c>
      <c r="L84" s="23">
        <v>103.2</v>
      </c>
      <c r="P84" s="11">
        <v>1</v>
      </c>
    </row>
    <row r="85" spans="1:16" ht="13.8">
      <c r="A85" s="12">
        <v>2023</v>
      </c>
      <c r="B85" s="19">
        <v>14</v>
      </c>
      <c r="C85" s="11" t="s">
        <v>37</v>
      </c>
      <c r="D85" s="14">
        <v>5</v>
      </c>
      <c r="E85" s="15">
        <v>0.82050000000000001</v>
      </c>
      <c r="F85" s="20">
        <f>20.34</f>
        <v>20.34</v>
      </c>
      <c r="G85" s="21">
        <v>110.8</v>
      </c>
      <c r="H85" s="19">
        <v>90.4</v>
      </c>
      <c r="I85" s="21">
        <v>65.7</v>
      </c>
      <c r="J85" s="22">
        <f>9.58</f>
        <v>9.58</v>
      </c>
      <c r="K85" s="19">
        <v>110.4</v>
      </c>
      <c r="L85" s="19">
        <v>100.8</v>
      </c>
      <c r="M85" s="11">
        <v>1</v>
      </c>
      <c r="N85" s="11">
        <v>1</v>
      </c>
      <c r="O85" s="11">
        <v>1</v>
      </c>
      <c r="P85" s="11">
        <v>1</v>
      </c>
    </row>
    <row r="86" spans="1:16" ht="13.8">
      <c r="A86" s="12">
        <v>2023</v>
      </c>
      <c r="B86" s="23">
        <v>15</v>
      </c>
      <c r="C86" s="11" t="s">
        <v>86</v>
      </c>
      <c r="D86" s="14">
        <v>3</v>
      </c>
      <c r="E86" s="15">
        <v>0.72970000000000002</v>
      </c>
      <c r="F86" s="24">
        <f>19.95</f>
        <v>19.95</v>
      </c>
      <c r="G86" s="25">
        <v>118.5</v>
      </c>
      <c r="H86" s="23">
        <v>98.6</v>
      </c>
      <c r="I86" s="25">
        <v>70.5</v>
      </c>
      <c r="J86" s="26">
        <f>10.42</f>
        <v>10.42</v>
      </c>
      <c r="K86" s="23">
        <v>110.3</v>
      </c>
      <c r="L86" s="23">
        <v>99.9</v>
      </c>
      <c r="M86" s="11">
        <v>1</v>
      </c>
      <c r="P86" s="11">
        <v>1</v>
      </c>
    </row>
    <row r="87" spans="1:16" ht="13.8">
      <c r="A87" s="12">
        <v>2023</v>
      </c>
      <c r="B87" s="19">
        <v>16</v>
      </c>
      <c r="C87" s="11" t="s">
        <v>31</v>
      </c>
      <c r="D87" s="14">
        <v>3</v>
      </c>
      <c r="E87" s="15">
        <v>0.67649999999999999</v>
      </c>
      <c r="F87" s="20">
        <f>19.68</f>
        <v>19.68</v>
      </c>
      <c r="G87" s="21">
        <v>121.3</v>
      </c>
      <c r="H87" s="19">
        <v>101.6</v>
      </c>
      <c r="I87" s="21">
        <v>66.5</v>
      </c>
      <c r="J87" s="22">
        <f>12.33</f>
        <v>12.33</v>
      </c>
      <c r="K87" s="19">
        <v>110.4</v>
      </c>
      <c r="L87" s="19">
        <v>98</v>
      </c>
      <c r="P87" s="11">
        <v>1</v>
      </c>
    </row>
    <row r="88" spans="1:16" ht="13.8">
      <c r="A88" s="12">
        <v>2023</v>
      </c>
      <c r="B88" s="23">
        <v>17</v>
      </c>
      <c r="C88" s="11" t="s">
        <v>56</v>
      </c>
      <c r="D88" s="14">
        <v>9</v>
      </c>
      <c r="E88" s="15">
        <v>0.89739999999999998</v>
      </c>
      <c r="F88" s="24">
        <f>19.38</f>
        <v>19.38</v>
      </c>
      <c r="G88" s="25">
        <v>115.1</v>
      </c>
      <c r="H88" s="23">
        <v>95.7</v>
      </c>
      <c r="I88" s="25">
        <v>67.599999999999994</v>
      </c>
      <c r="J88" s="26">
        <f>2.65</f>
        <v>2.65</v>
      </c>
      <c r="K88" s="23">
        <v>106.2</v>
      </c>
      <c r="L88" s="23">
        <v>103.6</v>
      </c>
      <c r="M88" s="11">
        <v>1</v>
      </c>
      <c r="N88" s="11">
        <v>1</v>
      </c>
      <c r="O88" s="11">
        <v>1</v>
      </c>
      <c r="P88" s="11">
        <v>1</v>
      </c>
    </row>
    <row r="89" spans="1:16" ht="13.8">
      <c r="A89" s="12">
        <v>2023</v>
      </c>
      <c r="B89" s="19">
        <v>18</v>
      </c>
      <c r="C89" s="11" t="s">
        <v>23</v>
      </c>
      <c r="D89" s="14">
        <v>5</v>
      </c>
      <c r="E89" s="15">
        <v>0.75</v>
      </c>
      <c r="F89" s="20">
        <f>19.35</f>
        <v>19.350000000000001</v>
      </c>
      <c r="G89" s="21">
        <v>113.2</v>
      </c>
      <c r="H89" s="19">
        <v>93.9</v>
      </c>
      <c r="I89" s="21">
        <v>64.900000000000006</v>
      </c>
      <c r="J89" s="22">
        <f>7.65</f>
        <v>7.65</v>
      </c>
      <c r="K89" s="19">
        <v>109.7</v>
      </c>
      <c r="L89" s="19">
        <v>102.1</v>
      </c>
      <c r="P89" s="11">
        <v>1</v>
      </c>
    </row>
    <row r="90" spans="1:16" ht="13.8">
      <c r="A90" s="12">
        <v>2023</v>
      </c>
      <c r="B90" s="23">
        <v>19</v>
      </c>
      <c r="C90" s="11" t="s">
        <v>87</v>
      </c>
      <c r="D90" s="14">
        <v>9</v>
      </c>
      <c r="E90" s="15">
        <v>0.55879999999999996</v>
      </c>
      <c r="F90" s="24">
        <f>18.82</f>
        <v>18.82</v>
      </c>
      <c r="G90" s="25">
        <v>116.9</v>
      </c>
      <c r="H90" s="23">
        <v>98.1</v>
      </c>
      <c r="I90" s="25">
        <v>68.5</v>
      </c>
      <c r="J90" s="26">
        <f>12.45</f>
        <v>12.45</v>
      </c>
      <c r="K90" s="23">
        <v>110.5</v>
      </c>
      <c r="L90" s="23">
        <v>98.1</v>
      </c>
    </row>
    <row r="91" spans="1:16" ht="13.8">
      <c r="A91" s="12">
        <v>2023</v>
      </c>
      <c r="B91" s="27">
        <v>20</v>
      </c>
      <c r="C91" s="11" t="s">
        <v>88</v>
      </c>
      <c r="D91" s="28">
        <v>8</v>
      </c>
      <c r="E91" s="15">
        <v>0.7429</v>
      </c>
      <c r="F91" s="29">
        <f>18.53</f>
        <v>18.53</v>
      </c>
      <c r="G91" s="30">
        <v>114.6</v>
      </c>
      <c r="H91" s="27">
        <v>96.1</v>
      </c>
      <c r="I91" s="30">
        <v>71.099999999999994</v>
      </c>
      <c r="J91" s="31">
        <f>7.27</f>
        <v>7.27</v>
      </c>
      <c r="K91" s="27">
        <v>108.2</v>
      </c>
      <c r="L91" s="27">
        <v>101</v>
      </c>
    </row>
    <row r="92" spans="1:16" ht="13.8">
      <c r="A92" s="12">
        <v>2023</v>
      </c>
      <c r="B92" s="23">
        <v>21</v>
      </c>
      <c r="C92" s="11" t="s">
        <v>89</v>
      </c>
      <c r="D92" s="14">
        <v>3</v>
      </c>
      <c r="E92" s="15">
        <v>0.72219999999999995</v>
      </c>
      <c r="F92" s="24">
        <f>18.51</f>
        <v>18.510000000000002</v>
      </c>
      <c r="G92" s="25">
        <v>113.5</v>
      </c>
      <c r="H92" s="23">
        <v>95</v>
      </c>
      <c r="I92" s="25">
        <v>70.099999999999994</v>
      </c>
      <c r="J92" s="26">
        <f>10.35</f>
        <v>10.35</v>
      </c>
      <c r="K92" s="23">
        <v>109.2</v>
      </c>
      <c r="L92" s="23">
        <v>98.8</v>
      </c>
      <c r="M92" s="11">
        <v>1</v>
      </c>
      <c r="N92" s="11">
        <v>1</v>
      </c>
      <c r="P92" s="11">
        <v>1</v>
      </c>
    </row>
    <row r="93" spans="1:16" ht="16.5" customHeight="1">
      <c r="A93" s="12">
        <v>2023</v>
      </c>
      <c r="B93" s="19">
        <v>22</v>
      </c>
      <c r="C93" s="11" t="s">
        <v>90</v>
      </c>
      <c r="D93" s="14">
        <v>8</v>
      </c>
      <c r="E93" s="15">
        <v>0.61109999999999998</v>
      </c>
      <c r="F93" s="20">
        <f>18.05</f>
        <v>18.05</v>
      </c>
      <c r="G93" s="21">
        <v>112.1</v>
      </c>
      <c r="H93" s="19">
        <v>94</v>
      </c>
      <c r="I93" s="21">
        <v>69.599999999999994</v>
      </c>
      <c r="J93" s="22">
        <f>10.29</f>
        <v>10.29</v>
      </c>
      <c r="K93" s="19">
        <v>109.7</v>
      </c>
      <c r="L93" s="19">
        <v>99.4</v>
      </c>
      <c r="M93" s="11">
        <v>1</v>
      </c>
      <c r="P93" s="11">
        <v>1</v>
      </c>
    </row>
    <row r="94" spans="1:16" ht="18" customHeight="1">
      <c r="A94" s="12">
        <v>2023</v>
      </c>
      <c r="B94" s="23">
        <v>23</v>
      </c>
      <c r="C94" s="11" t="s">
        <v>91</v>
      </c>
      <c r="D94" s="14">
        <v>8</v>
      </c>
      <c r="E94" s="15">
        <v>0.62860000000000005</v>
      </c>
      <c r="F94" s="24">
        <f>17.99</f>
        <v>17.989999999999998</v>
      </c>
      <c r="G94" s="25">
        <v>113.5</v>
      </c>
      <c r="H94" s="23">
        <v>95.6</v>
      </c>
      <c r="I94" s="25">
        <v>64.2</v>
      </c>
      <c r="J94" s="26">
        <f>8.94</f>
        <v>8.94</v>
      </c>
      <c r="K94" s="23">
        <v>109.5</v>
      </c>
      <c r="L94" s="23">
        <v>100.5</v>
      </c>
      <c r="P94" s="11">
        <v>1</v>
      </c>
    </row>
    <row r="95" spans="1:16" ht="13.8">
      <c r="A95" s="12">
        <v>2023</v>
      </c>
      <c r="B95" s="19">
        <v>24</v>
      </c>
      <c r="C95" s="11" t="s">
        <v>92</v>
      </c>
      <c r="D95" s="14">
        <v>5</v>
      </c>
      <c r="E95" s="15">
        <v>0.78380000000000005</v>
      </c>
      <c r="F95" s="20">
        <f>17.94</f>
        <v>17.940000000000001</v>
      </c>
      <c r="G95" s="21">
        <v>119.1</v>
      </c>
      <c r="H95" s="19">
        <v>101.2</v>
      </c>
      <c r="I95" s="21">
        <v>68.8</v>
      </c>
      <c r="J95" s="22">
        <f>7.3</f>
        <v>7.3</v>
      </c>
      <c r="K95" s="19">
        <v>108.8</v>
      </c>
      <c r="L95" s="19">
        <v>101.5</v>
      </c>
      <c r="M95" s="11">
        <v>1</v>
      </c>
      <c r="N95" s="11">
        <v>1</v>
      </c>
      <c r="O95" s="11">
        <v>1</v>
      </c>
      <c r="P95" s="11">
        <v>1</v>
      </c>
    </row>
    <row r="96" spans="1:16" ht="13.8">
      <c r="A96" s="12">
        <v>2023</v>
      </c>
      <c r="B96" s="23">
        <v>25</v>
      </c>
      <c r="C96" s="11" t="s">
        <v>53</v>
      </c>
      <c r="D96" s="14">
        <v>6</v>
      </c>
      <c r="E96" s="15">
        <v>0.62860000000000005</v>
      </c>
      <c r="F96" s="24">
        <f>17.78</f>
        <v>17.78</v>
      </c>
      <c r="G96" s="25">
        <v>112.1</v>
      </c>
      <c r="H96" s="23">
        <v>94.3</v>
      </c>
      <c r="I96" s="25">
        <v>69.7</v>
      </c>
      <c r="J96" s="26">
        <f>10.71</f>
        <v>10.71</v>
      </c>
      <c r="K96" s="23">
        <v>109.7</v>
      </c>
      <c r="L96" s="23">
        <v>99</v>
      </c>
      <c r="P96" s="11">
        <v>1</v>
      </c>
    </row>
    <row r="97" spans="1:16" ht="13.8">
      <c r="A97" s="12">
        <v>2023</v>
      </c>
      <c r="B97" s="19">
        <v>26</v>
      </c>
      <c r="C97" s="11" t="s">
        <v>32</v>
      </c>
      <c r="D97" s="14">
        <v>7</v>
      </c>
      <c r="E97" s="15">
        <v>0.61760000000000004</v>
      </c>
      <c r="F97" s="20">
        <f>17.61</f>
        <v>17.61</v>
      </c>
      <c r="G97" s="21">
        <v>114.2</v>
      </c>
      <c r="H97" s="19">
        <v>96.6</v>
      </c>
      <c r="I97" s="21">
        <v>64.7</v>
      </c>
      <c r="J97" s="22">
        <f>12.57</f>
        <v>12.57</v>
      </c>
      <c r="K97" s="19">
        <v>112.1</v>
      </c>
      <c r="L97" s="19">
        <v>99.5</v>
      </c>
      <c r="M97" s="11">
        <v>1</v>
      </c>
      <c r="P97" s="11">
        <v>1</v>
      </c>
    </row>
    <row r="98" spans="1:16" ht="13.8">
      <c r="A98" s="12">
        <v>2023</v>
      </c>
      <c r="B98" s="23">
        <v>27</v>
      </c>
      <c r="C98" s="11" t="s">
        <v>38</v>
      </c>
      <c r="D98" s="14">
        <v>6</v>
      </c>
      <c r="E98" s="15">
        <v>0.64710000000000001</v>
      </c>
      <c r="F98" s="24">
        <f>17.4</f>
        <v>17.399999999999999</v>
      </c>
      <c r="G98" s="25">
        <v>116.2</v>
      </c>
      <c r="H98" s="23">
        <v>98.8</v>
      </c>
      <c r="I98" s="25">
        <v>65.8</v>
      </c>
      <c r="J98" s="26">
        <f>8.52</f>
        <v>8.52</v>
      </c>
      <c r="K98" s="23">
        <v>109.1</v>
      </c>
      <c r="L98" s="23">
        <v>100.5</v>
      </c>
      <c r="P98" s="11">
        <v>1</v>
      </c>
    </row>
    <row r="99" spans="1:16" ht="13.8">
      <c r="A99" s="12">
        <v>2023</v>
      </c>
      <c r="B99" s="19">
        <v>28</v>
      </c>
      <c r="C99" s="11" t="s">
        <v>57</v>
      </c>
      <c r="D99" s="14">
        <v>10</v>
      </c>
      <c r="E99" s="15">
        <v>0.7429</v>
      </c>
      <c r="F99" s="20">
        <f>17.39</f>
        <v>17.39</v>
      </c>
      <c r="G99" s="21">
        <v>116.3</v>
      </c>
      <c r="H99" s="19">
        <v>98.9</v>
      </c>
      <c r="I99" s="21">
        <v>68.599999999999994</v>
      </c>
      <c r="J99" s="22">
        <f>6.84</f>
        <v>6.84</v>
      </c>
      <c r="K99" s="19">
        <v>108.4</v>
      </c>
      <c r="L99" s="19">
        <v>101.5</v>
      </c>
    </row>
    <row r="100" spans="1:16" ht="13.8">
      <c r="A100" s="12">
        <v>2023</v>
      </c>
      <c r="B100" s="23">
        <v>29</v>
      </c>
      <c r="C100" s="11" t="s">
        <v>24</v>
      </c>
      <c r="D100" s="14">
        <v>6</v>
      </c>
      <c r="E100" s="15">
        <v>0.57579999999999998</v>
      </c>
      <c r="F100" s="24">
        <f>17.04</f>
        <v>17.04</v>
      </c>
      <c r="G100" s="25">
        <v>108.1</v>
      </c>
      <c r="H100" s="23">
        <v>91</v>
      </c>
      <c r="I100" s="25">
        <v>64.099999999999994</v>
      </c>
      <c r="J100" s="26">
        <f>12.56</f>
        <v>12.56</v>
      </c>
      <c r="K100" s="23">
        <v>112.1</v>
      </c>
      <c r="L100" s="23">
        <v>99.5</v>
      </c>
    </row>
    <row r="101" spans="1:16" ht="13.8">
      <c r="A101" s="12">
        <v>2023</v>
      </c>
      <c r="B101" s="27">
        <v>30</v>
      </c>
      <c r="C101" s="11" t="s">
        <v>93</v>
      </c>
      <c r="D101" s="28">
        <v>4</v>
      </c>
      <c r="E101" s="15">
        <v>0.65710000000000002</v>
      </c>
      <c r="F101" s="29">
        <f>17.03</f>
        <v>17.03</v>
      </c>
      <c r="G101" s="30">
        <v>114.2</v>
      </c>
      <c r="H101" s="27">
        <v>97.2</v>
      </c>
      <c r="I101" s="30">
        <v>67.8</v>
      </c>
      <c r="J101" s="31">
        <f>10.69</f>
        <v>10.69</v>
      </c>
      <c r="K101" s="27">
        <v>110.5</v>
      </c>
      <c r="L101" s="27">
        <v>99.9</v>
      </c>
      <c r="P101" s="11">
        <v>1</v>
      </c>
    </row>
    <row r="102" spans="1:16" ht="13.8">
      <c r="A102" s="12">
        <v>2023</v>
      </c>
      <c r="B102" s="19">
        <v>32</v>
      </c>
      <c r="C102" s="11" t="s">
        <v>20</v>
      </c>
      <c r="D102" s="14">
        <v>9</v>
      </c>
      <c r="E102" s="15">
        <v>0.61760000000000004</v>
      </c>
      <c r="F102" s="20">
        <f>16.77</f>
        <v>16.77</v>
      </c>
      <c r="G102" s="21">
        <v>112.5</v>
      </c>
      <c r="H102" s="19">
        <v>95.7</v>
      </c>
      <c r="I102" s="21">
        <v>67.599999999999994</v>
      </c>
      <c r="J102" s="22">
        <f>9.68</f>
        <v>9.68</v>
      </c>
      <c r="K102" s="19">
        <v>109.4</v>
      </c>
      <c r="L102" s="19">
        <v>99.7</v>
      </c>
      <c r="P102" s="11">
        <v>1</v>
      </c>
    </row>
    <row r="103" spans="1:16" ht="13.8">
      <c r="A103" s="12">
        <v>2023</v>
      </c>
      <c r="B103" s="23">
        <v>33</v>
      </c>
      <c r="C103" s="11" t="s">
        <v>48</v>
      </c>
      <c r="D103" s="14">
        <v>7</v>
      </c>
      <c r="E103" s="15">
        <v>0.71430000000000005</v>
      </c>
      <c r="F103" s="24">
        <f>16.71</f>
        <v>16.71</v>
      </c>
      <c r="G103" s="25">
        <v>113.7</v>
      </c>
      <c r="H103" s="23">
        <v>97</v>
      </c>
      <c r="I103" s="25">
        <v>65.900000000000006</v>
      </c>
      <c r="J103" s="26">
        <f>7.3</f>
        <v>7.3</v>
      </c>
      <c r="K103" s="23">
        <v>108.3</v>
      </c>
      <c r="L103" s="23">
        <v>101</v>
      </c>
    </row>
    <row r="104" spans="1:16" ht="13.8">
      <c r="A104" s="12">
        <v>2023</v>
      </c>
      <c r="B104" s="19">
        <v>34</v>
      </c>
      <c r="C104" s="11" t="s">
        <v>64</v>
      </c>
      <c r="D104" s="14">
        <v>4</v>
      </c>
      <c r="E104" s="15">
        <v>0.75760000000000005</v>
      </c>
      <c r="F104" s="20">
        <f>16.37</f>
        <v>16.37</v>
      </c>
      <c r="G104" s="21">
        <v>110.8</v>
      </c>
      <c r="H104" s="19">
        <v>94.5</v>
      </c>
      <c r="I104" s="21">
        <v>61.5</v>
      </c>
      <c r="J104" s="22">
        <f>5.73</f>
        <v>5.73</v>
      </c>
      <c r="K104" s="19">
        <v>108.4</v>
      </c>
      <c r="L104" s="19">
        <v>102.7</v>
      </c>
    </row>
    <row r="105" spans="1:16" ht="13.8">
      <c r="A105" s="12">
        <v>2023</v>
      </c>
      <c r="B105" s="23">
        <v>35</v>
      </c>
      <c r="C105" s="11" t="s">
        <v>26</v>
      </c>
      <c r="D105" s="14">
        <v>9</v>
      </c>
      <c r="E105" s="15">
        <v>0.60609999999999997</v>
      </c>
      <c r="F105" s="24">
        <f>16.22</f>
        <v>16.22</v>
      </c>
      <c r="G105" s="25">
        <v>111.1</v>
      </c>
      <c r="H105" s="23">
        <v>94.9</v>
      </c>
      <c r="I105" s="25">
        <v>69.5</v>
      </c>
      <c r="J105" s="26">
        <f>8.8</f>
        <v>8.8000000000000007</v>
      </c>
      <c r="K105" s="23">
        <v>109.1</v>
      </c>
      <c r="L105" s="23">
        <v>100.3</v>
      </c>
    </row>
    <row r="106" spans="1:16" ht="13.8">
      <c r="A106" s="12">
        <v>2023</v>
      </c>
      <c r="B106" s="19">
        <v>36</v>
      </c>
      <c r="C106" s="11" t="s">
        <v>94</v>
      </c>
      <c r="D106" s="14">
        <v>10</v>
      </c>
      <c r="E106" s="15">
        <v>0.62160000000000004</v>
      </c>
      <c r="F106" s="20">
        <f>16.04</f>
        <v>16.04</v>
      </c>
      <c r="G106" s="21">
        <v>117.2</v>
      </c>
      <c r="H106" s="19">
        <v>101.1</v>
      </c>
      <c r="I106" s="21">
        <v>64.3</v>
      </c>
      <c r="J106" s="22">
        <f>10.08</f>
        <v>10.08</v>
      </c>
      <c r="K106" s="19">
        <v>109.5</v>
      </c>
      <c r="L106" s="19">
        <v>99.4</v>
      </c>
      <c r="P106" s="11">
        <v>1</v>
      </c>
    </row>
    <row r="107" spans="1:16" ht="13.8">
      <c r="A107" s="12">
        <v>2023</v>
      </c>
      <c r="B107" s="23">
        <v>37</v>
      </c>
      <c r="C107" s="11" t="s">
        <v>54</v>
      </c>
      <c r="D107" s="14">
        <v>10</v>
      </c>
      <c r="E107" s="15">
        <v>0.70589999999999997</v>
      </c>
      <c r="F107" s="24">
        <f>15.85</f>
        <v>15.85</v>
      </c>
      <c r="G107" s="25">
        <v>110.9</v>
      </c>
      <c r="H107" s="23">
        <v>95.1</v>
      </c>
      <c r="I107" s="25">
        <v>66.2</v>
      </c>
      <c r="J107" s="26">
        <f>6.85</f>
        <v>6.85</v>
      </c>
      <c r="K107" s="23">
        <v>108.7</v>
      </c>
      <c r="L107" s="23">
        <v>101.8</v>
      </c>
    </row>
    <row r="108" spans="1:16" ht="13.8">
      <c r="A108" s="12">
        <v>2023</v>
      </c>
      <c r="B108" s="19">
        <v>38</v>
      </c>
      <c r="C108" s="11" t="s">
        <v>51</v>
      </c>
      <c r="D108" s="14">
        <v>7</v>
      </c>
      <c r="E108" s="15">
        <v>0.64710000000000001</v>
      </c>
      <c r="F108" s="20">
        <f>15.59</f>
        <v>15.59</v>
      </c>
      <c r="G108" s="21">
        <v>109.9</v>
      </c>
      <c r="H108" s="19">
        <v>94.3</v>
      </c>
      <c r="I108" s="21">
        <v>64.400000000000006</v>
      </c>
      <c r="J108" s="22">
        <f>9.29</f>
        <v>9.2899999999999991</v>
      </c>
      <c r="K108" s="19">
        <v>109.3</v>
      </c>
      <c r="L108" s="19">
        <v>100.1</v>
      </c>
      <c r="P108" s="11">
        <v>1</v>
      </c>
    </row>
    <row r="109" spans="1:16" ht="13.8">
      <c r="A109" s="12">
        <v>2023</v>
      </c>
      <c r="B109" s="23">
        <v>41</v>
      </c>
      <c r="C109" s="11" t="s">
        <v>95</v>
      </c>
      <c r="D109" s="14">
        <v>8</v>
      </c>
      <c r="E109" s="15">
        <v>0.57579999999999998</v>
      </c>
      <c r="F109" s="24">
        <f>15.39</f>
        <v>15.39</v>
      </c>
      <c r="G109" s="25">
        <v>120</v>
      </c>
      <c r="H109" s="23">
        <v>104.6</v>
      </c>
      <c r="I109" s="25">
        <v>69.5</v>
      </c>
      <c r="J109" s="26">
        <f>9.75</f>
        <v>9.75</v>
      </c>
      <c r="K109" s="23">
        <v>108.8</v>
      </c>
      <c r="L109" s="23">
        <v>99.1</v>
      </c>
    </row>
    <row r="110" spans="1:16" ht="13.8">
      <c r="A110" s="12">
        <v>2023</v>
      </c>
      <c r="B110" s="23">
        <v>45</v>
      </c>
      <c r="C110" s="11" t="s">
        <v>96</v>
      </c>
      <c r="D110" s="14">
        <v>10</v>
      </c>
      <c r="E110" s="15">
        <v>0.66669999999999996</v>
      </c>
      <c r="F110" s="24">
        <f>14.85</f>
        <v>14.85</v>
      </c>
      <c r="G110" s="25">
        <v>112.3</v>
      </c>
      <c r="H110" s="23">
        <v>97.5</v>
      </c>
      <c r="I110" s="25">
        <v>68</v>
      </c>
      <c r="J110" s="26">
        <f>7.6</f>
        <v>7.6</v>
      </c>
      <c r="K110" s="23">
        <v>107.2</v>
      </c>
      <c r="L110" s="23">
        <v>99.6</v>
      </c>
    </row>
    <row r="111" spans="1:16" ht="13.8">
      <c r="A111" s="12">
        <v>2023</v>
      </c>
      <c r="B111" s="19">
        <v>52</v>
      </c>
      <c r="C111" s="11" t="s">
        <v>55</v>
      </c>
      <c r="D111" s="14">
        <v>11</v>
      </c>
      <c r="E111" s="15">
        <v>0.67649999999999999</v>
      </c>
      <c r="F111" s="20">
        <f>13.55</f>
        <v>13.55</v>
      </c>
      <c r="G111" s="21">
        <v>113.6</v>
      </c>
      <c r="H111" s="19">
        <v>100</v>
      </c>
      <c r="I111" s="21">
        <v>69</v>
      </c>
      <c r="J111" s="22">
        <f>5.5</f>
        <v>5.5</v>
      </c>
      <c r="K111" s="19">
        <v>108.5</v>
      </c>
      <c r="L111" s="19">
        <v>103</v>
      </c>
    </row>
    <row r="112" spans="1:16" ht="13.8">
      <c r="A112" s="12">
        <v>2023</v>
      </c>
      <c r="B112" s="23">
        <v>53</v>
      </c>
      <c r="C112" s="11" t="s">
        <v>47</v>
      </c>
      <c r="D112" s="14">
        <v>11</v>
      </c>
      <c r="E112" s="15">
        <v>0.61760000000000004</v>
      </c>
      <c r="F112" s="24">
        <f>13.49</f>
        <v>13.49</v>
      </c>
      <c r="G112" s="25">
        <v>104.8</v>
      </c>
      <c r="H112" s="23">
        <v>91.4</v>
      </c>
      <c r="I112" s="25">
        <v>63.6</v>
      </c>
      <c r="J112" s="26">
        <f>6.98</f>
        <v>6.98</v>
      </c>
      <c r="K112" s="23">
        <v>108</v>
      </c>
      <c r="L112" s="23">
        <v>101</v>
      </c>
    </row>
    <row r="113" spans="1:16" ht="13.8">
      <c r="A113" s="12">
        <v>2023</v>
      </c>
      <c r="B113" s="23">
        <v>55</v>
      </c>
      <c r="C113" s="11" t="s">
        <v>97</v>
      </c>
      <c r="D113" s="14">
        <v>11</v>
      </c>
      <c r="E113" s="15">
        <v>0.63890000000000002</v>
      </c>
      <c r="F113" s="24">
        <f>13.26</f>
        <v>13.26</v>
      </c>
      <c r="G113" s="25">
        <v>109</v>
      </c>
      <c r="H113" s="23">
        <v>95.8</v>
      </c>
      <c r="I113" s="25">
        <v>68.099999999999994</v>
      </c>
      <c r="J113" s="26">
        <f>8.4</f>
        <v>8.4</v>
      </c>
      <c r="K113" s="23">
        <v>108.4</v>
      </c>
      <c r="L113" s="23">
        <v>100</v>
      </c>
    </row>
    <row r="114" spans="1:16" ht="13.8">
      <c r="A114" s="12">
        <v>2023</v>
      </c>
      <c r="B114" s="23">
        <v>57</v>
      </c>
      <c r="C114" s="11" t="s">
        <v>98</v>
      </c>
      <c r="D114" s="14">
        <v>7</v>
      </c>
      <c r="E114" s="15">
        <v>0.71430000000000005</v>
      </c>
      <c r="F114" s="24">
        <f>13.07</f>
        <v>13.07</v>
      </c>
      <c r="G114" s="25">
        <v>118.3</v>
      </c>
      <c r="H114" s="23">
        <v>105.3</v>
      </c>
      <c r="I114" s="25">
        <v>68.7</v>
      </c>
      <c r="J114" s="26">
        <f>7.33</f>
        <v>7.33</v>
      </c>
      <c r="K114" s="23">
        <v>107.7</v>
      </c>
      <c r="L114" s="23">
        <v>100.3</v>
      </c>
      <c r="P114" s="11">
        <v>1</v>
      </c>
    </row>
    <row r="115" spans="1:16" ht="13.8">
      <c r="A115" s="12">
        <v>2023</v>
      </c>
      <c r="B115" s="23">
        <v>59</v>
      </c>
      <c r="C115" s="11" t="s">
        <v>99</v>
      </c>
      <c r="D115" s="14">
        <v>11</v>
      </c>
      <c r="E115" s="15">
        <v>0.66669999999999996</v>
      </c>
      <c r="F115" s="24">
        <f>12.86</f>
        <v>12.86</v>
      </c>
      <c r="G115" s="25">
        <v>114.2</v>
      </c>
      <c r="H115" s="23">
        <v>101.3</v>
      </c>
      <c r="I115" s="25">
        <v>67.3</v>
      </c>
      <c r="J115" s="26">
        <f>5.1</f>
        <v>5.0999999999999996</v>
      </c>
      <c r="K115" s="23">
        <v>108.2</v>
      </c>
      <c r="L115" s="23">
        <v>103.1</v>
      </c>
      <c r="P115" s="11">
        <v>1</v>
      </c>
    </row>
    <row r="116" spans="1:16" ht="13.8">
      <c r="A116" s="12">
        <v>2023</v>
      </c>
      <c r="B116" s="27">
        <v>60</v>
      </c>
      <c r="C116" s="11" t="s">
        <v>100</v>
      </c>
      <c r="D116" s="28">
        <v>12</v>
      </c>
      <c r="E116" s="15">
        <v>0.77139999999999997</v>
      </c>
      <c r="F116" s="29">
        <f>12.84</f>
        <v>12.84</v>
      </c>
      <c r="G116" s="30">
        <v>106.6</v>
      </c>
      <c r="H116" s="27">
        <v>93.8</v>
      </c>
      <c r="I116" s="30">
        <v>67.900000000000006</v>
      </c>
      <c r="J116" s="31">
        <f>0.79</f>
        <v>0.79</v>
      </c>
      <c r="K116" s="27">
        <v>105</v>
      </c>
      <c r="L116" s="27">
        <v>104.2</v>
      </c>
    </row>
    <row r="117" spans="1:16" ht="13.8">
      <c r="A117" s="12">
        <v>2023</v>
      </c>
      <c r="B117" s="19">
        <v>62</v>
      </c>
      <c r="C117" s="11" t="s">
        <v>50</v>
      </c>
      <c r="D117" s="14">
        <v>11</v>
      </c>
      <c r="E117" s="15">
        <v>0.66669999999999996</v>
      </c>
      <c r="F117" s="20">
        <f>12.74</f>
        <v>12.74</v>
      </c>
      <c r="G117" s="21">
        <v>111.8</v>
      </c>
      <c r="H117" s="19">
        <v>99.1</v>
      </c>
      <c r="I117" s="21">
        <v>65.900000000000006</v>
      </c>
      <c r="J117" s="22">
        <f>6.98</f>
        <v>6.98</v>
      </c>
      <c r="K117" s="19">
        <v>108.6</v>
      </c>
      <c r="L117" s="19">
        <v>101.7</v>
      </c>
    </row>
    <row r="118" spans="1:16" ht="13.8">
      <c r="A118" s="12">
        <v>2023</v>
      </c>
      <c r="B118" s="23">
        <v>69</v>
      </c>
      <c r="C118" s="11" t="s">
        <v>59</v>
      </c>
      <c r="D118" s="14">
        <v>12</v>
      </c>
      <c r="E118" s="15">
        <v>0.77139999999999997</v>
      </c>
      <c r="F118" s="24">
        <f>11.9</f>
        <v>11.9</v>
      </c>
      <c r="G118" s="25">
        <v>108.4</v>
      </c>
      <c r="H118" s="23">
        <v>96.5</v>
      </c>
      <c r="I118" s="25">
        <v>66.3</v>
      </c>
      <c r="J118" s="25">
        <v>-1.77</v>
      </c>
      <c r="K118" s="23">
        <v>103.9</v>
      </c>
      <c r="L118" s="23">
        <v>105.7</v>
      </c>
    </row>
    <row r="119" spans="1:16" ht="13.8">
      <c r="A119" s="12">
        <v>2023</v>
      </c>
      <c r="B119" s="23">
        <v>71</v>
      </c>
      <c r="C119" s="11" t="s">
        <v>68</v>
      </c>
      <c r="D119" s="14">
        <v>12</v>
      </c>
      <c r="E119" s="15">
        <v>0.88570000000000004</v>
      </c>
      <c r="F119" s="24">
        <f>11.85</f>
        <v>11.85</v>
      </c>
      <c r="G119" s="25">
        <v>110.6</v>
      </c>
      <c r="H119" s="23">
        <v>98.7</v>
      </c>
      <c r="I119" s="25">
        <v>70.8</v>
      </c>
      <c r="J119" s="25">
        <v>-5.28</v>
      </c>
      <c r="K119" s="23">
        <v>102.2</v>
      </c>
      <c r="L119" s="23">
        <v>107.5</v>
      </c>
    </row>
    <row r="120" spans="1:16" ht="13.8">
      <c r="A120" s="12">
        <v>2023</v>
      </c>
      <c r="B120" s="19">
        <v>72</v>
      </c>
      <c r="C120" s="11" t="s">
        <v>101</v>
      </c>
      <c r="D120" s="14">
        <v>12</v>
      </c>
      <c r="E120" s="15">
        <v>0.85709999999999997</v>
      </c>
      <c r="F120" s="20">
        <f>11.65</f>
        <v>11.65</v>
      </c>
      <c r="G120" s="21">
        <v>113.9</v>
      </c>
      <c r="H120" s="19">
        <v>102.2</v>
      </c>
      <c r="I120" s="21">
        <v>70.2</v>
      </c>
      <c r="J120" s="21">
        <v>-4.0199999999999996</v>
      </c>
      <c r="K120" s="19">
        <v>103.8</v>
      </c>
      <c r="L120" s="19">
        <v>107.8</v>
      </c>
    </row>
    <row r="121" spans="1:16" ht="13.8">
      <c r="A121" s="12">
        <v>2023</v>
      </c>
      <c r="B121" s="19">
        <v>76</v>
      </c>
      <c r="C121" s="11" t="s">
        <v>102</v>
      </c>
      <c r="D121" s="14">
        <v>13</v>
      </c>
      <c r="E121" s="15">
        <v>0.77139999999999997</v>
      </c>
      <c r="F121" s="20">
        <f>11.35</f>
        <v>11.35</v>
      </c>
      <c r="G121" s="21">
        <v>110.7</v>
      </c>
      <c r="H121" s="19">
        <v>99.4</v>
      </c>
      <c r="I121" s="21">
        <v>68.7</v>
      </c>
      <c r="J121" s="21">
        <v>-3.28</v>
      </c>
      <c r="K121" s="19">
        <v>102.6</v>
      </c>
      <c r="L121" s="19">
        <v>105.9</v>
      </c>
    </row>
    <row r="122" spans="1:16" ht="13.8">
      <c r="A122" s="12">
        <v>2023</v>
      </c>
      <c r="B122" s="19">
        <v>78</v>
      </c>
      <c r="C122" s="11" t="s">
        <v>103</v>
      </c>
      <c r="D122" s="14">
        <v>13</v>
      </c>
      <c r="E122" s="15">
        <v>0.8</v>
      </c>
      <c r="F122" s="20">
        <f>11.2</f>
        <v>11.2</v>
      </c>
      <c r="G122" s="21">
        <v>107.7</v>
      </c>
      <c r="H122" s="19">
        <v>96.5</v>
      </c>
      <c r="I122" s="21">
        <v>67.7</v>
      </c>
      <c r="J122" s="21">
        <v>-1.35</v>
      </c>
      <c r="K122" s="19">
        <v>106.1</v>
      </c>
      <c r="L122" s="19">
        <v>107.4</v>
      </c>
    </row>
    <row r="123" spans="1:16" ht="13.8">
      <c r="A123" s="12">
        <v>2023</v>
      </c>
      <c r="B123" s="19">
        <v>88</v>
      </c>
      <c r="C123" s="11" t="s">
        <v>104</v>
      </c>
      <c r="D123" s="14">
        <v>13</v>
      </c>
      <c r="E123" s="15">
        <v>0.76470000000000005</v>
      </c>
      <c r="F123" s="20">
        <f>8.51</f>
        <v>8.51</v>
      </c>
      <c r="G123" s="21">
        <v>111.4</v>
      </c>
      <c r="H123" s="19">
        <v>102.9</v>
      </c>
      <c r="I123" s="21">
        <v>68.3</v>
      </c>
      <c r="J123" s="22">
        <f>0.03</f>
        <v>0.03</v>
      </c>
      <c r="K123" s="19">
        <v>104</v>
      </c>
      <c r="L123" s="19">
        <v>104</v>
      </c>
    </row>
    <row r="124" spans="1:16" ht="13.8">
      <c r="A124" s="12">
        <v>2023</v>
      </c>
      <c r="B124" s="23">
        <v>91</v>
      </c>
      <c r="C124" s="11" t="s">
        <v>105</v>
      </c>
      <c r="D124" s="14">
        <v>15</v>
      </c>
      <c r="E124" s="15">
        <v>0.71879999999999999</v>
      </c>
      <c r="F124" s="24">
        <f>8.04</f>
        <v>8.0399999999999991</v>
      </c>
      <c r="G124" s="25">
        <v>109.5</v>
      </c>
      <c r="H124" s="23">
        <v>101.5</v>
      </c>
      <c r="I124" s="25">
        <v>66.900000000000006</v>
      </c>
      <c r="J124" s="25">
        <v>-0.43</v>
      </c>
      <c r="K124" s="23">
        <v>104.6</v>
      </c>
      <c r="L124" s="23">
        <v>105</v>
      </c>
      <c r="M124" s="11">
        <v>1</v>
      </c>
      <c r="P124" s="11">
        <v>1</v>
      </c>
    </row>
    <row r="125" spans="1:16" ht="13.8">
      <c r="A125" s="12">
        <v>2023</v>
      </c>
      <c r="B125" s="19">
        <v>92</v>
      </c>
      <c r="C125" s="11" t="s">
        <v>106</v>
      </c>
      <c r="D125" s="14">
        <v>13</v>
      </c>
      <c r="E125" s="15">
        <v>0.77780000000000005</v>
      </c>
      <c r="F125" s="20">
        <f>8.01</f>
        <v>8.01</v>
      </c>
      <c r="G125" s="21">
        <v>113.5</v>
      </c>
      <c r="H125" s="19">
        <v>105.5</v>
      </c>
      <c r="I125" s="21">
        <v>68.3</v>
      </c>
      <c r="J125" s="21">
        <v>-3.5</v>
      </c>
      <c r="K125" s="19">
        <v>103.9</v>
      </c>
      <c r="L125" s="19">
        <v>107.4</v>
      </c>
      <c r="P125" s="11">
        <v>1</v>
      </c>
    </row>
    <row r="126" spans="1:16" ht="13.8">
      <c r="A126" s="12">
        <v>2023</v>
      </c>
      <c r="B126" s="19">
        <v>108</v>
      </c>
      <c r="C126" s="11" t="s">
        <v>58</v>
      </c>
      <c r="D126" s="14">
        <v>14</v>
      </c>
      <c r="E126" s="15">
        <v>0.66669999999999996</v>
      </c>
      <c r="F126" s="20">
        <f>5.88</f>
        <v>5.88</v>
      </c>
      <c r="G126" s="21">
        <v>111.9</v>
      </c>
      <c r="H126" s="19">
        <v>106.1</v>
      </c>
      <c r="I126" s="21">
        <v>65</v>
      </c>
      <c r="J126" s="22">
        <f>1.23</f>
        <v>1.23</v>
      </c>
      <c r="K126" s="19">
        <v>104.8</v>
      </c>
      <c r="L126" s="19">
        <v>103.5</v>
      </c>
    </row>
    <row r="127" spans="1:16" ht="13.8">
      <c r="A127" s="12">
        <v>2023</v>
      </c>
      <c r="B127" s="19">
        <v>112</v>
      </c>
      <c r="C127" s="11" t="s">
        <v>107</v>
      </c>
      <c r="D127" s="14">
        <v>14</v>
      </c>
      <c r="E127" s="15">
        <v>0.77139999999999997</v>
      </c>
      <c r="F127" s="20">
        <f>5.68</f>
        <v>5.68</v>
      </c>
      <c r="G127" s="21">
        <v>110.3</v>
      </c>
      <c r="H127" s="19">
        <v>104.6</v>
      </c>
      <c r="I127" s="21">
        <v>64.7</v>
      </c>
      <c r="J127" s="21">
        <v>-2.5299999999999998</v>
      </c>
      <c r="K127" s="19">
        <v>102.7</v>
      </c>
      <c r="L127" s="19">
        <v>105.2</v>
      </c>
    </row>
    <row r="128" spans="1:16" ht="13.8">
      <c r="A128" s="12">
        <v>2023</v>
      </c>
      <c r="B128" s="23">
        <v>113</v>
      </c>
      <c r="C128" s="11" t="s">
        <v>81</v>
      </c>
      <c r="D128" s="14">
        <v>14</v>
      </c>
      <c r="E128" s="15">
        <v>0.71430000000000005</v>
      </c>
      <c r="F128" s="24">
        <f>5.49</f>
        <v>5.49</v>
      </c>
      <c r="G128" s="25">
        <v>105.1</v>
      </c>
      <c r="H128" s="23">
        <v>99.6</v>
      </c>
      <c r="I128" s="25">
        <v>66.3</v>
      </c>
      <c r="J128" s="25">
        <v>-0.89</v>
      </c>
      <c r="K128" s="23">
        <v>106</v>
      </c>
      <c r="L128" s="23">
        <v>106.8</v>
      </c>
    </row>
    <row r="129" spans="1:16" ht="13.8">
      <c r="A129" s="12">
        <v>2023</v>
      </c>
      <c r="B129" s="19">
        <v>114</v>
      </c>
      <c r="C129" s="11" t="s">
        <v>69</v>
      </c>
      <c r="D129" s="14">
        <v>15</v>
      </c>
      <c r="E129" s="15">
        <v>0.67649999999999999</v>
      </c>
      <c r="F129" s="20">
        <f>5.33</f>
        <v>5.33</v>
      </c>
      <c r="G129" s="21">
        <v>109.5</v>
      </c>
      <c r="H129" s="19">
        <v>104.2</v>
      </c>
      <c r="I129" s="21">
        <v>64.400000000000006</v>
      </c>
      <c r="J129" s="21">
        <v>-3.01</v>
      </c>
      <c r="K129" s="19">
        <v>103.5</v>
      </c>
      <c r="L129" s="19">
        <v>106.5</v>
      </c>
    </row>
    <row r="130" spans="1:16" ht="13.8">
      <c r="A130" s="12">
        <v>2023</v>
      </c>
      <c r="B130" s="23">
        <v>115</v>
      </c>
      <c r="C130" s="11" t="s">
        <v>76</v>
      </c>
      <c r="D130" s="14">
        <v>15</v>
      </c>
      <c r="E130" s="15">
        <v>0.7429</v>
      </c>
      <c r="F130" s="24">
        <f>5.24</f>
        <v>5.24</v>
      </c>
      <c r="G130" s="25">
        <v>112.7</v>
      </c>
      <c r="H130" s="23">
        <v>107.5</v>
      </c>
      <c r="I130" s="25">
        <v>67.5</v>
      </c>
      <c r="J130" s="25">
        <v>-6.95</v>
      </c>
      <c r="K130" s="23">
        <v>100.9</v>
      </c>
      <c r="L130" s="23">
        <v>107.8</v>
      </c>
    </row>
    <row r="131" spans="1:16" ht="13.8">
      <c r="A131" s="12">
        <v>2023</v>
      </c>
      <c r="B131" s="23">
        <v>123</v>
      </c>
      <c r="C131" s="11" t="s">
        <v>108</v>
      </c>
      <c r="D131" s="14">
        <v>14</v>
      </c>
      <c r="E131" s="15">
        <v>0.7429</v>
      </c>
      <c r="F131" s="24">
        <f>4.04</f>
        <v>4.04</v>
      </c>
      <c r="G131" s="25">
        <v>105.9</v>
      </c>
      <c r="H131" s="23">
        <v>101.8</v>
      </c>
      <c r="I131" s="25">
        <v>68.400000000000006</v>
      </c>
      <c r="J131" s="25">
        <v>-1.05</v>
      </c>
      <c r="K131" s="23">
        <v>105.2</v>
      </c>
      <c r="L131" s="23">
        <v>106.3</v>
      </c>
    </row>
    <row r="132" spans="1:16" ht="13.8">
      <c r="A132" s="12">
        <v>2023</v>
      </c>
      <c r="B132" s="19">
        <v>148</v>
      </c>
      <c r="C132" s="11" t="s">
        <v>109</v>
      </c>
      <c r="D132" s="14">
        <v>15</v>
      </c>
      <c r="E132" s="15">
        <v>0.77139999999999997</v>
      </c>
      <c r="F132" s="20">
        <f>1.22</f>
        <v>1.22</v>
      </c>
      <c r="G132" s="21">
        <v>104</v>
      </c>
      <c r="H132" s="19">
        <v>102.7</v>
      </c>
      <c r="I132" s="21">
        <v>68.3</v>
      </c>
      <c r="J132" s="21">
        <v>-4.62</v>
      </c>
      <c r="K132" s="19">
        <v>102.7</v>
      </c>
      <c r="L132" s="19">
        <v>107.3</v>
      </c>
    </row>
    <row r="133" spans="1:16" ht="13.8">
      <c r="A133" s="12">
        <v>2023</v>
      </c>
      <c r="B133" s="27">
        <v>160</v>
      </c>
      <c r="C133" s="11" t="s">
        <v>110</v>
      </c>
      <c r="D133" s="28">
        <v>16</v>
      </c>
      <c r="E133" s="15">
        <v>0.62860000000000005</v>
      </c>
      <c r="F133" s="29">
        <f>0.65</f>
        <v>0.65</v>
      </c>
      <c r="G133" s="30">
        <v>102.8</v>
      </c>
      <c r="H133" s="27">
        <v>102.2</v>
      </c>
      <c r="I133" s="30">
        <v>62</v>
      </c>
      <c r="J133" s="30">
        <v>-3.56</v>
      </c>
      <c r="K133" s="27">
        <v>104.3</v>
      </c>
      <c r="L133" s="27">
        <v>107.9</v>
      </c>
    </row>
    <row r="134" spans="1:16" ht="13.8">
      <c r="A134" s="12">
        <v>2023</v>
      </c>
      <c r="B134" s="32">
        <v>176</v>
      </c>
      <c r="C134" s="11" t="s">
        <v>111</v>
      </c>
      <c r="D134" s="33">
        <v>16</v>
      </c>
      <c r="E134" s="15">
        <v>0.68569999999999998</v>
      </c>
      <c r="F134" s="32">
        <v>-0.48</v>
      </c>
      <c r="G134" s="34">
        <v>107.1</v>
      </c>
      <c r="H134" s="32">
        <v>107.6</v>
      </c>
      <c r="I134" s="34">
        <v>69</v>
      </c>
      <c r="J134" s="34">
        <v>-8.6300000000000008</v>
      </c>
      <c r="K134" s="32">
        <v>100.9</v>
      </c>
      <c r="L134" s="32">
        <v>109.6</v>
      </c>
    </row>
    <row r="135" spans="1:16" ht="13.8">
      <c r="A135" s="12">
        <v>2023</v>
      </c>
      <c r="B135" s="19">
        <v>218</v>
      </c>
      <c r="C135" s="11" t="s">
        <v>83</v>
      </c>
      <c r="D135" s="14">
        <v>16</v>
      </c>
      <c r="E135" s="15">
        <v>0.62860000000000005</v>
      </c>
      <c r="F135" s="19">
        <v>-3.38</v>
      </c>
      <c r="G135" s="21">
        <v>103.5</v>
      </c>
      <c r="H135" s="19">
        <v>106.9</v>
      </c>
      <c r="I135" s="21">
        <v>69</v>
      </c>
      <c r="J135" s="21">
        <v>-5.6</v>
      </c>
      <c r="K135" s="19">
        <v>101.3</v>
      </c>
      <c r="L135" s="19">
        <v>106.9</v>
      </c>
    </row>
    <row r="136" spans="1:16" ht="13.8">
      <c r="A136" s="12">
        <v>2023</v>
      </c>
      <c r="B136" s="23">
        <v>257</v>
      </c>
      <c r="C136" s="11" t="s">
        <v>112</v>
      </c>
      <c r="D136" s="14">
        <v>16</v>
      </c>
      <c r="E136" s="15">
        <v>0.52780000000000005</v>
      </c>
      <c r="F136" s="23">
        <v>-7.21</v>
      </c>
      <c r="G136" s="25">
        <v>100.5</v>
      </c>
      <c r="H136" s="23">
        <v>107.7</v>
      </c>
      <c r="I136" s="25">
        <v>72.3</v>
      </c>
      <c r="J136" s="25">
        <v>-7.68</v>
      </c>
      <c r="K136" s="23">
        <v>101.2</v>
      </c>
      <c r="L136" s="23">
        <v>108.9</v>
      </c>
    </row>
    <row r="137" spans="1:16" ht="13.8">
      <c r="A137" s="12">
        <v>2023</v>
      </c>
      <c r="B137" s="23">
        <v>265</v>
      </c>
      <c r="C137" s="11" t="s">
        <v>113</v>
      </c>
      <c r="D137" s="14">
        <v>16</v>
      </c>
      <c r="E137" s="15">
        <v>0.56759999999999999</v>
      </c>
      <c r="F137" s="23">
        <v>-8.36</v>
      </c>
      <c r="G137" s="25">
        <v>106.7</v>
      </c>
      <c r="H137" s="23">
        <v>115.1</v>
      </c>
      <c r="I137" s="25">
        <v>68.7</v>
      </c>
      <c r="J137" s="25">
        <v>-12.02</v>
      </c>
      <c r="K137" s="23">
        <v>97.2</v>
      </c>
      <c r="L137" s="23">
        <v>109.2</v>
      </c>
      <c r="P137" s="11">
        <v>1</v>
      </c>
    </row>
    <row r="138" spans="1:16" ht="13.8">
      <c r="A138" s="12">
        <v>2023</v>
      </c>
      <c r="B138" s="23">
        <v>305</v>
      </c>
      <c r="C138" s="11" t="s">
        <v>114</v>
      </c>
      <c r="D138" s="14">
        <v>16</v>
      </c>
      <c r="E138" s="15">
        <v>0.4</v>
      </c>
      <c r="F138" s="23">
        <v>-11.16</v>
      </c>
      <c r="G138" s="25">
        <v>95.4</v>
      </c>
      <c r="H138" s="23">
        <v>106.6</v>
      </c>
      <c r="I138" s="25">
        <v>69.099999999999994</v>
      </c>
      <c r="J138" s="25">
        <v>-5.47</v>
      </c>
      <c r="K138" s="23">
        <v>100.5</v>
      </c>
      <c r="L138" s="23">
        <v>106</v>
      </c>
    </row>
    <row r="139" spans="1:16" ht="13.8">
      <c r="A139" s="12">
        <v>2022</v>
      </c>
      <c r="B139" s="23">
        <v>1</v>
      </c>
      <c r="C139" s="11" t="s">
        <v>28</v>
      </c>
      <c r="D139" s="14">
        <v>1</v>
      </c>
      <c r="E139" s="15">
        <v>0.875</v>
      </c>
      <c r="F139" s="24">
        <f>30.95</f>
        <v>30.95</v>
      </c>
      <c r="G139" s="25">
        <v>120.7</v>
      </c>
      <c r="H139" s="23">
        <v>89.7</v>
      </c>
      <c r="I139" s="25">
        <v>72.5</v>
      </c>
      <c r="J139" s="26">
        <f>4.24</f>
        <v>4.24</v>
      </c>
      <c r="K139" s="23">
        <v>104.6</v>
      </c>
      <c r="L139" s="23">
        <v>100.3</v>
      </c>
      <c r="M139" s="11">
        <v>1</v>
      </c>
      <c r="P139" s="11">
        <v>1</v>
      </c>
    </row>
    <row r="140" spans="1:16" ht="13.8">
      <c r="A140" s="12">
        <v>2022</v>
      </c>
      <c r="B140" s="19">
        <v>2</v>
      </c>
      <c r="C140" s="11" t="s">
        <v>18</v>
      </c>
      <c r="D140" s="14">
        <v>5</v>
      </c>
      <c r="E140" s="15">
        <v>0.84209999999999996</v>
      </c>
      <c r="F140" s="20">
        <f>27.7</f>
        <v>27.7</v>
      </c>
      <c r="G140" s="21">
        <v>116.8</v>
      </c>
      <c r="H140" s="19">
        <v>89.1</v>
      </c>
      <c r="I140" s="21">
        <v>63.6</v>
      </c>
      <c r="J140" s="22">
        <f>5.89</f>
        <v>5.89</v>
      </c>
      <c r="K140" s="19">
        <v>105.5</v>
      </c>
      <c r="L140" s="19">
        <v>99.6</v>
      </c>
      <c r="M140" s="11">
        <v>1</v>
      </c>
      <c r="N140" s="11">
        <v>1</v>
      </c>
      <c r="P140" s="11">
        <v>1</v>
      </c>
    </row>
    <row r="141" spans="1:16" ht="13.8">
      <c r="A141" s="12">
        <v>2022</v>
      </c>
      <c r="B141" s="13">
        <v>3</v>
      </c>
      <c r="C141" s="11" t="s">
        <v>42</v>
      </c>
      <c r="D141" s="14">
        <v>1</v>
      </c>
      <c r="E141" s="15">
        <v>0.85</v>
      </c>
      <c r="F141" s="16">
        <f>27.49</f>
        <v>27.49</v>
      </c>
      <c r="G141" s="17">
        <v>119.2</v>
      </c>
      <c r="H141" s="13">
        <v>91.7</v>
      </c>
      <c r="I141" s="17">
        <v>69.3</v>
      </c>
      <c r="J141" s="18">
        <f>12.6</f>
        <v>12.6</v>
      </c>
      <c r="K141" s="13">
        <v>108</v>
      </c>
      <c r="L141" s="13">
        <v>95.4</v>
      </c>
      <c r="M141" s="11">
        <v>1</v>
      </c>
      <c r="N141" s="11">
        <v>1</v>
      </c>
      <c r="O141" s="11">
        <v>1</v>
      </c>
      <c r="P141" s="11">
        <v>1</v>
      </c>
    </row>
    <row r="142" spans="1:16" ht="13.8">
      <c r="A142" s="12">
        <v>2022</v>
      </c>
      <c r="B142" s="19">
        <v>4</v>
      </c>
      <c r="C142" s="11" t="s">
        <v>31</v>
      </c>
      <c r="D142" s="14">
        <v>1</v>
      </c>
      <c r="E142" s="15">
        <v>0.79410000000000003</v>
      </c>
      <c r="F142" s="20">
        <f>27.04</f>
        <v>27.04</v>
      </c>
      <c r="G142" s="21">
        <v>118</v>
      </c>
      <c r="H142" s="19">
        <v>91</v>
      </c>
      <c r="I142" s="21">
        <v>67.400000000000006</v>
      </c>
      <c r="J142" s="22">
        <f>10.96</f>
        <v>10.96</v>
      </c>
      <c r="K142" s="19">
        <v>107.4</v>
      </c>
      <c r="L142" s="19">
        <v>96.5</v>
      </c>
      <c r="P142" s="11">
        <v>1</v>
      </c>
    </row>
    <row r="143" spans="1:16" ht="13.8">
      <c r="A143" s="12">
        <v>2022</v>
      </c>
      <c r="B143" s="23">
        <v>5</v>
      </c>
      <c r="C143" s="11" t="s">
        <v>22</v>
      </c>
      <c r="D143" s="14">
        <v>1</v>
      </c>
      <c r="E143" s="15">
        <v>0.89190000000000003</v>
      </c>
      <c r="F143" s="24">
        <f>25.96</f>
        <v>25.96</v>
      </c>
      <c r="G143" s="25">
        <v>118.6</v>
      </c>
      <c r="H143" s="23">
        <v>92.6</v>
      </c>
      <c r="I143" s="25">
        <v>72.2</v>
      </c>
      <c r="J143" s="26">
        <f>6.45</f>
        <v>6.45</v>
      </c>
      <c r="K143" s="23">
        <v>105.9</v>
      </c>
      <c r="L143" s="23">
        <v>99.5</v>
      </c>
      <c r="M143" s="11">
        <v>1</v>
      </c>
      <c r="P143" s="11">
        <v>1</v>
      </c>
    </row>
    <row r="144" spans="1:16" ht="13.8">
      <c r="A144" s="12">
        <v>2022</v>
      </c>
      <c r="B144" s="19">
        <v>6</v>
      </c>
      <c r="C144" s="11" t="s">
        <v>38</v>
      </c>
      <c r="D144" s="14">
        <v>2</v>
      </c>
      <c r="E144" s="15">
        <v>0.76470000000000005</v>
      </c>
      <c r="F144" s="20">
        <f>25.72</f>
        <v>25.72</v>
      </c>
      <c r="G144" s="21">
        <v>120</v>
      </c>
      <c r="H144" s="19">
        <v>94.3</v>
      </c>
      <c r="I144" s="21">
        <v>67.5</v>
      </c>
      <c r="J144" s="22">
        <f>8.88</f>
        <v>8.8800000000000008</v>
      </c>
      <c r="K144" s="19">
        <v>106.5</v>
      </c>
      <c r="L144" s="19">
        <v>97.6</v>
      </c>
    </row>
    <row r="145" spans="1:16" ht="13.8">
      <c r="A145" s="12">
        <v>2022</v>
      </c>
      <c r="B145" s="23">
        <v>7</v>
      </c>
      <c r="C145" s="11" t="s">
        <v>45</v>
      </c>
      <c r="D145" s="14">
        <v>3</v>
      </c>
      <c r="E145" s="15">
        <v>0.72970000000000002</v>
      </c>
      <c r="F145" s="24">
        <f>25.64</f>
        <v>25.64</v>
      </c>
      <c r="G145" s="25">
        <v>110.7</v>
      </c>
      <c r="H145" s="23">
        <v>85</v>
      </c>
      <c r="I145" s="25">
        <v>66.5</v>
      </c>
      <c r="J145" s="26">
        <f>10.98</f>
        <v>10.98</v>
      </c>
      <c r="K145" s="23">
        <v>107.8</v>
      </c>
      <c r="L145" s="23">
        <v>96.8</v>
      </c>
      <c r="M145" s="11">
        <v>1</v>
      </c>
      <c r="P145" s="11">
        <v>1</v>
      </c>
    </row>
    <row r="146" spans="1:16" ht="13.8">
      <c r="A146" s="12">
        <v>2022</v>
      </c>
      <c r="B146" s="19">
        <v>8</v>
      </c>
      <c r="C146" s="11" t="s">
        <v>23</v>
      </c>
      <c r="D146" s="14">
        <v>2</v>
      </c>
      <c r="E146" s="15">
        <v>0.82050000000000001</v>
      </c>
      <c r="F146" s="20">
        <f>25.15</f>
        <v>25.15</v>
      </c>
      <c r="G146" s="21">
        <v>121.1</v>
      </c>
      <c r="H146" s="19">
        <v>95.9</v>
      </c>
      <c r="I146" s="21">
        <v>67.3</v>
      </c>
      <c r="J146" s="22">
        <f>8.22</f>
        <v>8.2200000000000006</v>
      </c>
      <c r="K146" s="19">
        <v>107.8</v>
      </c>
      <c r="L146" s="19">
        <v>99.6</v>
      </c>
      <c r="M146" s="11">
        <v>1</v>
      </c>
      <c r="N146" s="11">
        <v>1</v>
      </c>
      <c r="O146" s="11">
        <v>1</v>
      </c>
      <c r="P146" s="11">
        <v>1</v>
      </c>
    </row>
    <row r="147" spans="1:16" ht="13.8">
      <c r="A147" s="12">
        <v>2022</v>
      </c>
      <c r="B147" s="23">
        <v>9</v>
      </c>
      <c r="C147" s="11" t="s">
        <v>21</v>
      </c>
      <c r="D147" s="14">
        <v>3</v>
      </c>
      <c r="E147" s="15">
        <v>0.77139999999999997</v>
      </c>
      <c r="F147" s="24">
        <f>25.1</f>
        <v>25.1</v>
      </c>
      <c r="G147" s="25">
        <v>111.5</v>
      </c>
      <c r="H147" s="23">
        <v>86.4</v>
      </c>
      <c r="I147" s="25">
        <v>67.400000000000006</v>
      </c>
      <c r="J147" s="26">
        <f>11.39</f>
        <v>11.39</v>
      </c>
      <c r="K147" s="23">
        <v>108.5</v>
      </c>
      <c r="L147" s="23">
        <v>97.1</v>
      </c>
      <c r="P147" s="11">
        <v>1</v>
      </c>
    </row>
    <row r="148" spans="1:16" ht="13.8">
      <c r="A148" s="12">
        <v>2022</v>
      </c>
      <c r="B148" s="27">
        <v>10</v>
      </c>
      <c r="C148" s="11" t="s">
        <v>115</v>
      </c>
      <c r="D148" s="28">
        <v>2</v>
      </c>
      <c r="E148" s="15">
        <v>0.78949999999999998</v>
      </c>
      <c r="F148" s="29">
        <f>24.56</f>
        <v>24.56</v>
      </c>
      <c r="G148" s="30">
        <v>117.5</v>
      </c>
      <c r="H148" s="27">
        <v>92.9</v>
      </c>
      <c r="I148" s="30">
        <v>62.3</v>
      </c>
      <c r="J148" s="31">
        <f>11.46</f>
        <v>11.46</v>
      </c>
      <c r="K148" s="27">
        <v>109.1</v>
      </c>
      <c r="L148" s="27">
        <v>97.6</v>
      </c>
      <c r="M148" s="11">
        <v>1</v>
      </c>
      <c r="N148" s="11">
        <v>1</v>
      </c>
      <c r="O148" s="11">
        <v>1</v>
      </c>
      <c r="P148" s="11">
        <v>1</v>
      </c>
    </row>
    <row r="149" spans="1:16" ht="13.8">
      <c r="A149" s="12">
        <v>2022</v>
      </c>
      <c r="B149" s="23">
        <v>11</v>
      </c>
      <c r="C149" s="11" t="s">
        <v>85</v>
      </c>
      <c r="D149" s="14">
        <v>4</v>
      </c>
      <c r="E149" s="15">
        <v>0.77139999999999997</v>
      </c>
      <c r="F149" s="24">
        <f>24.26</f>
        <v>24.26</v>
      </c>
      <c r="G149" s="25">
        <v>115.9</v>
      </c>
      <c r="H149" s="23">
        <v>91.7</v>
      </c>
      <c r="I149" s="25">
        <v>65.2</v>
      </c>
      <c r="J149" s="26">
        <f>8.5</f>
        <v>8.5</v>
      </c>
      <c r="K149" s="23">
        <v>107.2</v>
      </c>
      <c r="L149" s="23">
        <v>98.7</v>
      </c>
      <c r="M149" s="11">
        <v>1</v>
      </c>
      <c r="P149" s="11">
        <v>1</v>
      </c>
    </row>
    <row r="150" spans="1:16" ht="13.8">
      <c r="A150" s="12">
        <v>2022</v>
      </c>
      <c r="B150" s="19">
        <v>12</v>
      </c>
      <c r="C150" s="11" t="s">
        <v>20</v>
      </c>
      <c r="D150" s="14">
        <v>2</v>
      </c>
      <c r="E150" s="15">
        <v>0.82350000000000001</v>
      </c>
      <c r="F150" s="20">
        <f>23.2</f>
        <v>23.2</v>
      </c>
      <c r="G150" s="21">
        <v>112.7</v>
      </c>
      <c r="H150" s="19">
        <v>89.5</v>
      </c>
      <c r="I150" s="21">
        <v>70.099999999999994</v>
      </c>
      <c r="J150" s="22">
        <f>8.35</f>
        <v>8.35</v>
      </c>
      <c r="K150" s="19">
        <v>106.9</v>
      </c>
      <c r="L150" s="19">
        <v>98.6</v>
      </c>
      <c r="P150" s="11">
        <v>1</v>
      </c>
    </row>
    <row r="151" spans="1:16" ht="13.8">
      <c r="A151" s="12">
        <v>2022</v>
      </c>
      <c r="B151" s="23">
        <v>13</v>
      </c>
      <c r="C151" s="11" t="s">
        <v>95</v>
      </c>
      <c r="D151" s="14">
        <v>5</v>
      </c>
      <c r="E151" s="15">
        <v>0.72219999999999995</v>
      </c>
      <c r="F151" s="24">
        <f>22.72</f>
        <v>22.72</v>
      </c>
      <c r="G151" s="25">
        <v>120.5</v>
      </c>
      <c r="H151" s="23">
        <v>97.8</v>
      </c>
      <c r="I151" s="25">
        <v>69.7</v>
      </c>
      <c r="J151" s="26">
        <f>7.31</f>
        <v>7.31</v>
      </c>
      <c r="K151" s="23">
        <v>107.1</v>
      </c>
      <c r="L151" s="23">
        <v>99.8</v>
      </c>
    </row>
    <row r="152" spans="1:16" ht="13.8">
      <c r="A152" s="12">
        <v>2022</v>
      </c>
      <c r="B152" s="19">
        <v>14</v>
      </c>
      <c r="C152" s="11" t="s">
        <v>19</v>
      </c>
      <c r="D152" s="14">
        <v>3</v>
      </c>
      <c r="E152" s="15">
        <v>0.78380000000000005</v>
      </c>
      <c r="F152" s="20">
        <f>22.36</f>
        <v>22.36</v>
      </c>
      <c r="G152" s="21">
        <v>121</v>
      </c>
      <c r="H152" s="19">
        <v>98.6</v>
      </c>
      <c r="I152" s="21">
        <v>66.099999999999994</v>
      </c>
      <c r="J152" s="22">
        <f>8.81</f>
        <v>8.81</v>
      </c>
      <c r="K152" s="19">
        <v>108</v>
      </c>
      <c r="L152" s="19">
        <v>99.2</v>
      </c>
      <c r="M152" s="11">
        <v>1</v>
      </c>
      <c r="P152" s="11">
        <v>1</v>
      </c>
    </row>
    <row r="153" spans="1:16" ht="13.8">
      <c r="A153" s="12">
        <v>2022</v>
      </c>
      <c r="B153" s="23">
        <v>15</v>
      </c>
      <c r="C153" s="11" t="s">
        <v>40</v>
      </c>
      <c r="D153" s="14">
        <v>6</v>
      </c>
      <c r="E153" s="15">
        <v>0.64710000000000001</v>
      </c>
      <c r="F153" s="24">
        <f>20.88</f>
        <v>20.88</v>
      </c>
      <c r="G153" s="25">
        <v>112.5</v>
      </c>
      <c r="H153" s="23">
        <v>91.6</v>
      </c>
      <c r="I153" s="25">
        <v>63.8</v>
      </c>
      <c r="J153" s="26">
        <f>10.68</f>
        <v>10.68</v>
      </c>
      <c r="K153" s="23">
        <v>107.7</v>
      </c>
      <c r="L153" s="23">
        <v>97</v>
      </c>
      <c r="P153" s="11">
        <v>1</v>
      </c>
    </row>
    <row r="154" spans="1:16" ht="13.8">
      <c r="A154" s="12">
        <v>2022</v>
      </c>
      <c r="B154" s="19">
        <v>16</v>
      </c>
      <c r="C154" s="11" t="s">
        <v>25</v>
      </c>
      <c r="D154" s="14">
        <v>8</v>
      </c>
      <c r="E154" s="15">
        <v>0.74360000000000004</v>
      </c>
      <c r="F154" s="20">
        <f>20.13</f>
        <v>20.13</v>
      </c>
      <c r="G154" s="21">
        <v>114.4</v>
      </c>
      <c r="H154" s="19">
        <v>94.3</v>
      </c>
      <c r="I154" s="21">
        <v>70.2</v>
      </c>
      <c r="J154" s="22">
        <f>9.9</f>
        <v>9.9</v>
      </c>
      <c r="K154" s="19">
        <v>109</v>
      </c>
      <c r="L154" s="19">
        <v>99.1</v>
      </c>
      <c r="M154" s="11">
        <v>1</v>
      </c>
      <c r="N154" s="11">
        <v>1</v>
      </c>
      <c r="O154" s="11">
        <v>1</v>
      </c>
      <c r="P154" s="11">
        <v>1</v>
      </c>
    </row>
    <row r="155" spans="1:16" ht="13.8">
      <c r="A155" s="12">
        <v>2022</v>
      </c>
      <c r="B155" s="23">
        <v>17</v>
      </c>
      <c r="C155" s="11" t="s">
        <v>36</v>
      </c>
      <c r="D155" s="14">
        <v>5</v>
      </c>
      <c r="E155" s="15">
        <v>0.76470000000000005</v>
      </c>
      <c r="F155" s="24">
        <f>19.53</f>
        <v>19.53</v>
      </c>
      <c r="G155" s="25">
        <v>110.1</v>
      </c>
      <c r="H155" s="23">
        <v>90.6</v>
      </c>
      <c r="I155" s="25">
        <v>63.6</v>
      </c>
      <c r="J155" s="26">
        <f>6.89</f>
        <v>6.89</v>
      </c>
      <c r="K155" s="23">
        <v>106.8</v>
      </c>
      <c r="L155" s="23">
        <v>99.9</v>
      </c>
      <c r="P155" s="11">
        <v>1</v>
      </c>
    </row>
    <row r="156" spans="1:16" ht="13.8">
      <c r="A156" s="12">
        <v>2022</v>
      </c>
      <c r="B156" s="19">
        <v>18</v>
      </c>
      <c r="C156" s="11" t="s">
        <v>90</v>
      </c>
      <c r="D156" s="14">
        <v>4</v>
      </c>
      <c r="E156" s="15">
        <v>0.75680000000000003</v>
      </c>
      <c r="F156" s="20">
        <f>19.46</f>
        <v>19.46</v>
      </c>
      <c r="G156" s="21">
        <v>109.9</v>
      </c>
      <c r="H156" s="19">
        <v>90.4</v>
      </c>
      <c r="I156" s="21">
        <v>70.7</v>
      </c>
      <c r="J156" s="22">
        <f>9.08</f>
        <v>9.08</v>
      </c>
      <c r="K156" s="19">
        <v>107.5</v>
      </c>
      <c r="L156" s="19">
        <v>98.4</v>
      </c>
      <c r="M156" s="11">
        <v>1</v>
      </c>
      <c r="N156" s="11">
        <v>1</v>
      </c>
      <c r="P156" s="11">
        <v>1</v>
      </c>
    </row>
    <row r="157" spans="1:16" ht="13.8">
      <c r="A157" s="12">
        <v>2022</v>
      </c>
      <c r="B157" s="23">
        <v>19</v>
      </c>
      <c r="C157" s="11" t="s">
        <v>116</v>
      </c>
      <c r="D157" s="14">
        <v>11</v>
      </c>
      <c r="E157" s="15">
        <v>0.63890000000000002</v>
      </c>
      <c r="F157" s="24">
        <f>18.86</f>
        <v>18.86</v>
      </c>
      <c r="G157" s="25">
        <v>115</v>
      </c>
      <c r="H157" s="23">
        <v>96.1</v>
      </c>
      <c r="I157" s="25">
        <v>63.3</v>
      </c>
      <c r="J157" s="26">
        <f>7.88</f>
        <v>7.88</v>
      </c>
      <c r="K157" s="23">
        <v>107.4</v>
      </c>
      <c r="L157" s="23">
        <v>99.5</v>
      </c>
    </row>
    <row r="158" spans="1:16" ht="13.8">
      <c r="A158" s="12">
        <v>2022</v>
      </c>
      <c r="B158" s="27">
        <v>20</v>
      </c>
      <c r="C158" s="11" t="s">
        <v>26</v>
      </c>
      <c r="D158" s="28">
        <v>4</v>
      </c>
      <c r="E158" s="15">
        <v>0.69699999999999995</v>
      </c>
      <c r="F158" s="29">
        <f>18.75</f>
        <v>18.75</v>
      </c>
      <c r="G158" s="30">
        <v>112</v>
      </c>
      <c r="H158" s="27">
        <v>93.3</v>
      </c>
      <c r="I158" s="30">
        <v>67.2</v>
      </c>
      <c r="J158" s="31">
        <f>10.44</f>
        <v>10.44</v>
      </c>
      <c r="K158" s="27">
        <v>109</v>
      </c>
      <c r="L158" s="27">
        <v>98.6</v>
      </c>
      <c r="P158" s="11">
        <v>1</v>
      </c>
    </row>
    <row r="159" spans="1:16" ht="13.8">
      <c r="A159" s="12">
        <v>2022</v>
      </c>
      <c r="B159" s="23">
        <v>21</v>
      </c>
      <c r="C159" s="11" t="s">
        <v>117</v>
      </c>
      <c r="D159" s="14">
        <v>6</v>
      </c>
      <c r="E159" s="15">
        <v>0.64710000000000001</v>
      </c>
      <c r="F159" s="24">
        <f>18.65</f>
        <v>18.649999999999999</v>
      </c>
      <c r="G159" s="25">
        <v>107.3</v>
      </c>
      <c r="H159" s="23">
        <v>88.7</v>
      </c>
      <c r="I159" s="25">
        <v>68.599999999999994</v>
      </c>
      <c r="J159" s="26">
        <f>9.1</f>
        <v>9.1</v>
      </c>
      <c r="K159" s="23">
        <v>107.2</v>
      </c>
      <c r="L159" s="23">
        <v>98.1</v>
      </c>
    </row>
    <row r="160" spans="1:16" ht="13.8">
      <c r="A160" s="12">
        <v>2022</v>
      </c>
      <c r="B160" s="19">
        <v>22</v>
      </c>
      <c r="C160" s="11" t="s">
        <v>17</v>
      </c>
      <c r="D160" s="14">
        <v>5</v>
      </c>
      <c r="E160" s="15">
        <v>0.69699999999999995</v>
      </c>
      <c r="F160" s="20">
        <f>18.55</f>
        <v>18.55</v>
      </c>
      <c r="G160" s="21">
        <v>113.8</v>
      </c>
      <c r="H160" s="19">
        <v>95.3</v>
      </c>
      <c r="I160" s="21">
        <v>64.8</v>
      </c>
      <c r="J160" s="22">
        <f>7.39</f>
        <v>7.39</v>
      </c>
      <c r="K160" s="19">
        <v>105.7</v>
      </c>
      <c r="L160" s="19">
        <v>98.3</v>
      </c>
    </row>
    <row r="161" spans="1:16" ht="13.8">
      <c r="A161" s="12">
        <v>2022</v>
      </c>
      <c r="B161" s="23">
        <v>23</v>
      </c>
      <c r="C161" s="11" t="s">
        <v>118</v>
      </c>
      <c r="D161" s="14">
        <v>10</v>
      </c>
      <c r="E161" s="15">
        <v>0.70589999999999997</v>
      </c>
      <c r="F161" s="24">
        <f>17.38</f>
        <v>17.38</v>
      </c>
      <c r="G161" s="25">
        <v>110.5</v>
      </c>
      <c r="H161" s="23">
        <v>93.1</v>
      </c>
      <c r="I161" s="25">
        <v>68.900000000000006</v>
      </c>
      <c r="J161" s="26">
        <f>5.18</f>
        <v>5.18</v>
      </c>
      <c r="K161" s="23">
        <v>105.5</v>
      </c>
      <c r="L161" s="23">
        <v>100.3</v>
      </c>
    </row>
    <row r="162" spans="1:16" ht="13.8">
      <c r="A162" s="12">
        <v>2022</v>
      </c>
      <c r="B162" s="19">
        <v>24</v>
      </c>
      <c r="C162" s="11" t="s">
        <v>88</v>
      </c>
      <c r="D162" s="14">
        <v>9</v>
      </c>
      <c r="E162" s="15">
        <v>0.66669999999999996</v>
      </c>
      <c r="F162" s="20">
        <f>17.23</f>
        <v>17.23</v>
      </c>
      <c r="G162" s="21">
        <v>111.2</v>
      </c>
      <c r="H162" s="19">
        <v>94</v>
      </c>
      <c r="I162" s="21">
        <v>69.900000000000006</v>
      </c>
      <c r="J162" s="22">
        <f>7.43</f>
        <v>7.43</v>
      </c>
      <c r="K162" s="19">
        <v>106.4</v>
      </c>
      <c r="L162" s="19">
        <v>99</v>
      </c>
      <c r="P162" s="11">
        <v>1</v>
      </c>
    </row>
    <row r="163" spans="1:16" ht="13.8">
      <c r="A163" s="12">
        <v>2022</v>
      </c>
      <c r="B163" s="23">
        <v>25</v>
      </c>
      <c r="C163" s="11" t="s">
        <v>37</v>
      </c>
      <c r="D163" s="14">
        <v>8</v>
      </c>
      <c r="E163" s="15">
        <v>0.71879999999999999</v>
      </c>
      <c r="F163" s="24">
        <f>17.07</f>
        <v>17.07</v>
      </c>
      <c r="G163" s="25">
        <v>103.4</v>
      </c>
      <c r="H163" s="23">
        <v>86.3</v>
      </c>
      <c r="I163" s="25">
        <v>65.400000000000006</v>
      </c>
      <c r="J163" s="26">
        <f>5.95</f>
        <v>5.95</v>
      </c>
      <c r="K163" s="23">
        <v>105.5</v>
      </c>
      <c r="L163" s="23">
        <v>99.6</v>
      </c>
    </row>
    <row r="164" spans="1:16" ht="13.8">
      <c r="A164" s="12">
        <v>2022</v>
      </c>
      <c r="B164" s="19">
        <v>26</v>
      </c>
      <c r="C164" s="11" t="s">
        <v>53</v>
      </c>
      <c r="D164" s="14">
        <v>9</v>
      </c>
      <c r="E164" s="15">
        <v>0.61760000000000004</v>
      </c>
      <c r="F164" s="20">
        <f>17.02</f>
        <v>17.02</v>
      </c>
      <c r="G164" s="21">
        <v>108.7</v>
      </c>
      <c r="H164" s="19">
        <v>91.7</v>
      </c>
      <c r="I164" s="21">
        <v>65.900000000000006</v>
      </c>
      <c r="J164" s="22">
        <f>11.74</f>
        <v>11.74</v>
      </c>
      <c r="K164" s="19">
        <v>108</v>
      </c>
      <c r="L164" s="19">
        <v>96.2</v>
      </c>
      <c r="P164" s="11">
        <v>1</v>
      </c>
    </row>
    <row r="165" spans="1:16" ht="13.8">
      <c r="A165" s="12">
        <v>2022</v>
      </c>
      <c r="B165" s="23">
        <v>27</v>
      </c>
      <c r="C165" s="11" t="s">
        <v>119</v>
      </c>
      <c r="D165" s="14">
        <v>11</v>
      </c>
      <c r="E165" s="15">
        <v>0.55879999999999996</v>
      </c>
      <c r="F165" s="24">
        <f>16.61</f>
        <v>16.61</v>
      </c>
      <c r="G165" s="25">
        <v>113.9</v>
      </c>
      <c r="H165" s="23">
        <v>97.2</v>
      </c>
      <c r="I165" s="25">
        <v>66.7</v>
      </c>
      <c r="J165" s="26">
        <f>12.15</f>
        <v>12.15</v>
      </c>
      <c r="K165" s="23">
        <v>109.8</v>
      </c>
      <c r="L165" s="23">
        <v>97.7</v>
      </c>
      <c r="M165" s="11">
        <v>1</v>
      </c>
      <c r="P165" s="11">
        <v>1</v>
      </c>
    </row>
    <row r="166" spans="1:16" ht="13.8">
      <c r="A166" s="12">
        <v>2022</v>
      </c>
      <c r="B166" s="19">
        <v>28</v>
      </c>
      <c r="C166" s="11" t="s">
        <v>30</v>
      </c>
      <c r="D166" s="14">
        <v>6</v>
      </c>
      <c r="E166" s="15">
        <v>0.57579999999999998</v>
      </c>
      <c r="F166" s="20">
        <f>16.57</f>
        <v>16.57</v>
      </c>
      <c r="G166" s="21">
        <v>115.2</v>
      </c>
      <c r="H166" s="19">
        <v>98.6</v>
      </c>
      <c r="I166" s="21">
        <v>71.900000000000006</v>
      </c>
      <c r="J166" s="22">
        <f>12.58</f>
        <v>12.58</v>
      </c>
      <c r="K166" s="19">
        <v>109.4</v>
      </c>
      <c r="L166" s="19">
        <v>96.9</v>
      </c>
    </row>
    <row r="167" spans="1:16" ht="13.8">
      <c r="A167" s="12">
        <v>2022</v>
      </c>
      <c r="B167" s="23">
        <v>29</v>
      </c>
      <c r="C167" s="11" t="s">
        <v>120</v>
      </c>
      <c r="D167" s="14">
        <v>10</v>
      </c>
      <c r="E167" s="15">
        <v>0.75760000000000005</v>
      </c>
      <c r="F167" s="24">
        <f>16.52</f>
        <v>16.52</v>
      </c>
      <c r="G167" s="25">
        <v>108.6</v>
      </c>
      <c r="H167" s="23">
        <v>92.1</v>
      </c>
      <c r="I167" s="25">
        <v>64.7</v>
      </c>
      <c r="J167" s="26">
        <f>3.12</f>
        <v>3.12</v>
      </c>
      <c r="K167" s="23">
        <v>104.7</v>
      </c>
      <c r="L167" s="23">
        <v>101.6</v>
      </c>
    </row>
    <row r="168" spans="1:16" ht="13.8">
      <c r="A168" s="12">
        <v>2022</v>
      </c>
      <c r="B168" s="23">
        <v>31</v>
      </c>
      <c r="C168" s="11" t="s">
        <v>121</v>
      </c>
      <c r="D168" s="14">
        <v>7</v>
      </c>
      <c r="E168" s="15">
        <v>0.625</v>
      </c>
      <c r="F168" s="24">
        <f>16.24</f>
        <v>16.239999999999998</v>
      </c>
      <c r="G168" s="25">
        <v>115.5</v>
      </c>
      <c r="H168" s="23">
        <v>99.3</v>
      </c>
      <c r="I168" s="25">
        <v>65</v>
      </c>
      <c r="J168" s="26">
        <f>9.83</f>
        <v>9.83</v>
      </c>
      <c r="K168" s="23">
        <v>108.3</v>
      </c>
      <c r="L168" s="23">
        <v>98.4</v>
      </c>
      <c r="P168" s="11">
        <v>1</v>
      </c>
    </row>
    <row r="169" spans="1:16" ht="13.8">
      <c r="A169" s="12">
        <v>2022</v>
      </c>
      <c r="B169" s="19">
        <v>32</v>
      </c>
      <c r="C169" s="11" t="s">
        <v>122</v>
      </c>
      <c r="D169" s="14">
        <v>4</v>
      </c>
      <c r="E169" s="15">
        <v>0.81820000000000004</v>
      </c>
      <c r="F169" s="20">
        <f>15.89</f>
        <v>15.89</v>
      </c>
      <c r="G169" s="21">
        <v>111.5</v>
      </c>
      <c r="H169" s="19">
        <v>95.6</v>
      </c>
      <c r="I169" s="21">
        <v>65.2</v>
      </c>
      <c r="J169" s="22">
        <f>7.74</f>
        <v>7.74</v>
      </c>
      <c r="K169" s="19">
        <v>106.7</v>
      </c>
      <c r="L169" s="19">
        <v>99</v>
      </c>
    </row>
    <row r="170" spans="1:16" ht="13.8">
      <c r="A170" s="12">
        <v>2022</v>
      </c>
      <c r="B170" s="23">
        <v>33</v>
      </c>
      <c r="C170" s="11" t="s">
        <v>48</v>
      </c>
      <c r="D170" s="14">
        <v>1</v>
      </c>
      <c r="E170" s="15">
        <v>0.67500000000000004</v>
      </c>
      <c r="F170" s="24">
        <f>15.69</f>
        <v>15.69</v>
      </c>
      <c r="G170" s="25">
        <v>109.1</v>
      </c>
      <c r="H170" s="23">
        <v>93.4</v>
      </c>
      <c r="I170" s="25">
        <v>66.7</v>
      </c>
      <c r="J170" s="26">
        <f>7.33</f>
        <v>7.33</v>
      </c>
      <c r="K170" s="23">
        <v>106.2</v>
      </c>
      <c r="L170" s="23">
        <v>98.8</v>
      </c>
    </row>
    <row r="171" spans="1:16" ht="16.5" customHeight="1">
      <c r="A171" s="12">
        <v>2022</v>
      </c>
      <c r="B171" s="19">
        <v>36</v>
      </c>
      <c r="C171" s="11" t="s">
        <v>123</v>
      </c>
      <c r="D171" s="14">
        <v>7</v>
      </c>
      <c r="E171" s="15">
        <v>0.91180000000000005</v>
      </c>
      <c r="F171" s="20">
        <f>15.42</f>
        <v>15.42</v>
      </c>
      <c r="G171" s="21">
        <v>111.5</v>
      </c>
      <c r="H171" s="19">
        <v>96.1</v>
      </c>
      <c r="I171" s="21">
        <v>66.099999999999994</v>
      </c>
      <c r="J171" s="21">
        <v>-3.09</v>
      </c>
      <c r="K171" s="19">
        <v>101.1</v>
      </c>
      <c r="L171" s="19">
        <v>104.2</v>
      </c>
      <c r="P171" s="11">
        <v>1</v>
      </c>
    </row>
    <row r="172" spans="1:16" ht="13.8">
      <c r="A172" s="12">
        <v>2022</v>
      </c>
      <c r="B172" s="23">
        <v>37</v>
      </c>
      <c r="C172" s="11" t="s">
        <v>33</v>
      </c>
      <c r="D172" s="14">
        <v>3</v>
      </c>
      <c r="E172" s="15">
        <v>0.75760000000000005</v>
      </c>
      <c r="F172" s="24">
        <f>15.34</f>
        <v>15.34</v>
      </c>
      <c r="G172" s="25">
        <v>109.3</v>
      </c>
      <c r="H172" s="23">
        <v>94</v>
      </c>
      <c r="I172" s="25">
        <v>66.5</v>
      </c>
      <c r="J172" s="26">
        <f>9.77</f>
        <v>9.77</v>
      </c>
      <c r="K172" s="23">
        <v>108.4</v>
      </c>
      <c r="L172" s="23">
        <v>98.6</v>
      </c>
      <c r="P172" s="11">
        <v>1</v>
      </c>
    </row>
    <row r="173" spans="1:16" ht="13.8">
      <c r="A173" s="12">
        <v>2022</v>
      </c>
      <c r="B173" s="19">
        <v>38</v>
      </c>
      <c r="C173" s="11" t="s">
        <v>124</v>
      </c>
      <c r="D173" s="14">
        <v>11</v>
      </c>
      <c r="E173" s="15">
        <v>0.68569999999999998</v>
      </c>
      <c r="F173" s="20">
        <f>15.25</f>
        <v>15.25</v>
      </c>
      <c r="G173" s="21">
        <v>112.4</v>
      </c>
      <c r="H173" s="19">
        <v>97.2</v>
      </c>
      <c r="I173" s="21">
        <v>65.599999999999994</v>
      </c>
      <c r="J173" s="22">
        <f>7.81</f>
        <v>7.81</v>
      </c>
      <c r="K173" s="19">
        <v>107.1</v>
      </c>
      <c r="L173" s="19">
        <v>99.3</v>
      </c>
      <c r="P173" s="11">
        <v>1</v>
      </c>
    </row>
    <row r="174" spans="1:16" ht="13.8">
      <c r="A174" s="12">
        <v>2022</v>
      </c>
      <c r="B174" s="23">
        <v>39</v>
      </c>
      <c r="C174" s="11" t="s">
        <v>54</v>
      </c>
      <c r="D174" s="14">
        <v>8</v>
      </c>
      <c r="E174" s="15">
        <v>0.77139999999999997</v>
      </c>
      <c r="F174" s="24">
        <f>15.14</f>
        <v>15.14</v>
      </c>
      <c r="G174" s="25">
        <v>107.5</v>
      </c>
      <c r="H174" s="23">
        <v>92.4</v>
      </c>
      <c r="I174" s="25">
        <v>64.400000000000006</v>
      </c>
      <c r="J174" s="26">
        <f>5.47</f>
        <v>5.47</v>
      </c>
      <c r="K174" s="23">
        <v>104.8</v>
      </c>
      <c r="L174" s="23">
        <v>99.3</v>
      </c>
    </row>
    <row r="175" spans="1:16" ht="13.8">
      <c r="A175" s="12">
        <v>2022</v>
      </c>
      <c r="B175" s="27">
        <v>40</v>
      </c>
      <c r="C175" s="11" t="s">
        <v>125</v>
      </c>
      <c r="D175" s="28">
        <v>10</v>
      </c>
      <c r="E175" s="15">
        <v>0.79410000000000003</v>
      </c>
      <c r="F175" s="29">
        <f>14.85</f>
        <v>14.85</v>
      </c>
      <c r="G175" s="30">
        <v>116.8</v>
      </c>
      <c r="H175" s="27">
        <v>101.9</v>
      </c>
      <c r="I175" s="30">
        <v>64.7</v>
      </c>
      <c r="J175" s="31">
        <f>1.72</f>
        <v>1.72</v>
      </c>
      <c r="K175" s="27">
        <v>102.7</v>
      </c>
      <c r="L175" s="27">
        <v>100.9</v>
      </c>
    </row>
    <row r="176" spans="1:16" ht="13.8">
      <c r="A176" s="12">
        <v>2022</v>
      </c>
      <c r="B176" s="23">
        <v>41</v>
      </c>
      <c r="C176" s="11" t="s">
        <v>92</v>
      </c>
      <c r="D176" s="14">
        <v>10</v>
      </c>
      <c r="E176" s="15">
        <v>0.70269999999999999</v>
      </c>
      <c r="F176" s="24">
        <f>14.8</f>
        <v>14.8</v>
      </c>
      <c r="G176" s="25">
        <v>113.9</v>
      </c>
      <c r="H176" s="23">
        <v>99.1</v>
      </c>
      <c r="I176" s="25">
        <v>67.7</v>
      </c>
      <c r="J176" s="26">
        <f>8.63</f>
        <v>8.6300000000000008</v>
      </c>
      <c r="K176" s="23">
        <v>107.5</v>
      </c>
      <c r="L176" s="23">
        <v>98.8</v>
      </c>
      <c r="M176" s="11">
        <v>1</v>
      </c>
      <c r="N176" s="11">
        <v>1</v>
      </c>
      <c r="P176" s="11">
        <v>1</v>
      </c>
    </row>
    <row r="177" spans="1:16" ht="13.8">
      <c r="A177" s="12">
        <v>2022</v>
      </c>
      <c r="B177" s="19">
        <v>42</v>
      </c>
      <c r="C177" s="11" t="s">
        <v>32</v>
      </c>
      <c r="D177" s="14">
        <v>7</v>
      </c>
      <c r="E177" s="15">
        <v>0.63890000000000002</v>
      </c>
      <c r="F177" s="20">
        <f>14.76</f>
        <v>14.76</v>
      </c>
      <c r="G177" s="21">
        <v>111.9</v>
      </c>
      <c r="H177" s="19">
        <v>97.1</v>
      </c>
      <c r="I177" s="21">
        <v>67.5</v>
      </c>
      <c r="J177" s="22">
        <f>10.93</f>
        <v>10.93</v>
      </c>
      <c r="K177" s="19">
        <v>109.4</v>
      </c>
      <c r="L177" s="19">
        <v>98.5</v>
      </c>
      <c r="P177" s="11">
        <v>1</v>
      </c>
    </row>
    <row r="178" spans="1:16" ht="13.8">
      <c r="A178" s="12">
        <v>2022</v>
      </c>
      <c r="B178" s="23">
        <v>43</v>
      </c>
      <c r="C178" s="11" t="s">
        <v>24</v>
      </c>
      <c r="D178" s="14">
        <v>11</v>
      </c>
      <c r="E178" s="15">
        <v>0.62860000000000005</v>
      </c>
      <c r="F178" s="24">
        <f>14.63</f>
        <v>14.63</v>
      </c>
      <c r="G178" s="25">
        <v>103.1</v>
      </c>
      <c r="H178" s="23">
        <v>88.5</v>
      </c>
      <c r="I178" s="25">
        <v>66.3</v>
      </c>
      <c r="J178" s="26">
        <f>11.25</f>
        <v>11.25</v>
      </c>
      <c r="K178" s="23">
        <v>108.1</v>
      </c>
      <c r="L178" s="23">
        <v>96.9</v>
      </c>
    </row>
    <row r="179" spans="1:16" ht="13.8">
      <c r="A179" s="12">
        <v>2022</v>
      </c>
      <c r="B179" s="19">
        <v>46</v>
      </c>
      <c r="C179" s="11" t="s">
        <v>49</v>
      </c>
      <c r="D179" s="14">
        <v>6</v>
      </c>
      <c r="E179" s="15">
        <v>0.80649999999999999</v>
      </c>
      <c r="F179" s="20">
        <f>14.45</f>
        <v>14.45</v>
      </c>
      <c r="G179" s="21">
        <v>112.9</v>
      </c>
      <c r="H179" s="19">
        <v>98.4</v>
      </c>
      <c r="I179" s="21">
        <v>65.400000000000006</v>
      </c>
      <c r="J179" s="22">
        <f>5.02</f>
        <v>5.0199999999999996</v>
      </c>
      <c r="K179" s="19">
        <v>104.9</v>
      </c>
      <c r="L179" s="19">
        <v>99.9</v>
      </c>
    </row>
    <row r="180" spans="1:16" ht="13.8">
      <c r="A180" s="12">
        <v>2022</v>
      </c>
      <c r="B180" s="23">
        <v>47</v>
      </c>
      <c r="C180" s="11" t="s">
        <v>96</v>
      </c>
      <c r="D180" s="14">
        <v>7</v>
      </c>
      <c r="E180" s="15">
        <v>0.76470000000000005</v>
      </c>
      <c r="F180" s="24">
        <f>14.14</f>
        <v>14.14</v>
      </c>
      <c r="G180" s="25">
        <v>109.8</v>
      </c>
      <c r="H180" s="23">
        <v>95.6</v>
      </c>
      <c r="I180" s="25">
        <v>66.2</v>
      </c>
      <c r="J180" s="26">
        <f>5.14</f>
        <v>5.14</v>
      </c>
      <c r="K180" s="23">
        <v>104.8</v>
      </c>
      <c r="L180" s="23">
        <v>99.7</v>
      </c>
    </row>
    <row r="181" spans="1:16" ht="13.8">
      <c r="A181" s="12">
        <v>2022</v>
      </c>
      <c r="B181" s="19">
        <v>48</v>
      </c>
      <c r="C181" s="11" t="s">
        <v>93</v>
      </c>
      <c r="D181" s="14">
        <v>12</v>
      </c>
      <c r="E181" s="15">
        <v>0.6</v>
      </c>
      <c r="F181" s="20">
        <f>14.04</f>
        <v>14.04</v>
      </c>
      <c r="G181" s="21">
        <v>107</v>
      </c>
      <c r="H181" s="19">
        <v>92.9</v>
      </c>
      <c r="I181" s="21">
        <v>67.2</v>
      </c>
      <c r="J181" s="22">
        <f>8.51</f>
        <v>8.51</v>
      </c>
      <c r="K181" s="19">
        <v>108.1</v>
      </c>
      <c r="L181" s="19">
        <v>99.6</v>
      </c>
    </row>
    <row r="182" spans="1:16" ht="13.8">
      <c r="A182" s="12">
        <v>2022</v>
      </c>
      <c r="B182" s="27">
        <v>50</v>
      </c>
      <c r="C182" s="11" t="s">
        <v>27</v>
      </c>
      <c r="D182" s="28">
        <v>9</v>
      </c>
      <c r="E182" s="15">
        <v>0.65710000000000002</v>
      </c>
      <c r="F182" s="29">
        <f>13.78</f>
        <v>13.78</v>
      </c>
      <c r="G182" s="30">
        <v>105.9</v>
      </c>
      <c r="H182" s="27">
        <v>92.2</v>
      </c>
      <c r="I182" s="30">
        <v>67.2</v>
      </c>
      <c r="J182" s="31">
        <f>9.11</f>
        <v>9.11</v>
      </c>
      <c r="K182" s="27">
        <v>107.5</v>
      </c>
      <c r="L182" s="27">
        <v>98.4</v>
      </c>
      <c r="P182" s="11">
        <v>1</v>
      </c>
    </row>
    <row r="183" spans="1:16" ht="13.8">
      <c r="A183" s="12">
        <v>2022</v>
      </c>
      <c r="B183" s="23">
        <v>51</v>
      </c>
      <c r="C183" s="11" t="s">
        <v>70</v>
      </c>
      <c r="D183" s="14">
        <v>12</v>
      </c>
      <c r="E183" s="15">
        <v>0.77139999999999997</v>
      </c>
      <c r="F183" s="24">
        <f>13.67</f>
        <v>13.67</v>
      </c>
      <c r="G183" s="25">
        <v>112.4</v>
      </c>
      <c r="H183" s="23">
        <v>98.8</v>
      </c>
      <c r="I183" s="25">
        <v>68.900000000000006</v>
      </c>
      <c r="J183" s="25">
        <v>-0.77</v>
      </c>
      <c r="K183" s="23">
        <v>102</v>
      </c>
      <c r="L183" s="23">
        <v>102.8</v>
      </c>
    </row>
    <row r="184" spans="1:16" ht="13.8">
      <c r="A184" s="12">
        <v>2022</v>
      </c>
      <c r="B184" s="19">
        <v>52</v>
      </c>
      <c r="C184" s="11" t="s">
        <v>126</v>
      </c>
      <c r="D184" s="14">
        <v>8</v>
      </c>
      <c r="E184" s="15">
        <v>0.65620000000000001</v>
      </c>
      <c r="F184" s="20">
        <f>13.61</f>
        <v>13.61</v>
      </c>
      <c r="G184" s="21">
        <v>107.1</v>
      </c>
      <c r="H184" s="19">
        <v>93.5</v>
      </c>
      <c r="I184" s="21">
        <v>67.3</v>
      </c>
      <c r="J184" s="22">
        <f>8.91</f>
        <v>8.91</v>
      </c>
      <c r="K184" s="19">
        <v>107.5</v>
      </c>
      <c r="L184" s="19">
        <v>98.6</v>
      </c>
    </row>
    <row r="185" spans="1:16" ht="13.8">
      <c r="A185" s="12">
        <v>2022</v>
      </c>
      <c r="B185" s="19">
        <v>54</v>
      </c>
      <c r="C185" s="11" t="s">
        <v>69</v>
      </c>
      <c r="D185" s="14">
        <v>13</v>
      </c>
      <c r="E185" s="15">
        <v>0.82350000000000001</v>
      </c>
      <c r="F185" s="20">
        <f>13.2</f>
        <v>13.2</v>
      </c>
      <c r="G185" s="21">
        <v>111.1</v>
      </c>
      <c r="H185" s="19">
        <v>97.9</v>
      </c>
      <c r="I185" s="21">
        <v>64.900000000000006</v>
      </c>
      <c r="J185" s="21">
        <v>-7</v>
      </c>
      <c r="K185" s="19">
        <v>99</v>
      </c>
      <c r="L185" s="19">
        <v>106</v>
      </c>
    </row>
    <row r="186" spans="1:16" ht="13.8">
      <c r="A186" s="12">
        <v>2022</v>
      </c>
      <c r="B186" s="19">
        <v>56</v>
      </c>
      <c r="C186" s="11" t="s">
        <v>29</v>
      </c>
      <c r="D186" s="14">
        <v>9</v>
      </c>
      <c r="E186" s="15">
        <v>0.59379999999999999</v>
      </c>
      <c r="F186" s="20">
        <f>13.06</f>
        <v>13.06</v>
      </c>
      <c r="G186" s="21">
        <v>109.2</v>
      </c>
      <c r="H186" s="19">
        <v>96.2</v>
      </c>
      <c r="I186" s="21">
        <v>70.900000000000006</v>
      </c>
      <c r="J186" s="22">
        <f>9.5</f>
        <v>9.5</v>
      </c>
      <c r="K186" s="19">
        <v>107.3</v>
      </c>
      <c r="L186" s="19">
        <v>97.8</v>
      </c>
    </row>
    <row r="187" spans="1:16" ht="13.8">
      <c r="A187" s="12">
        <v>2022</v>
      </c>
      <c r="B187" s="23">
        <v>65</v>
      </c>
      <c r="C187" s="11" t="s">
        <v>127</v>
      </c>
      <c r="D187" s="14">
        <v>12</v>
      </c>
      <c r="E187" s="15">
        <v>0.73529999999999995</v>
      </c>
      <c r="F187" s="24">
        <f>11.94</f>
        <v>11.94</v>
      </c>
      <c r="G187" s="25">
        <v>109.1</v>
      </c>
      <c r="H187" s="23">
        <v>97.2</v>
      </c>
      <c r="I187" s="25">
        <v>66.099999999999994</v>
      </c>
      <c r="J187" s="26">
        <f>4.1</f>
        <v>4.0999999999999996</v>
      </c>
      <c r="K187" s="23">
        <v>104.7</v>
      </c>
      <c r="L187" s="23">
        <v>100.6</v>
      </c>
    </row>
    <row r="188" spans="1:16" ht="13.8">
      <c r="A188" s="12">
        <v>2022</v>
      </c>
      <c r="B188" s="23">
        <v>67</v>
      </c>
      <c r="C188" s="11" t="s">
        <v>128</v>
      </c>
      <c r="D188" s="14">
        <v>13</v>
      </c>
      <c r="E188" s="15">
        <v>0.77139999999999997</v>
      </c>
      <c r="F188" s="24">
        <f>11.51</f>
        <v>11.51</v>
      </c>
      <c r="G188" s="25">
        <v>109</v>
      </c>
      <c r="H188" s="23">
        <v>97.5</v>
      </c>
      <c r="I188" s="25">
        <v>64.7</v>
      </c>
      <c r="J188" s="26">
        <f>0.46</f>
        <v>0.46</v>
      </c>
      <c r="K188" s="23">
        <v>105.1</v>
      </c>
      <c r="L188" s="23">
        <v>104.7</v>
      </c>
    </row>
    <row r="189" spans="1:16" ht="13.8">
      <c r="A189" s="12">
        <v>2022</v>
      </c>
      <c r="B189" s="23">
        <v>77</v>
      </c>
      <c r="C189" s="11" t="s">
        <v>129</v>
      </c>
      <c r="D189" s="14">
        <v>11</v>
      </c>
      <c r="E189" s="15">
        <v>0.5625</v>
      </c>
      <c r="F189" s="24">
        <f>10.82</f>
        <v>10.82</v>
      </c>
      <c r="G189" s="25">
        <v>106.9</v>
      </c>
      <c r="H189" s="23">
        <v>96.1</v>
      </c>
      <c r="I189" s="25">
        <v>64.900000000000006</v>
      </c>
      <c r="J189" s="26">
        <f>7.92</f>
        <v>7.92</v>
      </c>
      <c r="K189" s="23">
        <v>108.1</v>
      </c>
      <c r="L189" s="23">
        <v>100.2</v>
      </c>
    </row>
    <row r="190" spans="1:16" ht="13.8">
      <c r="A190" s="12">
        <v>2022</v>
      </c>
      <c r="B190" s="27">
        <v>80</v>
      </c>
      <c r="C190" s="11" t="s">
        <v>130</v>
      </c>
      <c r="D190" s="28">
        <v>12</v>
      </c>
      <c r="E190" s="15">
        <v>0.79410000000000003</v>
      </c>
      <c r="F190" s="29">
        <f>10.61</f>
        <v>10.61</v>
      </c>
      <c r="G190" s="30">
        <v>107.1</v>
      </c>
      <c r="H190" s="27">
        <v>96.5</v>
      </c>
      <c r="I190" s="30">
        <v>66.099999999999994</v>
      </c>
      <c r="J190" s="31">
        <f>1.21</f>
        <v>1.21</v>
      </c>
      <c r="K190" s="27">
        <v>102.5</v>
      </c>
      <c r="L190" s="27">
        <v>101.3</v>
      </c>
      <c r="P190" s="11">
        <v>1</v>
      </c>
    </row>
    <row r="191" spans="1:16" ht="13.8">
      <c r="A191" s="12">
        <v>2022</v>
      </c>
      <c r="B191" s="23">
        <v>81</v>
      </c>
      <c r="C191" s="11" t="s">
        <v>75</v>
      </c>
      <c r="D191" s="14">
        <v>13</v>
      </c>
      <c r="E191" s="15">
        <v>0.85709999999999997</v>
      </c>
      <c r="F191" s="24">
        <f>10.58</f>
        <v>10.58</v>
      </c>
      <c r="G191" s="25">
        <v>115.4</v>
      </c>
      <c r="H191" s="23">
        <v>104.8</v>
      </c>
      <c r="I191" s="25">
        <v>69.400000000000006</v>
      </c>
      <c r="J191" s="25">
        <v>-4.16</v>
      </c>
      <c r="K191" s="23">
        <v>102.9</v>
      </c>
      <c r="L191" s="23">
        <v>107.1</v>
      </c>
    </row>
    <row r="192" spans="1:16" ht="13.8">
      <c r="A192" s="12">
        <v>2022</v>
      </c>
      <c r="B192" s="23">
        <v>85</v>
      </c>
      <c r="C192" s="11" t="s">
        <v>131</v>
      </c>
      <c r="D192" s="14">
        <v>12</v>
      </c>
      <c r="E192" s="15">
        <v>0.64859999999999995</v>
      </c>
      <c r="F192" s="24">
        <f>9.45</f>
        <v>9.4499999999999993</v>
      </c>
      <c r="G192" s="25">
        <v>108.1</v>
      </c>
      <c r="H192" s="23">
        <v>98.7</v>
      </c>
      <c r="I192" s="25">
        <v>66.8</v>
      </c>
      <c r="J192" s="26">
        <f>5.07</f>
        <v>5.07</v>
      </c>
      <c r="K192" s="23">
        <v>105.5</v>
      </c>
      <c r="L192" s="23">
        <v>100.5</v>
      </c>
      <c r="P192" s="11">
        <v>1</v>
      </c>
    </row>
    <row r="193" spans="1:16" ht="13.8">
      <c r="A193" s="12">
        <v>2022</v>
      </c>
      <c r="B193" s="19">
        <v>102</v>
      </c>
      <c r="C193" s="11" t="s">
        <v>79</v>
      </c>
      <c r="D193" s="14">
        <v>15</v>
      </c>
      <c r="E193" s="15">
        <v>0.64710000000000001</v>
      </c>
      <c r="F193" s="20">
        <f>7.24</f>
        <v>7.24</v>
      </c>
      <c r="G193" s="21">
        <v>100.3</v>
      </c>
      <c r="H193" s="19">
        <v>93</v>
      </c>
      <c r="I193" s="21">
        <v>65.900000000000006</v>
      </c>
      <c r="J193" s="22">
        <f>0.25</f>
        <v>0.25</v>
      </c>
      <c r="K193" s="19">
        <v>103.1</v>
      </c>
      <c r="L193" s="19">
        <v>102.8</v>
      </c>
      <c r="M193" s="11">
        <v>1</v>
      </c>
      <c r="N193" s="11">
        <v>1</v>
      </c>
      <c r="P193" s="11">
        <v>1</v>
      </c>
    </row>
    <row r="194" spans="1:16" ht="13.8">
      <c r="A194" s="12">
        <v>2022</v>
      </c>
      <c r="B194" s="23">
        <v>117</v>
      </c>
      <c r="C194" s="11" t="s">
        <v>76</v>
      </c>
      <c r="D194" s="14">
        <v>14</v>
      </c>
      <c r="E194" s="15">
        <v>0.65710000000000002</v>
      </c>
      <c r="F194" s="24">
        <f>4.41</f>
        <v>4.41</v>
      </c>
      <c r="G194" s="25">
        <v>108.2</v>
      </c>
      <c r="H194" s="23">
        <v>103.8</v>
      </c>
      <c r="I194" s="25">
        <v>67.2</v>
      </c>
      <c r="J194" s="25">
        <v>-7.4</v>
      </c>
      <c r="K194" s="23">
        <v>99.3</v>
      </c>
      <c r="L194" s="23">
        <v>106.7</v>
      </c>
    </row>
    <row r="195" spans="1:16" ht="13.8">
      <c r="A195" s="12">
        <v>2022</v>
      </c>
      <c r="B195" s="19">
        <v>126</v>
      </c>
      <c r="C195" s="11" t="s">
        <v>72</v>
      </c>
      <c r="D195" s="14">
        <v>13</v>
      </c>
      <c r="E195" s="15">
        <v>0.70589999999999997</v>
      </c>
      <c r="F195" s="20">
        <f>3.62</f>
        <v>3.62</v>
      </c>
      <c r="G195" s="21">
        <v>105.6</v>
      </c>
      <c r="H195" s="19">
        <v>102</v>
      </c>
      <c r="I195" s="21">
        <v>62.1</v>
      </c>
      <c r="J195" s="21">
        <v>-5.13</v>
      </c>
      <c r="K195" s="19">
        <v>100.7</v>
      </c>
      <c r="L195" s="19">
        <v>105.8</v>
      </c>
    </row>
    <row r="196" spans="1:16" ht="13.8">
      <c r="A196" s="12">
        <v>2022</v>
      </c>
      <c r="B196" s="19">
        <v>138</v>
      </c>
      <c r="C196" s="11" t="s">
        <v>81</v>
      </c>
      <c r="D196" s="14">
        <v>14</v>
      </c>
      <c r="E196" s="15">
        <v>0.77139999999999997</v>
      </c>
      <c r="F196" s="20">
        <f>2.94</f>
        <v>2.94</v>
      </c>
      <c r="G196" s="21">
        <v>104.3</v>
      </c>
      <c r="H196" s="19">
        <v>101.4</v>
      </c>
      <c r="I196" s="21">
        <v>67.5</v>
      </c>
      <c r="J196" s="21">
        <v>-6.02</v>
      </c>
      <c r="K196" s="19">
        <v>101.6</v>
      </c>
      <c r="L196" s="19">
        <v>107.6</v>
      </c>
    </row>
    <row r="197" spans="1:16" ht="13.8">
      <c r="A197" s="12">
        <v>2022</v>
      </c>
      <c r="B197" s="23">
        <v>141</v>
      </c>
      <c r="C197" s="11" t="s">
        <v>132</v>
      </c>
      <c r="D197" s="14">
        <v>15</v>
      </c>
      <c r="E197" s="15">
        <v>0.62860000000000005</v>
      </c>
      <c r="F197" s="24">
        <f>2.64</f>
        <v>2.64</v>
      </c>
      <c r="G197" s="25">
        <v>107</v>
      </c>
      <c r="H197" s="23">
        <v>104.3</v>
      </c>
      <c r="I197" s="25">
        <v>66.7</v>
      </c>
      <c r="J197" s="25">
        <v>-1.57</v>
      </c>
      <c r="K197" s="23">
        <v>102.3</v>
      </c>
      <c r="L197" s="23">
        <v>103.8</v>
      </c>
    </row>
    <row r="198" spans="1:16" ht="13.8">
      <c r="A198" s="12">
        <v>2022</v>
      </c>
      <c r="B198" s="23">
        <v>145</v>
      </c>
      <c r="C198" s="11" t="s">
        <v>77</v>
      </c>
      <c r="D198" s="14">
        <v>14</v>
      </c>
      <c r="E198" s="15">
        <v>0.78790000000000004</v>
      </c>
      <c r="F198" s="24">
        <f>2.22</f>
        <v>2.2200000000000002</v>
      </c>
      <c r="G198" s="25">
        <v>105.9</v>
      </c>
      <c r="H198" s="23">
        <v>103.7</v>
      </c>
      <c r="I198" s="25">
        <v>66.099999999999994</v>
      </c>
      <c r="J198" s="25">
        <v>-7.31</v>
      </c>
      <c r="K198" s="23">
        <v>98.7</v>
      </c>
      <c r="L198" s="23">
        <v>106</v>
      </c>
    </row>
    <row r="199" spans="1:16" ht="13.8">
      <c r="A199" s="12">
        <v>2022</v>
      </c>
      <c r="B199" s="23">
        <v>147</v>
      </c>
      <c r="C199" s="11" t="s">
        <v>67</v>
      </c>
      <c r="D199" s="14">
        <v>14</v>
      </c>
      <c r="E199" s="15">
        <v>0.6129</v>
      </c>
      <c r="F199" s="24">
        <f>1.98</f>
        <v>1.98</v>
      </c>
      <c r="G199" s="25">
        <v>100.7</v>
      </c>
      <c r="H199" s="23">
        <v>98.8</v>
      </c>
      <c r="I199" s="25">
        <v>68.8</v>
      </c>
      <c r="J199" s="25">
        <v>-1.48</v>
      </c>
      <c r="K199" s="23">
        <v>103.3</v>
      </c>
      <c r="L199" s="23">
        <v>104.8</v>
      </c>
    </row>
    <row r="200" spans="1:16" ht="13.8">
      <c r="A200" s="12">
        <v>2022</v>
      </c>
      <c r="B200" s="19">
        <v>148</v>
      </c>
      <c r="C200" s="11" t="s">
        <v>133</v>
      </c>
      <c r="D200" s="14">
        <v>15</v>
      </c>
      <c r="E200" s="15">
        <v>0.65620000000000001</v>
      </c>
      <c r="F200" s="20">
        <f>1.97</f>
        <v>1.97</v>
      </c>
      <c r="G200" s="21">
        <v>105.1</v>
      </c>
      <c r="H200" s="19">
        <v>103.2</v>
      </c>
      <c r="I200" s="21">
        <v>65.099999999999994</v>
      </c>
      <c r="J200" s="21">
        <v>-4.68</v>
      </c>
      <c r="K200" s="19">
        <v>100.6</v>
      </c>
      <c r="L200" s="19">
        <v>105.3</v>
      </c>
    </row>
    <row r="201" spans="1:16" ht="13.8">
      <c r="A201" s="12">
        <v>2022</v>
      </c>
      <c r="B201" s="27">
        <v>150</v>
      </c>
      <c r="C201" s="11" t="s">
        <v>134</v>
      </c>
      <c r="D201" s="28">
        <v>16</v>
      </c>
      <c r="E201" s="15">
        <v>0.62070000000000003</v>
      </c>
      <c r="F201" s="29">
        <f>1.6</f>
        <v>1.6</v>
      </c>
      <c r="G201" s="30">
        <v>101.5</v>
      </c>
      <c r="H201" s="27">
        <v>99.9</v>
      </c>
      <c r="I201" s="30">
        <v>67.3</v>
      </c>
      <c r="J201" s="30">
        <v>-0.97</v>
      </c>
      <c r="K201" s="27">
        <v>101.2</v>
      </c>
      <c r="L201" s="27">
        <v>102.1</v>
      </c>
    </row>
    <row r="202" spans="1:16" ht="13.8">
      <c r="A202" s="12">
        <v>2022</v>
      </c>
      <c r="B202" s="19">
        <v>154</v>
      </c>
      <c r="C202" s="11" t="s">
        <v>135</v>
      </c>
      <c r="D202" s="14">
        <v>15</v>
      </c>
      <c r="E202" s="15">
        <v>0.65620000000000001</v>
      </c>
      <c r="F202" s="20">
        <f>1.47</f>
        <v>1.47</v>
      </c>
      <c r="G202" s="21">
        <v>104.1</v>
      </c>
      <c r="H202" s="19">
        <v>102.7</v>
      </c>
      <c r="I202" s="21">
        <v>66.099999999999994</v>
      </c>
      <c r="J202" s="21">
        <v>-2.99</v>
      </c>
      <c r="K202" s="19">
        <v>100.5</v>
      </c>
      <c r="L202" s="19">
        <v>103.5</v>
      </c>
    </row>
    <row r="203" spans="1:16" ht="13.8">
      <c r="A203" s="12">
        <v>2022</v>
      </c>
      <c r="B203" s="19">
        <v>172</v>
      </c>
      <c r="C203" s="11" t="s">
        <v>136</v>
      </c>
      <c r="D203" s="14">
        <v>16</v>
      </c>
      <c r="E203" s="15">
        <v>0.61109999999999998</v>
      </c>
      <c r="F203" s="19">
        <v>-0.28000000000000003</v>
      </c>
      <c r="G203" s="21">
        <v>106.3</v>
      </c>
      <c r="H203" s="19">
        <v>106.6</v>
      </c>
      <c r="I203" s="21">
        <v>68.900000000000006</v>
      </c>
      <c r="J203" s="21">
        <v>-6.76</v>
      </c>
      <c r="K203" s="19">
        <v>100.2</v>
      </c>
      <c r="L203" s="19">
        <v>107</v>
      </c>
    </row>
    <row r="204" spans="1:16" ht="13.8">
      <c r="A204" s="12">
        <v>2022</v>
      </c>
      <c r="B204" s="19">
        <v>176</v>
      </c>
      <c r="C204" s="11" t="s">
        <v>137</v>
      </c>
      <c r="D204" s="14">
        <v>16</v>
      </c>
      <c r="E204" s="15">
        <v>0.7742</v>
      </c>
      <c r="F204" s="19">
        <v>-0.49</v>
      </c>
      <c r="G204" s="21">
        <v>102.1</v>
      </c>
      <c r="H204" s="19">
        <v>102.6</v>
      </c>
      <c r="I204" s="21">
        <v>66.8</v>
      </c>
      <c r="J204" s="21">
        <v>-10.02</v>
      </c>
      <c r="K204" s="19">
        <v>95.5</v>
      </c>
      <c r="L204" s="19">
        <v>105.5</v>
      </c>
    </row>
    <row r="205" spans="1:16" ht="13.8">
      <c r="A205" s="12">
        <v>2022</v>
      </c>
      <c r="B205" s="23">
        <v>187</v>
      </c>
      <c r="C205" s="11" t="s">
        <v>114</v>
      </c>
      <c r="D205" s="14">
        <v>16</v>
      </c>
      <c r="E205" s="15">
        <v>0.59379999999999999</v>
      </c>
      <c r="F205" s="23">
        <v>-1.28</v>
      </c>
      <c r="G205" s="25">
        <v>97.6</v>
      </c>
      <c r="H205" s="23">
        <v>98.9</v>
      </c>
      <c r="I205" s="25">
        <v>68.2</v>
      </c>
      <c r="J205" s="25">
        <v>-6.25</v>
      </c>
      <c r="K205" s="23">
        <v>98.7</v>
      </c>
      <c r="L205" s="23">
        <v>105</v>
      </c>
    </row>
    <row r="206" spans="1:16" ht="13.8">
      <c r="A206" s="12">
        <v>2022</v>
      </c>
      <c r="B206" s="23">
        <v>189</v>
      </c>
      <c r="C206" s="11" t="s">
        <v>138</v>
      </c>
      <c r="D206" s="14">
        <v>16</v>
      </c>
      <c r="E206" s="15">
        <v>0.6875</v>
      </c>
      <c r="F206" s="23">
        <v>-1.32</v>
      </c>
      <c r="G206" s="25">
        <v>103.8</v>
      </c>
      <c r="H206" s="23">
        <v>105.1</v>
      </c>
      <c r="I206" s="25">
        <v>72.599999999999994</v>
      </c>
      <c r="J206" s="25">
        <v>-8.4700000000000006</v>
      </c>
      <c r="K206" s="23">
        <v>98</v>
      </c>
      <c r="L206" s="23">
        <v>106.5</v>
      </c>
    </row>
    <row r="207" spans="1:16" ht="13.8">
      <c r="A207" s="12">
        <v>2021</v>
      </c>
      <c r="B207" s="23">
        <v>1</v>
      </c>
      <c r="C207" s="11" t="s">
        <v>28</v>
      </c>
      <c r="D207" s="14">
        <v>1</v>
      </c>
      <c r="E207" s="15">
        <v>0.96879999999999999</v>
      </c>
      <c r="F207" s="24">
        <f>36.48</f>
        <v>36.479999999999997</v>
      </c>
      <c r="G207" s="25">
        <v>126.4</v>
      </c>
      <c r="H207" s="23">
        <v>89.9</v>
      </c>
      <c r="I207" s="25">
        <v>73.8</v>
      </c>
      <c r="J207" s="26">
        <f>11.35</f>
        <v>11.35</v>
      </c>
      <c r="K207" s="23">
        <v>108.1</v>
      </c>
      <c r="L207" s="23">
        <v>96.8</v>
      </c>
      <c r="M207" s="11">
        <v>1</v>
      </c>
      <c r="N207" s="11">
        <v>1</v>
      </c>
      <c r="O207" s="11">
        <v>1</v>
      </c>
      <c r="P207" s="11">
        <v>1</v>
      </c>
    </row>
    <row r="208" spans="1:16" ht="13.8">
      <c r="A208" s="12">
        <v>2021</v>
      </c>
      <c r="B208" s="13">
        <v>2</v>
      </c>
      <c r="C208" s="11" t="s">
        <v>31</v>
      </c>
      <c r="D208" s="14">
        <v>1</v>
      </c>
      <c r="E208" s="15">
        <v>0.93330000000000002</v>
      </c>
      <c r="F208" s="16">
        <f>33.87</f>
        <v>33.869999999999997</v>
      </c>
      <c r="G208" s="17">
        <v>125</v>
      </c>
      <c r="H208" s="13">
        <v>91.1</v>
      </c>
      <c r="I208" s="17">
        <v>67.400000000000006</v>
      </c>
      <c r="J208" s="18">
        <f>13.25</f>
        <v>13.25</v>
      </c>
      <c r="K208" s="13">
        <v>108.7</v>
      </c>
      <c r="L208" s="13">
        <v>95.5</v>
      </c>
      <c r="M208" s="11">
        <v>1</v>
      </c>
      <c r="N208" s="11">
        <v>1</v>
      </c>
      <c r="O208" s="11">
        <v>1</v>
      </c>
      <c r="P208" s="11">
        <v>1</v>
      </c>
    </row>
    <row r="209" spans="1:16" ht="13.8">
      <c r="A209" s="12">
        <v>2021</v>
      </c>
      <c r="B209" s="23">
        <v>3</v>
      </c>
      <c r="C209" s="11" t="s">
        <v>119</v>
      </c>
      <c r="D209" s="14">
        <v>1</v>
      </c>
      <c r="E209" s="15">
        <v>0.82140000000000002</v>
      </c>
      <c r="F209" s="24">
        <f>29.67</f>
        <v>29.67</v>
      </c>
      <c r="G209" s="25">
        <v>117.6</v>
      </c>
      <c r="H209" s="23">
        <v>87.9</v>
      </c>
      <c r="I209" s="25">
        <v>66.599999999999994</v>
      </c>
      <c r="J209" s="26">
        <f>16.44</f>
        <v>16.440000000000001</v>
      </c>
      <c r="K209" s="23">
        <v>111.7</v>
      </c>
      <c r="L209" s="23">
        <v>95.3</v>
      </c>
      <c r="M209" s="11">
        <v>1</v>
      </c>
      <c r="N209" s="11">
        <v>1</v>
      </c>
      <c r="P209" s="11">
        <v>1</v>
      </c>
    </row>
    <row r="210" spans="1:16" ht="13.8">
      <c r="A210" s="12">
        <v>2021</v>
      </c>
      <c r="B210" s="19">
        <v>4</v>
      </c>
      <c r="C210" s="11" t="s">
        <v>26</v>
      </c>
      <c r="D210" s="14">
        <v>1</v>
      </c>
      <c r="E210" s="15">
        <v>0.7742</v>
      </c>
      <c r="F210" s="20">
        <f>29.06</f>
        <v>29.06</v>
      </c>
      <c r="G210" s="21">
        <v>118</v>
      </c>
      <c r="H210" s="19">
        <v>88.9</v>
      </c>
      <c r="I210" s="21">
        <v>70.5</v>
      </c>
      <c r="J210" s="22">
        <f>18.17</f>
        <v>18.170000000000002</v>
      </c>
      <c r="K210" s="19">
        <v>112.3</v>
      </c>
      <c r="L210" s="19">
        <v>94.1</v>
      </c>
      <c r="P210" s="11">
        <v>1</v>
      </c>
    </row>
    <row r="211" spans="1:16" ht="13.8">
      <c r="A211" s="12">
        <v>2021</v>
      </c>
      <c r="B211" s="23">
        <v>5</v>
      </c>
      <c r="C211" s="11" t="s">
        <v>18</v>
      </c>
      <c r="D211" s="14">
        <v>2</v>
      </c>
      <c r="E211" s="15">
        <v>0.875</v>
      </c>
      <c r="F211" s="24">
        <f>28.75</f>
        <v>28.75</v>
      </c>
      <c r="G211" s="25">
        <v>118.3</v>
      </c>
      <c r="H211" s="23">
        <v>89.6</v>
      </c>
      <c r="I211" s="25">
        <v>64.400000000000006</v>
      </c>
      <c r="J211" s="26">
        <f>9.21</f>
        <v>9.2100000000000009</v>
      </c>
      <c r="K211" s="23">
        <v>105.7</v>
      </c>
      <c r="L211" s="23">
        <v>96.5</v>
      </c>
      <c r="M211" s="11">
        <v>1</v>
      </c>
      <c r="N211" s="11">
        <v>1</v>
      </c>
      <c r="O211" s="11">
        <v>1</v>
      </c>
      <c r="P211" s="11">
        <v>1</v>
      </c>
    </row>
    <row r="212" spans="1:16" ht="13.8">
      <c r="A212" s="12">
        <v>2021</v>
      </c>
      <c r="B212" s="19">
        <v>6</v>
      </c>
      <c r="C212" s="11" t="s">
        <v>96</v>
      </c>
      <c r="D212" s="14">
        <v>6</v>
      </c>
      <c r="E212" s="15">
        <v>0.75760000000000005</v>
      </c>
      <c r="F212" s="20">
        <f>27.58</f>
        <v>27.58</v>
      </c>
      <c r="G212" s="21">
        <v>115.7</v>
      </c>
      <c r="H212" s="19">
        <v>88.1</v>
      </c>
      <c r="I212" s="21">
        <v>67</v>
      </c>
      <c r="J212" s="22">
        <f>16.27</f>
        <v>16.27</v>
      </c>
      <c r="K212" s="19">
        <v>111.1</v>
      </c>
      <c r="L212" s="19">
        <v>94.8</v>
      </c>
      <c r="M212" s="11">
        <v>1</v>
      </c>
      <c r="N212" s="11">
        <v>1</v>
      </c>
      <c r="P212" s="11">
        <v>1</v>
      </c>
    </row>
    <row r="213" spans="1:16" ht="13.8">
      <c r="A213" s="12">
        <v>2021</v>
      </c>
      <c r="B213" s="23">
        <v>7</v>
      </c>
      <c r="C213" s="11" t="s">
        <v>95</v>
      </c>
      <c r="D213" s="14">
        <v>2</v>
      </c>
      <c r="E213" s="15">
        <v>0.7097</v>
      </c>
      <c r="F213" s="24">
        <f>26.87</f>
        <v>26.87</v>
      </c>
      <c r="G213" s="25">
        <v>123.5</v>
      </c>
      <c r="H213" s="23">
        <v>96.7</v>
      </c>
      <c r="I213" s="25">
        <v>69.900000000000006</v>
      </c>
      <c r="J213" s="26">
        <f>16.41</f>
        <v>16.41</v>
      </c>
      <c r="K213" s="23">
        <v>110.4</v>
      </c>
      <c r="L213" s="23">
        <v>94</v>
      </c>
      <c r="P213" s="11">
        <v>1</v>
      </c>
    </row>
    <row r="214" spans="1:16" ht="13.8">
      <c r="A214" s="12">
        <v>2021</v>
      </c>
      <c r="B214" s="19">
        <v>8</v>
      </c>
      <c r="C214" s="11" t="s">
        <v>39</v>
      </c>
      <c r="D214" s="14">
        <v>5</v>
      </c>
      <c r="E214" s="15">
        <v>0.71879999999999999</v>
      </c>
      <c r="F214" s="20">
        <f>25.1</f>
        <v>25.1</v>
      </c>
      <c r="G214" s="21">
        <v>116.3</v>
      </c>
      <c r="H214" s="19">
        <v>91.2</v>
      </c>
      <c r="I214" s="21">
        <v>66.099999999999994</v>
      </c>
      <c r="J214" s="22">
        <f>15.43</f>
        <v>15.43</v>
      </c>
      <c r="K214" s="19">
        <v>110.3</v>
      </c>
      <c r="L214" s="19">
        <v>94.9</v>
      </c>
    </row>
    <row r="215" spans="1:16" ht="13.8">
      <c r="A215" s="12">
        <v>2021</v>
      </c>
      <c r="B215" s="23">
        <v>9</v>
      </c>
      <c r="C215" s="11" t="s">
        <v>30</v>
      </c>
      <c r="D215" s="14">
        <v>2</v>
      </c>
      <c r="E215" s="15">
        <v>0.78790000000000004</v>
      </c>
      <c r="F215" s="24">
        <f>25.09</f>
        <v>25.09</v>
      </c>
      <c r="G215" s="25">
        <v>112.9</v>
      </c>
      <c r="H215" s="23">
        <v>87.8</v>
      </c>
      <c r="I215" s="25">
        <v>73.3</v>
      </c>
      <c r="J215" s="26">
        <f>14.8</f>
        <v>14.8</v>
      </c>
      <c r="K215" s="23">
        <v>110.1</v>
      </c>
      <c r="L215" s="23">
        <v>95.3</v>
      </c>
      <c r="M215" s="11">
        <v>1</v>
      </c>
      <c r="P215" s="11">
        <v>1</v>
      </c>
    </row>
    <row r="216" spans="1:16" ht="13.8">
      <c r="A216" s="12">
        <v>2021</v>
      </c>
      <c r="B216" s="27">
        <v>10</v>
      </c>
      <c r="C216" s="11" t="s">
        <v>120</v>
      </c>
      <c r="D216" s="28">
        <v>8</v>
      </c>
      <c r="E216" s="15">
        <v>0.8387</v>
      </c>
      <c r="F216" s="29">
        <f>24.32</f>
        <v>24.32</v>
      </c>
      <c r="G216" s="30">
        <v>111.3</v>
      </c>
      <c r="H216" s="27">
        <v>87</v>
      </c>
      <c r="I216" s="30">
        <v>63.7</v>
      </c>
      <c r="J216" s="31">
        <f>6.27</f>
        <v>6.27</v>
      </c>
      <c r="K216" s="27">
        <v>105.6</v>
      </c>
      <c r="L216" s="27">
        <v>99.4</v>
      </c>
      <c r="M216" s="11">
        <v>1</v>
      </c>
      <c r="P216" s="11">
        <v>1</v>
      </c>
    </row>
    <row r="217" spans="1:16" ht="13.8">
      <c r="A217" s="12">
        <v>2021</v>
      </c>
      <c r="B217" s="23">
        <v>11</v>
      </c>
      <c r="C217" s="11" t="s">
        <v>121</v>
      </c>
      <c r="D217" s="14">
        <v>2</v>
      </c>
      <c r="E217" s="15">
        <v>0.6774</v>
      </c>
      <c r="F217" s="24">
        <f>23.58</f>
        <v>23.58</v>
      </c>
      <c r="G217" s="25">
        <v>120.7</v>
      </c>
      <c r="H217" s="23">
        <v>97.1</v>
      </c>
      <c r="I217" s="25">
        <v>66.7</v>
      </c>
      <c r="J217" s="26">
        <f>17.9</f>
        <v>17.899999999999999</v>
      </c>
      <c r="K217" s="23">
        <v>111.6</v>
      </c>
      <c r="L217" s="23">
        <v>93.7</v>
      </c>
    </row>
    <row r="218" spans="1:16" ht="13.8">
      <c r="A218" s="12">
        <v>2021</v>
      </c>
      <c r="B218" s="19">
        <v>12</v>
      </c>
      <c r="C218" s="11" t="s">
        <v>115</v>
      </c>
      <c r="D218" s="14">
        <v>5</v>
      </c>
      <c r="E218" s="15">
        <v>0.72</v>
      </c>
      <c r="F218" s="20">
        <f>23.02</f>
        <v>23.02</v>
      </c>
      <c r="G218" s="21">
        <v>119</v>
      </c>
      <c r="H218" s="19">
        <v>96</v>
      </c>
      <c r="I218" s="21">
        <v>64.2</v>
      </c>
      <c r="J218" s="22">
        <f>13.66</f>
        <v>13.66</v>
      </c>
      <c r="K218" s="19">
        <v>109.3</v>
      </c>
      <c r="L218" s="19">
        <v>95.7</v>
      </c>
      <c r="M218" s="11">
        <v>1</v>
      </c>
      <c r="P218" s="11">
        <v>1</v>
      </c>
    </row>
    <row r="219" spans="1:16" ht="13.8">
      <c r="A219" s="12">
        <v>2021</v>
      </c>
      <c r="B219" s="23">
        <v>13</v>
      </c>
      <c r="C219" s="11" t="s">
        <v>85</v>
      </c>
      <c r="D219" s="14">
        <v>11</v>
      </c>
      <c r="E219" s="15">
        <v>0.6875</v>
      </c>
      <c r="F219" s="24">
        <f>22.43</f>
        <v>22.43</v>
      </c>
      <c r="G219" s="25">
        <v>116.9</v>
      </c>
      <c r="H219" s="23">
        <v>94.5</v>
      </c>
      <c r="I219" s="25">
        <v>63.8</v>
      </c>
      <c r="J219" s="26">
        <f>17.38</f>
        <v>17.38</v>
      </c>
      <c r="K219" s="23">
        <v>111.3</v>
      </c>
      <c r="L219" s="23">
        <v>93.9</v>
      </c>
      <c r="M219" s="11">
        <v>1</v>
      </c>
      <c r="N219" s="11">
        <v>1</v>
      </c>
      <c r="O219" s="11">
        <v>1</v>
      </c>
      <c r="P219" s="11">
        <v>1</v>
      </c>
    </row>
    <row r="220" spans="1:16" ht="13.8">
      <c r="A220" s="12">
        <v>2021</v>
      </c>
      <c r="B220" s="19">
        <v>14</v>
      </c>
      <c r="C220" s="11" t="s">
        <v>33</v>
      </c>
      <c r="D220" s="14">
        <v>9</v>
      </c>
      <c r="E220" s="15">
        <v>0.5806</v>
      </c>
      <c r="F220" s="20">
        <f>22.4</f>
        <v>22.4</v>
      </c>
      <c r="G220" s="21">
        <v>113</v>
      </c>
      <c r="H220" s="19">
        <v>90.6</v>
      </c>
      <c r="I220" s="21">
        <v>64.599999999999994</v>
      </c>
      <c r="J220" s="22">
        <f>18.13</f>
        <v>18.13</v>
      </c>
      <c r="K220" s="19">
        <v>112.1</v>
      </c>
      <c r="L220" s="19">
        <v>93.9</v>
      </c>
      <c r="P220" s="11">
        <v>1</v>
      </c>
    </row>
    <row r="221" spans="1:16" ht="13.8">
      <c r="A221" s="12">
        <v>2021</v>
      </c>
      <c r="B221" s="23">
        <v>15</v>
      </c>
      <c r="C221" s="11" t="s">
        <v>139</v>
      </c>
      <c r="D221" s="14">
        <v>4</v>
      </c>
      <c r="E221" s="15">
        <v>0.72</v>
      </c>
      <c r="F221" s="24">
        <f>22.12</f>
        <v>22.12</v>
      </c>
      <c r="G221" s="25">
        <v>114.9</v>
      </c>
      <c r="H221" s="23">
        <v>92.8</v>
      </c>
      <c r="I221" s="25">
        <v>69.900000000000006</v>
      </c>
      <c r="J221" s="26">
        <f>13.48</f>
        <v>13.48</v>
      </c>
      <c r="K221" s="23">
        <v>109.5</v>
      </c>
      <c r="L221" s="23">
        <v>96</v>
      </c>
      <c r="M221" s="11">
        <v>1</v>
      </c>
      <c r="P221" s="11">
        <v>1</v>
      </c>
    </row>
    <row r="222" spans="1:16" ht="13.8">
      <c r="A222" s="12">
        <v>2021</v>
      </c>
      <c r="B222" s="19">
        <v>16</v>
      </c>
      <c r="C222" s="11" t="s">
        <v>61</v>
      </c>
      <c r="D222" s="14">
        <v>7</v>
      </c>
      <c r="E222" s="15">
        <v>0.75</v>
      </c>
      <c r="F222" s="20">
        <f>21.85</f>
        <v>21.85</v>
      </c>
      <c r="G222" s="21">
        <v>117.2</v>
      </c>
      <c r="H222" s="19">
        <v>95.4</v>
      </c>
      <c r="I222" s="21">
        <v>67.2</v>
      </c>
      <c r="J222" s="22">
        <f>15.2</f>
        <v>15.2</v>
      </c>
      <c r="K222" s="19">
        <v>110.6</v>
      </c>
      <c r="L222" s="19">
        <v>95.4</v>
      </c>
      <c r="M222" s="11">
        <v>1</v>
      </c>
      <c r="P222" s="11">
        <v>1</v>
      </c>
    </row>
    <row r="223" spans="1:16" ht="13.8">
      <c r="A223" s="12">
        <v>2021</v>
      </c>
      <c r="B223" s="23">
        <v>17</v>
      </c>
      <c r="C223" s="11" t="s">
        <v>45</v>
      </c>
      <c r="D223" s="14">
        <v>6</v>
      </c>
      <c r="E223" s="15">
        <v>0.62070000000000003</v>
      </c>
      <c r="F223" s="24">
        <f>21.81</f>
        <v>21.81</v>
      </c>
      <c r="G223" s="25">
        <v>112.7</v>
      </c>
      <c r="H223" s="23">
        <v>90.9</v>
      </c>
      <c r="I223" s="25">
        <v>65.099999999999994</v>
      </c>
      <c r="J223" s="26">
        <f>12.84</f>
        <v>12.84</v>
      </c>
      <c r="K223" s="23">
        <v>108.5</v>
      </c>
      <c r="L223" s="23">
        <v>95.7</v>
      </c>
      <c r="P223" s="11">
        <v>1</v>
      </c>
    </row>
    <row r="224" spans="1:16" ht="13.8">
      <c r="A224" s="12">
        <v>2021</v>
      </c>
      <c r="B224" s="19">
        <v>18</v>
      </c>
      <c r="C224" s="11" t="s">
        <v>90</v>
      </c>
      <c r="D224" s="14">
        <v>3</v>
      </c>
      <c r="E224" s="15">
        <v>0.78129999999999999</v>
      </c>
      <c r="F224" s="20">
        <f>21.56</f>
        <v>21.56</v>
      </c>
      <c r="G224" s="21">
        <v>111.1</v>
      </c>
      <c r="H224" s="19">
        <v>89.6</v>
      </c>
      <c r="I224" s="21">
        <v>72.599999999999994</v>
      </c>
      <c r="J224" s="22">
        <f>12.69</f>
        <v>12.69</v>
      </c>
      <c r="K224" s="19">
        <v>109.4</v>
      </c>
      <c r="L224" s="19">
        <v>96.7</v>
      </c>
      <c r="M224" s="11">
        <v>1</v>
      </c>
      <c r="N224" s="11">
        <v>1</v>
      </c>
      <c r="P224" s="11">
        <v>1</v>
      </c>
    </row>
    <row r="225" spans="1:16" ht="13.8">
      <c r="A225" s="12">
        <v>2021</v>
      </c>
      <c r="B225" s="23">
        <v>19</v>
      </c>
      <c r="C225" s="11" t="s">
        <v>64</v>
      </c>
      <c r="D225" s="14">
        <v>4</v>
      </c>
      <c r="E225" s="15">
        <v>0.72</v>
      </c>
      <c r="F225" s="24">
        <f>21.42</f>
        <v>21.42</v>
      </c>
      <c r="G225" s="25">
        <v>114.7</v>
      </c>
      <c r="H225" s="23">
        <v>93.3</v>
      </c>
      <c r="I225" s="25">
        <v>59.9</v>
      </c>
      <c r="J225" s="26">
        <f>12.05</f>
        <v>12.05</v>
      </c>
      <c r="K225" s="23">
        <v>109.8</v>
      </c>
      <c r="L225" s="23">
        <v>97.8</v>
      </c>
    </row>
    <row r="226" spans="1:16" ht="13.8">
      <c r="A226" s="12">
        <v>2021</v>
      </c>
      <c r="B226" s="27">
        <v>20</v>
      </c>
      <c r="C226" s="11" t="s">
        <v>34</v>
      </c>
      <c r="D226" s="28">
        <v>6</v>
      </c>
      <c r="E226" s="15">
        <v>0.74070000000000003</v>
      </c>
      <c r="F226" s="29">
        <f>21.12</f>
        <v>21.12</v>
      </c>
      <c r="G226" s="30">
        <v>113.7</v>
      </c>
      <c r="H226" s="27">
        <v>92.5</v>
      </c>
      <c r="I226" s="30">
        <v>67.599999999999994</v>
      </c>
      <c r="J226" s="31">
        <f>12.31</f>
        <v>12.31</v>
      </c>
      <c r="K226" s="27">
        <v>109.1</v>
      </c>
      <c r="L226" s="27">
        <v>96.8</v>
      </c>
    </row>
    <row r="227" spans="1:16" ht="13.8">
      <c r="A227" s="12">
        <v>2021</v>
      </c>
      <c r="B227" s="23">
        <v>21</v>
      </c>
      <c r="C227" s="11" t="s">
        <v>17</v>
      </c>
      <c r="D227" s="14">
        <v>7</v>
      </c>
      <c r="E227" s="15">
        <v>0.6522</v>
      </c>
      <c r="F227" s="24">
        <f>20.61</f>
        <v>20.61</v>
      </c>
      <c r="G227" s="25">
        <v>113.1</v>
      </c>
      <c r="H227" s="23">
        <v>92.5</v>
      </c>
      <c r="I227" s="25">
        <v>65.5</v>
      </c>
      <c r="J227" s="26">
        <f>12.99</f>
        <v>12.99</v>
      </c>
      <c r="K227" s="23">
        <v>108.2</v>
      </c>
      <c r="L227" s="23">
        <v>95.2</v>
      </c>
    </row>
    <row r="228" spans="1:16" ht="13.8">
      <c r="A228" s="12">
        <v>2021</v>
      </c>
      <c r="B228" s="19">
        <v>22</v>
      </c>
      <c r="C228" s="11" t="s">
        <v>27</v>
      </c>
      <c r="D228" s="14">
        <v>5</v>
      </c>
      <c r="E228" s="15">
        <v>0.7097</v>
      </c>
      <c r="F228" s="20">
        <f>20.59</f>
        <v>20.59</v>
      </c>
      <c r="G228" s="21">
        <v>113.4</v>
      </c>
      <c r="H228" s="19">
        <v>92.8</v>
      </c>
      <c r="I228" s="21">
        <v>68.7</v>
      </c>
      <c r="J228" s="22">
        <f>13.19</f>
        <v>13.19</v>
      </c>
      <c r="K228" s="19">
        <v>108.8</v>
      </c>
      <c r="L228" s="19">
        <v>95.6</v>
      </c>
      <c r="M228" s="11">
        <v>1</v>
      </c>
      <c r="P228" s="11">
        <v>1</v>
      </c>
    </row>
    <row r="229" spans="1:16" ht="13.8">
      <c r="A229" s="12">
        <v>2021</v>
      </c>
      <c r="B229" s="23">
        <v>23</v>
      </c>
      <c r="C229" s="11" t="s">
        <v>87</v>
      </c>
      <c r="D229" s="14">
        <v>3</v>
      </c>
      <c r="E229" s="15">
        <v>0.6552</v>
      </c>
      <c r="F229" s="24">
        <f>20.51</f>
        <v>20.51</v>
      </c>
      <c r="G229" s="25">
        <v>116.8</v>
      </c>
      <c r="H229" s="23">
        <v>96.3</v>
      </c>
      <c r="I229" s="25">
        <v>69.2</v>
      </c>
      <c r="J229" s="26">
        <f>15.18</f>
        <v>15.18</v>
      </c>
      <c r="K229" s="23">
        <v>109.6</v>
      </c>
      <c r="L229" s="23">
        <v>94.4</v>
      </c>
      <c r="P229" s="11">
        <v>1</v>
      </c>
    </row>
    <row r="230" spans="1:16" ht="13.8">
      <c r="A230" s="12">
        <v>2021</v>
      </c>
      <c r="B230" s="19">
        <v>24</v>
      </c>
      <c r="C230" s="11" t="s">
        <v>117</v>
      </c>
      <c r="D230" s="14">
        <v>8</v>
      </c>
      <c r="E230" s="15">
        <v>0.6552</v>
      </c>
      <c r="F230" s="20">
        <f>20.35</f>
        <v>20.350000000000001</v>
      </c>
      <c r="G230" s="21">
        <v>120.1</v>
      </c>
      <c r="H230" s="19">
        <v>99.8</v>
      </c>
      <c r="I230" s="21">
        <v>70.599999999999994</v>
      </c>
      <c r="J230" s="22">
        <f>14.77</f>
        <v>14.77</v>
      </c>
      <c r="K230" s="19">
        <v>108.7</v>
      </c>
      <c r="L230" s="19">
        <v>93.9</v>
      </c>
      <c r="P230" s="11">
        <v>1</v>
      </c>
    </row>
    <row r="231" spans="1:16" ht="13.8">
      <c r="A231" s="12">
        <v>2021</v>
      </c>
      <c r="B231" s="23">
        <v>25</v>
      </c>
      <c r="C231" s="11" t="s">
        <v>19</v>
      </c>
      <c r="D231" s="14">
        <v>4</v>
      </c>
      <c r="E231" s="15">
        <v>0.64290000000000003</v>
      </c>
      <c r="F231" s="24">
        <f>20.33</f>
        <v>20.329999999999998</v>
      </c>
      <c r="G231" s="25">
        <v>113.3</v>
      </c>
      <c r="H231" s="23">
        <v>92.9</v>
      </c>
      <c r="I231" s="25">
        <v>66.099999999999994</v>
      </c>
      <c r="J231" s="26">
        <f>16.61</f>
        <v>16.61</v>
      </c>
      <c r="K231" s="23">
        <v>111.2</v>
      </c>
      <c r="L231" s="23">
        <v>94.6</v>
      </c>
    </row>
    <row r="232" spans="1:16" ht="13.8">
      <c r="A232" s="12">
        <v>2021</v>
      </c>
      <c r="B232" s="19">
        <v>26</v>
      </c>
      <c r="C232" s="11" t="s">
        <v>40</v>
      </c>
      <c r="D232" s="14">
        <v>3</v>
      </c>
      <c r="E232" s="15">
        <v>0.70369999999999999</v>
      </c>
      <c r="F232" s="20">
        <f>20.31</f>
        <v>20.309999999999999</v>
      </c>
      <c r="G232" s="21">
        <v>113.1</v>
      </c>
      <c r="H232" s="19">
        <v>92.8</v>
      </c>
      <c r="I232" s="21">
        <v>68.599999999999994</v>
      </c>
      <c r="J232" s="22">
        <f>14.52</f>
        <v>14.52</v>
      </c>
      <c r="K232" s="19">
        <v>109.2</v>
      </c>
      <c r="L232" s="19">
        <v>94.7</v>
      </c>
    </row>
    <row r="233" spans="1:16" ht="13.8">
      <c r="A233" s="12">
        <v>2021</v>
      </c>
      <c r="B233" s="23">
        <v>27</v>
      </c>
      <c r="C233" s="11" t="s">
        <v>42</v>
      </c>
      <c r="D233" s="14">
        <v>3</v>
      </c>
      <c r="E233" s="15">
        <v>0.7</v>
      </c>
      <c r="F233" s="24">
        <f>19.98</f>
        <v>19.98</v>
      </c>
      <c r="G233" s="25">
        <v>110.1</v>
      </c>
      <c r="H233" s="23">
        <v>90.2</v>
      </c>
      <c r="I233" s="25">
        <v>68.2</v>
      </c>
      <c r="J233" s="26">
        <f>15.83</f>
        <v>15.83</v>
      </c>
      <c r="K233" s="23">
        <v>110.7</v>
      </c>
      <c r="L233" s="23">
        <v>94.8</v>
      </c>
      <c r="P233" s="11">
        <v>1</v>
      </c>
    </row>
    <row r="234" spans="1:16" ht="13.8">
      <c r="A234" s="12">
        <v>2021</v>
      </c>
      <c r="B234" s="19">
        <v>28</v>
      </c>
      <c r="C234" s="11" t="s">
        <v>21</v>
      </c>
      <c r="D234" s="14">
        <v>5</v>
      </c>
      <c r="E234" s="15">
        <v>0.66669999999999996</v>
      </c>
      <c r="F234" s="20">
        <f>19.95</f>
        <v>19.95</v>
      </c>
      <c r="G234" s="21">
        <v>108</v>
      </c>
      <c r="H234" s="19">
        <v>88.1</v>
      </c>
      <c r="I234" s="21">
        <v>67.099999999999994</v>
      </c>
      <c r="J234" s="22">
        <f>13.11</f>
        <v>13.11</v>
      </c>
      <c r="K234" s="19">
        <v>108.9</v>
      </c>
      <c r="L234" s="19">
        <v>95.8</v>
      </c>
    </row>
    <row r="235" spans="1:16" ht="13.8">
      <c r="A235" s="12">
        <v>2021</v>
      </c>
      <c r="B235" s="27">
        <v>30</v>
      </c>
      <c r="C235" s="11" t="s">
        <v>37</v>
      </c>
      <c r="D235" s="28">
        <v>6</v>
      </c>
      <c r="E235" s="15">
        <v>0.82140000000000002</v>
      </c>
      <c r="F235" s="29">
        <f>19.88</f>
        <v>19.88</v>
      </c>
      <c r="G235" s="30">
        <v>111</v>
      </c>
      <c r="H235" s="27">
        <v>91.1</v>
      </c>
      <c r="I235" s="30">
        <v>65.5</v>
      </c>
      <c r="J235" s="31">
        <f>7.22</f>
        <v>7.22</v>
      </c>
      <c r="K235" s="27">
        <v>106.4</v>
      </c>
      <c r="L235" s="27">
        <v>99.2</v>
      </c>
    </row>
    <row r="236" spans="1:16" ht="13.8">
      <c r="A236" s="12">
        <v>2021</v>
      </c>
      <c r="B236" s="19">
        <v>32</v>
      </c>
      <c r="C236" s="11" t="s">
        <v>140</v>
      </c>
      <c r="D236" s="14">
        <v>9</v>
      </c>
      <c r="E236" s="15">
        <v>0.76190000000000002</v>
      </c>
      <c r="F236" s="20">
        <f>19.04</f>
        <v>19.04</v>
      </c>
      <c r="G236" s="21">
        <v>110</v>
      </c>
      <c r="H236" s="19">
        <v>91</v>
      </c>
      <c r="I236" s="21">
        <v>64.8</v>
      </c>
      <c r="J236" s="22">
        <f>8.53</f>
        <v>8.5299999999999994</v>
      </c>
      <c r="K236" s="19">
        <v>106.6</v>
      </c>
      <c r="L236" s="19">
        <v>98</v>
      </c>
    </row>
    <row r="237" spans="1:16" ht="13.8">
      <c r="A237" s="12">
        <v>2021</v>
      </c>
      <c r="B237" s="23">
        <v>33</v>
      </c>
      <c r="C237" s="11" t="s">
        <v>141</v>
      </c>
      <c r="D237" s="14">
        <v>4</v>
      </c>
      <c r="E237" s="15">
        <v>0.7</v>
      </c>
      <c r="F237" s="24">
        <f>18.95</f>
        <v>18.95</v>
      </c>
      <c r="G237" s="25">
        <v>109.6</v>
      </c>
      <c r="H237" s="23">
        <v>90.7</v>
      </c>
      <c r="I237" s="25">
        <v>72.400000000000006</v>
      </c>
      <c r="J237" s="26">
        <f>15.52</f>
        <v>15.52</v>
      </c>
      <c r="K237" s="23">
        <v>111.1</v>
      </c>
      <c r="L237" s="23">
        <v>95.6</v>
      </c>
      <c r="P237" s="11">
        <v>1</v>
      </c>
    </row>
    <row r="238" spans="1:16" ht="13.8">
      <c r="A238" s="12">
        <v>2021</v>
      </c>
      <c r="B238" s="19">
        <v>34</v>
      </c>
      <c r="C238" s="11" t="s">
        <v>25</v>
      </c>
      <c r="D238" s="14">
        <v>8</v>
      </c>
      <c r="E238" s="15">
        <v>0.62070000000000003</v>
      </c>
      <c r="F238" s="20">
        <f>18.62</f>
        <v>18.62</v>
      </c>
      <c r="G238" s="21">
        <v>110.3</v>
      </c>
      <c r="H238" s="19">
        <v>91.7</v>
      </c>
      <c r="I238" s="21">
        <v>71.5</v>
      </c>
      <c r="J238" s="22">
        <f>14.79</f>
        <v>14.79</v>
      </c>
      <c r="K238" s="19">
        <v>110.9</v>
      </c>
      <c r="L238" s="19">
        <v>96.1</v>
      </c>
    </row>
    <row r="239" spans="1:16" ht="13.8">
      <c r="A239" s="12">
        <v>2021</v>
      </c>
      <c r="B239" s="23">
        <v>35</v>
      </c>
      <c r="C239" s="11" t="s">
        <v>91</v>
      </c>
      <c r="D239" s="14">
        <v>10</v>
      </c>
      <c r="E239" s="15">
        <v>0.5484</v>
      </c>
      <c r="F239" s="24">
        <f>17.63</f>
        <v>17.63</v>
      </c>
      <c r="G239" s="25">
        <v>111.8</v>
      </c>
      <c r="H239" s="23">
        <v>94.1</v>
      </c>
      <c r="I239" s="25">
        <v>64.7</v>
      </c>
      <c r="J239" s="26">
        <f>17.1</f>
        <v>17.100000000000001</v>
      </c>
      <c r="K239" s="23">
        <v>110.2</v>
      </c>
      <c r="L239" s="23">
        <v>93.1</v>
      </c>
      <c r="P239" s="11">
        <v>1</v>
      </c>
    </row>
    <row r="240" spans="1:16" ht="13.8">
      <c r="A240" s="12">
        <v>2021</v>
      </c>
      <c r="B240" s="23">
        <v>37</v>
      </c>
      <c r="C240" s="11" t="s">
        <v>142</v>
      </c>
      <c r="D240" s="14">
        <v>9</v>
      </c>
      <c r="E240" s="15">
        <v>0.65380000000000005</v>
      </c>
      <c r="F240" s="24">
        <f>17.5</f>
        <v>17.5</v>
      </c>
      <c r="G240" s="25">
        <v>113.7</v>
      </c>
      <c r="H240" s="23">
        <v>96.2</v>
      </c>
      <c r="I240" s="25">
        <v>67.3</v>
      </c>
      <c r="J240" s="26">
        <f>12.7</f>
        <v>12.7</v>
      </c>
      <c r="K240" s="23">
        <v>108.7</v>
      </c>
      <c r="L240" s="23">
        <v>96</v>
      </c>
    </row>
    <row r="241" spans="1:16" ht="13.8">
      <c r="A241" s="12">
        <v>2021</v>
      </c>
      <c r="B241" s="19">
        <v>38</v>
      </c>
      <c r="C241" s="11" t="s">
        <v>129</v>
      </c>
      <c r="D241" s="14">
        <v>10</v>
      </c>
      <c r="E241" s="15">
        <v>0.57140000000000002</v>
      </c>
      <c r="F241" s="20">
        <f>17.48</f>
        <v>17.48</v>
      </c>
      <c r="G241" s="21">
        <v>108.1</v>
      </c>
      <c r="H241" s="19">
        <v>90.6</v>
      </c>
      <c r="I241" s="21">
        <v>67.400000000000006</v>
      </c>
      <c r="J241" s="22">
        <f>17.99</f>
        <v>17.989999999999998</v>
      </c>
      <c r="K241" s="19">
        <v>112.4</v>
      </c>
      <c r="L241" s="19">
        <v>94.4</v>
      </c>
      <c r="P241" s="11">
        <v>1</v>
      </c>
    </row>
    <row r="242" spans="1:16" ht="13.8">
      <c r="A242" s="12">
        <v>2021</v>
      </c>
      <c r="B242" s="23">
        <v>39</v>
      </c>
      <c r="C242" s="11" t="s">
        <v>143</v>
      </c>
      <c r="D242" s="14">
        <v>8</v>
      </c>
      <c r="E242" s="15">
        <v>0.59260000000000002</v>
      </c>
      <c r="F242" s="24">
        <f>17.06</f>
        <v>17.059999999999999</v>
      </c>
      <c r="G242" s="25">
        <v>112.1</v>
      </c>
      <c r="H242" s="23">
        <v>95.1</v>
      </c>
      <c r="I242" s="25">
        <v>67.099999999999994</v>
      </c>
      <c r="J242" s="26">
        <f>14.29</f>
        <v>14.29</v>
      </c>
      <c r="K242" s="23">
        <v>109.5</v>
      </c>
      <c r="L242" s="23">
        <v>95.2</v>
      </c>
      <c r="P242" s="11">
        <v>1</v>
      </c>
    </row>
    <row r="243" spans="1:16" ht="13.8">
      <c r="A243" s="12">
        <v>2021</v>
      </c>
      <c r="B243" s="23">
        <v>41</v>
      </c>
      <c r="C243" s="11" t="s">
        <v>41</v>
      </c>
      <c r="D243" s="14">
        <v>7</v>
      </c>
      <c r="E243" s="15">
        <v>0.6</v>
      </c>
      <c r="F243" s="24">
        <f>16.95</f>
        <v>16.95</v>
      </c>
      <c r="G243" s="25">
        <v>111</v>
      </c>
      <c r="H243" s="23">
        <v>94.1</v>
      </c>
      <c r="I243" s="25">
        <v>68.3</v>
      </c>
      <c r="J243" s="26">
        <f>14.72</f>
        <v>14.72</v>
      </c>
      <c r="K243" s="23">
        <v>109.9</v>
      </c>
      <c r="L243" s="23">
        <v>95.2</v>
      </c>
      <c r="P243" s="11">
        <v>1</v>
      </c>
    </row>
    <row r="244" spans="1:16" ht="13.8">
      <c r="A244" s="12">
        <v>2021</v>
      </c>
      <c r="B244" s="19">
        <v>42</v>
      </c>
      <c r="C244" s="11" t="s">
        <v>144</v>
      </c>
      <c r="D244" s="14">
        <v>11</v>
      </c>
      <c r="E244" s="15">
        <v>0.64290000000000003</v>
      </c>
      <c r="F244" s="20">
        <f>16.75</f>
        <v>16.75</v>
      </c>
      <c r="G244" s="21">
        <v>113.7</v>
      </c>
      <c r="H244" s="19">
        <v>96.9</v>
      </c>
      <c r="I244" s="21">
        <v>68.599999999999994</v>
      </c>
      <c r="J244" s="22">
        <f>12.94</f>
        <v>12.94</v>
      </c>
      <c r="K244" s="19">
        <v>109.4</v>
      </c>
      <c r="L244" s="19">
        <v>96.5</v>
      </c>
      <c r="M244" s="11">
        <v>1</v>
      </c>
      <c r="P244" s="11">
        <v>1</v>
      </c>
    </row>
    <row r="245" spans="1:16" ht="13.8">
      <c r="A245" s="12">
        <v>2021</v>
      </c>
      <c r="B245" s="23">
        <v>43</v>
      </c>
      <c r="C245" s="11" t="s">
        <v>145</v>
      </c>
      <c r="D245" s="14">
        <v>12</v>
      </c>
      <c r="E245" s="15">
        <v>0.60609999999999997</v>
      </c>
      <c r="F245" s="24">
        <f>16.4</f>
        <v>16.399999999999999</v>
      </c>
      <c r="G245" s="25">
        <v>112.1</v>
      </c>
      <c r="H245" s="23">
        <v>95.7</v>
      </c>
      <c r="I245" s="25">
        <v>65.5</v>
      </c>
      <c r="J245" s="26">
        <f>16.72</f>
        <v>16.72</v>
      </c>
      <c r="K245" s="23">
        <v>111.2</v>
      </c>
      <c r="L245" s="23">
        <v>94.5</v>
      </c>
      <c r="M245" s="11">
        <v>1</v>
      </c>
      <c r="N245" s="11">
        <v>1</v>
      </c>
      <c r="P245" s="11">
        <v>1</v>
      </c>
    </row>
    <row r="246" spans="1:16" ht="13.8">
      <c r="A246" s="12">
        <v>2021</v>
      </c>
      <c r="B246" s="23">
        <v>45</v>
      </c>
      <c r="C246" s="11" t="s">
        <v>35</v>
      </c>
      <c r="D246" s="14">
        <v>7</v>
      </c>
      <c r="E246" s="15">
        <v>0.66669999999999996</v>
      </c>
      <c r="F246" s="24">
        <f>15.48</f>
        <v>15.48</v>
      </c>
      <c r="G246" s="25">
        <v>106.4</v>
      </c>
      <c r="H246" s="23">
        <v>90.9</v>
      </c>
      <c r="I246" s="25">
        <v>64</v>
      </c>
      <c r="J246" s="26">
        <f>14.39</f>
        <v>14.39</v>
      </c>
      <c r="K246" s="23">
        <v>109.7</v>
      </c>
      <c r="L246" s="23">
        <v>95.3</v>
      </c>
    </row>
    <row r="247" spans="1:16" ht="13.8">
      <c r="A247" s="12">
        <v>2021</v>
      </c>
      <c r="B247" s="19">
        <v>46</v>
      </c>
      <c r="C247" s="11" t="s">
        <v>57</v>
      </c>
      <c r="D247" s="14">
        <v>11</v>
      </c>
      <c r="E247" s="15">
        <v>0.69230000000000003</v>
      </c>
      <c r="F247" s="20">
        <f>15.34</f>
        <v>15.34</v>
      </c>
      <c r="G247" s="21">
        <v>104.8</v>
      </c>
      <c r="H247" s="19">
        <v>89.5</v>
      </c>
      <c r="I247" s="21">
        <v>68.599999999999994</v>
      </c>
      <c r="J247" s="22">
        <f>5.64</f>
        <v>5.64</v>
      </c>
      <c r="K247" s="19">
        <v>105.4</v>
      </c>
      <c r="L247" s="19">
        <v>99.7</v>
      </c>
    </row>
    <row r="248" spans="1:16" ht="13.8">
      <c r="A248" s="12">
        <v>2021</v>
      </c>
      <c r="B248" s="23">
        <v>47</v>
      </c>
      <c r="C248" s="11" t="s">
        <v>98</v>
      </c>
      <c r="D248" s="14">
        <v>9</v>
      </c>
      <c r="E248" s="15">
        <v>0.61539999999999995</v>
      </c>
      <c r="F248" s="24">
        <f>15.14</f>
        <v>15.14</v>
      </c>
      <c r="G248" s="25">
        <v>110.6</v>
      </c>
      <c r="H248" s="23">
        <v>95.5</v>
      </c>
      <c r="I248" s="25">
        <v>68.400000000000006</v>
      </c>
      <c r="J248" s="26">
        <f>15.85</f>
        <v>15.85</v>
      </c>
      <c r="K248" s="23">
        <v>110.2</v>
      </c>
      <c r="L248" s="23">
        <v>94.4</v>
      </c>
    </row>
    <row r="249" spans="1:16" ht="13.8">
      <c r="A249" s="12">
        <v>2021</v>
      </c>
      <c r="B249" s="19">
        <v>48</v>
      </c>
      <c r="C249" s="11" t="s">
        <v>100</v>
      </c>
      <c r="D249" s="14">
        <v>10</v>
      </c>
      <c r="E249" s="15">
        <v>0.73080000000000001</v>
      </c>
      <c r="F249" s="20">
        <f>15.04</f>
        <v>15.04</v>
      </c>
      <c r="G249" s="21">
        <v>105.2</v>
      </c>
      <c r="H249" s="19">
        <v>90.2</v>
      </c>
      <c r="I249" s="21">
        <v>69.599999999999994</v>
      </c>
      <c r="J249" s="22">
        <f>8.57</f>
        <v>8.57</v>
      </c>
      <c r="K249" s="19">
        <v>106.5</v>
      </c>
      <c r="L249" s="19">
        <v>98</v>
      </c>
    </row>
    <row r="250" spans="1:16" ht="13.8">
      <c r="A250" s="12">
        <v>2021</v>
      </c>
      <c r="B250" s="19">
        <v>52</v>
      </c>
      <c r="C250" s="11" t="s">
        <v>116</v>
      </c>
      <c r="D250" s="14">
        <v>10</v>
      </c>
      <c r="E250" s="15">
        <v>0.68179999999999996</v>
      </c>
      <c r="F250" s="20">
        <f>14.44</f>
        <v>14.44</v>
      </c>
      <c r="G250" s="21">
        <v>109.7</v>
      </c>
      <c r="H250" s="19">
        <v>95.3</v>
      </c>
      <c r="I250" s="21">
        <v>65.7</v>
      </c>
      <c r="J250" s="22">
        <f>9.69</f>
        <v>9.69</v>
      </c>
      <c r="K250" s="19">
        <v>107.9</v>
      </c>
      <c r="L250" s="19">
        <v>98.2</v>
      </c>
    </row>
    <row r="251" spans="1:16" ht="13.8">
      <c r="A251" s="12">
        <v>2021</v>
      </c>
      <c r="B251" s="23">
        <v>55</v>
      </c>
      <c r="C251" s="11" t="s">
        <v>59</v>
      </c>
      <c r="D251" s="14">
        <v>11</v>
      </c>
      <c r="E251" s="15">
        <v>0.8387</v>
      </c>
      <c r="F251" s="24">
        <f>14.27</f>
        <v>14.27</v>
      </c>
      <c r="G251" s="25">
        <v>112.5</v>
      </c>
      <c r="H251" s="23">
        <v>98.2</v>
      </c>
      <c r="I251" s="25">
        <v>66.3</v>
      </c>
      <c r="J251" s="26">
        <f>3.98</f>
        <v>3.98</v>
      </c>
      <c r="K251" s="23">
        <v>104.1</v>
      </c>
      <c r="L251" s="23">
        <v>100.1</v>
      </c>
    </row>
    <row r="252" spans="1:16" ht="13.8">
      <c r="A252" s="12">
        <v>2021</v>
      </c>
      <c r="B252" s="19">
        <v>56</v>
      </c>
      <c r="C252" s="11" t="s">
        <v>146</v>
      </c>
      <c r="D252" s="14">
        <v>3</v>
      </c>
      <c r="E252" s="15">
        <v>0.64710000000000001</v>
      </c>
      <c r="F252" s="20">
        <f>14.07</f>
        <v>14.07</v>
      </c>
      <c r="G252" s="21">
        <v>110.8</v>
      </c>
      <c r="H252" s="19">
        <v>96.8</v>
      </c>
      <c r="I252" s="21">
        <v>68.8</v>
      </c>
      <c r="J252" s="22">
        <f>8.72</f>
        <v>8.7200000000000006</v>
      </c>
      <c r="K252" s="19">
        <v>105</v>
      </c>
      <c r="L252" s="19">
        <v>96.2</v>
      </c>
    </row>
    <row r="253" spans="1:16" ht="13.8">
      <c r="A253" s="12">
        <v>2021</v>
      </c>
      <c r="B253" s="19">
        <v>58</v>
      </c>
      <c r="C253" s="11" t="s">
        <v>107</v>
      </c>
      <c r="D253" s="14">
        <v>12</v>
      </c>
      <c r="E253" s="15">
        <v>0.81479999999999997</v>
      </c>
      <c r="F253" s="20">
        <f>13.63</f>
        <v>13.63</v>
      </c>
      <c r="G253" s="21">
        <v>109.9</v>
      </c>
      <c r="H253" s="19">
        <v>96.2</v>
      </c>
      <c r="I253" s="21">
        <v>65.599999999999994</v>
      </c>
      <c r="J253" s="22">
        <f>1.8</f>
        <v>1.8</v>
      </c>
      <c r="K253" s="19">
        <v>102.8</v>
      </c>
      <c r="L253" s="19">
        <v>101</v>
      </c>
    </row>
    <row r="254" spans="1:16" ht="13.8">
      <c r="A254" s="12">
        <v>2021</v>
      </c>
      <c r="B254" s="23">
        <v>63</v>
      </c>
      <c r="C254" s="11" t="s">
        <v>147</v>
      </c>
      <c r="D254" s="14">
        <v>12</v>
      </c>
      <c r="E254" s="15">
        <v>0.5</v>
      </c>
      <c r="F254" s="24">
        <f>12.91</f>
        <v>12.91</v>
      </c>
      <c r="G254" s="25">
        <v>107.9</v>
      </c>
      <c r="H254" s="23">
        <v>95</v>
      </c>
      <c r="I254" s="25">
        <v>69.7</v>
      </c>
      <c r="J254" s="26">
        <f>14.96</f>
        <v>14.96</v>
      </c>
      <c r="K254" s="23">
        <v>110.6</v>
      </c>
      <c r="L254" s="23">
        <v>95.6</v>
      </c>
    </row>
    <row r="255" spans="1:16" ht="13.8">
      <c r="A255" s="12">
        <v>2021</v>
      </c>
      <c r="B255" s="19">
        <v>64</v>
      </c>
      <c r="C255" s="11" t="s">
        <v>32</v>
      </c>
      <c r="D255" s="14">
        <v>11</v>
      </c>
      <c r="E255" s="15">
        <v>0.53569999999999995</v>
      </c>
      <c r="F255" s="20">
        <f>12.9</f>
        <v>12.9</v>
      </c>
      <c r="G255" s="21">
        <v>107.1</v>
      </c>
      <c r="H255" s="19">
        <v>94.2</v>
      </c>
      <c r="I255" s="21">
        <v>68.3</v>
      </c>
      <c r="J255" s="22">
        <f>17.72</f>
        <v>17.72</v>
      </c>
      <c r="K255" s="19">
        <v>112.5</v>
      </c>
      <c r="L255" s="19">
        <v>94.8</v>
      </c>
    </row>
    <row r="256" spans="1:16" ht="13.8">
      <c r="A256" s="12">
        <v>2021</v>
      </c>
      <c r="B256" s="19">
        <v>68</v>
      </c>
      <c r="C256" s="11" t="s">
        <v>148</v>
      </c>
      <c r="D256" s="14">
        <v>11</v>
      </c>
      <c r="E256" s="15">
        <v>0.72729999999999995</v>
      </c>
      <c r="F256" s="20">
        <f>12.3</f>
        <v>12.3</v>
      </c>
      <c r="G256" s="21">
        <v>109.5</v>
      </c>
      <c r="H256" s="19">
        <v>97.2</v>
      </c>
      <c r="I256" s="21">
        <v>67</v>
      </c>
      <c r="J256" s="22">
        <f>10.47</f>
        <v>10.47</v>
      </c>
      <c r="K256" s="19">
        <v>106.4</v>
      </c>
      <c r="L256" s="19">
        <v>96</v>
      </c>
    </row>
    <row r="257" spans="1:16" ht="13.8">
      <c r="A257" s="12">
        <v>2021</v>
      </c>
      <c r="B257" s="19">
        <v>72</v>
      </c>
      <c r="C257" s="11" t="s">
        <v>149</v>
      </c>
      <c r="D257" s="14">
        <v>13</v>
      </c>
      <c r="E257" s="15">
        <v>0.64290000000000003</v>
      </c>
      <c r="F257" s="20">
        <f>11.76</f>
        <v>11.76</v>
      </c>
      <c r="G257" s="21">
        <v>106.7</v>
      </c>
      <c r="H257" s="19">
        <v>95</v>
      </c>
      <c r="I257" s="21">
        <v>62.7</v>
      </c>
      <c r="J257" s="22">
        <f>6.35</f>
        <v>6.35</v>
      </c>
      <c r="K257" s="19">
        <v>105</v>
      </c>
      <c r="L257" s="19">
        <v>98.6</v>
      </c>
      <c r="P257" s="11">
        <v>1</v>
      </c>
    </row>
    <row r="258" spans="1:16" ht="13.8">
      <c r="A258" s="12">
        <v>2021</v>
      </c>
      <c r="B258" s="23">
        <v>81</v>
      </c>
      <c r="C258" s="11" t="s">
        <v>150</v>
      </c>
      <c r="D258" s="14">
        <v>13</v>
      </c>
      <c r="E258" s="15">
        <v>0.68</v>
      </c>
      <c r="F258" s="24">
        <f>10.47</f>
        <v>10.47</v>
      </c>
      <c r="G258" s="25">
        <v>111.4</v>
      </c>
      <c r="H258" s="23">
        <v>100.9</v>
      </c>
      <c r="I258" s="25">
        <v>69.2</v>
      </c>
      <c r="J258" s="26">
        <f>5.23</f>
        <v>5.23</v>
      </c>
      <c r="K258" s="23">
        <v>106.1</v>
      </c>
      <c r="L258" s="23">
        <v>100.9</v>
      </c>
      <c r="P258" s="11">
        <v>1</v>
      </c>
    </row>
    <row r="259" spans="1:16" ht="13.8">
      <c r="A259" s="12">
        <v>2021</v>
      </c>
      <c r="B259" s="19">
        <v>84</v>
      </c>
      <c r="C259" s="11" t="s">
        <v>151</v>
      </c>
      <c r="D259" s="14">
        <v>14</v>
      </c>
      <c r="E259" s="15">
        <v>0.8276</v>
      </c>
      <c r="F259" s="20">
        <f>10.11</f>
        <v>10.11</v>
      </c>
      <c r="G259" s="21">
        <v>101.7</v>
      </c>
      <c r="H259" s="19">
        <v>91.6</v>
      </c>
      <c r="I259" s="21">
        <v>69.3</v>
      </c>
      <c r="J259" s="21">
        <v>-5.43</v>
      </c>
      <c r="K259" s="19">
        <v>99.4</v>
      </c>
      <c r="L259" s="19">
        <v>104.8</v>
      </c>
      <c r="P259" s="11">
        <v>1</v>
      </c>
    </row>
    <row r="260" spans="1:16" ht="13.8">
      <c r="A260" s="12">
        <v>2021</v>
      </c>
      <c r="B260" s="23">
        <v>89</v>
      </c>
      <c r="C260" s="11" t="s">
        <v>76</v>
      </c>
      <c r="D260" s="14">
        <v>14</v>
      </c>
      <c r="E260" s="15">
        <v>0.875</v>
      </c>
      <c r="F260" s="24">
        <f>9.25</f>
        <v>9.25</v>
      </c>
      <c r="G260" s="25">
        <v>110.3</v>
      </c>
      <c r="H260" s="23">
        <v>101</v>
      </c>
      <c r="I260" s="25">
        <v>72.2</v>
      </c>
      <c r="J260" s="25">
        <v>-5.8</v>
      </c>
      <c r="K260" s="23">
        <v>99.6</v>
      </c>
      <c r="L260" s="23">
        <v>105.4</v>
      </c>
    </row>
    <row r="261" spans="1:16" ht="13.8">
      <c r="A261" s="12">
        <v>2021</v>
      </c>
      <c r="B261" s="19">
        <v>98</v>
      </c>
      <c r="C261" s="11" t="s">
        <v>152</v>
      </c>
      <c r="D261" s="14">
        <v>13</v>
      </c>
      <c r="E261" s="15">
        <v>0.79310000000000003</v>
      </c>
      <c r="F261" s="20">
        <f>8.6</f>
        <v>8.6</v>
      </c>
      <c r="G261" s="21">
        <v>109.8</v>
      </c>
      <c r="H261" s="19">
        <v>101.2</v>
      </c>
      <c r="I261" s="21">
        <v>63.1</v>
      </c>
      <c r="J261" s="21">
        <v>-4.82</v>
      </c>
      <c r="K261" s="19">
        <v>99.5</v>
      </c>
      <c r="L261" s="19">
        <v>104.3</v>
      </c>
    </row>
    <row r="262" spans="1:16" ht="13.8">
      <c r="A262" s="12">
        <v>2021</v>
      </c>
      <c r="B262" s="23">
        <v>101</v>
      </c>
      <c r="C262" s="11" t="s">
        <v>153</v>
      </c>
      <c r="D262" s="14">
        <v>12</v>
      </c>
      <c r="E262" s="15">
        <v>0.91669999999999996</v>
      </c>
      <c r="F262" s="24">
        <f>8.48</f>
        <v>8.48</v>
      </c>
      <c r="G262" s="25">
        <v>105</v>
      </c>
      <c r="H262" s="23">
        <v>96.5</v>
      </c>
      <c r="I262" s="25">
        <v>73.099999999999994</v>
      </c>
      <c r="J262" s="25">
        <v>-5.62</v>
      </c>
      <c r="K262" s="23">
        <v>99.6</v>
      </c>
      <c r="L262" s="23">
        <v>105.2</v>
      </c>
    </row>
    <row r="263" spans="1:16" ht="13.8">
      <c r="A263" s="12">
        <v>2021</v>
      </c>
      <c r="B263" s="23">
        <v>103</v>
      </c>
      <c r="C263" s="11" t="s">
        <v>58</v>
      </c>
      <c r="D263" s="14">
        <v>15</v>
      </c>
      <c r="E263" s="15">
        <v>0.70830000000000004</v>
      </c>
      <c r="F263" s="24">
        <f>8.32</f>
        <v>8.32</v>
      </c>
      <c r="G263" s="25">
        <v>105.4</v>
      </c>
      <c r="H263" s="23">
        <v>97.1</v>
      </c>
      <c r="I263" s="25">
        <v>64.900000000000006</v>
      </c>
      <c r="J263" s="25">
        <v>-1.44</v>
      </c>
      <c r="K263" s="23">
        <v>102</v>
      </c>
      <c r="L263" s="23">
        <v>103.5</v>
      </c>
    </row>
    <row r="264" spans="1:16" ht="13.8">
      <c r="A264" s="12">
        <v>2021</v>
      </c>
      <c r="B264" s="23">
        <v>105</v>
      </c>
      <c r="C264" s="11" t="s">
        <v>154</v>
      </c>
      <c r="D264" s="14">
        <v>14</v>
      </c>
      <c r="E264" s="15">
        <v>0.66669999999999996</v>
      </c>
      <c r="F264" s="24">
        <f>8.19</f>
        <v>8.19</v>
      </c>
      <c r="G264" s="25">
        <v>109.5</v>
      </c>
      <c r="H264" s="23">
        <v>101.3</v>
      </c>
      <c r="I264" s="25">
        <v>72.2</v>
      </c>
      <c r="J264" s="25">
        <v>-0.43</v>
      </c>
      <c r="K264" s="23">
        <v>102</v>
      </c>
      <c r="L264" s="23">
        <v>102.4</v>
      </c>
    </row>
    <row r="265" spans="1:16" ht="13.8">
      <c r="A265" s="12">
        <v>2021</v>
      </c>
      <c r="B265" s="19">
        <v>108</v>
      </c>
      <c r="C265" s="11" t="s">
        <v>155</v>
      </c>
      <c r="D265" s="14">
        <v>13</v>
      </c>
      <c r="E265" s="15">
        <v>0.7</v>
      </c>
      <c r="F265" s="20">
        <f>7.79</f>
        <v>7.79</v>
      </c>
      <c r="G265" s="21">
        <v>103.6</v>
      </c>
      <c r="H265" s="19">
        <v>95.8</v>
      </c>
      <c r="I265" s="21">
        <v>68</v>
      </c>
      <c r="J265" s="22">
        <f>1.48</f>
        <v>1.48</v>
      </c>
      <c r="K265" s="19">
        <v>103.8</v>
      </c>
      <c r="L265" s="19">
        <v>102.3</v>
      </c>
    </row>
    <row r="266" spans="1:16" ht="13.8">
      <c r="A266" s="12">
        <v>2021</v>
      </c>
      <c r="B266" s="23">
        <v>125</v>
      </c>
      <c r="C266" s="11" t="s">
        <v>101</v>
      </c>
      <c r="D266" s="14">
        <v>15</v>
      </c>
      <c r="E266" s="15">
        <v>0.62070000000000003</v>
      </c>
      <c r="F266" s="24">
        <f>4.83</f>
        <v>4.83</v>
      </c>
      <c r="G266" s="25">
        <v>109.3</v>
      </c>
      <c r="H266" s="23">
        <v>104.4</v>
      </c>
      <c r="I266" s="25">
        <v>71.400000000000006</v>
      </c>
      <c r="J266" s="26">
        <f>4.09</f>
        <v>4.09</v>
      </c>
      <c r="K266" s="23">
        <v>105.2</v>
      </c>
      <c r="L266" s="23">
        <v>101.1</v>
      </c>
      <c r="M266" s="11">
        <v>1</v>
      </c>
      <c r="P266" s="11">
        <v>1</v>
      </c>
    </row>
    <row r="267" spans="1:16" ht="13.8">
      <c r="A267" s="12">
        <v>2021</v>
      </c>
      <c r="B267" s="19">
        <v>134</v>
      </c>
      <c r="C267" s="11" t="s">
        <v>71</v>
      </c>
      <c r="D267" s="14">
        <v>14</v>
      </c>
      <c r="E267" s="15">
        <v>0.7419</v>
      </c>
      <c r="F267" s="20">
        <f>3.19</f>
        <v>3.19</v>
      </c>
      <c r="G267" s="21">
        <v>100.6</v>
      </c>
      <c r="H267" s="19">
        <v>97.4</v>
      </c>
      <c r="I267" s="21">
        <v>65.2</v>
      </c>
      <c r="J267" s="21">
        <v>-1.1000000000000001</v>
      </c>
      <c r="K267" s="19">
        <v>102.1</v>
      </c>
      <c r="L267" s="19">
        <v>103.2</v>
      </c>
    </row>
    <row r="268" spans="1:16" ht="13.8">
      <c r="A268" s="12">
        <v>2021</v>
      </c>
      <c r="B268" s="19">
        <v>158</v>
      </c>
      <c r="C268" s="11" t="s">
        <v>156</v>
      </c>
      <c r="D268" s="14">
        <v>16</v>
      </c>
      <c r="E268" s="15">
        <v>0.6</v>
      </c>
      <c r="F268" s="20">
        <f>0.67</f>
        <v>0.67</v>
      </c>
      <c r="G268" s="21">
        <v>106.5</v>
      </c>
      <c r="H268" s="19">
        <v>105.8</v>
      </c>
      <c r="I268" s="21">
        <v>63.9</v>
      </c>
      <c r="J268" s="21">
        <v>-2.2799999999999998</v>
      </c>
      <c r="K268" s="19">
        <v>101.2</v>
      </c>
      <c r="L268" s="19">
        <v>103.5</v>
      </c>
    </row>
    <row r="269" spans="1:16" ht="13.8">
      <c r="A269" s="12">
        <v>2021</v>
      </c>
      <c r="B269" s="23">
        <v>169</v>
      </c>
      <c r="C269" s="11" t="s">
        <v>157</v>
      </c>
      <c r="D269" s="14">
        <v>15</v>
      </c>
      <c r="E269" s="15">
        <v>0.70369999999999999</v>
      </c>
      <c r="F269" s="23">
        <v>-0.13</v>
      </c>
      <c r="G269" s="25">
        <v>100.6</v>
      </c>
      <c r="H269" s="23">
        <v>100.7</v>
      </c>
      <c r="I269" s="25">
        <v>66.099999999999994</v>
      </c>
      <c r="J269" s="25">
        <v>-0.83</v>
      </c>
      <c r="K269" s="23">
        <v>105.1</v>
      </c>
      <c r="L269" s="23">
        <v>106</v>
      </c>
    </row>
    <row r="270" spans="1:16" ht="13.8">
      <c r="A270" s="12">
        <v>2021</v>
      </c>
      <c r="B270" s="19">
        <v>178</v>
      </c>
      <c r="C270" s="11" t="s">
        <v>102</v>
      </c>
      <c r="D270" s="14">
        <v>15</v>
      </c>
      <c r="E270" s="15">
        <v>0.66669999999999996</v>
      </c>
      <c r="F270" s="19">
        <v>-0.78</v>
      </c>
      <c r="G270" s="21">
        <v>100.2</v>
      </c>
      <c r="H270" s="19">
        <v>101</v>
      </c>
      <c r="I270" s="21">
        <v>67.7</v>
      </c>
      <c r="J270" s="21">
        <v>-5.67</v>
      </c>
      <c r="K270" s="19">
        <v>98.3</v>
      </c>
      <c r="L270" s="19">
        <v>103.9</v>
      </c>
    </row>
    <row r="271" spans="1:16" ht="13.8">
      <c r="A271" s="12">
        <v>2021</v>
      </c>
      <c r="B271" s="19">
        <v>194</v>
      </c>
      <c r="C271" s="11" t="s">
        <v>158</v>
      </c>
      <c r="D271" s="14">
        <v>16</v>
      </c>
      <c r="E271" s="15">
        <v>0.625</v>
      </c>
      <c r="F271" s="19">
        <v>-2.98</v>
      </c>
      <c r="G271" s="21">
        <v>97</v>
      </c>
      <c r="H271" s="19">
        <v>100</v>
      </c>
      <c r="I271" s="21">
        <v>66.900000000000006</v>
      </c>
      <c r="J271" s="21">
        <v>-5.09</v>
      </c>
      <c r="K271" s="19">
        <v>99.2</v>
      </c>
      <c r="L271" s="19">
        <v>104.3</v>
      </c>
    </row>
    <row r="272" spans="1:16" ht="13.8">
      <c r="A272" s="12">
        <v>2021</v>
      </c>
      <c r="B272" s="19">
        <v>208</v>
      </c>
      <c r="C272" s="11" t="s">
        <v>114</v>
      </c>
      <c r="D272" s="14">
        <v>16</v>
      </c>
      <c r="E272" s="15">
        <v>0.65380000000000005</v>
      </c>
      <c r="F272" s="19">
        <v>-4.37</v>
      </c>
      <c r="G272" s="21">
        <v>99.8</v>
      </c>
      <c r="H272" s="19">
        <v>104.2</v>
      </c>
      <c r="I272" s="21">
        <v>71.5</v>
      </c>
      <c r="J272" s="21">
        <v>-7.73</v>
      </c>
      <c r="K272" s="19">
        <v>95.5</v>
      </c>
      <c r="L272" s="19">
        <v>103.2</v>
      </c>
    </row>
    <row r="273" spans="1:16" ht="13.8">
      <c r="A273" s="12">
        <v>2021</v>
      </c>
      <c r="B273" s="27">
        <v>210</v>
      </c>
      <c r="C273" s="11" t="s">
        <v>137</v>
      </c>
      <c r="D273" s="28">
        <v>16</v>
      </c>
      <c r="E273" s="15">
        <v>0.68</v>
      </c>
      <c r="F273" s="27">
        <v>-4.47</v>
      </c>
      <c r="G273" s="30">
        <v>99.1</v>
      </c>
      <c r="H273" s="27">
        <v>103.6</v>
      </c>
      <c r="I273" s="30">
        <v>67.5</v>
      </c>
      <c r="J273" s="30">
        <v>-7.09</v>
      </c>
      <c r="K273" s="27">
        <v>98.1</v>
      </c>
      <c r="L273" s="27">
        <v>105.2</v>
      </c>
    </row>
    <row r="274" spans="1:16" ht="13.8">
      <c r="A274" s="12">
        <v>2021</v>
      </c>
      <c r="B274" s="19">
        <v>212</v>
      </c>
      <c r="C274" s="11" t="s">
        <v>159</v>
      </c>
      <c r="D274" s="14">
        <v>16</v>
      </c>
      <c r="E274" s="15">
        <v>0.58620000000000005</v>
      </c>
      <c r="F274" s="19">
        <v>-4.71</v>
      </c>
      <c r="G274" s="21">
        <v>98.4</v>
      </c>
      <c r="H274" s="19">
        <v>103.1</v>
      </c>
      <c r="I274" s="21">
        <v>65.5</v>
      </c>
      <c r="J274" s="21">
        <v>-2.83</v>
      </c>
      <c r="K274" s="19">
        <v>100.4</v>
      </c>
      <c r="L274" s="19">
        <v>103.3</v>
      </c>
    </row>
    <row r="275" spans="1:16" ht="13.8">
      <c r="A275" s="12">
        <v>2021</v>
      </c>
      <c r="B275" s="23">
        <v>237</v>
      </c>
      <c r="C275" s="11" t="s">
        <v>160</v>
      </c>
      <c r="D275" s="14">
        <v>16</v>
      </c>
      <c r="E275" s="15">
        <v>0.52170000000000005</v>
      </c>
      <c r="F275" s="23">
        <v>-6.62</v>
      </c>
      <c r="G275" s="25">
        <v>94.5</v>
      </c>
      <c r="H275" s="23">
        <v>101.1</v>
      </c>
      <c r="I275" s="25">
        <v>61.6</v>
      </c>
      <c r="J275" s="25">
        <v>-6.45</v>
      </c>
      <c r="K275" s="23">
        <v>99.4</v>
      </c>
      <c r="L275" s="23">
        <v>105.9</v>
      </c>
    </row>
    <row r="276" spans="1:16" ht="13.8">
      <c r="A276" s="12">
        <v>2019</v>
      </c>
      <c r="B276" s="13">
        <v>1</v>
      </c>
      <c r="C276" s="11" t="s">
        <v>64</v>
      </c>
      <c r="D276" s="14">
        <v>1</v>
      </c>
      <c r="E276" s="15">
        <v>0.92110000000000003</v>
      </c>
      <c r="F276" s="16">
        <f>34.22</f>
        <v>34.22</v>
      </c>
      <c r="G276" s="17">
        <v>123.4</v>
      </c>
      <c r="H276" s="13">
        <v>89.2</v>
      </c>
      <c r="I276" s="17">
        <v>59.4</v>
      </c>
      <c r="J276" s="18">
        <f>11.18</f>
        <v>11.18</v>
      </c>
      <c r="K276" s="13">
        <v>109.2</v>
      </c>
      <c r="L276" s="13">
        <v>98.1</v>
      </c>
      <c r="M276" s="11">
        <v>1</v>
      </c>
      <c r="N276" s="11">
        <v>1</v>
      </c>
      <c r="O276" s="11">
        <v>1</v>
      </c>
      <c r="P276" s="11">
        <v>1</v>
      </c>
    </row>
    <row r="277" spans="1:16" ht="13.8">
      <c r="A277" s="12">
        <v>2019</v>
      </c>
      <c r="B277" s="19">
        <v>2</v>
      </c>
      <c r="C277" s="11" t="s">
        <v>28</v>
      </c>
      <c r="D277" s="14">
        <v>1</v>
      </c>
      <c r="E277" s="15">
        <v>0.89190000000000003</v>
      </c>
      <c r="F277" s="20">
        <f>32.85</f>
        <v>32.85</v>
      </c>
      <c r="G277" s="21">
        <v>124.5</v>
      </c>
      <c r="H277" s="19">
        <v>91.6</v>
      </c>
      <c r="I277" s="21">
        <v>70.2</v>
      </c>
      <c r="J277" s="22">
        <f>4.46</f>
        <v>4.46</v>
      </c>
      <c r="K277" s="19">
        <v>106.9</v>
      </c>
      <c r="L277" s="19">
        <v>102.5</v>
      </c>
      <c r="M277" s="11">
        <v>1</v>
      </c>
      <c r="N277" s="11">
        <v>1</v>
      </c>
      <c r="P277" s="11">
        <v>1</v>
      </c>
    </row>
    <row r="278" spans="1:16" ht="13.8">
      <c r="A278" s="12">
        <v>2019</v>
      </c>
      <c r="B278" s="23">
        <v>3</v>
      </c>
      <c r="C278" s="11" t="s">
        <v>32</v>
      </c>
      <c r="D278" s="14">
        <v>2</v>
      </c>
      <c r="E278" s="15">
        <v>0.82050000000000001</v>
      </c>
      <c r="F278" s="24">
        <f>30.81</f>
        <v>30.81</v>
      </c>
      <c r="G278" s="25">
        <v>121</v>
      </c>
      <c r="H278" s="23">
        <v>90.2</v>
      </c>
      <c r="I278" s="25">
        <v>66.900000000000006</v>
      </c>
      <c r="J278" s="26">
        <f>13.67</f>
        <v>13.67</v>
      </c>
      <c r="K278" s="23">
        <v>110.6</v>
      </c>
      <c r="L278" s="23">
        <v>96.9</v>
      </c>
      <c r="M278" s="11">
        <v>1</v>
      </c>
      <c r="N278" s="11">
        <v>1</v>
      </c>
      <c r="O278" s="11">
        <v>1</v>
      </c>
      <c r="P278" s="11">
        <v>1</v>
      </c>
    </row>
    <row r="279" spans="1:16" ht="13.8">
      <c r="A279" s="12">
        <v>2019</v>
      </c>
      <c r="B279" s="19">
        <v>4</v>
      </c>
      <c r="C279" s="11" t="s">
        <v>23</v>
      </c>
      <c r="D279" s="14">
        <v>1</v>
      </c>
      <c r="E279" s="15">
        <v>0.84209999999999996</v>
      </c>
      <c r="F279" s="20">
        <f>30.62</f>
        <v>30.62</v>
      </c>
      <c r="G279" s="21">
        <v>120</v>
      </c>
      <c r="H279" s="19">
        <v>89.3</v>
      </c>
      <c r="I279" s="21">
        <v>72.099999999999994</v>
      </c>
      <c r="J279" s="22">
        <f>12.85</f>
        <v>12.85</v>
      </c>
      <c r="K279" s="19">
        <v>110.7</v>
      </c>
      <c r="L279" s="19">
        <v>97.8</v>
      </c>
      <c r="M279" s="11">
        <v>1</v>
      </c>
      <c r="N279" s="11">
        <v>1</v>
      </c>
      <c r="P279" s="11">
        <v>1</v>
      </c>
    </row>
    <row r="280" spans="1:16" ht="13.8">
      <c r="A280" s="12">
        <v>2019</v>
      </c>
      <c r="B280" s="23">
        <v>5</v>
      </c>
      <c r="C280" s="11" t="s">
        <v>45</v>
      </c>
      <c r="D280" s="14">
        <v>3</v>
      </c>
      <c r="E280" s="15">
        <v>0.81579999999999997</v>
      </c>
      <c r="F280" s="24">
        <f>30.03</f>
        <v>30.03</v>
      </c>
      <c r="G280" s="25">
        <v>114.1</v>
      </c>
      <c r="H280" s="23">
        <v>84.1</v>
      </c>
      <c r="I280" s="25">
        <v>66.599999999999994</v>
      </c>
      <c r="J280" s="26">
        <f>11.18</f>
        <v>11.18</v>
      </c>
      <c r="K280" s="23">
        <v>109.8</v>
      </c>
      <c r="L280" s="23">
        <v>98.7</v>
      </c>
      <c r="M280" s="11">
        <v>1</v>
      </c>
      <c r="N280" s="11">
        <v>1</v>
      </c>
      <c r="O280" s="11">
        <v>1</v>
      </c>
      <c r="P280" s="11">
        <v>1</v>
      </c>
    </row>
    <row r="281" spans="1:16" ht="13.8">
      <c r="A281" s="12">
        <v>2019</v>
      </c>
      <c r="B281" s="19">
        <v>6</v>
      </c>
      <c r="C281" s="11" t="s">
        <v>119</v>
      </c>
      <c r="D281" s="14">
        <v>2</v>
      </c>
      <c r="E281" s="15">
        <v>0.81079999999999997</v>
      </c>
      <c r="F281" s="20">
        <f>28.32</f>
        <v>28.32</v>
      </c>
      <c r="G281" s="21">
        <v>114.5</v>
      </c>
      <c r="H281" s="19">
        <v>86.2</v>
      </c>
      <c r="I281" s="21">
        <v>64.8</v>
      </c>
      <c r="J281" s="22">
        <f>11.27</f>
        <v>11.27</v>
      </c>
      <c r="K281" s="19">
        <v>109.2</v>
      </c>
      <c r="L281" s="19">
        <v>98</v>
      </c>
    </row>
    <row r="282" spans="1:16" ht="13.8">
      <c r="A282" s="12">
        <v>2019</v>
      </c>
      <c r="B282" s="23">
        <v>7</v>
      </c>
      <c r="C282" s="11" t="s">
        <v>25</v>
      </c>
      <c r="D282" s="14">
        <v>1</v>
      </c>
      <c r="E282" s="15">
        <v>0.80559999999999998</v>
      </c>
      <c r="F282" s="24">
        <f>27.69</f>
        <v>27.69</v>
      </c>
      <c r="G282" s="25">
        <v>119.7</v>
      </c>
      <c r="H282" s="23">
        <v>92</v>
      </c>
      <c r="I282" s="25">
        <v>74.3</v>
      </c>
      <c r="J282" s="26">
        <f>12.6</f>
        <v>12.6</v>
      </c>
      <c r="K282" s="23">
        <v>110.7</v>
      </c>
      <c r="L282" s="23">
        <v>98.1</v>
      </c>
      <c r="M282" s="11">
        <v>1</v>
      </c>
      <c r="P282" s="11">
        <v>1</v>
      </c>
    </row>
    <row r="283" spans="1:16" ht="13.8">
      <c r="A283" s="12">
        <v>2019</v>
      </c>
      <c r="B283" s="19">
        <v>8</v>
      </c>
      <c r="C283" s="11" t="s">
        <v>38</v>
      </c>
      <c r="D283" s="14">
        <v>2</v>
      </c>
      <c r="E283" s="15">
        <v>0.81079999999999997</v>
      </c>
      <c r="F283" s="20">
        <f>27.57</f>
        <v>27.57</v>
      </c>
      <c r="G283" s="21">
        <v>117.6</v>
      </c>
      <c r="H283" s="19">
        <v>90.1</v>
      </c>
      <c r="I283" s="21">
        <v>65.599999999999994</v>
      </c>
      <c r="J283" s="22">
        <f>11.32</f>
        <v>11.32</v>
      </c>
      <c r="K283" s="19">
        <v>110.7</v>
      </c>
      <c r="L283" s="19">
        <v>99.4</v>
      </c>
      <c r="M283" s="11">
        <v>1</v>
      </c>
      <c r="N283" s="11">
        <v>1</v>
      </c>
      <c r="P283" s="11">
        <v>1</v>
      </c>
    </row>
    <row r="284" spans="1:16" ht="13.8">
      <c r="A284" s="12">
        <v>2019</v>
      </c>
      <c r="B284" s="23">
        <v>9</v>
      </c>
      <c r="C284" s="11" t="s">
        <v>19</v>
      </c>
      <c r="D284" s="14">
        <v>3</v>
      </c>
      <c r="E284" s="15">
        <v>0.72219999999999995</v>
      </c>
      <c r="F284" s="24">
        <f>26.81</f>
        <v>26.81</v>
      </c>
      <c r="G284" s="25">
        <v>122.5</v>
      </c>
      <c r="H284" s="23">
        <v>95.6</v>
      </c>
      <c r="I284" s="25">
        <v>65.900000000000006</v>
      </c>
      <c r="J284" s="26">
        <f>13.16</f>
        <v>13.16</v>
      </c>
      <c r="K284" s="23">
        <v>110.3</v>
      </c>
      <c r="L284" s="23">
        <v>97.1</v>
      </c>
      <c r="M284" s="11">
        <v>1</v>
      </c>
      <c r="N284" s="11">
        <v>1</v>
      </c>
      <c r="P284" s="11">
        <v>1</v>
      </c>
    </row>
    <row r="285" spans="1:16" ht="13.8">
      <c r="A285" s="12">
        <v>2019</v>
      </c>
      <c r="B285" s="27">
        <v>10</v>
      </c>
      <c r="C285" s="11" t="s">
        <v>21</v>
      </c>
      <c r="D285" s="28">
        <v>2</v>
      </c>
      <c r="E285" s="15">
        <v>0.83779999999999999</v>
      </c>
      <c r="F285" s="29">
        <f>26.24</f>
        <v>26.24</v>
      </c>
      <c r="G285" s="30">
        <v>122.7</v>
      </c>
      <c r="H285" s="27">
        <v>96.5</v>
      </c>
      <c r="I285" s="30">
        <v>67.8</v>
      </c>
      <c r="J285" s="31">
        <f>10.69</f>
        <v>10.69</v>
      </c>
      <c r="K285" s="27">
        <v>109.7</v>
      </c>
      <c r="L285" s="27">
        <v>99</v>
      </c>
      <c r="M285" s="11">
        <v>1</v>
      </c>
      <c r="P285" s="11">
        <v>1</v>
      </c>
    </row>
    <row r="286" spans="1:16" ht="13.8">
      <c r="A286" s="12">
        <v>2019</v>
      </c>
      <c r="B286" s="23">
        <v>11</v>
      </c>
      <c r="C286" s="11" t="s">
        <v>20</v>
      </c>
      <c r="D286" s="14">
        <v>5</v>
      </c>
      <c r="E286" s="15">
        <v>0.75</v>
      </c>
      <c r="F286" s="24">
        <f>25</f>
        <v>25</v>
      </c>
      <c r="G286" s="25">
        <v>120.9</v>
      </c>
      <c r="H286" s="23">
        <v>95.9</v>
      </c>
      <c r="I286" s="25">
        <v>67.900000000000006</v>
      </c>
      <c r="J286" s="26">
        <f>12.23</f>
        <v>12.23</v>
      </c>
      <c r="K286" s="23">
        <v>110.7</v>
      </c>
      <c r="L286" s="23">
        <v>98.5</v>
      </c>
      <c r="M286" s="11">
        <v>1</v>
      </c>
      <c r="N286" s="11">
        <v>1</v>
      </c>
      <c r="O286" s="11">
        <v>1</v>
      </c>
      <c r="P286" s="11">
        <v>1</v>
      </c>
    </row>
    <row r="287" spans="1:16" ht="13.8">
      <c r="A287" s="12">
        <v>2019</v>
      </c>
      <c r="B287" s="19">
        <v>12</v>
      </c>
      <c r="C287" s="11" t="s">
        <v>18</v>
      </c>
      <c r="D287" s="14">
        <v>3</v>
      </c>
      <c r="E287" s="15">
        <v>0.89190000000000003</v>
      </c>
      <c r="F287" s="20">
        <f>24.13</f>
        <v>24.13</v>
      </c>
      <c r="G287" s="21">
        <v>115.3</v>
      </c>
      <c r="H287" s="19">
        <v>91.2</v>
      </c>
      <c r="I287" s="21">
        <v>66.099999999999994</v>
      </c>
      <c r="J287" s="22">
        <f>4.45</f>
        <v>4.45</v>
      </c>
      <c r="K287" s="19">
        <v>105.7</v>
      </c>
      <c r="L287" s="19">
        <v>101.3</v>
      </c>
      <c r="M287" s="11">
        <v>1</v>
      </c>
      <c r="P287" s="11">
        <v>1</v>
      </c>
    </row>
    <row r="288" spans="1:16" ht="13.8">
      <c r="A288" s="12">
        <v>2019</v>
      </c>
      <c r="B288" s="23">
        <v>13</v>
      </c>
      <c r="C288" s="11" t="s">
        <v>116</v>
      </c>
      <c r="D288" s="14">
        <v>4</v>
      </c>
      <c r="E288" s="15">
        <v>0.7429</v>
      </c>
      <c r="F288" s="24">
        <f>24.07</f>
        <v>24.07</v>
      </c>
      <c r="G288" s="25">
        <v>118.1</v>
      </c>
      <c r="H288" s="23">
        <v>94</v>
      </c>
      <c r="I288" s="25">
        <v>63.7</v>
      </c>
      <c r="J288" s="26">
        <f>8.47</f>
        <v>8.4700000000000006</v>
      </c>
      <c r="K288" s="23">
        <v>108.3</v>
      </c>
      <c r="L288" s="23">
        <v>99.9</v>
      </c>
      <c r="M288" s="11">
        <v>1</v>
      </c>
      <c r="P288" s="11">
        <v>1</v>
      </c>
    </row>
    <row r="289" spans="1:16" ht="13.8">
      <c r="A289" s="12">
        <v>2019</v>
      </c>
      <c r="B289" s="19">
        <v>14</v>
      </c>
      <c r="C289" s="11" t="s">
        <v>139</v>
      </c>
      <c r="D289" s="14">
        <v>4</v>
      </c>
      <c r="E289" s="15">
        <v>0.78869999999999996</v>
      </c>
      <c r="F289" s="20">
        <f>22.39</f>
        <v>22.39</v>
      </c>
      <c r="G289" s="21">
        <v>112.8</v>
      </c>
      <c r="H289" s="19">
        <v>90.4</v>
      </c>
      <c r="I289" s="21">
        <v>68.599999999999994</v>
      </c>
      <c r="J289" s="22">
        <f>10.46</f>
        <v>10.46</v>
      </c>
      <c r="K289" s="19">
        <v>109.8</v>
      </c>
      <c r="L289" s="19">
        <v>99.3</v>
      </c>
      <c r="M289" s="11">
        <v>1</v>
      </c>
      <c r="P289" s="11">
        <v>1</v>
      </c>
    </row>
    <row r="290" spans="1:16" ht="13.8">
      <c r="A290" s="12">
        <v>2019</v>
      </c>
      <c r="B290" s="23">
        <v>15</v>
      </c>
      <c r="C290" s="11" t="s">
        <v>24</v>
      </c>
      <c r="D290" s="14">
        <v>6</v>
      </c>
      <c r="E290" s="15">
        <v>0.65710000000000002</v>
      </c>
      <c r="F290" s="24">
        <f>22.09</f>
        <v>22.09</v>
      </c>
      <c r="G290" s="25">
        <v>118.9</v>
      </c>
      <c r="H290" s="23">
        <v>96.8</v>
      </c>
      <c r="I290" s="25">
        <v>67.7</v>
      </c>
      <c r="J290" s="26">
        <f>10.78</f>
        <v>10.78</v>
      </c>
      <c r="K290" s="23">
        <v>109.3</v>
      </c>
      <c r="L290" s="23">
        <v>98.5</v>
      </c>
    </row>
    <row r="291" spans="1:16" ht="13.8">
      <c r="A291" s="12">
        <v>2019</v>
      </c>
      <c r="B291" s="19">
        <v>16</v>
      </c>
      <c r="C291" s="11" t="s">
        <v>33</v>
      </c>
      <c r="D291" s="14">
        <v>5</v>
      </c>
      <c r="E291" s="15">
        <v>0.67559999999999998</v>
      </c>
      <c r="F291" s="20">
        <f>21.94</f>
        <v>21.94</v>
      </c>
      <c r="G291" s="21">
        <v>110.4</v>
      </c>
      <c r="H291" s="19">
        <v>88.5</v>
      </c>
      <c r="I291" s="21">
        <v>63.9</v>
      </c>
      <c r="J291" s="22">
        <f>12.97</f>
        <v>12.97</v>
      </c>
      <c r="K291" s="19">
        <v>110.3</v>
      </c>
      <c r="L291" s="19">
        <v>97.3</v>
      </c>
      <c r="M291" s="11">
        <v>1</v>
      </c>
      <c r="P291" s="11">
        <v>1</v>
      </c>
    </row>
    <row r="292" spans="1:16" ht="13.8">
      <c r="A292" s="12">
        <v>2019</v>
      </c>
      <c r="B292" s="23">
        <v>17</v>
      </c>
      <c r="C292" s="11" t="s">
        <v>42</v>
      </c>
      <c r="D292" s="14">
        <v>4</v>
      </c>
      <c r="E292" s="15">
        <v>0.72219999999999995</v>
      </c>
      <c r="F292" s="24">
        <f>21.57</f>
        <v>21.57</v>
      </c>
      <c r="G292" s="25">
        <v>113.9</v>
      </c>
      <c r="H292" s="23">
        <v>92.3</v>
      </c>
      <c r="I292" s="25">
        <v>70.099999999999994</v>
      </c>
      <c r="J292" s="26">
        <f>14.13</f>
        <v>14.13</v>
      </c>
      <c r="K292" s="23">
        <v>111.8</v>
      </c>
      <c r="L292" s="23">
        <v>97.7</v>
      </c>
      <c r="P292" s="11">
        <v>1</v>
      </c>
    </row>
    <row r="293" spans="1:16" ht="13.8">
      <c r="A293" s="12">
        <v>2019</v>
      </c>
      <c r="B293" s="19">
        <v>18</v>
      </c>
      <c r="C293" s="11" t="s">
        <v>161</v>
      </c>
      <c r="D293" s="14">
        <v>7</v>
      </c>
      <c r="E293" s="15">
        <v>0.85709999999999997</v>
      </c>
      <c r="F293" s="20">
        <f>20.69</f>
        <v>20.69</v>
      </c>
      <c r="G293" s="21">
        <v>118.1</v>
      </c>
      <c r="H293" s="19">
        <v>97.4</v>
      </c>
      <c r="I293" s="21">
        <v>65.7</v>
      </c>
      <c r="J293" s="22">
        <f>1.82</f>
        <v>1.82</v>
      </c>
      <c r="K293" s="19">
        <v>106</v>
      </c>
      <c r="L293" s="19">
        <v>104.2</v>
      </c>
      <c r="P293" s="11">
        <v>1</v>
      </c>
    </row>
    <row r="294" spans="1:16" ht="13.8">
      <c r="A294" s="12">
        <v>2019</v>
      </c>
      <c r="B294" s="23">
        <v>19</v>
      </c>
      <c r="C294" s="11" t="s">
        <v>117</v>
      </c>
      <c r="D294" s="14">
        <v>3</v>
      </c>
      <c r="E294" s="15">
        <v>0.8</v>
      </c>
      <c r="F294" s="24">
        <f>20.22</f>
        <v>20.22</v>
      </c>
      <c r="G294" s="25">
        <v>117.7</v>
      </c>
      <c r="H294" s="23">
        <v>97.5</v>
      </c>
      <c r="I294" s="25">
        <v>70</v>
      </c>
      <c r="J294" s="26">
        <f>10.02</f>
        <v>10.02</v>
      </c>
      <c r="K294" s="23">
        <v>109.3</v>
      </c>
      <c r="L294" s="23">
        <v>99.3</v>
      </c>
    </row>
    <row r="295" spans="1:16" ht="13.8">
      <c r="A295" s="12">
        <v>2019</v>
      </c>
      <c r="B295" s="27">
        <v>20</v>
      </c>
      <c r="C295" s="11" t="s">
        <v>89</v>
      </c>
      <c r="D295" s="28">
        <v>4</v>
      </c>
      <c r="E295" s="15">
        <v>0.73529999999999995</v>
      </c>
      <c r="F295" s="29">
        <f>20.06</f>
        <v>20.059999999999999</v>
      </c>
      <c r="G295" s="30">
        <v>108.4</v>
      </c>
      <c r="H295" s="27">
        <v>88.4</v>
      </c>
      <c r="I295" s="30">
        <v>63.4</v>
      </c>
      <c r="J295" s="31">
        <f>10.22</f>
        <v>10.220000000000001</v>
      </c>
      <c r="K295" s="27">
        <v>109.3</v>
      </c>
      <c r="L295" s="27">
        <v>99.1</v>
      </c>
    </row>
    <row r="296" spans="1:16" ht="13.8">
      <c r="A296" s="12">
        <v>2019</v>
      </c>
      <c r="B296" s="23">
        <v>21</v>
      </c>
      <c r="C296" s="11" t="s">
        <v>47</v>
      </c>
      <c r="D296" s="14">
        <v>5</v>
      </c>
      <c r="E296" s="15">
        <v>0.67559999999999998</v>
      </c>
      <c r="F296" s="24">
        <f>20.04</f>
        <v>20.04</v>
      </c>
      <c r="G296" s="25">
        <v>117.7</v>
      </c>
      <c r="H296" s="23">
        <v>97.6</v>
      </c>
      <c r="I296" s="25">
        <v>67.8</v>
      </c>
      <c r="J296" s="26">
        <f>10.09</f>
        <v>10.09</v>
      </c>
      <c r="K296" s="23">
        <v>110.1</v>
      </c>
      <c r="L296" s="23">
        <v>100</v>
      </c>
      <c r="M296" s="11">
        <v>1</v>
      </c>
      <c r="P296" s="11">
        <v>1</v>
      </c>
    </row>
    <row r="297" spans="1:16" ht="13.8">
      <c r="A297" s="12">
        <v>2019</v>
      </c>
      <c r="B297" s="19">
        <v>22</v>
      </c>
      <c r="C297" s="11" t="s">
        <v>162</v>
      </c>
      <c r="D297" s="14">
        <v>6</v>
      </c>
      <c r="E297" s="15">
        <v>0.88890000000000002</v>
      </c>
      <c r="F297" s="20">
        <f>19.85</f>
        <v>19.850000000000001</v>
      </c>
      <c r="G297" s="21">
        <v>115.2</v>
      </c>
      <c r="H297" s="19">
        <v>95.4</v>
      </c>
      <c r="I297" s="21">
        <v>73.599999999999994</v>
      </c>
      <c r="J297" s="22">
        <f>3.14</f>
        <v>3.14</v>
      </c>
      <c r="K297" s="19">
        <v>105.5</v>
      </c>
      <c r="L297" s="19">
        <v>102.4</v>
      </c>
      <c r="P297" s="11">
        <v>1</v>
      </c>
    </row>
    <row r="298" spans="1:16" ht="13.8">
      <c r="A298" s="12">
        <v>2019</v>
      </c>
      <c r="B298" s="23">
        <v>23</v>
      </c>
      <c r="C298" s="11" t="s">
        <v>163</v>
      </c>
      <c r="D298" s="14">
        <v>7</v>
      </c>
      <c r="E298" s="15">
        <v>0.58819999999999995</v>
      </c>
      <c r="F298" s="24">
        <f>19.35</f>
        <v>19.350000000000001</v>
      </c>
      <c r="G298" s="25">
        <v>113.7</v>
      </c>
      <c r="H298" s="23">
        <v>94.4</v>
      </c>
      <c r="I298" s="25">
        <v>67.2</v>
      </c>
      <c r="J298" s="26">
        <f>11.95</f>
        <v>11.95</v>
      </c>
      <c r="K298" s="23">
        <v>110.4</v>
      </c>
      <c r="L298" s="23">
        <v>98.4</v>
      </c>
    </row>
    <row r="299" spans="1:16" ht="13.8">
      <c r="A299" s="12">
        <v>2019</v>
      </c>
      <c r="B299" s="19">
        <v>24</v>
      </c>
      <c r="C299" s="11" t="s">
        <v>91</v>
      </c>
      <c r="D299" s="14">
        <v>6</v>
      </c>
      <c r="E299" s="15">
        <v>0.67559999999999998</v>
      </c>
      <c r="F299" s="20">
        <f>19.29</f>
        <v>19.29</v>
      </c>
      <c r="G299" s="21">
        <v>113.4</v>
      </c>
      <c r="H299" s="19">
        <v>94.1</v>
      </c>
      <c r="I299" s="21">
        <v>66</v>
      </c>
      <c r="J299" s="22">
        <f>10.75</f>
        <v>10.75</v>
      </c>
      <c r="K299" s="19">
        <v>109.8</v>
      </c>
      <c r="L299" s="19">
        <v>99.1</v>
      </c>
      <c r="P299" s="11">
        <v>1</v>
      </c>
    </row>
    <row r="300" spans="1:16" ht="13.8">
      <c r="A300" s="12">
        <v>2019</v>
      </c>
      <c r="B300" s="19">
        <v>26</v>
      </c>
      <c r="C300" s="11" t="s">
        <v>41</v>
      </c>
      <c r="D300" s="14">
        <v>10</v>
      </c>
      <c r="E300" s="15">
        <v>0.55559999999999998</v>
      </c>
      <c r="F300" s="20">
        <f>18.3</f>
        <v>18.3</v>
      </c>
      <c r="G300" s="21">
        <v>110.5</v>
      </c>
      <c r="H300" s="19">
        <v>92.2</v>
      </c>
      <c r="I300" s="21">
        <v>62.9</v>
      </c>
      <c r="J300" s="22">
        <f>12</f>
        <v>12</v>
      </c>
      <c r="K300" s="19">
        <v>110.7</v>
      </c>
      <c r="L300" s="19">
        <v>98.7</v>
      </c>
      <c r="P300" s="11">
        <v>1</v>
      </c>
    </row>
    <row r="301" spans="1:16" ht="13.8">
      <c r="A301" s="12">
        <v>2019</v>
      </c>
      <c r="B301" s="23">
        <v>27</v>
      </c>
      <c r="C301" s="11" t="s">
        <v>50</v>
      </c>
      <c r="D301" s="14">
        <v>7</v>
      </c>
      <c r="E301" s="15">
        <v>0.85289999999999999</v>
      </c>
      <c r="F301" s="24">
        <f>18.18</f>
        <v>18.18</v>
      </c>
      <c r="G301" s="25">
        <v>114</v>
      </c>
      <c r="H301" s="23">
        <v>95.9</v>
      </c>
      <c r="I301" s="25">
        <v>69.3</v>
      </c>
      <c r="J301" s="26">
        <f>1.42</f>
        <v>1.42</v>
      </c>
      <c r="K301" s="23">
        <v>105.4</v>
      </c>
      <c r="L301" s="23">
        <v>103.9</v>
      </c>
    </row>
    <row r="302" spans="1:16" ht="13.8">
      <c r="A302" s="12">
        <v>2019</v>
      </c>
      <c r="B302" s="19">
        <v>28</v>
      </c>
      <c r="C302" s="11" t="s">
        <v>61</v>
      </c>
      <c r="D302" s="14">
        <v>12</v>
      </c>
      <c r="E302" s="15">
        <v>0.65790000000000004</v>
      </c>
      <c r="F302" s="20">
        <f>17.86</f>
        <v>17.86</v>
      </c>
      <c r="G302" s="21">
        <v>109.5</v>
      </c>
      <c r="H302" s="19">
        <v>91.7</v>
      </c>
      <c r="I302" s="21">
        <v>64.2</v>
      </c>
      <c r="J302" s="22">
        <f>5.47</f>
        <v>5.47</v>
      </c>
      <c r="K302" s="19">
        <v>107.7</v>
      </c>
      <c r="L302" s="19">
        <v>102.3</v>
      </c>
      <c r="M302" s="11">
        <v>1</v>
      </c>
      <c r="P302" s="11">
        <v>1</v>
      </c>
    </row>
    <row r="303" spans="1:16" ht="13.8">
      <c r="A303" s="12">
        <v>2019</v>
      </c>
      <c r="B303" s="23">
        <v>29</v>
      </c>
      <c r="C303" s="11" t="s">
        <v>164</v>
      </c>
      <c r="D303" s="14">
        <v>7</v>
      </c>
      <c r="E303" s="15">
        <v>0.8</v>
      </c>
      <c r="F303" s="24">
        <f>17.5</f>
        <v>17.5</v>
      </c>
      <c r="G303" s="25">
        <v>112.3</v>
      </c>
      <c r="H303" s="23">
        <v>94.8</v>
      </c>
      <c r="I303" s="25">
        <v>63.4</v>
      </c>
      <c r="J303" s="26">
        <f>5.12</f>
        <v>5.12</v>
      </c>
      <c r="K303" s="23">
        <v>107.1</v>
      </c>
      <c r="L303" s="23">
        <v>102</v>
      </c>
    </row>
    <row r="304" spans="1:16" ht="13.8">
      <c r="A304" s="12">
        <v>2019</v>
      </c>
      <c r="B304" s="27">
        <v>30</v>
      </c>
      <c r="C304" s="11" t="s">
        <v>115</v>
      </c>
      <c r="D304" s="28">
        <v>6</v>
      </c>
      <c r="E304" s="15">
        <v>0.72219999999999995</v>
      </c>
      <c r="F304" s="29">
        <f>17.33</f>
        <v>17.329999999999998</v>
      </c>
      <c r="G304" s="30">
        <v>116.5</v>
      </c>
      <c r="H304" s="27">
        <v>99.2</v>
      </c>
      <c r="I304" s="30">
        <v>63.6</v>
      </c>
      <c r="J304" s="31">
        <f>8</f>
        <v>8</v>
      </c>
      <c r="K304" s="27">
        <v>108.8</v>
      </c>
      <c r="L304" s="27">
        <v>100.8</v>
      </c>
      <c r="P304" s="11">
        <v>1</v>
      </c>
    </row>
    <row r="305" spans="1:16" ht="13.8">
      <c r="A305" s="12">
        <v>2019</v>
      </c>
      <c r="B305" s="23">
        <v>31</v>
      </c>
      <c r="C305" s="11" t="s">
        <v>36</v>
      </c>
      <c r="D305" s="14">
        <v>11</v>
      </c>
      <c r="E305" s="15">
        <v>0.64710000000000001</v>
      </c>
      <c r="F305" s="24">
        <f>17.31</f>
        <v>17.309999999999999</v>
      </c>
      <c r="G305" s="25">
        <v>114.7</v>
      </c>
      <c r="H305" s="23">
        <v>97.4</v>
      </c>
      <c r="I305" s="25">
        <v>62.7</v>
      </c>
      <c r="J305" s="26">
        <f>3.66</f>
        <v>3.66</v>
      </c>
      <c r="K305" s="23">
        <v>106.6</v>
      </c>
      <c r="L305" s="23">
        <v>103</v>
      </c>
    </row>
    <row r="306" spans="1:16" ht="13.8">
      <c r="A306" s="12">
        <v>2019</v>
      </c>
      <c r="B306" s="19">
        <v>32</v>
      </c>
      <c r="C306" s="11" t="s">
        <v>143</v>
      </c>
      <c r="D306" s="14">
        <v>9</v>
      </c>
      <c r="E306" s="15">
        <v>0.58819999999999995</v>
      </c>
      <c r="F306" s="20">
        <f>16.94</f>
        <v>16.940000000000001</v>
      </c>
      <c r="G306" s="21">
        <v>111.1</v>
      </c>
      <c r="H306" s="19">
        <v>94.1</v>
      </c>
      <c r="I306" s="21">
        <v>68.599999999999994</v>
      </c>
      <c r="J306" s="22">
        <f>13.27</f>
        <v>13.27</v>
      </c>
      <c r="K306" s="19">
        <v>110.3</v>
      </c>
      <c r="L306" s="19">
        <v>97.1</v>
      </c>
      <c r="P306" s="11">
        <v>1</v>
      </c>
    </row>
    <row r="307" spans="1:16" ht="13.8">
      <c r="A307" s="12">
        <v>2019</v>
      </c>
      <c r="B307" s="23">
        <v>33</v>
      </c>
      <c r="C307" s="11" t="s">
        <v>29</v>
      </c>
      <c r="D307" s="14">
        <v>5</v>
      </c>
      <c r="E307" s="15">
        <v>0.70589999999999997</v>
      </c>
      <c r="F307" s="24">
        <f>16.52</f>
        <v>16.52</v>
      </c>
      <c r="G307" s="25">
        <v>113.2</v>
      </c>
      <c r="H307" s="23">
        <v>96.7</v>
      </c>
      <c r="I307" s="25">
        <v>68.8</v>
      </c>
      <c r="J307" s="26">
        <f>6.77</f>
        <v>6.77</v>
      </c>
      <c r="K307" s="23">
        <v>107.4</v>
      </c>
      <c r="L307" s="23">
        <v>100.7</v>
      </c>
    </row>
    <row r="308" spans="1:16" ht="13.8">
      <c r="A308" s="12">
        <v>2019</v>
      </c>
      <c r="B308" s="19">
        <v>34</v>
      </c>
      <c r="C308" s="11" t="s">
        <v>165</v>
      </c>
      <c r="D308" s="14">
        <v>9</v>
      </c>
      <c r="E308" s="15">
        <v>0.72729999999999995</v>
      </c>
      <c r="F308" s="20">
        <f>16.51</f>
        <v>16.510000000000002</v>
      </c>
      <c r="G308" s="21">
        <v>112.1</v>
      </c>
      <c r="H308" s="19">
        <v>95.6</v>
      </c>
      <c r="I308" s="21">
        <v>65</v>
      </c>
      <c r="J308" s="22">
        <f>4.99</f>
        <v>4.99</v>
      </c>
      <c r="K308" s="19">
        <v>105.9</v>
      </c>
      <c r="L308" s="19">
        <v>100.9</v>
      </c>
      <c r="P308" s="11">
        <v>1</v>
      </c>
    </row>
    <row r="309" spans="1:16" ht="13.8">
      <c r="A309" s="12">
        <v>2019</v>
      </c>
      <c r="B309" s="23">
        <v>35</v>
      </c>
      <c r="C309" s="11" t="s">
        <v>31</v>
      </c>
      <c r="D309" s="14">
        <v>9</v>
      </c>
      <c r="E309" s="15">
        <v>0.58819999999999995</v>
      </c>
      <c r="F309" s="24">
        <f>16.48</f>
        <v>16.48</v>
      </c>
      <c r="G309" s="25">
        <v>115.3</v>
      </c>
      <c r="H309" s="23">
        <v>98.8</v>
      </c>
      <c r="I309" s="25">
        <v>65.2</v>
      </c>
      <c r="J309" s="26">
        <f>10.49</f>
        <v>10.49</v>
      </c>
      <c r="K309" s="23">
        <v>108.8</v>
      </c>
      <c r="L309" s="23">
        <v>98.3</v>
      </c>
      <c r="P309" s="11">
        <v>1</v>
      </c>
    </row>
    <row r="310" spans="1:16" ht="13.8">
      <c r="A310" s="12">
        <v>2019</v>
      </c>
      <c r="B310" s="23">
        <v>37</v>
      </c>
      <c r="C310" s="11" t="s">
        <v>95</v>
      </c>
      <c r="D310" s="14">
        <v>10</v>
      </c>
      <c r="E310" s="15">
        <v>0.65710000000000002</v>
      </c>
      <c r="F310" s="24">
        <f>16.02</f>
        <v>16.02</v>
      </c>
      <c r="G310" s="25">
        <v>117.4</v>
      </c>
      <c r="H310" s="23">
        <v>101.3</v>
      </c>
      <c r="I310" s="25">
        <v>69.5</v>
      </c>
      <c r="J310" s="26">
        <f>10.64</f>
        <v>10.64</v>
      </c>
      <c r="K310" s="23">
        <v>108.9</v>
      </c>
      <c r="L310" s="23">
        <v>98.3</v>
      </c>
      <c r="P310" s="11">
        <v>1</v>
      </c>
    </row>
    <row r="311" spans="1:16" ht="13.8">
      <c r="A311" s="12">
        <v>2019</v>
      </c>
      <c r="B311" s="19">
        <v>38</v>
      </c>
      <c r="C311" s="11" t="s">
        <v>57</v>
      </c>
      <c r="D311" s="14">
        <v>8</v>
      </c>
      <c r="E311" s="15">
        <v>0.8</v>
      </c>
      <c r="F311" s="20">
        <f>15.41</f>
        <v>15.41</v>
      </c>
      <c r="G311" s="21">
        <v>112.6</v>
      </c>
      <c r="H311" s="19">
        <v>97.2</v>
      </c>
      <c r="I311" s="21">
        <v>68.099999999999994</v>
      </c>
      <c r="J311" s="22">
        <f>0.02</f>
        <v>0.02</v>
      </c>
      <c r="K311" s="19">
        <v>104.5</v>
      </c>
      <c r="L311" s="19">
        <v>104.4</v>
      </c>
    </row>
    <row r="312" spans="1:16" ht="13.8">
      <c r="A312" s="12">
        <v>2019</v>
      </c>
      <c r="B312" s="23">
        <v>39</v>
      </c>
      <c r="C312" s="11" t="s">
        <v>144</v>
      </c>
      <c r="D312" s="14">
        <v>8</v>
      </c>
      <c r="E312" s="15">
        <v>0.58819999999999995</v>
      </c>
      <c r="F312" s="24">
        <f>15.13</f>
        <v>15.13</v>
      </c>
      <c r="G312" s="25">
        <v>110.5</v>
      </c>
      <c r="H312" s="23">
        <v>95.3</v>
      </c>
      <c r="I312" s="25">
        <v>66.099999999999994</v>
      </c>
      <c r="J312" s="26">
        <f>9.4</f>
        <v>9.4</v>
      </c>
      <c r="K312" s="23">
        <v>108.6</v>
      </c>
      <c r="L312" s="23">
        <v>99.2</v>
      </c>
    </row>
    <row r="313" spans="1:16" ht="13.8">
      <c r="A313" s="12">
        <v>2019</v>
      </c>
      <c r="B313" s="19">
        <v>42</v>
      </c>
      <c r="C313" s="11" t="s">
        <v>100</v>
      </c>
      <c r="D313" s="14">
        <v>8</v>
      </c>
      <c r="E313" s="15">
        <v>0.75760000000000005</v>
      </c>
      <c r="F313" s="20">
        <f>14.89</f>
        <v>14.89</v>
      </c>
      <c r="G313" s="21">
        <v>104.3</v>
      </c>
      <c r="H313" s="19">
        <v>89.5</v>
      </c>
      <c r="I313" s="21">
        <v>68.400000000000006</v>
      </c>
      <c r="J313" s="22">
        <f>1.37</f>
        <v>1.37</v>
      </c>
      <c r="K313" s="19">
        <v>105.2</v>
      </c>
      <c r="L313" s="19">
        <v>103.8</v>
      </c>
    </row>
    <row r="314" spans="1:16" ht="13.8">
      <c r="A314" s="12">
        <v>2019</v>
      </c>
      <c r="B314" s="19">
        <v>44</v>
      </c>
      <c r="C314" s="11" t="s">
        <v>121</v>
      </c>
      <c r="D314" s="14">
        <v>11</v>
      </c>
      <c r="E314" s="15">
        <v>0.57140000000000002</v>
      </c>
      <c r="F314" s="20">
        <f>14.66</f>
        <v>14.66</v>
      </c>
      <c r="G314" s="21">
        <v>109.1</v>
      </c>
      <c r="H314" s="19">
        <v>94.4</v>
      </c>
      <c r="I314" s="21">
        <v>65.8</v>
      </c>
      <c r="J314" s="22">
        <f>11.68</f>
        <v>11.68</v>
      </c>
      <c r="K314" s="19">
        <v>110.4</v>
      </c>
      <c r="L314" s="19">
        <v>98.8</v>
      </c>
      <c r="P314" s="11">
        <v>1</v>
      </c>
    </row>
    <row r="315" spans="1:16" ht="13.8">
      <c r="A315" s="12">
        <v>2019</v>
      </c>
      <c r="B315" s="19">
        <v>46</v>
      </c>
      <c r="C315" s="11" t="s">
        <v>166</v>
      </c>
      <c r="D315" s="14">
        <v>10</v>
      </c>
      <c r="E315" s="15">
        <v>0.61899999999999999</v>
      </c>
      <c r="F315" s="20">
        <f>14.35</f>
        <v>14.35</v>
      </c>
      <c r="G315" s="21">
        <v>111.4</v>
      </c>
      <c r="H315" s="19">
        <v>97</v>
      </c>
      <c r="I315" s="21">
        <v>67.400000000000006</v>
      </c>
      <c r="J315" s="22">
        <f>12.18</f>
        <v>12.18</v>
      </c>
      <c r="K315" s="19">
        <v>110.2</v>
      </c>
      <c r="L315" s="19">
        <v>98</v>
      </c>
      <c r="P315" s="11">
        <v>1</v>
      </c>
    </row>
    <row r="316" spans="1:16" ht="13.8">
      <c r="A316" s="12">
        <v>2019</v>
      </c>
      <c r="B316" s="19">
        <v>48</v>
      </c>
      <c r="C316" s="11" t="s">
        <v>167</v>
      </c>
      <c r="D316" s="14">
        <v>9</v>
      </c>
      <c r="E316" s="15">
        <v>0.75</v>
      </c>
      <c r="F316" s="20">
        <f>14.28</f>
        <v>14.28</v>
      </c>
      <c r="G316" s="21">
        <v>107.7</v>
      </c>
      <c r="H316" s="19">
        <v>93.5</v>
      </c>
      <c r="I316" s="21">
        <v>66</v>
      </c>
      <c r="J316" s="22">
        <f>6.06</f>
        <v>6.06</v>
      </c>
      <c r="K316" s="19">
        <v>107.6</v>
      </c>
      <c r="L316" s="19">
        <v>101.5</v>
      </c>
      <c r="P316" s="11">
        <v>1</v>
      </c>
    </row>
    <row r="317" spans="1:16" ht="13.8">
      <c r="A317" s="12">
        <v>2019</v>
      </c>
      <c r="B317" s="23">
        <v>49</v>
      </c>
      <c r="C317" s="11" t="s">
        <v>168</v>
      </c>
      <c r="D317" s="14">
        <v>11</v>
      </c>
      <c r="E317" s="15">
        <v>0.81820000000000004</v>
      </c>
      <c r="F317" s="24">
        <f>14.09</f>
        <v>14.09</v>
      </c>
      <c r="G317" s="25">
        <v>115.6</v>
      </c>
      <c r="H317" s="23">
        <v>101.5</v>
      </c>
      <c r="I317" s="25">
        <v>71.3</v>
      </c>
      <c r="J317" s="25">
        <v>-1.98</v>
      </c>
      <c r="K317" s="23">
        <v>103.6</v>
      </c>
      <c r="L317" s="23">
        <v>105.6</v>
      </c>
    </row>
    <row r="318" spans="1:16" ht="13.8">
      <c r="A318" s="12">
        <v>2019</v>
      </c>
      <c r="B318" s="27">
        <v>50</v>
      </c>
      <c r="C318" s="11" t="s">
        <v>169</v>
      </c>
      <c r="D318" s="28">
        <v>8</v>
      </c>
      <c r="E318" s="15">
        <v>0.60609999999999997</v>
      </c>
      <c r="F318" s="29">
        <f>13.98</f>
        <v>13.98</v>
      </c>
      <c r="G318" s="30">
        <v>113.2</v>
      </c>
      <c r="H318" s="27">
        <v>99.2</v>
      </c>
      <c r="I318" s="30">
        <v>68.5</v>
      </c>
      <c r="J318" s="31">
        <f>8.69</f>
        <v>8.69</v>
      </c>
      <c r="K318" s="27">
        <v>109.1</v>
      </c>
      <c r="L318" s="27">
        <v>100.4</v>
      </c>
    </row>
    <row r="319" spans="1:16" ht="13.8">
      <c r="A319" s="12">
        <v>2019</v>
      </c>
      <c r="B319" s="23">
        <v>51</v>
      </c>
      <c r="C319" s="11" t="s">
        <v>123</v>
      </c>
      <c r="D319" s="14">
        <v>12</v>
      </c>
      <c r="E319" s="15">
        <v>0.84840000000000004</v>
      </c>
      <c r="F319" s="24">
        <f>13.83</f>
        <v>13.83</v>
      </c>
      <c r="G319" s="25">
        <v>112.5</v>
      </c>
      <c r="H319" s="23">
        <v>98.6</v>
      </c>
      <c r="I319" s="25">
        <v>69.400000000000006</v>
      </c>
      <c r="J319" s="25">
        <v>-3.32</v>
      </c>
      <c r="K319" s="23">
        <v>103.1</v>
      </c>
      <c r="L319" s="23">
        <v>106.4</v>
      </c>
      <c r="P319" s="11">
        <v>1</v>
      </c>
    </row>
    <row r="320" spans="1:16" ht="13.8">
      <c r="A320" s="12">
        <v>2019</v>
      </c>
      <c r="B320" s="23">
        <v>53</v>
      </c>
      <c r="C320" s="11" t="s">
        <v>130</v>
      </c>
      <c r="D320" s="14">
        <v>12</v>
      </c>
      <c r="E320" s="15">
        <v>0.85709999999999997</v>
      </c>
      <c r="F320" s="24">
        <f>13.62</f>
        <v>13.62</v>
      </c>
      <c r="G320" s="25">
        <v>113</v>
      </c>
      <c r="H320" s="23">
        <v>99.3</v>
      </c>
      <c r="I320" s="25">
        <v>65.900000000000006</v>
      </c>
      <c r="J320" s="25">
        <v>-3.44</v>
      </c>
      <c r="K320" s="23">
        <v>102.8</v>
      </c>
      <c r="L320" s="23">
        <v>106.2</v>
      </c>
    </row>
    <row r="321" spans="1:16" ht="13.8">
      <c r="A321" s="12">
        <v>2019</v>
      </c>
      <c r="B321" s="23">
        <v>57</v>
      </c>
      <c r="C321" s="11" t="s">
        <v>97</v>
      </c>
      <c r="D321" s="14">
        <v>11</v>
      </c>
      <c r="E321" s="15">
        <v>0.67559999999999998</v>
      </c>
      <c r="F321" s="24">
        <f>11.55</f>
        <v>11.55</v>
      </c>
      <c r="G321" s="25">
        <v>109.7</v>
      </c>
      <c r="H321" s="23">
        <v>98.2</v>
      </c>
      <c r="I321" s="25">
        <v>70.8</v>
      </c>
      <c r="J321" s="26">
        <f>5.56</f>
        <v>5.56</v>
      </c>
      <c r="K321" s="23">
        <v>107.3</v>
      </c>
      <c r="L321" s="23">
        <v>101.7</v>
      </c>
    </row>
    <row r="322" spans="1:16" ht="13.8">
      <c r="A322" s="12">
        <v>2019</v>
      </c>
      <c r="B322" s="19">
        <v>58</v>
      </c>
      <c r="C322" s="11" t="s">
        <v>152</v>
      </c>
      <c r="D322" s="14">
        <v>12</v>
      </c>
      <c r="E322" s="15">
        <v>0.80559999999999998</v>
      </c>
      <c r="F322" s="20">
        <f>11.54</f>
        <v>11.54</v>
      </c>
      <c r="G322" s="21">
        <v>111.1</v>
      </c>
      <c r="H322" s="19">
        <v>99.6</v>
      </c>
      <c r="I322" s="21">
        <v>62.3</v>
      </c>
      <c r="J322" s="21">
        <v>-3.27</v>
      </c>
      <c r="K322" s="19">
        <v>102.5</v>
      </c>
      <c r="L322" s="19">
        <v>105.8</v>
      </c>
      <c r="P322" s="11">
        <v>1</v>
      </c>
    </row>
    <row r="323" spans="1:16" ht="13.8">
      <c r="A323" s="12">
        <v>2019</v>
      </c>
      <c r="B323" s="27">
        <v>60</v>
      </c>
      <c r="C323" s="11" t="s">
        <v>126</v>
      </c>
      <c r="D323" s="28">
        <v>10</v>
      </c>
      <c r="E323" s="15">
        <v>0.58819999999999995</v>
      </c>
      <c r="F323" s="29">
        <f>11.5</f>
        <v>11.5</v>
      </c>
      <c r="G323" s="30">
        <v>109</v>
      </c>
      <c r="H323" s="27">
        <v>97.5</v>
      </c>
      <c r="I323" s="30">
        <v>69.099999999999994</v>
      </c>
      <c r="J323" s="31">
        <f>8.54</f>
        <v>8.5399999999999991</v>
      </c>
      <c r="K323" s="27">
        <v>109.2</v>
      </c>
      <c r="L323" s="27">
        <v>100.7</v>
      </c>
    </row>
    <row r="324" spans="1:16" ht="13.8">
      <c r="A324" s="12">
        <v>2019</v>
      </c>
      <c r="B324" s="23">
        <v>69</v>
      </c>
      <c r="C324" s="11" t="s">
        <v>170</v>
      </c>
      <c r="D324" s="14">
        <v>11</v>
      </c>
      <c r="E324" s="15">
        <v>0.69699999999999995</v>
      </c>
      <c r="F324" s="24">
        <f>9.72</f>
        <v>9.7200000000000006</v>
      </c>
      <c r="G324" s="25">
        <v>109.2</v>
      </c>
      <c r="H324" s="23">
        <v>99.5</v>
      </c>
      <c r="I324" s="25">
        <v>68.900000000000006</v>
      </c>
      <c r="J324" s="26">
        <f>4.55</f>
        <v>4.55</v>
      </c>
      <c r="K324" s="23">
        <v>106.3</v>
      </c>
      <c r="L324" s="23">
        <v>101.8</v>
      </c>
    </row>
    <row r="325" spans="1:16" ht="13.8">
      <c r="A325" s="12">
        <v>2019</v>
      </c>
      <c r="B325" s="23">
        <v>73</v>
      </c>
      <c r="C325" s="11" t="s">
        <v>171</v>
      </c>
      <c r="D325" s="14">
        <v>13</v>
      </c>
      <c r="E325" s="15">
        <v>0.8387</v>
      </c>
      <c r="F325" s="24">
        <f>9.16</f>
        <v>9.16</v>
      </c>
      <c r="G325" s="25">
        <v>107.4</v>
      </c>
      <c r="H325" s="23">
        <v>98.2</v>
      </c>
      <c r="I325" s="25">
        <v>65.3</v>
      </c>
      <c r="J325" s="25">
        <v>-3.28</v>
      </c>
      <c r="K325" s="23">
        <v>102.5</v>
      </c>
      <c r="L325" s="23">
        <v>105.8</v>
      </c>
      <c r="P325" s="11">
        <v>1</v>
      </c>
    </row>
    <row r="326" spans="1:16" ht="13.8">
      <c r="A326" s="12">
        <v>2019</v>
      </c>
      <c r="B326" s="19">
        <v>76</v>
      </c>
      <c r="C326" s="11" t="s">
        <v>69</v>
      </c>
      <c r="D326" s="14">
        <v>13</v>
      </c>
      <c r="E326" s="15">
        <v>0.79169999999999996</v>
      </c>
      <c r="F326" s="20">
        <f>8.86</f>
        <v>8.86</v>
      </c>
      <c r="G326" s="21">
        <v>108.5</v>
      </c>
      <c r="H326" s="19">
        <v>99.6</v>
      </c>
      <c r="I326" s="21">
        <v>65.5</v>
      </c>
      <c r="J326" s="21">
        <v>-5.55</v>
      </c>
      <c r="K326" s="19">
        <v>100.7</v>
      </c>
      <c r="L326" s="19">
        <v>106.2</v>
      </c>
    </row>
    <row r="327" spans="1:16" ht="13.8">
      <c r="A327" s="12">
        <v>2019</v>
      </c>
      <c r="B327" s="23">
        <v>77</v>
      </c>
      <c r="C327" s="11" t="s">
        <v>67</v>
      </c>
      <c r="D327" s="14">
        <v>14</v>
      </c>
      <c r="E327" s="15">
        <v>0.73329999999999995</v>
      </c>
      <c r="F327" s="24">
        <f>8.79</f>
        <v>8.7899999999999991</v>
      </c>
      <c r="G327" s="25">
        <v>111.6</v>
      </c>
      <c r="H327" s="23">
        <v>102.8</v>
      </c>
      <c r="I327" s="25">
        <v>71</v>
      </c>
      <c r="J327" s="25">
        <v>-1.1000000000000001</v>
      </c>
      <c r="K327" s="23">
        <v>103</v>
      </c>
      <c r="L327" s="23">
        <v>104.2</v>
      </c>
    </row>
    <row r="328" spans="1:16" ht="13.8">
      <c r="A328" s="12">
        <v>2019</v>
      </c>
      <c r="B328" s="19">
        <v>88</v>
      </c>
      <c r="C328" s="11" t="s">
        <v>172</v>
      </c>
      <c r="D328" s="14">
        <v>11</v>
      </c>
      <c r="E328" s="15">
        <v>0.61539999999999995</v>
      </c>
      <c r="F328" s="20">
        <f>7.61</f>
        <v>7.61</v>
      </c>
      <c r="G328" s="21">
        <v>108.6</v>
      </c>
      <c r="H328" s="19">
        <v>101</v>
      </c>
      <c r="I328" s="21">
        <v>70.8</v>
      </c>
      <c r="J328" s="22">
        <f>5</f>
        <v>5</v>
      </c>
      <c r="K328" s="19">
        <v>106.9</v>
      </c>
      <c r="L328" s="19">
        <v>101.9</v>
      </c>
    </row>
    <row r="329" spans="1:16" ht="13.8">
      <c r="A329" s="12">
        <v>2019</v>
      </c>
      <c r="B329" s="23">
        <v>89</v>
      </c>
      <c r="C329" s="11" t="s">
        <v>173</v>
      </c>
      <c r="D329" s="14">
        <v>13</v>
      </c>
      <c r="E329" s="15">
        <v>0.67569999999999997</v>
      </c>
      <c r="F329" s="24">
        <f>7.59</f>
        <v>7.59</v>
      </c>
      <c r="G329" s="25">
        <v>111</v>
      </c>
      <c r="H329" s="23">
        <v>103.4</v>
      </c>
      <c r="I329" s="25">
        <v>66.2</v>
      </c>
      <c r="J329" s="25">
        <v>-0.63</v>
      </c>
      <c r="K329" s="23">
        <v>106.3</v>
      </c>
      <c r="L329" s="23">
        <v>106.9</v>
      </c>
    </row>
    <row r="330" spans="1:16" ht="13.8">
      <c r="A330" s="12">
        <v>2019</v>
      </c>
      <c r="B330" s="19">
        <v>96</v>
      </c>
      <c r="C330" s="11" t="s">
        <v>110</v>
      </c>
      <c r="D330" s="14">
        <v>14</v>
      </c>
      <c r="E330" s="15">
        <v>0.7429</v>
      </c>
      <c r="F330" s="20">
        <f>7.14</f>
        <v>7.14</v>
      </c>
      <c r="G330" s="21">
        <v>109.4</v>
      </c>
      <c r="H330" s="19">
        <v>102.3</v>
      </c>
      <c r="I330" s="21">
        <v>68.2</v>
      </c>
      <c r="J330" s="21">
        <v>-3.37</v>
      </c>
      <c r="K330" s="19">
        <v>103.6</v>
      </c>
      <c r="L330" s="19">
        <v>107</v>
      </c>
    </row>
    <row r="331" spans="1:16" ht="13.8">
      <c r="A331" s="12">
        <v>2019</v>
      </c>
      <c r="B331" s="19">
        <v>106</v>
      </c>
      <c r="C331" s="11" t="s">
        <v>174</v>
      </c>
      <c r="D331" s="14">
        <v>13</v>
      </c>
      <c r="E331" s="15">
        <v>0.64410000000000001</v>
      </c>
      <c r="F331" s="20">
        <f>6.02</f>
        <v>6.02</v>
      </c>
      <c r="G331" s="21">
        <v>102.2</v>
      </c>
      <c r="H331" s="19">
        <v>96.2</v>
      </c>
      <c r="I331" s="21">
        <v>66.400000000000006</v>
      </c>
      <c r="J331" s="22">
        <f>0.49</f>
        <v>0.49</v>
      </c>
      <c r="K331" s="19">
        <v>104.4</v>
      </c>
      <c r="L331" s="19">
        <v>103.9</v>
      </c>
    </row>
    <row r="332" spans="1:16" ht="13.8">
      <c r="A332" s="12">
        <v>2019</v>
      </c>
      <c r="B332" s="23">
        <v>113</v>
      </c>
      <c r="C332" s="11" t="s">
        <v>175</v>
      </c>
      <c r="D332" s="14">
        <v>14</v>
      </c>
      <c r="E332" s="15">
        <v>0.7429</v>
      </c>
      <c r="F332" s="24">
        <f>5.45</f>
        <v>5.45</v>
      </c>
      <c r="G332" s="25">
        <v>101.4</v>
      </c>
      <c r="H332" s="23">
        <v>96</v>
      </c>
      <c r="I332" s="25">
        <v>64.5</v>
      </c>
      <c r="J332" s="25">
        <v>-2.15</v>
      </c>
      <c r="K332" s="23">
        <v>102.5</v>
      </c>
      <c r="L332" s="23">
        <v>104.7</v>
      </c>
    </row>
    <row r="333" spans="1:16" ht="13.8">
      <c r="A333" s="12">
        <v>2019</v>
      </c>
      <c r="B333" s="19">
        <v>124</v>
      </c>
      <c r="C333" s="11" t="s">
        <v>134</v>
      </c>
      <c r="D333" s="14">
        <v>14</v>
      </c>
      <c r="E333" s="15">
        <v>0.70369999999999999</v>
      </c>
      <c r="F333" s="20">
        <f>4.85</f>
        <v>4.8499999999999996</v>
      </c>
      <c r="G333" s="21">
        <v>107.7</v>
      </c>
      <c r="H333" s="19">
        <v>102.8</v>
      </c>
      <c r="I333" s="21">
        <v>70</v>
      </c>
      <c r="J333" s="22">
        <f>1.09</f>
        <v>1.0900000000000001</v>
      </c>
      <c r="K333" s="19">
        <v>105.2</v>
      </c>
      <c r="L333" s="19">
        <v>104.1</v>
      </c>
    </row>
    <row r="334" spans="1:16" ht="13.8">
      <c r="A334" s="12">
        <v>2019</v>
      </c>
      <c r="B334" s="19">
        <v>126</v>
      </c>
      <c r="C334" s="11" t="s">
        <v>76</v>
      </c>
      <c r="D334" s="14">
        <v>15</v>
      </c>
      <c r="E334" s="15">
        <v>0.68</v>
      </c>
      <c r="F334" s="20">
        <f>4.6</f>
        <v>4.5999999999999996</v>
      </c>
      <c r="G334" s="21">
        <v>110.5</v>
      </c>
      <c r="H334" s="19">
        <v>105.9</v>
      </c>
      <c r="I334" s="21">
        <v>66.400000000000006</v>
      </c>
      <c r="J334" s="21">
        <v>-3.83</v>
      </c>
      <c r="K334" s="19">
        <v>102.4</v>
      </c>
      <c r="L334" s="19">
        <v>106.3</v>
      </c>
    </row>
    <row r="335" spans="1:16" ht="13.8">
      <c r="A335" s="12">
        <v>2019</v>
      </c>
      <c r="B335" s="23">
        <v>137</v>
      </c>
      <c r="C335" s="11" t="s">
        <v>176</v>
      </c>
      <c r="D335" s="14">
        <v>15</v>
      </c>
      <c r="E335" s="15">
        <v>0.7429</v>
      </c>
      <c r="F335" s="24">
        <f>3.53</f>
        <v>3.53</v>
      </c>
      <c r="G335" s="25">
        <v>107.4</v>
      </c>
      <c r="H335" s="23">
        <v>103.9</v>
      </c>
      <c r="I335" s="25">
        <v>66.900000000000006</v>
      </c>
      <c r="J335" s="25">
        <v>-6.07</v>
      </c>
      <c r="K335" s="23">
        <v>102.4</v>
      </c>
      <c r="L335" s="23">
        <v>108.4</v>
      </c>
    </row>
    <row r="336" spans="1:16" ht="13.8">
      <c r="A336" s="12">
        <v>2019</v>
      </c>
      <c r="B336" s="19">
        <v>152</v>
      </c>
      <c r="C336" s="11" t="s">
        <v>151</v>
      </c>
      <c r="D336" s="14">
        <v>15</v>
      </c>
      <c r="E336" s="15">
        <v>0.79410000000000003</v>
      </c>
      <c r="F336" s="20">
        <f>1.35</f>
        <v>1.35</v>
      </c>
      <c r="G336" s="21">
        <v>103.4</v>
      </c>
      <c r="H336" s="19">
        <v>102</v>
      </c>
      <c r="I336" s="21">
        <v>66.099999999999994</v>
      </c>
      <c r="J336" s="21">
        <v>-8.67</v>
      </c>
      <c r="K336" s="19">
        <v>100</v>
      </c>
      <c r="L336" s="19">
        <v>108.7</v>
      </c>
    </row>
    <row r="337" spans="1:12" ht="13.8">
      <c r="A337" s="12">
        <v>2019</v>
      </c>
      <c r="B337" s="23">
        <v>161</v>
      </c>
      <c r="C337" s="11" t="s">
        <v>177</v>
      </c>
      <c r="D337" s="14">
        <v>15</v>
      </c>
      <c r="E337" s="15">
        <v>0.57140000000000002</v>
      </c>
      <c r="F337" s="24">
        <f>0.09</f>
        <v>0.09</v>
      </c>
      <c r="G337" s="25">
        <v>101.5</v>
      </c>
      <c r="H337" s="23">
        <v>101.4</v>
      </c>
      <c r="I337" s="25">
        <v>65.3</v>
      </c>
      <c r="J337" s="25">
        <v>-1.66</v>
      </c>
      <c r="K337" s="23">
        <v>102.6</v>
      </c>
      <c r="L337" s="23">
        <v>104.3</v>
      </c>
    </row>
    <row r="338" spans="1:12" ht="13.8">
      <c r="A338" s="12">
        <v>2019</v>
      </c>
      <c r="B338" s="23">
        <v>163</v>
      </c>
      <c r="C338" s="11" t="s">
        <v>178</v>
      </c>
      <c r="D338" s="14">
        <v>16</v>
      </c>
      <c r="E338" s="15">
        <v>0.65710000000000002</v>
      </c>
      <c r="F338" s="23">
        <v>-0.04</v>
      </c>
      <c r="G338" s="25">
        <v>107.8</v>
      </c>
      <c r="H338" s="23">
        <v>107.8</v>
      </c>
      <c r="I338" s="25">
        <v>67.400000000000006</v>
      </c>
      <c r="J338" s="25">
        <v>-3.55</v>
      </c>
      <c r="K338" s="23">
        <v>103.2</v>
      </c>
      <c r="L338" s="23">
        <v>106.8</v>
      </c>
    </row>
    <row r="339" spans="1:12" ht="13.8">
      <c r="A339" s="12">
        <v>2019</v>
      </c>
      <c r="B339" s="19">
        <v>198</v>
      </c>
      <c r="C339" s="11" t="s">
        <v>102</v>
      </c>
      <c r="D339" s="14">
        <v>16</v>
      </c>
      <c r="E339" s="15">
        <v>0.51519999999999999</v>
      </c>
      <c r="F339" s="19">
        <v>-2.88</v>
      </c>
      <c r="G339" s="21">
        <v>106.9</v>
      </c>
      <c r="H339" s="19">
        <v>109.7</v>
      </c>
      <c r="I339" s="21">
        <v>70.599999999999994</v>
      </c>
      <c r="J339" s="21">
        <v>-6.27</v>
      </c>
      <c r="K339" s="19">
        <v>100.5</v>
      </c>
      <c r="L339" s="19">
        <v>106.8</v>
      </c>
    </row>
    <row r="340" spans="1:12" ht="13.8">
      <c r="A340" s="12">
        <v>2019</v>
      </c>
      <c r="B340" s="19">
        <v>202</v>
      </c>
      <c r="C340" s="11" t="s">
        <v>179</v>
      </c>
      <c r="D340" s="14">
        <v>16</v>
      </c>
      <c r="E340" s="15">
        <v>0.54290000000000005</v>
      </c>
      <c r="F340" s="19">
        <v>-3.2</v>
      </c>
      <c r="G340" s="21">
        <v>107.4</v>
      </c>
      <c r="H340" s="19">
        <v>110.6</v>
      </c>
      <c r="I340" s="21">
        <v>65</v>
      </c>
      <c r="J340" s="21">
        <v>-2.85</v>
      </c>
      <c r="K340" s="19">
        <v>104.8</v>
      </c>
      <c r="L340" s="19">
        <v>107.6</v>
      </c>
    </row>
    <row r="341" spans="1:12" ht="13.8">
      <c r="A341" s="12">
        <v>2019</v>
      </c>
      <c r="B341" s="23">
        <v>209</v>
      </c>
      <c r="C341" s="11" t="s">
        <v>180</v>
      </c>
      <c r="D341" s="14">
        <v>16</v>
      </c>
      <c r="E341" s="15">
        <v>0.62860000000000005</v>
      </c>
      <c r="F341" s="23">
        <v>-4.13</v>
      </c>
      <c r="G341" s="25">
        <v>102.1</v>
      </c>
      <c r="H341" s="23">
        <v>106.2</v>
      </c>
      <c r="I341" s="25">
        <v>71.099999999999994</v>
      </c>
      <c r="J341" s="25">
        <v>-7.85</v>
      </c>
      <c r="K341" s="23">
        <v>98.8</v>
      </c>
      <c r="L341" s="23">
        <v>106.7</v>
      </c>
    </row>
    <row r="342" spans="1:12" ht="13.8">
      <c r="A342" s="12">
        <v>2019</v>
      </c>
      <c r="B342" s="23">
        <v>211</v>
      </c>
      <c r="C342" s="11" t="s">
        <v>113</v>
      </c>
      <c r="D342" s="14">
        <v>16</v>
      </c>
      <c r="E342" s="15">
        <v>0.6</v>
      </c>
      <c r="F342" s="23">
        <v>-4.22</v>
      </c>
      <c r="G342" s="25">
        <v>106.5</v>
      </c>
      <c r="H342" s="23">
        <v>110.7</v>
      </c>
      <c r="I342" s="25">
        <v>66.8</v>
      </c>
      <c r="J342" s="25">
        <v>-8.16</v>
      </c>
      <c r="K342" s="23">
        <v>99.5</v>
      </c>
      <c r="L342" s="23">
        <v>107.7</v>
      </c>
    </row>
    <row r="343" spans="1:12" ht="13.8">
      <c r="A343" s="12">
        <v>2019</v>
      </c>
      <c r="B343" s="23">
        <v>303</v>
      </c>
      <c r="C343" s="11" t="s">
        <v>181</v>
      </c>
      <c r="D343" s="14">
        <v>16</v>
      </c>
      <c r="E343" s="15">
        <v>0.52939999999999998</v>
      </c>
      <c r="F343" s="23">
        <v>-11.55</v>
      </c>
      <c r="G343" s="25">
        <v>97.8</v>
      </c>
      <c r="H343" s="23">
        <v>109.3</v>
      </c>
      <c r="I343" s="25">
        <v>65.3</v>
      </c>
      <c r="J343" s="25">
        <v>-11.84</v>
      </c>
      <c r="K343" s="23">
        <v>97</v>
      </c>
      <c r="L343" s="23">
        <v>108.9</v>
      </c>
    </row>
    <row r="344" spans="1:12" ht="13.2">
      <c r="A344" s="35"/>
      <c r="B344" s="35"/>
      <c r="E344" s="1"/>
    </row>
    <row r="345" spans="1:12" ht="13.2">
      <c r="A345" s="35"/>
      <c r="B345" s="35"/>
      <c r="E345" s="1"/>
    </row>
    <row r="346" spans="1:12" ht="13.2">
      <c r="A346" s="35"/>
      <c r="B346" s="35"/>
      <c r="E346" s="1"/>
    </row>
    <row r="347" spans="1:12" ht="13.2">
      <c r="A347" s="35"/>
      <c r="B347" s="35"/>
      <c r="E347" s="1"/>
    </row>
    <row r="348" spans="1:12" ht="13.2">
      <c r="A348" s="35"/>
      <c r="B348" s="35"/>
      <c r="E348" s="1"/>
    </row>
    <row r="349" spans="1:12" ht="13.2">
      <c r="A349" s="35"/>
      <c r="B349" s="35"/>
      <c r="E349" s="1"/>
    </row>
    <row r="350" spans="1:12" ht="13.2">
      <c r="A350" s="35"/>
      <c r="B350" s="35"/>
      <c r="E350" s="1"/>
    </row>
    <row r="351" spans="1:12" ht="13.2">
      <c r="A351" s="35"/>
      <c r="B351" s="35"/>
      <c r="E351" s="1"/>
    </row>
    <row r="352" spans="1:12" ht="13.2">
      <c r="A352" s="35"/>
      <c r="B352" s="35"/>
      <c r="E352" s="1"/>
    </row>
    <row r="353" spans="1:5" ht="13.2">
      <c r="A353" s="35"/>
      <c r="B353" s="35"/>
      <c r="E353" s="1"/>
    </row>
    <row r="354" spans="1:5" ht="13.2">
      <c r="A354" s="35"/>
      <c r="B354" s="35"/>
      <c r="E354" s="1"/>
    </row>
    <row r="355" spans="1:5" ht="13.2">
      <c r="A355" s="35"/>
      <c r="B355" s="35"/>
      <c r="E355" s="1"/>
    </row>
    <row r="356" spans="1:5" ht="13.2">
      <c r="A356" s="35"/>
      <c r="B356" s="35"/>
      <c r="E356" s="1"/>
    </row>
    <row r="357" spans="1:5" ht="13.2">
      <c r="A357" s="35"/>
      <c r="B357" s="35"/>
      <c r="E357" s="1"/>
    </row>
    <row r="358" spans="1:5" ht="13.2">
      <c r="A358" s="35"/>
      <c r="B358" s="35"/>
      <c r="E358" s="1"/>
    </row>
    <row r="359" spans="1:5" ht="13.2">
      <c r="A359" s="35"/>
      <c r="B359" s="35"/>
      <c r="E359" s="1"/>
    </row>
    <row r="360" spans="1:5" ht="13.2">
      <c r="A360" s="35"/>
      <c r="B360" s="35"/>
      <c r="E360" s="1"/>
    </row>
    <row r="361" spans="1:5" ht="13.2">
      <c r="A361" s="35"/>
      <c r="B361" s="35"/>
      <c r="E361" s="1"/>
    </row>
    <row r="362" spans="1:5" ht="13.2">
      <c r="A362" s="35"/>
      <c r="B362" s="35"/>
      <c r="E362" s="1"/>
    </row>
    <row r="363" spans="1:5" ht="13.2">
      <c r="A363" s="35"/>
      <c r="B363" s="35"/>
      <c r="E363" s="1"/>
    </row>
    <row r="364" spans="1:5" ht="13.2">
      <c r="A364" s="35"/>
      <c r="B364" s="35"/>
      <c r="E364" s="1"/>
    </row>
    <row r="365" spans="1:5" ht="13.2">
      <c r="A365" s="35"/>
      <c r="B365" s="35"/>
      <c r="E365" s="1"/>
    </row>
    <row r="366" spans="1:5" ht="13.2">
      <c r="A366" s="35"/>
      <c r="B366" s="35"/>
      <c r="E366" s="1"/>
    </row>
    <row r="367" spans="1:5" ht="13.2">
      <c r="A367" s="35"/>
      <c r="B367" s="35"/>
      <c r="E367" s="1"/>
    </row>
    <row r="368" spans="1:5" ht="13.2">
      <c r="A368" s="35"/>
      <c r="B368" s="35"/>
      <c r="E368" s="1"/>
    </row>
    <row r="369" spans="1:5" ht="13.2">
      <c r="A369" s="35"/>
      <c r="B369" s="35"/>
      <c r="E369" s="1"/>
    </row>
    <row r="370" spans="1:5" ht="13.2">
      <c r="A370" s="35"/>
      <c r="B370" s="35"/>
      <c r="E370" s="1"/>
    </row>
    <row r="371" spans="1:5" ht="13.2">
      <c r="A371" s="35"/>
      <c r="B371" s="35"/>
      <c r="E371" s="1"/>
    </row>
    <row r="372" spans="1:5" ht="13.2">
      <c r="A372" s="35"/>
      <c r="B372" s="35"/>
      <c r="E372" s="1"/>
    </row>
    <row r="373" spans="1:5" ht="13.2">
      <c r="A373" s="35"/>
      <c r="B373" s="35"/>
      <c r="E373" s="1"/>
    </row>
    <row r="374" spans="1:5" ht="13.2">
      <c r="A374" s="35"/>
      <c r="B374" s="35"/>
      <c r="E374" s="1"/>
    </row>
    <row r="375" spans="1:5" ht="13.2">
      <c r="A375" s="35"/>
      <c r="B375" s="35"/>
      <c r="E375" s="1"/>
    </row>
    <row r="376" spans="1:5" ht="13.2">
      <c r="A376" s="35"/>
      <c r="B376" s="35"/>
      <c r="E376" s="1"/>
    </row>
    <row r="377" spans="1:5" ht="13.2">
      <c r="A377" s="35"/>
      <c r="B377" s="35"/>
      <c r="E377" s="1"/>
    </row>
    <row r="378" spans="1:5" ht="13.2">
      <c r="A378" s="35"/>
      <c r="B378" s="35"/>
      <c r="E378" s="1"/>
    </row>
    <row r="379" spans="1:5" ht="13.2">
      <c r="A379" s="35"/>
      <c r="B379" s="35"/>
      <c r="E379" s="1"/>
    </row>
    <row r="380" spans="1:5" ht="13.2">
      <c r="A380" s="35"/>
      <c r="B380" s="35"/>
      <c r="E380" s="1"/>
    </row>
    <row r="381" spans="1:5" ht="13.2">
      <c r="A381" s="35"/>
      <c r="B381" s="35"/>
      <c r="E381" s="1"/>
    </row>
    <row r="382" spans="1:5" ht="13.2">
      <c r="A382" s="35"/>
      <c r="B382" s="35"/>
      <c r="E382" s="1"/>
    </row>
    <row r="383" spans="1:5" ht="13.2">
      <c r="A383" s="35"/>
      <c r="B383" s="35"/>
      <c r="E383" s="1"/>
    </row>
    <row r="384" spans="1:5" ht="13.2">
      <c r="A384" s="35"/>
      <c r="B384" s="35"/>
      <c r="E384" s="1"/>
    </row>
    <row r="385" spans="1:5" ht="13.2">
      <c r="A385" s="35"/>
      <c r="B385" s="35"/>
      <c r="E385" s="1"/>
    </row>
    <row r="386" spans="1:5" ht="13.2">
      <c r="A386" s="35"/>
      <c r="B386" s="35"/>
      <c r="E386" s="1"/>
    </row>
    <row r="387" spans="1:5" ht="13.2">
      <c r="A387" s="35"/>
      <c r="B387" s="35"/>
      <c r="E387" s="1"/>
    </row>
    <row r="388" spans="1:5" ht="13.2">
      <c r="A388" s="35"/>
      <c r="B388" s="35"/>
      <c r="E388" s="1"/>
    </row>
    <row r="389" spans="1:5" ht="13.2">
      <c r="A389" s="35"/>
      <c r="B389" s="35"/>
      <c r="E389" s="1"/>
    </row>
    <row r="390" spans="1:5" ht="13.2">
      <c r="A390" s="35"/>
      <c r="B390" s="35"/>
      <c r="E390" s="1"/>
    </row>
    <row r="391" spans="1:5" ht="13.2">
      <c r="A391" s="35"/>
      <c r="B391" s="35"/>
      <c r="E391" s="1"/>
    </row>
    <row r="392" spans="1:5" ht="13.2">
      <c r="A392" s="35"/>
      <c r="B392" s="35"/>
      <c r="E392" s="1"/>
    </row>
    <row r="393" spans="1:5" ht="13.2">
      <c r="A393" s="35"/>
      <c r="B393" s="35"/>
      <c r="E393" s="1"/>
    </row>
    <row r="394" spans="1:5" ht="13.2">
      <c r="A394" s="35"/>
      <c r="B394" s="35"/>
      <c r="E394" s="1"/>
    </row>
    <row r="395" spans="1:5" ht="13.2">
      <c r="A395" s="35"/>
      <c r="B395" s="35"/>
      <c r="E395" s="1"/>
    </row>
    <row r="396" spans="1:5" ht="13.2">
      <c r="A396" s="35"/>
      <c r="B396" s="35"/>
      <c r="E396" s="1"/>
    </row>
    <row r="397" spans="1:5" ht="13.2">
      <c r="A397" s="35"/>
      <c r="B397" s="35"/>
      <c r="E397" s="1"/>
    </row>
    <row r="398" spans="1:5" ht="13.2">
      <c r="A398" s="35"/>
      <c r="B398" s="35"/>
      <c r="E398" s="1"/>
    </row>
    <row r="399" spans="1:5" ht="13.2">
      <c r="A399" s="35"/>
      <c r="B399" s="35"/>
      <c r="E399" s="1"/>
    </row>
    <row r="400" spans="1:5" ht="13.2">
      <c r="A400" s="35"/>
      <c r="B400" s="35"/>
      <c r="E400" s="1"/>
    </row>
    <row r="401" spans="1:5" ht="13.2">
      <c r="A401" s="35"/>
      <c r="B401" s="35"/>
      <c r="E401" s="1"/>
    </row>
    <row r="402" spans="1:5" ht="13.2">
      <c r="A402" s="35"/>
      <c r="B402" s="35"/>
      <c r="E402" s="1"/>
    </row>
    <row r="403" spans="1:5" ht="13.2">
      <c r="A403" s="35"/>
      <c r="B403" s="35"/>
      <c r="E403" s="1"/>
    </row>
    <row r="404" spans="1:5" ht="13.2">
      <c r="A404" s="35"/>
      <c r="B404" s="35"/>
      <c r="E404" s="1"/>
    </row>
    <row r="405" spans="1:5" ht="13.2">
      <c r="A405" s="35"/>
      <c r="B405" s="35"/>
      <c r="E405" s="1"/>
    </row>
    <row r="406" spans="1:5" ht="13.2">
      <c r="A406" s="35"/>
      <c r="B406" s="35"/>
      <c r="E406" s="1"/>
    </row>
    <row r="407" spans="1:5" ht="13.2">
      <c r="A407" s="35"/>
      <c r="B407" s="35"/>
      <c r="E407" s="1"/>
    </row>
    <row r="408" spans="1:5" ht="13.2">
      <c r="A408" s="35"/>
      <c r="B408" s="35"/>
      <c r="E408" s="1"/>
    </row>
    <row r="409" spans="1:5" ht="13.2">
      <c r="A409" s="35"/>
      <c r="B409" s="35"/>
      <c r="E409" s="1"/>
    </row>
    <row r="410" spans="1:5" ht="13.2">
      <c r="A410" s="35"/>
      <c r="B410" s="35"/>
      <c r="E410" s="1"/>
    </row>
    <row r="411" spans="1:5" ht="13.2">
      <c r="A411" s="35"/>
      <c r="B411" s="35"/>
      <c r="E411" s="1"/>
    </row>
    <row r="412" spans="1:5" ht="13.2">
      <c r="A412" s="35"/>
      <c r="B412" s="35"/>
      <c r="E412" s="1"/>
    </row>
    <row r="413" spans="1:5" ht="13.2">
      <c r="A413" s="35"/>
      <c r="B413" s="35"/>
      <c r="E413" s="1"/>
    </row>
    <row r="414" spans="1:5" ht="13.2">
      <c r="A414" s="35"/>
      <c r="B414" s="35"/>
      <c r="E414" s="1"/>
    </row>
    <row r="415" spans="1:5" ht="13.2">
      <c r="A415" s="35"/>
      <c r="B415" s="35"/>
      <c r="E415" s="1"/>
    </row>
    <row r="416" spans="1:5" ht="13.2">
      <c r="A416" s="35"/>
      <c r="B416" s="35"/>
      <c r="E416" s="1"/>
    </row>
    <row r="417" spans="1:5" ht="13.2">
      <c r="A417" s="35"/>
      <c r="B417" s="35"/>
      <c r="E417" s="1"/>
    </row>
    <row r="418" spans="1:5" ht="13.2">
      <c r="A418" s="35"/>
      <c r="B418" s="35"/>
      <c r="E418" s="1"/>
    </row>
    <row r="419" spans="1:5" ht="13.2">
      <c r="A419" s="35"/>
      <c r="B419" s="35"/>
      <c r="E419" s="1"/>
    </row>
    <row r="420" spans="1:5" ht="13.2">
      <c r="A420" s="35"/>
      <c r="B420" s="35"/>
      <c r="E420" s="1"/>
    </row>
    <row r="421" spans="1:5" ht="13.2">
      <c r="A421" s="35"/>
      <c r="B421" s="35"/>
      <c r="E421" s="1"/>
    </row>
    <row r="422" spans="1:5" ht="13.2">
      <c r="A422" s="35"/>
      <c r="B422" s="35"/>
      <c r="E422" s="1"/>
    </row>
    <row r="423" spans="1:5" ht="13.2">
      <c r="A423" s="35"/>
      <c r="B423" s="35"/>
      <c r="E423" s="1"/>
    </row>
    <row r="424" spans="1:5" ht="13.2">
      <c r="A424" s="35"/>
      <c r="B424" s="35"/>
      <c r="E424" s="1"/>
    </row>
    <row r="425" spans="1:5" ht="13.2">
      <c r="A425" s="35"/>
      <c r="B425" s="35"/>
      <c r="E425" s="1"/>
    </row>
    <row r="426" spans="1:5" ht="13.2">
      <c r="A426" s="35"/>
      <c r="B426" s="35"/>
      <c r="E426" s="1"/>
    </row>
    <row r="427" spans="1:5" ht="13.2">
      <c r="A427" s="35"/>
      <c r="B427" s="35"/>
      <c r="E427" s="1"/>
    </row>
    <row r="428" spans="1:5" ht="13.2">
      <c r="A428" s="35"/>
      <c r="B428" s="35"/>
      <c r="E428" s="1"/>
    </row>
    <row r="429" spans="1:5" ht="13.2">
      <c r="A429" s="35"/>
      <c r="B429" s="35"/>
      <c r="E429" s="1"/>
    </row>
    <row r="430" spans="1:5" ht="13.2">
      <c r="A430" s="35"/>
      <c r="B430" s="35"/>
      <c r="E430" s="1"/>
    </row>
    <row r="431" spans="1:5" ht="13.2">
      <c r="A431" s="35"/>
      <c r="B431" s="35"/>
      <c r="E431" s="1"/>
    </row>
    <row r="432" spans="1:5" ht="13.2">
      <c r="A432" s="35"/>
      <c r="B432" s="35"/>
      <c r="E432" s="1"/>
    </row>
    <row r="433" spans="1:5" ht="13.2">
      <c r="A433" s="35"/>
      <c r="B433" s="35"/>
      <c r="E433" s="1"/>
    </row>
    <row r="434" spans="1:5" ht="13.2">
      <c r="A434" s="35"/>
      <c r="B434" s="35"/>
      <c r="E434" s="1"/>
    </row>
    <row r="435" spans="1:5" ht="13.2">
      <c r="A435" s="35"/>
      <c r="B435" s="35"/>
      <c r="E435" s="1"/>
    </row>
    <row r="436" spans="1:5" ht="13.2">
      <c r="A436" s="35"/>
      <c r="B436" s="35"/>
      <c r="E436" s="1"/>
    </row>
    <row r="437" spans="1:5" ht="13.2">
      <c r="A437" s="35"/>
      <c r="B437" s="35"/>
      <c r="E437" s="1"/>
    </row>
    <row r="438" spans="1:5" ht="13.2">
      <c r="A438" s="35"/>
      <c r="B438" s="35"/>
      <c r="E438" s="1"/>
    </row>
    <row r="439" spans="1:5" ht="13.2">
      <c r="A439" s="35"/>
      <c r="B439" s="35"/>
      <c r="E439" s="1"/>
    </row>
    <row r="440" spans="1:5" ht="13.2">
      <c r="A440" s="35"/>
      <c r="B440" s="35"/>
      <c r="E440" s="1"/>
    </row>
    <row r="441" spans="1:5" ht="13.2">
      <c r="A441" s="35"/>
      <c r="B441" s="35"/>
      <c r="E441" s="1"/>
    </row>
    <row r="442" spans="1:5" ht="13.2">
      <c r="A442" s="35"/>
      <c r="B442" s="35"/>
      <c r="E442" s="1"/>
    </row>
    <row r="443" spans="1:5" ht="13.2">
      <c r="A443" s="35"/>
      <c r="B443" s="35"/>
      <c r="E443" s="1"/>
    </row>
    <row r="444" spans="1:5" ht="13.2">
      <c r="A444" s="35"/>
      <c r="B444" s="35"/>
      <c r="E444" s="1"/>
    </row>
    <row r="445" spans="1:5" ht="13.2">
      <c r="A445" s="35"/>
      <c r="B445" s="35"/>
      <c r="E445" s="1"/>
    </row>
    <row r="446" spans="1:5" ht="13.2">
      <c r="A446" s="35"/>
      <c r="B446" s="35"/>
      <c r="E446" s="1"/>
    </row>
    <row r="447" spans="1:5" ht="13.2">
      <c r="A447" s="35"/>
      <c r="B447" s="35"/>
      <c r="E447" s="1"/>
    </row>
    <row r="448" spans="1:5" ht="13.2">
      <c r="A448" s="35"/>
      <c r="B448" s="35"/>
      <c r="E448" s="1"/>
    </row>
    <row r="449" spans="1:5" ht="13.2">
      <c r="A449" s="35"/>
      <c r="B449" s="35"/>
      <c r="E449" s="1"/>
    </row>
    <row r="450" spans="1:5" ht="13.2">
      <c r="A450" s="35"/>
      <c r="B450" s="35"/>
      <c r="E450" s="1"/>
    </row>
    <row r="451" spans="1:5" ht="13.2">
      <c r="A451" s="35"/>
      <c r="B451" s="35"/>
      <c r="E451" s="1"/>
    </row>
    <row r="452" spans="1:5" ht="13.2">
      <c r="A452" s="35"/>
      <c r="B452" s="35"/>
      <c r="E452" s="1"/>
    </row>
    <row r="453" spans="1:5" ht="13.2">
      <c r="A453" s="35"/>
      <c r="B453" s="35"/>
      <c r="E453" s="1"/>
    </row>
    <row r="454" spans="1:5" ht="13.2">
      <c r="A454" s="35"/>
      <c r="B454" s="35"/>
      <c r="E454" s="1"/>
    </row>
    <row r="455" spans="1:5" ht="13.2">
      <c r="A455" s="35"/>
      <c r="B455" s="35"/>
      <c r="E455" s="1"/>
    </row>
    <row r="456" spans="1:5" ht="13.2">
      <c r="A456" s="35"/>
      <c r="B456" s="35"/>
      <c r="E456" s="1"/>
    </row>
    <row r="457" spans="1:5" ht="13.2">
      <c r="A457" s="35"/>
      <c r="B457" s="35"/>
      <c r="E457" s="1"/>
    </row>
    <row r="458" spans="1:5" ht="13.2">
      <c r="A458" s="35"/>
      <c r="B458" s="35"/>
      <c r="E458" s="1"/>
    </row>
    <row r="459" spans="1:5" ht="13.2">
      <c r="A459" s="35"/>
      <c r="B459" s="35"/>
      <c r="E459" s="1"/>
    </row>
    <row r="460" spans="1:5" ht="13.2">
      <c r="A460" s="35"/>
      <c r="B460" s="35"/>
      <c r="E460" s="1"/>
    </row>
    <row r="461" spans="1:5" ht="13.2">
      <c r="A461" s="35"/>
      <c r="B461" s="35"/>
      <c r="E461" s="1"/>
    </row>
    <row r="462" spans="1:5" ht="13.2">
      <c r="A462" s="35"/>
      <c r="B462" s="35"/>
      <c r="E462" s="1"/>
    </row>
    <row r="463" spans="1:5" ht="13.2">
      <c r="A463" s="35"/>
      <c r="B463" s="35"/>
      <c r="E463" s="1"/>
    </row>
    <row r="464" spans="1:5" ht="13.2">
      <c r="A464" s="35"/>
      <c r="B464" s="35"/>
      <c r="E464" s="1"/>
    </row>
    <row r="465" spans="1:5" ht="13.2">
      <c r="A465" s="35"/>
      <c r="B465" s="35"/>
      <c r="E465" s="1"/>
    </row>
    <row r="466" spans="1:5" ht="13.2">
      <c r="A466" s="35"/>
      <c r="B466" s="35"/>
      <c r="E466" s="1"/>
    </row>
    <row r="467" spans="1:5" ht="13.2">
      <c r="A467" s="35"/>
      <c r="B467" s="35"/>
      <c r="E467" s="1"/>
    </row>
    <row r="468" spans="1:5" ht="13.2">
      <c r="A468" s="35"/>
      <c r="B468" s="35"/>
      <c r="E468" s="1"/>
    </row>
    <row r="469" spans="1:5" ht="13.2">
      <c r="A469" s="35"/>
      <c r="B469" s="35"/>
      <c r="E469" s="1"/>
    </row>
    <row r="470" spans="1:5" ht="13.2">
      <c r="A470" s="35"/>
      <c r="B470" s="35"/>
      <c r="E470" s="1"/>
    </row>
    <row r="471" spans="1:5" ht="13.2">
      <c r="A471" s="35"/>
      <c r="B471" s="35"/>
      <c r="E471" s="1"/>
    </row>
    <row r="472" spans="1:5" ht="13.2">
      <c r="A472" s="35"/>
      <c r="B472" s="35"/>
      <c r="E472" s="1"/>
    </row>
    <row r="473" spans="1:5" ht="13.2">
      <c r="A473" s="35"/>
      <c r="B473" s="35"/>
      <c r="E473" s="1"/>
    </row>
    <row r="474" spans="1:5" ht="13.2">
      <c r="A474" s="35"/>
      <c r="B474" s="35"/>
      <c r="E474" s="1"/>
    </row>
    <row r="475" spans="1:5" ht="13.2">
      <c r="A475" s="35"/>
      <c r="B475" s="35"/>
      <c r="E475" s="1"/>
    </row>
    <row r="476" spans="1:5" ht="13.2">
      <c r="A476" s="35"/>
      <c r="B476" s="35"/>
      <c r="E476" s="1"/>
    </row>
    <row r="477" spans="1:5" ht="13.2">
      <c r="A477" s="35"/>
      <c r="B477" s="35"/>
      <c r="E477" s="1"/>
    </row>
    <row r="478" spans="1:5" ht="13.2">
      <c r="A478" s="35"/>
      <c r="B478" s="35"/>
      <c r="E478" s="1"/>
    </row>
    <row r="479" spans="1:5" ht="13.2">
      <c r="A479" s="35"/>
      <c r="B479" s="35"/>
      <c r="E479" s="1"/>
    </row>
    <row r="480" spans="1:5" ht="13.2">
      <c r="A480" s="35"/>
      <c r="B480" s="35"/>
      <c r="E480" s="1"/>
    </row>
    <row r="481" spans="1:5" ht="13.2">
      <c r="A481" s="35"/>
      <c r="B481" s="35"/>
      <c r="E481" s="1"/>
    </row>
    <row r="482" spans="1:5" ht="13.2">
      <c r="A482" s="35"/>
      <c r="B482" s="35"/>
      <c r="E482" s="1"/>
    </row>
    <row r="483" spans="1:5" ht="13.2">
      <c r="A483" s="35"/>
      <c r="B483" s="35"/>
      <c r="E483" s="1"/>
    </row>
    <row r="484" spans="1:5" ht="13.2">
      <c r="A484" s="35"/>
      <c r="B484" s="35"/>
      <c r="E484" s="1"/>
    </row>
    <row r="485" spans="1:5" ht="13.2">
      <c r="A485" s="35"/>
      <c r="B485" s="35"/>
      <c r="E485" s="1"/>
    </row>
    <row r="486" spans="1:5" ht="13.2">
      <c r="A486" s="35"/>
      <c r="B486" s="35"/>
      <c r="E486" s="1"/>
    </row>
    <row r="487" spans="1:5" ht="13.2">
      <c r="A487" s="35"/>
      <c r="B487" s="35"/>
      <c r="E487" s="1"/>
    </row>
    <row r="488" spans="1:5" ht="13.2">
      <c r="A488" s="35"/>
      <c r="B488" s="35"/>
      <c r="E488" s="1"/>
    </row>
    <row r="489" spans="1:5" ht="13.2">
      <c r="A489" s="35"/>
      <c r="B489" s="35"/>
      <c r="E489" s="1"/>
    </row>
    <row r="490" spans="1:5" ht="13.2">
      <c r="A490" s="35"/>
      <c r="B490" s="35"/>
      <c r="E490" s="1"/>
    </row>
    <row r="491" spans="1:5" ht="13.2">
      <c r="A491" s="35"/>
      <c r="B491" s="35"/>
      <c r="E491" s="1"/>
    </row>
    <row r="492" spans="1:5" ht="13.2">
      <c r="A492" s="35"/>
      <c r="B492" s="35"/>
      <c r="E492" s="1"/>
    </row>
    <row r="493" spans="1:5" ht="13.2">
      <c r="A493" s="35"/>
      <c r="B493" s="35"/>
      <c r="E493" s="1"/>
    </row>
    <row r="494" spans="1:5" ht="13.2">
      <c r="A494" s="35"/>
      <c r="B494" s="35"/>
      <c r="E494" s="1"/>
    </row>
    <row r="495" spans="1:5" ht="13.2">
      <c r="A495" s="35"/>
      <c r="B495" s="35"/>
      <c r="E495" s="1"/>
    </row>
    <row r="496" spans="1:5" ht="13.2">
      <c r="A496" s="35"/>
      <c r="B496" s="35"/>
      <c r="E496" s="1"/>
    </row>
    <row r="497" spans="1:5" ht="13.2">
      <c r="A497" s="35"/>
      <c r="B497" s="35"/>
      <c r="E497" s="1"/>
    </row>
    <row r="498" spans="1:5" ht="13.2">
      <c r="A498" s="35"/>
      <c r="B498" s="35"/>
      <c r="E498" s="1"/>
    </row>
    <row r="499" spans="1:5" ht="13.2">
      <c r="A499" s="35"/>
      <c r="B499" s="35"/>
      <c r="E499" s="1"/>
    </row>
    <row r="500" spans="1:5" ht="13.2">
      <c r="A500" s="35"/>
      <c r="B500" s="35"/>
      <c r="E500" s="1"/>
    </row>
    <row r="501" spans="1:5" ht="13.2">
      <c r="A501" s="35"/>
      <c r="B501" s="35"/>
      <c r="E501" s="1"/>
    </row>
    <row r="502" spans="1:5" ht="13.2">
      <c r="A502" s="35"/>
      <c r="B502" s="35"/>
      <c r="E502" s="1"/>
    </row>
    <row r="503" spans="1:5" ht="13.2">
      <c r="A503" s="35"/>
      <c r="B503" s="35"/>
      <c r="E503" s="1"/>
    </row>
    <row r="504" spans="1:5" ht="13.2">
      <c r="A504" s="35"/>
      <c r="B504" s="35"/>
      <c r="E504" s="1"/>
    </row>
    <row r="505" spans="1:5" ht="13.2">
      <c r="A505" s="35"/>
      <c r="B505" s="35"/>
      <c r="E505" s="1"/>
    </row>
    <row r="506" spans="1:5" ht="13.2">
      <c r="A506" s="35"/>
      <c r="B506" s="35"/>
      <c r="E506" s="1"/>
    </row>
    <row r="507" spans="1:5" ht="13.2">
      <c r="A507" s="35"/>
      <c r="B507" s="35"/>
      <c r="E507" s="1"/>
    </row>
    <row r="508" spans="1:5" ht="13.2">
      <c r="A508" s="35"/>
      <c r="B508" s="35"/>
      <c r="E508" s="1"/>
    </row>
    <row r="509" spans="1:5" ht="13.2">
      <c r="A509" s="35"/>
      <c r="B509" s="35"/>
      <c r="E509" s="1"/>
    </row>
    <row r="510" spans="1:5" ht="13.2">
      <c r="A510" s="35"/>
      <c r="B510" s="35"/>
      <c r="E510" s="1"/>
    </row>
    <row r="511" spans="1:5" ht="13.2">
      <c r="A511" s="35"/>
      <c r="B511" s="35"/>
      <c r="E511" s="1"/>
    </row>
    <row r="512" spans="1:5" ht="13.2">
      <c r="A512" s="35"/>
      <c r="B512" s="35"/>
      <c r="E512" s="1"/>
    </row>
    <row r="513" spans="1:5" ht="13.2">
      <c r="A513" s="35"/>
      <c r="B513" s="35"/>
      <c r="E513" s="1"/>
    </row>
    <row r="514" spans="1:5" ht="13.2">
      <c r="A514" s="35"/>
      <c r="B514" s="35"/>
      <c r="E514" s="1"/>
    </row>
    <row r="515" spans="1:5" ht="13.2">
      <c r="A515" s="35"/>
      <c r="B515" s="35"/>
      <c r="E515" s="1"/>
    </row>
    <row r="516" spans="1:5" ht="13.2">
      <c r="A516" s="35"/>
      <c r="B516" s="35"/>
      <c r="E516" s="1"/>
    </row>
    <row r="517" spans="1:5" ht="13.2">
      <c r="A517" s="35"/>
      <c r="B517" s="35"/>
      <c r="E517" s="1"/>
    </row>
    <row r="518" spans="1:5" ht="13.2">
      <c r="A518" s="35"/>
      <c r="B518" s="35"/>
      <c r="E518" s="1"/>
    </row>
    <row r="519" spans="1:5" ht="13.2">
      <c r="A519" s="35"/>
      <c r="B519" s="35"/>
      <c r="E519" s="1"/>
    </row>
    <row r="520" spans="1:5" ht="13.2">
      <c r="A520" s="35"/>
      <c r="B520" s="35"/>
      <c r="E520" s="1"/>
    </row>
    <row r="521" spans="1:5" ht="13.2">
      <c r="A521" s="35"/>
      <c r="B521" s="35"/>
      <c r="E521" s="1"/>
    </row>
    <row r="522" spans="1:5" ht="13.2">
      <c r="A522" s="35"/>
      <c r="B522" s="35"/>
      <c r="E522" s="1"/>
    </row>
    <row r="523" spans="1:5" ht="13.2">
      <c r="A523" s="35"/>
      <c r="B523" s="35"/>
      <c r="E523" s="1"/>
    </row>
    <row r="524" spans="1:5" ht="13.2">
      <c r="A524" s="35"/>
      <c r="B524" s="35"/>
      <c r="E524" s="1"/>
    </row>
    <row r="525" spans="1:5" ht="13.2">
      <c r="A525" s="35"/>
      <c r="B525" s="35"/>
      <c r="E525" s="1"/>
    </row>
    <row r="526" spans="1:5" ht="13.2">
      <c r="A526" s="35"/>
      <c r="B526" s="35"/>
      <c r="E526" s="1"/>
    </row>
    <row r="527" spans="1:5" ht="13.2">
      <c r="A527" s="35"/>
      <c r="B527" s="35"/>
      <c r="E527" s="1"/>
    </row>
    <row r="528" spans="1:5" ht="13.2">
      <c r="A528" s="35"/>
      <c r="B528" s="35"/>
      <c r="E528" s="1"/>
    </row>
    <row r="529" spans="1:5" ht="13.2">
      <c r="A529" s="35"/>
      <c r="B529" s="35"/>
      <c r="E529" s="1"/>
    </row>
    <row r="530" spans="1:5" ht="13.2">
      <c r="A530" s="35"/>
      <c r="B530" s="35"/>
      <c r="E530" s="1"/>
    </row>
    <row r="531" spans="1:5" ht="13.2">
      <c r="A531" s="35"/>
      <c r="B531" s="35"/>
      <c r="E531" s="1"/>
    </row>
    <row r="532" spans="1:5" ht="13.2">
      <c r="A532" s="35"/>
      <c r="B532" s="35"/>
      <c r="E532" s="1"/>
    </row>
    <row r="533" spans="1:5" ht="13.2">
      <c r="A533" s="35"/>
      <c r="B533" s="35"/>
      <c r="E533" s="1"/>
    </row>
    <row r="534" spans="1:5" ht="13.2">
      <c r="A534" s="35"/>
      <c r="B534" s="35"/>
      <c r="E534" s="1"/>
    </row>
    <row r="535" spans="1:5" ht="13.2">
      <c r="A535" s="35"/>
      <c r="B535" s="35"/>
      <c r="E535" s="1"/>
    </row>
    <row r="536" spans="1:5" ht="13.2">
      <c r="A536" s="35"/>
      <c r="B536" s="35"/>
      <c r="E536" s="1"/>
    </row>
    <row r="537" spans="1:5" ht="13.2">
      <c r="A537" s="35"/>
      <c r="B537" s="35"/>
      <c r="E537" s="1"/>
    </row>
    <row r="538" spans="1:5" ht="13.2">
      <c r="A538" s="35"/>
      <c r="B538" s="35"/>
      <c r="E538" s="1"/>
    </row>
    <row r="539" spans="1:5" ht="13.2">
      <c r="A539" s="35"/>
      <c r="B539" s="35"/>
      <c r="E539" s="1"/>
    </row>
    <row r="540" spans="1:5" ht="13.2">
      <c r="A540" s="35"/>
      <c r="B540" s="35"/>
      <c r="E540" s="1"/>
    </row>
    <row r="541" spans="1:5" ht="13.2">
      <c r="A541" s="35"/>
      <c r="B541" s="35"/>
      <c r="E541" s="1"/>
    </row>
    <row r="542" spans="1:5" ht="13.2">
      <c r="A542" s="35"/>
      <c r="B542" s="35"/>
      <c r="E542" s="1"/>
    </row>
    <row r="543" spans="1:5" ht="13.2">
      <c r="A543" s="35"/>
      <c r="B543" s="35"/>
      <c r="E543" s="1"/>
    </row>
    <row r="544" spans="1:5" ht="13.2">
      <c r="A544" s="35"/>
      <c r="B544" s="35"/>
      <c r="E544" s="1"/>
    </row>
    <row r="545" spans="1:5" ht="13.2">
      <c r="A545" s="35"/>
      <c r="B545" s="35"/>
      <c r="E545" s="1"/>
    </row>
    <row r="546" spans="1:5" ht="13.2">
      <c r="A546" s="35"/>
      <c r="B546" s="35"/>
      <c r="E546" s="1"/>
    </row>
    <row r="547" spans="1:5" ht="13.2">
      <c r="A547" s="35"/>
      <c r="B547" s="35"/>
      <c r="E547" s="1"/>
    </row>
    <row r="548" spans="1:5" ht="13.2">
      <c r="A548" s="35"/>
      <c r="B548" s="35"/>
      <c r="E548" s="1"/>
    </row>
    <row r="549" spans="1:5" ht="13.2">
      <c r="A549" s="35"/>
      <c r="B549" s="35"/>
      <c r="E549" s="1"/>
    </row>
    <row r="550" spans="1:5" ht="13.2">
      <c r="A550" s="35"/>
      <c r="B550" s="35"/>
      <c r="E550" s="1"/>
    </row>
    <row r="551" spans="1:5" ht="13.2">
      <c r="A551" s="35"/>
      <c r="B551" s="35"/>
      <c r="E551" s="1"/>
    </row>
    <row r="552" spans="1:5" ht="13.2">
      <c r="A552" s="35"/>
      <c r="B552" s="35"/>
      <c r="E552" s="1"/>
    </row>
    <row r="553" spans="1:5" ht="13.2">
      <c r="A553" s="35"/>
      <c r="B553" s="35"/>
      <c r="E553" s="1"/>
    </row>
    <row r="554" spans="1:5" ht="13.2">
      <c r="A554" s="35"/>
      <c r="B554" s="35"/>
      <c r="E554" s="1"/>
    </row>
    <row r="555" spans="1:5" ht="13.2">
      <c r="A555" s="35"/>
      <c r="B555" s="35"/>
      <c r="E555" s="1"/>
    </row>
    <row r="556" spans="1:5" ht="13.2">
      <c r="A556" s="35"/>
      <c r="B556" s="35"/>
      <c r="E556" s="1"/>
    </row>
    <row r="557" spans="1:5" ht="13.2">
      <c r="A557" s="35"/>
      <c r="B557" s="35"/>
      <c r="E557" s="1"/>
    </row>
    <row r="558" spans="1:5" ht="13.2">
      <c r="A558" s="35"/>
      <c r="B558" s="35"/>
      <c r="E558" s="1"/>
    </row>
    <row r="559" spans="1:5" ht="13.2">
      <c r="A559" s="35"/>
      <c r="B559" s="35"/>
      <c r="E559" s="1"/>
    </row>
    <row r="560" spans="1:5" ht="13.2">
      <c r="A560" s="35"/>
      <c r="B560" s="35"/>
      <c r="E560" s="1"/>
    </row>
    <row r="561" spans="1:5" ht="13.2">
      <c r="A561" s="35"/>
      <c r="B561" s="35"/>
      <c r="E561" s="1"/>
    </row>
    <row r="562" spans="1:5" ht="13.2">
      <c r="A562" s="35"/>
      <c r="B562" s="35"/>
      <c r="E562" s="1"/>
    </row>
    <row r="563" spans="1:5" ht="13.2">
      <c r="A563" s="35"/>
      <c r="B563" s="35"/>
      <c r="E563" s="1"/>
    </row>
    <row r="564" spans="1:5" ht="13.2">
      <c r="A564" s="35"/>
      <c r="B564" s="35"/>
      <c r="E564" s="1"/>
    </row>
    <row r="565" spans="1:5" ht="13.2">
      <c r="A565" s="35"/>
      <c r="B565" s="35"/>
      <c r="E565" s="1"/>
    </row>
    <row r="566" spans="1:5" ht="13.2">
      <c r="A566" s="35"/>
      <c r="B566" s="35"/>
      <c r="E566" s="1"/>
    </row>
    <row r="567" spans="1:5" ht="13.2">
      <c r="A567" s="35"/>
      <c r="B567" s="35"/>
      <c r="E567" s="1"/>
    </row>
    <row r="568" spans="1:5" ht="13.2">
      <c r="A568" s="35"/>
      <c r="B568" s="35"/>
      <c r="E568" s="1"/>
    </row>
    <row r="569" spans="1:5" ht="13.2">
      <c r="A569" s="35"/>
      <c r="B569" s="35"/>
      <c r="E569" s="1"/>
    </row>
    <row r="570" spans="1:5" ht="13.2">
      <c r="A570" s="35"/>
      <c r="B570" s="35"/>
      <c r="E570" s="1"/>
    </row>
    <row r="571" spans="1:5" ht="13.2">
      <c r="A571" s="35"/>
      <c r="B571" s="35"/>
      <c r="E571" s="1"/>
    </row>
    <row r="572" spans="1:5" ht="13.2">
      <c r="A572" s="35"/>
      <c r="B572" s="35"/>
      <c r="E572" s="1"/>
    </row>
    <row r="573" spans="1:5" ht="13.2">
      <c r="A573" s="35"/>
      <c r="B573" s="35"/>
      <c r="E573" s="1"/>
    </row>
    <row r="574" spans="1:5" ht="13.2">
      <c r="A574" s="35"/>
      <c r="B574" s="35"/>
      <c r="E574" s="1"/>
    </row>
    <row r="575" spans="1:5" ht="13.2">
      <c r="A575" s="35"/>
      <c r="B575" s="35"/>
      <c r="E575" s="1"/>
    </row>
    <row r="576" spans="1:5" ht="13.2">
      <c r="A576" s="35"/>
      <c r="B576" s="35"/>
      <c r="E576" s="1"/>
    </row>
    <row r="577" spans="1:5" ht="13.2">
      <c r="A577" s="35"/>
      <c r="B577" s="35"/>
      <c r="E577" s="1"/>
    </row>
    <row r="578" spans="1:5" ht="13.2">
      <c r="A578" s="35"/>
      <c r="B578" s="35"/>
      <c r="E578" s="1"/>
    </row>
    <row r="579" spans="1:5" ht="13.2">
      <c r="A579" s="35"/>
      <c r="B579" s="35"/>
      <c r="E579" s="1"/>
    </row>
    <row r="580" spans="1:5" ht="13.2">
      <c r="A580" s="35"/>
      <c r="B580" s="35"/>
      <c r="E580" s="1"/>
    </row>
    <row r="581" spans="1:5" ht="13.2">
      <c r="A581" s="35"/>
      <c r="B581" s="35"/>
      <c r="E581" s="1"/>
    </row>
    <row r="582" spans="1:5" ht="13.2">
      <c r="A582" s="35"/>
      <c r="B582" s="35"/>
      <c r="E582" s="1"/>
    </row>
    <row r="583" spans="1:5" ht="13.2">
      <c r="A583" s="35"/>
      <c r="B583" s="35"/>
      <c r="E583" s="1"/>
    </row>
    <row r="584" spans="1:5" ht="13.2">
      <c r="A584" s="35"/>
      <c r="B584" s="35"/>
      <c r="E584" s="1"/>
    </row>
    <row r="585" spans="1:5" ht="13.2">
      <c r="A585" s="35"/>
      <c r="B585" s="35"/>
      <c r="E585" s="1"/>
    </row>
    <row r="586" spans="1:5" ht="13.2">
      <c r="A586" s="35"/>
      <c r="B586" s="35"/>
      <c r="E586" s="1"/>
    </row>
    <row r="587" spans="1:5" ht="13.2">
      <c r="A587" s="35"/>
      <c r="B587" s="35"/>
      <c r="E587" s="1"/>
    </row>
    <row r="588" spans="1:5" ht="13.2">
      <c r="A588" s="35"/>
      <c r="B588" s="35"/>
      <c r="E588" s="1"/>
    </row>
    <row r="589" spans="1:5" ht="13.2">
      <c r="A589" s="35"/>
      <c r="B589" s="35"/>
      <c r="E589" s="1"/>
    </row>
  </sheetData>
  <mergeCells count="3">
    <mergeCell ref="D2:F2"/>
    <mergeCell ref="G2:H2"/>
    <mergeCell ref="J2:L2"/>
  </mergeCells>
  <hyperlinks>
    <hyperlink ref="B3" r:id="rId1" xr:uid="{00000000-0004-0000-0000-000000000000}"/>
    <hyperlink ref="C3" r:id="rId2" xr:uid="{00000000-0004-0000-0000-000001000000}"/>
    <hyperlink ref="E3" r:id="rId3" xr:uid="{00000000-0004-0000-0000-000002000000}"/>
    <hyperlink ref="F3" r:id="rId4" xr:uid="{00000000-0004-0000-0000-000003000000}"/>
    <hyperlink ref="G3" r:id="rId5" xr:uid="{00000000-0004-0000-0000-000004000000}"/>
    <hyperlink ref="H3" r:id="rId6" xr:uid="{00000000-0004-0000-0000-000005000000}"/>
    <hyperlink ref="I3" r:id="rId7" xr:uid="{00000000-0004-0000-0000-000006000000}"/>
    <hyperlink ref="J3" r:id="rId8" xr:uid="{00000000-0004-0000-0000-000007000000}"/>
    <hyperlink ref="K3" r:id="rId9" xr:uid="{00000000-0004-0000-0000-000008000000}"/>
    <hyperlink ref="L3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3866-A6D4-4DE1-9108-D95D3F8E4D11}">
  <dimension ref="A1:P589"/>
  <sheetViews>
    <sheetView tabSelected="1" workbookViewId="0">
      <selection activeCell="F8" sqref="F8"/>
    </sheetView>
  </sheetViews>
  <sheetFormatPr defaultRowHeight="13.2"/>
  <sheetData>
    <row r="1" spans="1:16">
      <c r="A1" t="s">
        <v>1</v>
      </c>
      <c r="B1" t="s">
        <v>182</v>
      </c>
      <c r="C1" t="s">
        <v>183</v>
      </c>
      <c r="D1" t="s">
        <v>4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13</v>
      </c>
      <c r="N1" t="s">
        <v>14</v>
      </c>
      <c r="O1" t="s">
        <v>15</v>
      </c>
      <c r="P1" t="s">
        <v>16</v>
      </c>
    </row>
    <row r="2" spans="1:16">
      <c r="A2">
        <v>2024</v>
      </c>
      <c r="B2">
        <v>1</v>
      </c>
      <c r="C2" t="s">
        <v>17</v>
      </c>
      <c r="D2">
        <v>1</v>
      </c>
      <c r="E2">
        <v>0.92500000000000004</v>
      </c>
      <c r="F2">
        <v>36.43</v>
      </c>
      <c r="G2">
        <v>127.5</v>
      </c>
      <c r="H2">
        <v>91.1</v>
      </c>
      <c r="I2">
        <v>64.599999999999994</v>
      </c>
      <c r="J2">
        <v>12.42</v>
      </c>
      <c r="K2">
        <v>113.2</v>
      </c>
      <c r="L2">
        <v>100.8</v>
      </c>
      <c r="M2">
        <v>1</v>
      </c>
      <c r="N2">
        <v>1</v>
      </c>
      <c r="O2">
        <v>1</v>
      </c>
      <c r="P2">
        <v>1</v>
      </c>
    </row>
    <row r="3" spans="1:16">
      <c r="A3">
        <v>2024</v>
      </c>
      <c r="B3">
        <v>3</v>
      </c>
      <c r="C3" t="s">
        <v>19</v>
      </c>
      <c r="D3">
        <v>1</v>
      </c>
      <c r="E3">
        <v>0.87180000000000002</v>
      </c>
      <c r="F3">
        <v>30.62</v>
      </c>
      <c r="G3">
        <v>125.2</v>
      </c>
      <c r="H3">
        <v>94.6</v>
      </c>
      <c r="I3">
        <v>67</v>
      </c>
      <c r="J3">
        <v>14.65</v>
      </c>
      <c r="K3">
        <v>114.4</v>
      </c>
      <c r="L3">
        <v>99.8</v>
      </c>
      <c r="M3">
        <v>1</v>
      </c>
      <c r="N3">
        <v>1</v>
      </c>
      <c r="O3">
        <v>1</v>
      </c>
      <c r="P3">
        <v>1</v>
      </c>
    </row>
    <row r="4" spans="1:16">
      <c r="A4">
        <v>2024</v>
      </c>
      <c r="B4">
        <v>14</v>
      </c>
      <c r="C4" t="s">
        <v>30</v>
      </c>
      <c r="D4">
        <v>4</v>
      </c>
      <c r="E4">
        <v>0.67569999999999997</v>
      </c>
      <c r="F4">
        <v>22.96</v>
      </c>
      <c r="G4">
        <v>126</v>
      </c>
      <c r="H4">
        <v>103</v>
      </c>
      <c r="I4">
        <v>72.599999999999994</v>
      </c>
      <c r="J4">
        <v>14.71</v>
      </c>
      <c r="K4">
        <v>115.1</v>
      </c>
      <c r="L4">
        <v>100.4</v>
      </c>
      <c r="M4">
        <v>1</v>
      </c>
      <c r="N4">
        <v>1</v>
      </c>
      <c r="O4">
        <v>1</v>
      </c>
      <c r="P4">
        <v>1</v>
      </c>
    </row>
    <row r="5" spans="1:16">
      <c r="A5">
        <v>2024</v>
      </c>
      <c r="B5">
        <v>45</v>
      </c>
      <c r="C5" t="s">
        <v>55</v>
      </c>
      <c r="D5">
        <v>11</v>
      </c>
      <c r="E5">
        <v>0.6341</v>
      </c>
      <c r="F5">
        <v>15.9</v>
      </c>
      <c r="G5">
        <v>114.3</v>
      </c>
      <c r="H5">
        <v>98.4</v>
      </c>
      <c r="I5">
        <v>68</v>
      </c>
      <c r="J5">
        <v>11.33</v>
      </c>
      <c r="K5">
        <v>112.2</v>
      </c>
      <c r="L5">
        <v>100.8</v>
      </c>
      <c r="M5">
        <v>1</v>
      </c>
      <c r="N5">
        <v>1</v>
      </c>
      <c r="O5">
        <v>1</v>
      </c>
      <c r="P5">
        <v>1</v>
      </c>
    </row>
    <row r="6" spans="1:16">
      <c r="A6">
        <v>2023</v>
      </c>
      <c r="B6">
        <v>1</v>
      </c>
      <c r="C6" t="s">
        <v>17</v>
      </c>
      <c r="D6">
        <v>4</v>
      </c>
      <c r="E6">
        <v>0.79490000000000005</v>
      </c>
      <c r="F6">
        <v>29.86</v>
      </c>
      <c r="G6">
        <v>120.8</v>
      </c>
      <c r="H6">
        <v>90.9</v>
      </c>
      <c r="I6">
        <v>66.599999999999994</v>
      </c>
      <c r="J6">
        <v>10.39</v>
      </c>
      <c r="K6">
        <v>109.7</v>
      </c>
      <c r="L6">
        <v>99.3</v>
      </c>
      <c r="M6">
        <v>1</v>
      </c>
      <c r="N6">
        <v>1</v>
      </c>
      <c r="O6">
        <v>1</v>
      </c>
      <c r="P6">
        <v>1</v>
      </c>
    </row>
    <row r="7" spans="1:16">
      <c r="A7">
        <v>2023</v>
      </c>
      <c r="B7">
        <v>14</v>
      </c>
      <c r="C7" t="s">
        <v>37</v>
      </c>
      <c r="D7">
        <v>5</v>
      </c>
      <c r="E7">
        <v>0.82050000000000001</v>
      </c>
      <c r="F7">
        <v>20.34</v>
      </c>
      <c r="G7">
        <v>110.8</v>
      </c>
      <c r="H7">
        <v>90.4</v>
      </c>
      <c r="I7">
        <v>65.7</v>
      </c>
      <c r="J7">
        <v>9.58</v>
      </c>
      <c r="K7">
        <v>110.4</v>
      </c>
      <c r="L7">
        <v>100.8</v>
      </c>
      <c r="M7">
        <v>1</v>
      </c>
      <c r="N7">
        <v>1</v>
      </c>
      <c r="O7">
        <v>1</v>
      </c>
      <c r="P7">
        <v>1</v>
      </c>
    </row>
    <row r="8" spans="1:16">
      <c r="A8">
        <v>2023</v>
      </c>
      <c r="B8">
        <v>17</v>
      </c>
      <c r="C8" t="s">
        <v>56</v>
      </c>
      <c r="D8">
        <v>9</v>
      </c>
      <c r="E8">
        <v>0.89739999999999998</v>
      </c>
      <c r="F8">
        <v>19.38</v>
      </c>
      <c r="G8">
        <v>115.1</v>
      </c>
      <c r="H8">
        <v>95.7</v>
      </c>
      <c r="I8">
        <v>67.599999999999994</v>
      </c>
      <c r="J8">
        <v>2.65</v>
      </c>
      <c r="K8">
        <v>106.2</v>
      </c>
      <c r="L8">
        <v>103.6</v>
      </c>
      <c r="M8">
        <v>1</v>
      </c>
      <c r="N8">
        <v>1</v>
      </c>
      <c r="O8">
        <v>1</v>
      </c>
      <c r="P8">
        <v>1</v>
      </c>
    </row>
    <row r="9" spans="1:16">
      <c r="A9">
        <v>2023</v>
      </c>
      <c r="B9">
        <v>24</v>
      </c>
      <c r="C9" t="s">
        <v>92</v>
      </c>
      <c r="D9">
        <v>5</v>
      </c>
      <c r="E9">
        <v>0.78380000000000005</v>
      </c>
      <c r="F9">
        <v>17.940000000000001</v>
      </c>
      <c r="G9">
        <v>119.1</v>
      </c>
      <c r="H9">
        <v>101.2</v>
      </c>
      <c r="I9">
        <v>68.8</v>
      </c>
      <c r="J9">
        <v>7.3</v>
      </c>
      <c r="K9">
        <v>108.8</v>
      </c>
      <c r="L9">
        <v>101.5</v>
      </c>
      <c r="M9">
        <v>1</v>
      </c>
      <c r="N9">
        <v>1</v>
      </c>
      <c r="O9">
        <v>1</v>
      </c>
      <c r="P9">
        <v>1</v>
      </c>
    </row>
    <row r="10" spans="1:16">
      <c r="A10">
        <v>2022</v>
      </c>
      <c r="B10">
        <v>3</v>
      </c>
      <c r="C10" t="s">
        <v>42</v>
      </c>
      <c r="D10">
        <v>1</v>
      </c>
      <c r="E10">
        <v>0.85</v>
      </c>
      <c r="F10">
        <v>27.49</v>
      </c>
      <c r="G10">
        <v>119.2</v>
      </c>
      <c r="H10">
        <v>91.7</v>
      </c>
      <c r="I10">
        <v>69.3</v>
      </c>
      <c r="J10">
        <v>12.6</v>
      </c>
      <c r="K10">
        <v>108</v>
      </c>
      <c r="L10">
        <v>95.4</v>
      </c>
      <c r="M10">
        <v>1</v>
      </c>
      <c r="N10">
        <v>1</v>
      </c>
      <c r="O10">
        <v>1</v>
      </c>
      <c r="P10">
        <v>1</v>
      </c>
    </row>
    <row r="11" spans="1:16">
      <c r="A11">
        <v>2022</v>
      </c>
      <c r="B11">
        <v>8</v>
      </c>
      <c r="C11" t="s">
        <v>23</v>
      </c>
      <c r="D11">
        <v>2</v>
      </c>
      <c r="E11">
        <v>0.82050000000000001</v>
      </c>
      <c r="F11">
        <v>25.15</v>
      </c>
      <c r="G11">
        <v>121.1</v>
      </c>
      <c r="H11">
        <v>95.9</v>
      </c>
      <c r="I11">
        <v>67.3</v>
      </c>
      <c r="J11">
        <v>8.2200000000000006</v>
      </c>
      <c r="K11">
        <v>107.8</v>
      </c>
      <c r="L11">
        <v>99.6</v>
      </c>
      <c r="M11">
        <v>1</v>
      </c>
      <c r="N11">
        <v>1</v>
      </c>
      <c r="O11">
        <v>1</v>
      </c>
      <c r="P11">
        <v>1</v>
      </c>
    </row>
    <row r="12" spans="1:16">
      <c r="A12">
        <v>2022</v>
      </c>
      <c r="B12">
        <v>10</v>
      </c>
      <c r="C12" t="s">
        <v>115</v>
      </c>
      <c r="D12">
        <v>2</v>
      </c>
      <c r="E12">
        <v>0.78949999999999998</v>
      </c>
      <c r="F12">
        <v>24.56</v>
      </c>
      <c r="G12">
        <v>117.5</v>
      </c>
      <c r="H12">
        <v>92.9</v>
      </c>
      <c r="I12">
        <v>62.3</v>
      </c>
      <c r="J12">
        <v>11.46</v>
      </c>
      <c r="K12">
        <v>109.1</v>
      </c>
      <c r="L12">
        <v>97.6</v>
      </c>
      <c r="M12">
        <v>1</v>
      </c>
      <c r="N12">
        <v>1</v>
      </c>
      <c r="O12">
        <v>1</v>
      </c>
      <c r="P12">
        <v>1</v>
      </c>
    </row>
    <row r="13" spans="1:16">
      <c r="A13">
        <v>2022</v>
      </c>
      <c r="B13">
        <v>16</v>
      </c>
      <c r="C13" t="s">
        <v>25</v>
      </c>
      <c r="D13">
        <v>8</v>
      </c>
      <c r="E13">
        <v>0.74360000000000004</v>
      </c>
      <c r="F13">
        <v>20.13</v>
      </c>
      <c r="G13">
        <v>114.4</v>
      </c>
      <c r="H13">
        <v>94.3</v>
      </c>
      <c r="I13">
        <v>70.2</v>
      </c>
      <c r="J13">
        <v>9.9</v>
      </c>
      <c r="K13">
        <v>109</v>
      </c>
      <c r="L13">
        <v>99.1</v>
      </c>
      <c r="M13">
        <v>1</v>
      </c>
      <c r="N13">
        <v>1</v>
      </c>
      <c r="O13">
        <v>1</v>
      </c>
      <c r="P13">
        <v>1</v>
      </c>
    </row>
    <row r="14" spans="1:16">
      <c r="A14">
        <v>2021</v>
      </c>
      <c r="B14">
        <v>1</v>
      </c>
      <c r="C14" t="s">
        <v>28</v>
      </c>
      <c r="D14">
        <v>1</v>
      </c>
      <c r="E14">
        <v>0.96879999999999999</v>
      </c>
      <c r="F14">
        <v>36.479999999999997</v>
      </c>
      <c r="G14">
        <v>126.4</v>
      </c>
      <c r="H14">
        <v>89.9</v>
      </c>
      <c r="I14">
        <v>73.8</v>
      </c>
      <c r="J14">
        <v>11.35</v>
      </c>
      <c r="K14">
        <v>108.1</v>
      </c>
      <c r="L14">
        <v>96.8</v>
      </c>
      <c r="M14">
        <v>1</v>
      </c>
      <c r="N14">
        <v>1</v>
      </c>
      <c r="O14">
        <v>1</v>
      </c>
      <c r="P14">
        <v>1</v>
      </c>
    </row>
    <row r="15" spans="1:16">
      <c r="A15">
        <v>2021</v>
      </c>
      <c r="B15">
        <v>2</v>
      </c>
      <c r="C15" t="s">
        <v>31</v>
      </c>
      <c r="D15">
        <v>1</v>
      </c>
      <c r="E15">
        <v>0.93330000000000002</v>
      </c>
      <c r="F15">
        <v>33.869999999999997</v>
      </c>
      <c r="G15">
        <v>125</v>
      </c>
      <c r="H15">
        <v>91.1</v>
      </c>
      <c r="I15">
        <v>67.400000000000006</v>
      </c>
      <c r="J15">
        <v>13.25</v>
      </c>
      <c r="K15">
        <v>108.7</v>
      </c>
      <c r="L15">
        <v>95.5</v>
      </c>
      <c r="M15">
        <v>1</v>
      </c>
      <c r="N15">
        <v>1</v>
      </c>
      <c r="O15">
        <v>1</v>
      </c>
      <c r="P15">
        <v>1</v>
      </c>
    </row>
    <row r="16" spans="1:16">
      <c r="A16">
        <v>2021</v>
      </c>
      <c r="B16">
        <v>5</v>
      </c>
      <c r="C16" t="s">
        <v>18</v>
      </c>
      <c r="D16">
        <v>2</v>
      </c>
      <c r="E16">
        <v>0.875</v>
      </c>
      <c r="F16">
        <v>28.75</v>
      </c>
      <c r="G16">
        <v>118.3</v>
      </c>
      <c r="H16">
        <v>89.6</v>
      </c>
      <c r="I16">
        <v>64.400000000000006</v>
      </c>
      <c r="J16">
        <v>9.2100000000000009</v>
      </c>
      <c r="K16">
        <v>105.7</v>
      </c>
      <c r="L16">
        <v>96.5</v>
      </c>
      <c r="M16">
        <v>1</v>
      </c>
      <c r="N16">
        <v>1</v>
      </c>
      <c r="O16">
        <v>1</v>
      </c>
      <c r="P16">
        <v>1</v>
      </c>
    </row>
    <row r="17" spans="1:16">
      <c r="A17">
        <v>2021</v>
      </c>
      <c r="B17">
        <v>13</v>
      </c>
      <c r="C17" t="s">
        <v>85</v>
      </c>
      <c r="D17">
        <v>11</v>
      </c>
      <c r="E17">
        <v>0.6875</v>
      </c>
      <c r="F17">
        <v>22.43</v>
      </c>
      <c r="G17">
        <v>116.9</v>
      </c>
      <c r="H17">
        <v>94.5</v>
      </c>
      <c r="I17">
        <v>63.8</v>
      </c>
      <c r="J17">
        <v>17.38</v>
      </c>
      <c r="K17">
        <v>111.3</v>
      </c>
      <c r="L17">
        <v>93.9</v>
      </c>
      <c r="M17">
        <v>1</v>
      </c>
      <c r="N17">
        <v>1</v>
      </c>
      <c r="O17">
        <v>1</v>
      </c>
      <c r="P17">
        <v>1</v>
      </c>
    </row>
    <row r="18" spans="1:16">
      <c r="A18">
        <v>2019</v>
      </c>
      <c r="B18">
        <v>1</v>
      </c>
      <c r="C18" t="s">
        <v>64</v>
      </c>
      <c r="D18">
        <v>1</v>
      </c>
      <c r="E18">
        <v>0.92110000000000003</v>
      </c>
      <c r="F18">
        <v>34.22</v>
      </c>
      <c r="G18">
        <v>123.4</v>
      </c>
      <c r="H18">
        <v>89.2</v>
      </c>
      <c r="I18">
        <v>59.4</v>
      </c>
      <c r="J18">
        <v>11.18</v>
      </c>
      <c r="K18">
        <v>109.2</v>
      </c>
      <c r="L18">
        <v>98.1</v>
      </c>
      <c r="M18">
        <v>1</v>
      </c>
      <c r="N18">
        <v>1</v>
      </c>
      <c r="O18">
        <v>1</v>
      </c>
      <c r="P18">
        <v>1</v>
      </c>
    </row>
    <row r="19" spans="1:16">
      <c r="A19">
        <v>2019</v>
      </c>
      <c r="B19">
        <v>3</v>
      </c>
      <c r="C19" t="s">
        <v>32</v>
      </c>
      <c r="D19">
        <v>2</v>
      </c>
      <c r="E19">
        <v>0.82050000000000001</v>
      </c>
      <c r="F19">
        <v>30.81</v>
      </c>
      <c r="G19">
        <v>121</v>
      </c>
      <c r="H19">
        <v>90.2</v>
      </c>
      <c r="I19">
        <v>66.900000000000006</v>
      </c>
      <c r="J19">
        <v>13.67</v>
      </c>
      <c r="K19">
        <v>110.6</v>
      </c>
      <c r="L19">
        <v>96.9</v>
      </c>
      <c r="M19">
        <v>1</v>
      </c>
      <c r="N19">
        <v>1</v>
      </c>
      <c r="O19">
        <v>1</v>
      </c>
      <c r="P19">
        <v>1</v>
      </c>
    </row>
    <row r="20" spans="1:16">
      <c r="A20">
        <v>2019</v>
      </c>
      <c r="B20">
        <v>5</v>
      </c>
      <c r="C20" t="s">
        <v>45</v>
      </c>
      <c r="D20">
        <v>3</v>
      </c>
      <c r="E20">
        <v>0.81579999999999997</v>
      </c>
      <c r="F20">
        <v>30.03</v>
      </c>
      <c r="G20">
        <v>114.1</v>
      </c>
      <c r="H20">
        <v>84.1</v>
      </c>
      <c r="I20">
        <v>66.599999999999994</v>
      </c>
      <c r="J20">
        <v>11.18</v>
      </c>
      <c r="K20">
        <v>109.8</v>
      </c>
      <c r="L20">
        <v>98.7</v>
      </c>
      <c r="M20">
        <v>1</v>
      </c>
      <c r="N20">
        <v>1</v>
      </c>
      <c r="O20">
        <v>1</v>
      </c>
      <c r="P20">
        <v>1</v>
      </c>
    </row>
    <row r="21" spans="1:16">
      <c r="A21">
        <v>2019</v>
      </c>
      <c r="B21">
        <v>11</v>
      </c>
      <c r="C21" t="s">
        <v>20</v>
      </c>
      <c r="D21">
        <v>5</v>
      </c>
      <c r="E21">
        <v>0.75</v>
      </c>
      <c r="F21">
        <v>25</v>
      </c>
      <c r="G21">
        <v>120.9</v>
      </c>
      <c r="H21">
        <v>95.9</v>
      </c>
      <c r="I21">
        <v>67.900000000000006</v>
      </c>
      <c r="J21">
        <v>12.23</v>
      </c>
      <c r="K21">
        <v>110.7</v>
      </c>
      <c r="L21">
        <v>98.5</v>
      </c>
      <c r="M21">
        <v>1</v>
      </c>
      <c r="N21">
        <v>1</v>
      </c>
      <c r="O21">
        <v>1</v>
      </c>
      <c r="P21">
        <v>1</v>
      </c>
    </row>
    <row r="22" spans="1:16">
      <c r="A22">
        <v>2024</v>
      </c>
      <c r="B22">
        <v>5</v>
      </c>
      <c r="C22" t="s">
        <v>21</v>
      </c>
      <c r="D22">
        <v>2</v>
      </c>
      <c r="E22">
        <v>0.75</v>
      </c>
      <c r="F22">
        <v>26.61</v>
      </c>
      <c r="G22">
        <v>116.8</v>
      </c>
      <c r="H22">
        <v>90.2</v>
      </c>
      <c r="I22">
        <v>69.3</v>
      </c>
      <c r="J22">
        <v>13.35</v>
      </c>
      <c r="K22">
        <v>114.6</v>
      </c>
      <c r="L22">
        <v>101.2</v>
      </c>
      <c r="M22">
        <v>1</v>
      </c>
      <c r="N22">
        <v>1</v>
      </c>
      <c r="O22">
        <v>0</v>
      </c>
      <c r="P22">
        <v>1</v>
      </c>
    </row>
    <row r="23" spans="1:16">
      <c r="A23">
        <v>2024</v>
      </c>
      <c r="B23">
        <v>7</v>
      </c>
      <c r="C23" t="s">
        <v>23</v>
      </c>
      <c r="D23">
        <v>4</v>
      </c>
      <c r="E23">
        <v>0.75</v>
      </c>
      <c r="F23">
        <v>26.47</v>
      </c>
      <c r="G23">
        <v>121.6</v>
      </c>
      <c r="H23">
        <v>95.2</v>
      </c>
      <c r="I23">
        <v>66.400000000000006</v>
      </c>
      <c r="J23">
        <v>10.07</v>
      </c>
      <c r="K23">
        <v>111.1</v>
      </c>
      <c r="L23">
        <v>101.1</v>
      </c>
      <c r="M23">
        <v>1</v>
      </c>
      <c r="N23">
        <v>1</v>
      </c>
      <c r="O23">
        <v>0</v>
      </c>
      <c r="P23">
        <v>1</v>
      </c>
    </row>
    <row r="24" spans="1:16">
      <c r="A24">
        <v>2024</v>
      </c>
      <c r="B24">
        <v>10</v>
      </c>
      <c r="C24" t="s">
        <v>26</v>
      </c>
      <c r="D24">
        <v>3</v>
      </c>
      <c r="E24">
        <v>0.76319999999999999</v>
      </c>
      <c r="F24">
        <v>24.53</v>
      </c>
      <c r="G24">
        <v>125.5</v>
      </c>
      <c r="H24">
        <v>101</v>
      </c>
      <c r="I24">
        <v>69.8</v>
      </c>
      <c r="J24">
        <v>11.92</v>
      </c>
      <c r="K24">
        <v>111.8</v>
      </c>
      <c r="L24">
        <v>99.9</v>
      </c>
      <c r="M24">
        <v>1</v>
      </c>
      <c r="N24">
        <v>1</v>
      </c>
      <c r="O24">
        <v>0</v>
      </c>
      <c r="P24">
        <v>1</v>
      </c>
    </row>
    <row r="25" spans="1:16">
      <c r="A25">
        <v>2024</v>
      </c>
      <c r="B25">
        <v>19</v>
      </c>
      <c r="C25" t="s">
        <v>35</v>
      </c>
      <c r="D25">
        <v>6</v>
      </c>
      <c r="E25">
        <v>0.66669999999999996</v>
      </c>
      <c r="F25">
        <v>19.440000000000001</v>
      </c>
      <c r="G25">
        <v>117.7</v>
      </c>
      <c r="H25">
        <v>98.3</v>
      </c>
      <c r="I25">
        <v>66.400000000000006</v>
      </c>
      <c r="J25">
        <v>12.09</v>
      </c>
      <c r="K25">
        <v>113.5</v>
      </c>
      <c r="L25">
        <v>101.4</v>
      </c>
      <c r="M25">
        <v>1</v>
      </c>
      <c r="N25">
        <v>1</v>
      </c>
      <c r="O25">
        <v>0</v>
      </c>
      <c r="P25">
        <v>1</v>
      </c>
    </row>
    <row r="26" spans="1:16">
      <c r="A26">
        <v>2023</v>
      </c>
      <c r="B26">
        <v>5</v>
      </c>
      <c r="C26" t="s">
        <v>40</v>
      </c>
      <c r="D26">
        <v>2</v>
      </c>
      <c r="E26">
        <v>0.76319999999999999</v>
      </c>
      <c r="F26">
        <v>24.43</v>
      </c>
      <c r="G26">
        <v>116.5</v>
      </c>
      <c r="H26">
        <v>92.1</v>
      </c>
      <c r="I26">
        <v>68.8</v>
      </c>
      <c r="J26">
        <v>11.91</v>
      </c>
      <c r="K26">
        <v>111.1</v>
      </c>
      <c r="L26">
        <v>99.2</v>
      </c>
      <c r="M26">
        <v>1</v>
      </c>
      <c r="N26">
        <v>1</v>
      </c>
      <c r="O26">
        <v>0</v>
      </c>
      <c r="P26">
        <v>1</v>
      </c>
    </row>
    <row r="27" spans="1:16">
      <c r="A27">
        <v>2023</v>
      </c>
      <c r="B27">
        <v>8</v>
      </c>
      <c r="C27" t="s">
        <v>28</v>
      </c>
      <c r="D27">
        <v>3</v>
      </c>
      <c r="E27">
        <v>0.83779999999999999</v>
      </c>
      <c r="F27">
        <v>23.02</v>
      </c>
      <c r="G27">
        <v>122.3</v>
      </c>
      <c r="H27">
        <v>99.3</v>
      </c>
      <c r="I27">
        <v>70.3</v>
      </c>
      <c r="J27">
        <v>8.26</v>
      </c>
      <c r="K27">
        <v>110.1</v>
      </c>
      <c r="L27">
        <v>101.9</v>
      </c>
      <c r="M27">
        <v>1</v>
      </c>
      <c r="N27">
        <v>1</v>
      </c>
      <c r="O27">
        <v>0</v>
      </c>
      <c r="P27">
        <v>1</v>
      </c>
    </row>
    <row r="28" spans="1:16">
      <c r="A28">
        <v>2023</v>
      </c>
      <c r="B28">
        <v>12</v>
      </c>
      <c r="C28" t="s">
        <v>27</v>
      </c>
      <c r="D28">
        <v>6</v>
      </c>
      <c r="E28">
        <v>0.64859999999999995</v>
      </c>
      <c r="F28">
        <v>21.83</v>
      </c>
      <c r="G28">
        <v>115</v>
      </c>
      <c r="H28">
        <v>93.2</v>
      </c>
      <c r="I28">
        <v>67.8</v>
      </c>
      <c r="J28">
        <v>11.15</v>
      </c>
      <c r="K28">
        <v>111</v>
      </c>
      <c r="L28">
        <v>99.8</v>
      </c>
      <c r="M28">
        <v>1</v>
      </c>
      <c r="N28">
        <v>1</v>
      </c>
      <c r="O28">
        <v>0</v>
      </c>
      <c r="P28">
        <v>1</v>
      </c>
    </row>
    <row r="29" spans="1:16">
      <c r="A29">
        <v>2023</v>
      </c>
      <c r="B29">
        <v>21</v>
      </c>
      <c r="C29" t="s">
        <v>89</v>
      </c>
      <c r="D29">
        <v>3</v>
      </c>
      <c r="E29">
        <v>0.72219999999999995</v>
      </c>
      <c r="F29">
        <v>18.510000000000002</v>
      </c>
      <c r="G29">
        <v>113.5</v>
      </c>
      <c r="H29">
        <v>95</v>
      </c>
      <c r="I29">
        <v>70.099999999999994</v>
      </c>
      <c r="J29">
        <v>10.35</v>
      </c>
      <c r="K29">
        <v>109.2</v>
      </c>
      <c r="L29">
        <v>98.8</v>
      </c>
      <c r="M29">
        <v>1</v>
      </c>
      <c r="N29">
        <v>1</v>
      </c>
      <c r="O29">
        <v>0</v>
      </c>
      <c r="P29">
        <v>1</v>
      </c>
    </row>
    <row r="30" spans="1:16">
      <c r="A30">
        <v>2022</v>
      </c>
      <c r="B30">
        <v>2</v>
      </c>
      <c r="C30" t="s">
        <v>18</v>
      </c>
      <c r="D30">
        <v>5</v>
      </c>
      <c r="E30">
        <v>0.84209999999999996</v>
      </c>
      <c r="F30">
        <v>27.7</v>
      </c>
      <c r="G30">
        <v>116.8</v>
      </c>
      <c r="H30">
        <v>89.1</v>
      </c>
      <c r="I30">
        <v>63.6</v>
      </c>
      <c r="J30">
        <v>5.89</v>
      </c>
      <c r="K30">
        <v>105.5</v>
      </c>
      <c r="L30">
        <v>99.6</v>
      </c>
      <c r="M30">
        <v>1</v>
      </c>
      <c r="N30">
        <v>1</v>
      </c>
      <c r="O30">
        <v>0</v>
      </c>
      <c r="P30">
        <v>1</v>
      </c>
    </row>
    <row r="31" spans="1:16">
      <c r="A31">
        <v>2022</v>
      </c>
      <c r="B31">
        <v>18</v>
      </c>
      <c r="C31" t="s">
        <v>90</v>
      </c>
      <c r="D31">
        <v>4</v>
      </c>
      <c r="E31">
        <v>0.75680000000000003</v>
      </c>
      <c r="F31">
        <v>19.46</v>
      </c>
      <c r="G31">
        <v>109.9</v>
      </c>
      <c r="H31">
        <v>90.4</v>
      </c>
      <c r="I31">
        <v>70.7</v>
      </c>
      <c r="J31">
        <v>9.08</v>
      </c>
      <c r="K31">
        <v>107.5</v>
      </c>
      <c r="L31">
        <v>98.4</v>
      </c>
      <c r="M31">
        <v>1</v>
      </c>
      <c r="N31">
        <v>1</v>
      </c>
      <c r="O31">
        <v>0</v>
      </c>
      <c r="P31">
        <v>1</v>
      </c>
    </row>
    <row r="32" spans="1:16">
      <c r="A32">
        <v>2022</v>
      </c>
      <c r="B32">
        <v>41</v>
      </c>
      <c r="C32" t="s">
        <v>92</v>
      </c>
      <c r="D32">
        <v>10</v>
      </c>
      <c r="E32">
        <v>0.70269999999999999</v>
      </c>
      <c r="F32">
        <v>14.8</v>
      </c>
      <c r="G32">
        <v>113.9</v>
      </c>
      <c r="H32">
        <v>99.1</v>
      </c>
      <c r="I32">
        <v>67.7</v>
      </c>
      <c r="J32">
        <v>8.6300000000000008</v>
      </c>
      <c r="K32">
        <v>107.5</v>
      </c>
      <c r="L32">
        <v>98.8</v>
      </c>
      <c r="M32">
        <v>1</v>
      </c>
      <c r="N32">
        <v>1</v>
      </c>
      <c r="O32">
        <v>0</v>
      </c>
      <c r="P32">
        <v>1</v>
      </c>
    </row>
    <row r="33" spans="1:16">
      <c r="A33">
        <v>2022</v>
      </c>
      <c r="B33">
        <v>102</v>
      </c>
      <c r="C33" t="s">
        <v>79</v>
      </c>
      <c r="D33">
        <v>15</v>
      </c>
      <c r="E33">
        <v>0.64710000000000001</v>
      </c>
      <c r="F33">
        <v>7.24</v>
      </c>
      <c r="G33">
        <v>100.3</v>
      </c>
      <c r="H33">
        <v>93</v>
      </c>
      <c r="I33">
        <v>65.900000000000006</v>
      </c>
      <c r="J33">
        <v>0.25</v>
      </c>
      <c r="K33">
        <v>103.1</v>
      </c>
      <c r="L33">
        <v>102.8</v>
      </c>
      <c r="M33">
        <v>1</v>
      </c>
      <c r="N33">
        <v>1</v>
      </c>
      <c r="O33">
        <v>0</v>
      </c>
      <c r="P33">
        <v>1</v>
      </c>
    </row>
    <row r="34" spans="1:16">
      <c r="A34">
        <v>2021</v>
      </c>
      <c r="B34">
        <v>3</v>
      </c>
      <c r="C34" t="s">
        <v>119</v>
      </c>
      <c r="D34">
        <v>1</v>
      </c>
      <c r="E34">
        <v>0.82140000000000002</v>
      </c>
      <c r="F34">
        <v>29.67</v>
      </c>
      <c r="G34">
        <v>117.6</v>
      </c>
      <c r="H34">
        <v>87.9</v>
      </c>
      <c r="I34">
        <v>66.599999999999994</v>
      </c>
      <c r="J34">
        <v>16.440000000000001</v>
      </c>
      <c r="K34">
        <v>111.7</v>
      </c>
      <c r="L34">
        <v>95.3</v>
      </c>
      <c r="M34">
        <v>1</v>
      </c>
      <c r="N34">
        <v>1</v>
      </c>
      <c r="O34">
        <v>0</v>
      </c>
      <c r="P34">
        <v>1</v>
      </c>
    </row>
    <row r="35" spans="1:16">
      <c r="A35">
        <v>2021</v>
      </c>
      <c r="B35">
        <v>6</v>
      </c>
      <c r="C35" t="s">
        <v>96</v>
      </c>
      <c r="D35">
        <v>6</v>
      </c>
      <c r="E35">
        <v>0.75760000000000005</v>
      </c>
      <c r="F35">
        <v>27.58</v>
      </c>
      <c r="G35">
        <v>115.7</v>
      </c>
      <c r="H35">
        <v>88.1</v>
      </c>
      <c r="I35">
        <v>67</v>
      </c>
      <c r="J35">
        <v>16.27</v>
      </c>
      <c r="K35">
        <v>111.1</v>
      </c>
      <c r="L35">
        <v>94.8</v>
      </c>
      <c r="M35">
        <v>1</v>
      </c>
      <c r="N35">
        <v>1</v>
      </c>
      <c r="O35">
        <v>0</v>
      </c>
      <c r="P35">
        <v>1</v>
      </c>
    </row>
    <row r="36" spans="1:16">
      <c r="A36">
        <v>2021</v>
      </c>
      <c r="B36">
        <v>18</v>
      </c>
      <c r="C36" t="s">
        <v>90</v>
      </c>
      <c r="D36">
        <v>3</v>
      </c>
      <c r="E36">
        <v>0.78129999999999999</v>
      </c>
      <c r="F36">
        <v>21.56</v>
      </c>
      <c r="G36">
        <v>111.1</v>
      </c>
      <c r="H36">
        <v>89.6</v>
      </c>
      <c r="I36">
        <v>72.599999999999994</v>
      </c>
      <c r="J36">
        <v>12.69</v>
      </c>
      <c r="K36">
        <v>109.4</v>
      </c>
      <c r="L36">
        <v>96.7</v>
      </c>
      <c r="M36">
        <v>1</v>
      </c>
      <c r="N36">
        <v>1</v>
      </c>
      <c r="O36">
        <v>0</v>
      </c>
      <c r="P36">
        <v>1</v>
      </c>
    </row>
    <row r="37" spans="1:16">
      <c r="A37">
        <v>2021</v>
      </c>
      <c r="B37">
        <v>43</v>
      </c>
      <c r="C37" t="s">
        <v>145</v>
      </c>
      <c r="D37">
        <v>12</v>
      </c>
      <c r="E37">
        <v>0.60609999999999997</v>
      </c>
      <c r="F37">
        <v>16.399999999999999</v>
      </c>
      <c r="G37">
        <v>112.1</v>
      </c>
      <c r="H37">
        <v>95.7</v>
      </c>
      <c r="I37">
        <v>65.5</v>
      </c>
      <c r="J37">
        <v>16.72</v>
      </c>
      <c r="K37">
        <v>111.2</v>
      </c>
      <c r="L37">
        <v>94.5</v>
      </c>
      <c r="M37">
        <v>1</v>
      </c>
      <c r="N37">
        <v>1</v>
      </c>
      <c r="O37">
        <v>0</v>
      </c>
      <c r="P37">
        <v>1</v>
      </c>
    </row>
    <row r="38" spans="1:16">
      <c r="A38">
        <v>2019</v>
      </c>
      <c r="B38">
        <v>2</v>
      </c>
      <c r="C38" t="s">
        <v>28</v>
      </c>
      <c r="D38">
        <v>1</v>
      </c>
      <c r="E38">
        <v>0.89190000000000003</v>
      </c>
      <c r="F38">
        <v>32.85</v>
      </c>
      <c r="G38">
        <v>124.5</v>
      </c>
      <c r="H38">
        <v>91.6</v>
      </c>
      <c r="I38">
        <v>70.2</v>
      </c>
      <c r="J38">
        <v>4.46</v>
      </c>
      <c r="K38">
        <v>106.9</v>
      </c>
      <c r="L38">
        <v>102.5</v>
      </c>
      <c r="M38">
        <v>1</v>
      </c>
      <c r="N38">
        <v>1</v>
      </c>
      <c r="O38">
        <v>0</v>
      </c>
      <c r="P38">
        <v>1</v>
      </c>
    </row>
    <row r="39" spans="1:16">
      <c r="A39">
        <v>2019</v>
      </c>
      <c r="B39">
        <v>4</v>
      </c>
      <c r="C39" t="s">
        <v>23</v>
      </c>
      <c r="D39">
        <v>1</v>
      </c>
      <c r="E39">
        <v>0.84209999999999996</v>
      </c>
      <c r="F39">
        <v>30.62</v>
      </c>
      <c r="G39">
        <v>120</v>
      </c>
      <c r="H39">
        <v>89.3</v>
      </c>
      <c r="I39">
        <v>72.099999999999994</v>
      </c>
      <c r="J39">
        <v>12.85</v>
      </c>
      <c r="K39">
        <v>110.7</v>
      </c>
      <c r="L39">
        <v>97.8</v>
      </c>
      <c r="M39">
        <v>1</v>
      </c>
      <c r="N39">
        <v>1</v>
      </c>
      <c r="O39">
        <v>0</v>
      </c>
      <c r="P39">
        <v>1</v>
      </c>
    </row>
    <row r="40" spans="1:16">
      <c r="A40">
        <v>2019</v>
      </c>
      <c r="B40">
        <v>8</v>
      </c>
      <c r="C40" t="s">
        <v>38</v>
      </c>
      <c r="D40">
        <v>2</v>
      </c>
      <c r="E40">
        <v>0.81079999999999997</v>
      </c>
      <c r="F40">
        <v>27.57</v>
      </c>
      <c r="G40">
        <v>117.6</v>
      </c>
      <c r="H40">
        <v>90.1</v>
      </c>
      <c r="I40">
        <v>65.599999999999994</v>
      </c>
      <c r="J40">
        <v>11.32</v>
      </c>
      <c r="K40">
        <v>110.7</v>
      </c>
      <c r="L40">
        <v>99.4</v>
      </c>
      <c r="M40">
        <v>1</v>
      </c>
      <c r="N40">
        <v>1</v>
      </c>
      <c r="O40">
        <v>0</v>
      </c>
      <c r="P40">
        <v>1</v>
      </c>
    </row>
    <row r="41" spans="1:16">
      <c r="A41">
        <v>2019</v>
      </c>
      <c r="B41">
        <v>9</v>
      </c>
      <c r="C41" t="s">
        <v>19</v>
      </c>
      <c r="D41">
        <v>3</v>
      </c>
      <c r="E41">
        <v>0.72219999999999995</v>
      </c>
      <c r="F41">
        <v>26.81</v>
      </c>
      <c r="G41">
        <v>122.5</v>
      </c>
      <c r="H41">
        <v>95.6</v>
      </c>
      <c r="I41">
        <v>65.900000000000006</v>
      </c>
      <c r="J41">
        <v>13.16</v>
      </c>
      <c r="K41">
        <v>110.3</v>
      </c>
      <c r="L41">
        <v>97.1</v>
      </c>
      <c r="M41">
        <v>1</v>
      </c>
      <c r="N41">
        <v>1</v>
      </c>
      <c r="O41">
        <v>0</v>
      </c>
      <c r="P41">
        <v>1</v>
      </c>
    </row>
    <row r="42" spans="1:16">
      <c r="A42">
        <v>2024</v>
      </c>
      <c r="B42">
        <v>2</v>
      </c>
      <c r="C42" t="s">
        <v>18</v>
      </c>
      <c r="D42">
        <v>1</v>
      </c>
      <c r="E42">
        <v>0.8649</v>
      </c>
      <c r="F42">
        <v>31.17</v>
      </c>
      <c r="G42">
        <v>118.9</v>
      </c>
      <c r="H42">
        <v>87.7</v>
      </c>
      <c r="I42">
        <v>63.5</v>
      </c>
      <c r="J42">
        <v>11.57</v>
      </c>
      <c r="K42">
        <v>111.9</v>
      </c>
      <c r="L42">
        <v>100.3</v>
      </c>
      <c r="M42">
        <v>1</v>
      </c>
      <c r="N42">
        <v>0</v>
      </c>
      <c r="O42">
        <v>0</v>
      </c>
      <c r="P42">
        <v>1</v>
      </c>
    </row>
    <row r="43" spans="1:16">
      <c r="A43">
        <v>2024</v>
      </c>
      <c r="B43">
        <v>6</v>
      </c>
      <c r="C43" t="s">
        <v>22</v>
      </c>
      <c r="D43">
        <v>2</v>
      </c>
      <c r="E43">
        <v>0.75</v>
      </c>
      <c r="F43">
        <v>26.55</v>
      </c>
      <c r="G43">
        <v>120.2</v>
      </c>
      <c r="H43">
        <v>93.7</v>
      </c>
      <c r="I43">
        <v>72.2</v>
      </c>
      <c r="J43">
        <v>11.12</v>
      </c>
      <c r="K43">
        <v>112.2</v>
      </c>
      <c r="L43">
        <v>101.1</v>
      </c>
      <c r="M43">
        <v>1</v>
      </c>
      <c r="N43">
        <v>0</v>
      </c>
      <c r="O43">
        <v>0</v>
      </c>
      <c r="P43">
        <v>1</v>
      </c>
    </row>
    <row r="44" spans="1:16">
      <c r="A44">
        <v>2024</v>
      </c>
      <c r="B44">
        <v>8</v>
      </c>
      <c r="C44" t="s">
        <v>24</v>
      </c>
      <c r="D44">
        <v>2</v>
      </c>
      <c r="E44">
        <v>0.78380000000000005</v>
      </c>
      <c r="F44">
        <v>26.47</v>
      </c>
      <c r="G44">
        <v>113.9</v>
      </c>
      <c r="H44">
        <v>87.5</v>
      </c>
      <c r="I44">
        <v>67.2</v>
      </c>
      <c r="J44">
        <v>10.43</v>
      </c>
      <c r="K44">
        <v>111.3</v>
      </c>
      <c r="L44">
        <v>100.8</v>
      </c>
      <c r="M44">
        <v>1</v>
      </c>
      <c r="N44">
        <v>0</v>
      </c>
      <c r="O44">
        <v>0</v>
      </c>
      <c r="P44">
        <v>1</v>
      </c>
    </row>
    <row r="45" spans="1:16">
      <c r="A45">
        <v>2024</v>
      </c>
      <c r="B45">
        <v>9</v>
      </c>
      <c r="C45" t="s">
        <v>25</v>
      </c>
      <c r="D45">
        <v>1</v>
      </c>
      <c r="E45">
        <v>0.78380000000000005</v>
      </c>
      <c r="F45">
        <v>26.19</v>
      </c>
      <c r="G45">
        <v>119.7</v>
      </c>
      <c r="H45">
        <v>93.5</v>
      </c>
      <c r="I45">
        <v>70.599999999999994</v>
      </c>
      <c r="J45">
        <v>12.17</v>
      </c>
      <c r="K45">
        <v>112.6</v>
      </c>
      <c r="L45">
        <v>100.5</v>
      </c>
      <c r="M45">
        <v>1</v>
      </c>
      <c r="N45">
        <v>0</v>
      </c>
      <c r="O45">
        <v>0</v>
      </c>
      <c r="P45">
        <v>1</v>
      </c>
    </row>
    <row r="46" spans="1:16">
      <c r="A46">
        <v>2024</v>
      </c>
      <c r="B46">
        <v>11</v>
      </c>
      <c r="C46" t="s">
        <v>27</v>
      </c>
      <c r="D46">
        <v>3</v>
      </c>
      <c r="E46">
        <v>0.71430000000000005</v>
      </c>
      <c r="F46">
        <v>24.22</v>
      </c>
      <c r="G46">
        <v>120.9</v>
      </c>
      <c r="H46">
        <v>96.7</v>
      </c>
      <c r="I46">
        <v>66.8</v>
      </c>
      <c r="J46">
        <v>11.96</v>
      </c>
      <c r="K46">
        <v>112.3</v>
      </c>
      <c r="L46">
        <v>100.4</v>
      </c>
      <c r="M46">
        <v>1</v>
      </c>
      <c r="N46">
        <v>0</v>
      </c>
      <c r="O46">
        <v>0</v>
      </c>
      <c r="P46">
        <v>1</v>
      </c>
    </row>
    <row r="47" spans="1:16">
      <c r="A47">
        <v>2024</v>
      </c>
      <c r="B47">
        <v>12</v>
      </c>
      <c r="C47" t="s">
        <v>28</v>
      </c>
      <c r="D47">
        <v>5</v>
      </c>
      <c r="E47">
        <v>0.77139999999999997</v>
      </c>
      <c r="F47">
        <v>23.17</v>
      </c>
      <c r="G47">
        <v>122.6</v>
      </c>
      <c r="H47">
        <v>99.4</v>
      </c>
      <c r="I47">
        <v>68.900000000000006</v>
      </c>
      <c r="J47">
        <v>5.21</v>
      </c>
      <c r="K47">
        <v>109.3</v>
      </c>
      <c r="L47">
        <v>104.1</v>
      </c>
      <c r="M47">
        <v>1</v>
      </c>
      <c r="N47">
        <v>0</v>
      </c>
      <c r="O47">
        <v>0</v>
      </c>
      <c r="P47">
        <v>1</v>
      </c>
    </row>
    <row r="48" spans="1:16">
      <c r="A48">
        <v>2024</v>
      </c>
      <c r="B48">
        <v>13</v>
      </c>
      <c r="C48" t="s">
        <v>29</v>
      </c>
      <c r="D48">
        <v>2</v>
      </c>
      <c r="E48">
        <v>0.72970000000000002</v>
      </c>
      <c r="F48">
        <v>23.02</v>
      </c>
      <c r="G48">
        <v>118.2</v>
      </c>
      <c r="H48">
        <v>95.2</v>
      </c>
      <c r="I48">
        <v>69.099999999999994</v>
      </c>
      <c r="J48">
        <v>13.6</v>
      </c>
      <c r="K48">
        <v>113.4</v>
      </c>
      <c r="L48">
        <v>99.8</v>
      </c>
      <c r="M48">
        <v>1</v>
      </c>
      <c r="N48">
        <v>0</v>
      </c>
      <c r="O48">
        <v>0</v>
      </c>
      <c r="P48">
        <v>1</v>
      </c>
    </row>
    <row r="49" spans="1:16">
      <c r="A49">
        <v>2024</v>
      </c>
      <c r="B49">
        <v>22</v>
      </c>
      <c r="C49" t="s">
        <v>37</v>
      </c>
      <c r="D49">
        <v>5</v>
      </c>
      <c r="E49">
        <v>0.70269999999999999</v>
      </c>
      <c r="F49">
        <v>19.36</v>
      </c>
      <c r="G49">
        <v>113.4</v>
      </c>
      <c r="H49">
        <v>94</v>
      </c>
      <c r="I49">
        <v>66.2</v>
      </c>
      <c r="J49">
        <v>11.16</v>
      </c>
      <c r="K49">
        <v>112.8</v>
      </c>
      <c r="L49">
        <v>101.7</v>
      </c>
      <c r="M49">
        <v>1</v>
      </c>
      <c r="N49">
        <v>0</v>
      </c>
      <c r="O49">
        <v>0</v>
      </c>
      <c r="P49">
        <v>1</v>
      </c>
    </row>
    <row r="50" spans="1:16">
      <c r="A50">
        <v>2023</v>
      </c>
      <c r="B50">
        <v>2</v>
      </c>
      <c r="C50" t="s">
        <v>18</v>
      </c>
      <c r="D50">
        <v>1</v>
      </c>
      <c r="E50">
        <v>0.89190000000000003</v>
      </c>
      <c r="F50">
        <v>27.72</v>
      </c>
      <c r="G50">
        <v>118.1</v>
      </c>
      <c r="H50">
        <v>90.4</v>
      </c>
      <c r="I50">
        <v>63.5</v>
      </c>
      <c r="J50">
        <v>4.5599999999999996</v>
      </c>
      <c r="K50">
        <v>107.2</v>
      </c>
      <c r="L50">
        <v>102.6</v>
      </c>
      <c r="M50">
        <v>1</v>
      </c>
      <c r="N50">
        <v>0</v>
      </c>
      <c r="O50">
        <v>0</v>
      </c>
      <c r="P50">
        <v>1</v>
      </c>
    </row>
    <row r="51" spans="1:16">
      <c r="A51">
        <v>2023</v>
      </c>
      <c r="B51">
        <v>3</v>
      </c>
      <c r="C51" t="s">
        <v>85</v>
      </c>
      <c r="D51">
        <v>2</v>
      </c>
      <c r="E51">
        <v>0.83779999999999999</v>
      </c>
      <c r="F51">
        <v>27.29</v>
      </c>
      <c r="G51">
        <v>115.2</v>
      </c>
      <c r="H51">
        <v>88</v>
      </c>
      <c r="I51">
        <v>66.099999999999994</v>
      </c>
      <c r="J51">
        <v>8.6999999999999993</v>
      </c>
      <c r="K51">
        <v>109.2</v>
      </c>
      <c r="L51">
        <v>100.5</v>
      </c>
      <c r="M51">
        <v>1</v>
      </c>
      <c r="N51">
        <v>0</v>
      </c>
      <c r="O51">
        <v>0</v>
      </c>
      <c r="P51">
        <v>1</v>
      </c>
    </row>
    <row r="52" spans="1:16">
      <c r="A52">
        <v>2023</v>
      </c>
      <c r="B52">
        <v>4</v>
      </c>
      <c r="C52" t="s">
        <v>30</v>
      </c>
      <c r="D52">
        <v>1</v>
      </c>
      <c r="E52">
        <v>0.83779999999999999</v>
      </c>
      <c r="F52">
        <v>27.28</v>
      </c>
      <c r="G52">
        <v>115.5</v>
      </c>
      <c r="H52">
        <v>88.2</v>
      </c>
      <c r="I52">
        <v>72.599999999999994</v>
      </c>
      <c r="J52">
        <v>11.07</v>
      </c>
      <c r="K52">
        <v>110.2</v>
      </c>
      <c r="L52">
        <v>99.2</v>
      </c>
      <c r="M52">
        <v>1</v>
      </c>
      <c r="N52">
        <v>0</v>
      </c>
      <c r="O52">
        <v>0</v>
      </c>
      <c r="P52">
        <v>1</v>
      </c>
    </row>
    <row r="53" spans="1:16">
      <c r="A53">
        <v>2023</v>
      </c>
      <c r="B53">
        <v>6</v>
      </c>
      <c r="C53" t="s">
        <v>21</v>
      </c>
      <c r="D53">
        <v>4</v>
      </c>
      <c r="E53">
        <v>0.69440000000000002</v>
      </c>
      <c r="F53">
        <v>23.8</v>
      </c>
      <c r="G53">
        <v>111.3</v>
      </c>
      <c r="H53">
        <v>87.5</v>
      </c>
      <c r="I53">
        <v>65.099999999999994</v>
      </c>
      <c r="J53">
        <v>8.69</v>
      </c>
      <c r="K53">
        <v>109.2</v>
      </c>
      <c r="L53">
        <v>100.5</v>
      </c>
      <c r="M53">
        <v>1</v>
      </c>
      <c r="N53">
        <v>0</v>
      </c>
      <c r="O53">
        <v>0</v>
      </c>
      <c r="P53">
        <v>1</v>
      </c>
    </row>
    <row r="54" spans="1:16">
      <c r="A54">
        <v>2023</v>
      </c>
      <c r="B54">
        <v>15</v>
      </c>
      <c r="C54" t="s">
        <v>86</v>
      </c>
      <c r="D54">
        <v>3</v>
      </c>
      <c r="E54">
        <v>0.72970000000000002</v>
      </c>
      <c r="F54">
        <v>19.95</v>
      </c>
      <c r="G54">
        <v>118.5</v>
      </c>
      <c r="H54">
        <v>98.6</v>
      </c>
      <c r="I54">
        <v>70.5</v>
      </c>
      <c r="J54">
        <v>10.42</v>
      </c>
      <c r="K54">
        <v>110.3</v>
      </c>
      <c r="L54">
        <v>99.9</v>
      </c>
      <c r="M54">
        <v>1</v>
      </c>
      <c r="N54">
        <v>0</v>
      </c>
      <c r="O54">
        <v>0</v>
      </c>
      <c r="P54">
        <v>1</v>
      </c>
    </row>
    <row r="55" spans="1:16">
      <c r="A55">
        <v>2023</v>
      </c>
      <c r="B55">
        <v>22</v>
      </c>
      <c r="C55" t="s">
        <v>90</v>
      </c>
      <c r="D55">
        <v>8</v>
      </c>
      <c r="E55">
        <v>0.61109999999999998</v>
      </c>
      <c r="F55">
        <v>18.05</v>
      </c>
      <c r="G55">
        <v>112.1</v>
      </c>
      <c r="H55">
        <v>94</v>
      </c>
      <c r="I55">
        <v>69.599999999999994</v>
      </c>
      <c r="J55">
        <v>10.29</v>
      </c>
      <c r="K55">
        <v>109.7</v>
      </c>
      <c r="L55">
        <v>99.4</v>
      </c>
      <c r="M55">
        <v>1</v>
      </c>
      <c r="N55">
        <v>0</v>
      </c>
      <c r="O55">
        <v>0</v>
      </c>
      <c r="P55">
        <v>1</v>
      </c>
    </row>
    <row r="56" spans="1:16">
      <c r="A56">
        <v>2023</v>
      </c>
      <c r="B56">
        <v>26</v>
      </c>
      <c r="C56" t="s">
        <v>32</v>
      </c>
      <c r="D56">
        <v>7</v>
      </c>
      <c r="E56">
        <v>0.61760000000000004</v>
      </c>
      <c r="F56">
        <v>17.61</v>
      </c>
      <c r="G56">
        <v>114.2</v>
      </c>
      <c r="H56">
        <v>96.6</v>
      </c>
      <c r="I56">
        <v>64.7</v>
      </c>
      <c r="J56">
        <v>12.57</v>
      </c>
      <c r="K56">
        <v>112.1</v>
      </c>
      <c r="L56">
        <v>99.5</v>
      </c>
      <c r="M56">
        <v>1</v>
      </c>
      <c r="N56">
        <v>0</v>
      </c>
      <c r="O56">
        <v>0</v>
      </c>
      <c r="P56">
        <v>1</v>
      </c>
    </row>
    <row r="57" spans="1:16">
      <c r="A57">
        <v>2023</v>
      </c>
      <c r="B57">
        <v>91</v>
      </c>
      <c r="C57" t="s">
        <v>105</v>
      </c>
      <c r="D57">
        <v>15</v>
      </c>
      <c r="E57">
        <v>0.71879999999999999</v>
      </c>
      <c r="F57">
        <v>8.0399999999999991</v>
      </c>
      <c r="G57">
        <v>109.5</v>
      </c>
      <c r="H57">
        <v>101.5</v>
      </c>
      <c r="I57">
        <v>66.900000000000006</v>
      </c>
      <c r="J57">
        <v>-0.43</v>
      </c>
      <c r="K57">
        <v>104.6</v>
      </c>
      <c r="L57">
        <v>105</v>
      </c>
      <c r="M57">
        <v>1</v>
      </c>
      <c r="N57">
        <v>0</v>
      </c>
      <c r="O57">
        <v>0</v>
      </c>
      <c r="P57">
        <v>1</v>
      </c>
    </row>
    <row r="58" spans="1:16">
      <c r="A58">
        <v>2022</v>
      </c>
      <c r="B58">
        <v>1</v>
      </c>
      <c r="C58" t="s">
        <v>28</v>
      </c>
      <c r="D58">
        <v>1</v>
      </c>
      <c r="E58">
        <v>0.875</v>
      </c>
      <c r="F58">
        <v>30.95</v>
      </c>
      <c r="G58">
        <v>120.7</v>
      </c>
      <c r="H58">
        <v>89.7</v>
      </c>
      <c r="I58">
        <v>72.5</v>
      </c>
      <c r="J58">
        <v>4.24</v>
      </c>
      <c r="K58">
        <v>104.6</v>
      </c>
      <c r="L58">
        <v>100.3</v>
      </c>
      <c r="M58">
        <v>1</v>
      </c>
      <c r="N58">
        <v>0</v>
      </c>
      <c r="O58">
        <v>0</v>
      </c>
      <c r="P58">
        <v>1</v>
      </c>
    </row>
    <row r="59" spans="1:16">
      <c r="A59">
        <v>2022</v>
      </c>
      <c r="B59">
        <v>5</v>
      </c>
      <c r="C59" t="s">
        <v>22</v>
      </c>
      <c r="D59">
        <v>1</v>
      </c>
      <c r="E59">
        <v>0.89190000000000003</v>
      </c>
      <c r="F59">
        <v>25.96</v>
      </c>
      <c r="G59">
        <v>118.6</v>
      </c>
      <c r="H59">
        <v>92.6</v>
      </c>
      <c r="I59">
        <v>72.2</v>
      </c>
      <c r="J59">
        <v>6.45</v>
      </c>
      <c r="K59">
        <v>105.9</v>
      </c>
      <c r="L59">
        <v>99.5</v>
      </c>
      <c r="M59">
        <v>1</v>
      </c>
      <c r="N59">
        <v>0</v>
      </c>
      <c r="O59">
        <v>0</v>
      </c>
      <c r="P59">
        <v>1</v>
      </c>
    </row>
    <row r="60" spans="1:16">
      <c r="A60">
        <v>2022</v>
      </c>
      <c r="B60">
        <v>7</v>
      </c>
      <c r="C60" t="s">
        <v>45</v>
      </c>
      <c r="D60">
        <v>3</v>
      </c>
      <c r="E60">
        <v>0.72970000000000002</v>
      </c>
      <c r="F60">
        <v>25.64</v>
      </c>
      <c r="G60">
        <v>110.7</v>
      </c>
      <c r="H60">
        <v>85</v>
      </c>
      <c r="I60">
        <v>66.5</v>
      </c>
      <c r="J60">
        <v>10.98</v>
      </c>
      <c r="K60">
        <v>107.8</v>
      </c>
      <c r="L60">
        <v>96.8</v>
      </c>
      <c r="M60">
        <v>1</v>
      </c>
      <c r="N60">
        <v>0</v>
      </c>
      <c r="O60">
        <v>0</v>
      </c>
      <c r="P60">
        <v>1</v>
      </c>
    </row>
    <row r="61" spans="1:16">
      <c r="A61">
        <v>2022</v>
      </c>
      <c r="B61">
        <v>11</v>
      </c>
      <c r="C61" t="s">
        <v>85</v>
      </c>
      <c r="D61">
        <v>4</v>
      </c>
      <c r="E61">
        <v>0.77139999999999997</v>
      </c>
      <c r="F61">
        <v>24.26</v>
      </c>
      <c r="G61">
        <v>115.9</v>
      </c>
      <c r="H61">
        <v>91.7</v>
      </c>
      <c r="I61">
        <v>65.2</v>
      </c>
      <c r="J61">
        <v>8.5</v>
      </c>
      <c r="K61">
        <v>107.2</v>
      </c>
      <c r="L61">
        <v>98.7</v>
      </c>
      <c r="M61">
        <v>1</v>
      </c>
      <c r="N61">
        <v>0</v>
      </c>
      <c r="O61">
        <v>0</v>
      </c>
      <c r="P61">
        <v>1</v>
      </c>
    </row>
    <row r="62" spans="1:16">
      <c r="A62">
        <v>2022</v>
      </c>
      <c r="B62">
        <v>14</v>
      </c>
      <c r="C62" t="s">
        <v>19</v>
      </c>
      <c r="D62">
        <v>3</v>
      </c>
      <c r="E62">
        <v>0.78380000000000005</v>
      </c>
      <c r="F62">
        <v>22.36</v>
      </c>
      <c r="G62">
        <v>121</v>
      </c>
      <c r="H62">
        <v>98.6</v>
      </c>
      <c r="I62">
        <v>66.099999999999994</v>
      </c>
      <c r="J62">
        <v>8.81</v>
      </c>
      <c r="K62">
        <v>108</v>
      </c>
      <c r="L62">
        <v>99.2</v>
      </c>
      <c r="M62">
        <v>1</v>
      </c>
      <c r="N62">
        <v>0</v>
      </c>
      <c r="O62">
        <v>0</v>
      </c>
      <c r="P62">
        <v>1</v>
      </c>
    </row>
    <row r="63" spans="1:16">
      <c r="A63">
        <v>2022</v>
      </c>
      <c r="B63">
        <v>27</v>
      </c>
      <c r="C63" t="s">
        <v>119</v>
      </c>
      <c r="D63">
        <v>11</v>
      </c>
      <c r="E63">
        <v>0.55879999999999996</v>
      </c>
      <c r="F63">
        <v>16.61</v>
      </c>
      <c r="G63">
        <v>113.9</v>
      </c>
      <c r="H63">
        <v>97.2</v>
      </c>
      <c r="I63">
        <v>66.7</v>
      </c>
      <c r="J63">
        <v>12.15</v>
      </c>
      <c r="K63">
        <v>109.8</v>
      </c>
      <c r="L63">
        <v>97.7</v>
      </c>
      <c r="M63">
        <v>1</v>
      </c>
      <c r="N63">
        <v>0</v>
      </c>
      <c r="O63">
        <v>0</v>
      </c>
      <c r="P63">
        <v>1</v>
      </c>
    </row>
    <row r="64" spans="1:16">
      <c r="A64">
        <v>2021</v>
      </c>
      <c r="B64">
        <v>9</v>
      </c>
      <c r="C64" t="s">
        <v>30</v>
      </c>
      <c r="D64">
        <v>2</v>
      </c>
      <c r="E64">
        <v>0.78790000000000004</v>
      </c>
      <c r="F64">
        <v>25.09</v>
      </c>
      <c r="G64">
        <v>112.9</v>
      </c>
      <c r="H64">
        <v>87.8</v>
      </c>
      <c r="I64">
        <v>73.3</v>
      </c>
      <c r="J64">
        <v>14.8</v>
      </c>
      <c r="K64">
        <v>110.1</v>
      </c>
      <c r="L64">
        <v>95.3</v>
      </c>
      <c r="M64">
        <v>1</v>
      </c>
      <c r="N64">
        <v>0</v>
      </c>
      <c r="O64">
        <v>0</v>
      </c>
      <c r="P64">
        <v>1</v>
      </c>
    </row>
    <row r="65" spans="1:16">
      <c r="A65">
        <v>2021</v>
      </c>
      <c r="B65">
        <v>10</v>
      </c>
      <c r="C65" t="s">
        <v>120</v>
      </c>
      <c r="D65">
        <v>8</v>
      </c>
      <c r="E65">
        <v>0.8387</v>
      </c>
      <c r="F65">
        <v>24.32</v>
      </c>
      <c r="G65">
        <v>111.3</v>
      </c>
      <c r="H65">
        <v>87</v>
      </c>
      <c r="I65">
        <v>63.7</v>
      </c>
      <c r="J65">
        <v>6.27</v>
      </c>
      <c r="K65">
        <v>105.6</v>
      </c>
      <c r="L65">
        <v>99.4</v>
      </c>
      <c r="M65">
        <v>1</v>
      </c>
      <c r="N65">
        <v>0</v>
      </c>
      <c r="O65">
        <v>0</v>
      </c>
      <c r="P65">
        <v>1</v>
      </c>
    </row>
    <row r="66" spans="1:16">
      <c r="A66">
        <v>2021</v>
      </c>
      <c r="B66">
        <v>12</v>
      </c>
      <c r="C66" t="s">
        <v>115</v>
      </c>
      <c r="D66">
        <v>5</v>
      </c>
      <c r="E66">
        <v>0.72</v>
      </c>
      <c r="F66">
        <v>23.02</v>
      </c>
      <c r="G66">
        <v>119</v>
      </c>
      <c r="H66">
        <v>96</v>
      </c>
      <c r="I66">
        <v>64.2</v>
      </c>
      <c r="J66">
        <v>13.66</v>
      </c>
      <c r="K66">
        <v>109.3</v>
      </c>
      <c r="L66">
        <v>95.7</v>
      </c>
      <c r="M66">
        <v>1</v>
      </c>
      <c r="N66">
        <v>0</v>
      </c>
      <c r="O66">
        <v>0</v>
      </c>
      <c r="P66">
        <v>1</v>
      </c>
    </row>
    <row r="67" spans="1:16">
      <c r="A67">
        <v>2021</v>
      </c>
      <c r="B67">
        <v>15</v>
      </c>
      <c r="C67" t="s">
        <v>139</v>
      </c>
      <c r="D67">
        <v>4</v>
      </c>
      <c r="E67">
        <v>0.72</v>
      </c>
      <c r="F67">
        <v>22.12</v>
      </c>
      <c r="G67">
        <v>114.9</v>
      </c>
      <c r="H67">
        <v>92.8</v>
      </c>
      <c r="I67">
        <v>69.900000000000006</v>
      </c>
      <c r="J67">
        <v>13.48</v>
      </c>
      <c r="K67">
        <v>109.5</v>
      </c>
      <c r="L67">
        <v>96</v>
      </c>
      <c r="M67">
        <v>1</v>
      </c>
      <c r="N67">
        <v>0</v>
      </c>
      <c r="O67">
        <v>0</v>
      </c>
      <c r="P67">
        <v>1</v>
      </c>
    </row>
    <row r="68" spans="1:16">
      <c r="A68">
        <v>2021</v>
      </c>
      <c r="B68">
        <v>16</v>
      </c>
      <c r="C68" t="s">
        <v>61</v>
      </c>
      <c r="D68">
        <v>7</v>
      </c>
      <c r="E68">
        <v>0.75</v>
      </c>
      <c r="F68">
        <v>21.85</v>
      </c>
      <c r="G68">
        <v>117.2</v>
      </c>
      <c r="H68">
        <v>95.4</v>
      </c>
      <c r="I68">
        <v>67.2</v>
      </c>
      <c r="J68">
        <v>15.2</v>
      </c>
      <c r="K68">
        <v>110.6</v>
      </c>
      <c r="L68">
        <v>95.4</v>
      </c>
      <c r="M68">
        <v>1</v>
      </c>
      <c r="N68">
        <v>0</v>
      </c>
      <c r="O68">
        <v>0</v>
      </c>
      <c r="P68">
        <v>1</v>
      </c>
    </row>
    <row r="69" spans="1:16">
      <c r="A69">
        <v>2021</v>
      </c>
      <c r="B69">
        <v>22</v>
      </c>
      <c r="C69" t="s">
        <v>27</v>
      </c>
      <c r="D69">
        <v>5</v>
      </c>
      <c r="E69">
        <v>0.7097</v>
      </c>
      <c r="F69">
        <v>20.59</v>
      </c>
      <c r="G69">
        <v>113.4</v>
      </c>
      <c r="H69">
        <v>92.8</v>
      </c>
      <c r="I69">
        <v>68.7</v>
      </c>
      <c r="J69">
        <v>13.19</v>
      </c>
      <c r="K69">
        <v>108.8</v>
      </c>
      <c r="L69">
        <v>95.6</v>
      </c>
      <c r="M69">
        <v>1</v>
      </c>
      <c r="N69">
        <v>0</v>
      </c>
      <c r="O69">
        <v>0</v>
      </c>
      <c r="P69">
        <v>1</v>
      </c>
    </row>
    <row r="70" spans="1:16">
      <c r="A70">
        <v>2021</v>
      </c>
      <c r="B70">
        <v>42</v>
      </c>
      <c r="C70" t="s">
        <v>144</v>
      </c>
      <c r="D70">
        <v>11</v>
      </c>
      <c r="E70">
        <v>0.64290000000000003</v>
      </c>
      <c r="F70">
        <v>16.75</v>
      </c>
      <c r="G70">
        <v>113.7</v>
      </c>
      <c r="H70">
        <v>96.9</v>
      </c>
      <c r="I70">
        <v>68.599999999999994</v>
      </c>
      <c r="J70">
        <v>12.94</v>
      </c>
      <c r="K70">
        <v>109.4</v>
      </c>
      <c r="L70">
        <v>96.5</v>
      </c>
      <c r="M70">
        <v>1</v>
      </c>
      <c r="N70">
        <v>0</v>
      </c>
      <c r="O70">
        <v>0</v>
      </c>
      <c r="P70">
        <v>1</v>
      </c>
    </row>
    <row r="71" spans="1:16">
      <c r="A71">
        <v>2021</v>
      </c>
      <c r="B71">
        <v>125</v>
      </c>
      <c r="C71" t="s">
        <v>101</v>
      </c>
      <c r="D71">
        <v>15</v>
      </c>
      <c r="E71">
        <v>0.62070000000000003</v>
      </c>
      <c r="F71">
        <v>4.83</v>
      </c>
      <c r="G71">
        <v>109.3</v>
      </c>
      <c r="H71">
        <v>104.4</v>
      </c>
      <c r="I71">
        <v>71.400000000000006</v>
      </c>
      <c r="J71">
        <v>4.09</v>
      </c>
      <c r="K71">
        <v>105.2</v>
      </c>
      <c r="L71">
        <v>101.1</v>
      </c>
      <c r="M71">
        <v>1</v>
      </c>
      <c r="N71">
        <v>0</v>
      </c>
      <c r="O71">
        <v>0</v>
      </c>
      <c r="P71">
        <v>1</v>
      </c>
    </row>
    <row r="72" spans="1:16">
      <c r="A72">
        <v>2019</v>
      </c>
      <c r="B72">
        <v>7</v>
      </c>
      <c r="C72" t="s">
        <v>25</v>
      </c>
      <c r="D72">
        <v>1</v>
      </c>
      <c r="E72">
        <v>0.80559999999999998</v>
      </c>
      <c r="F72">
        <v>27.69</v>
      </c>
      <c r="G72">
        <v>119.7</v>
      </c>
      <c r="H72">
        <v>92</v>
      </c>
      <c r="I72">
        <v>74.3</v>
      </c>
      <c r="J72">
        <v>12.6</v>
      </c>
      <c r="K72">
        <v>110.7</v>
      </c>
      <c r="L72">
        <v>98.1</v>
      </c>
      <c r="M72">
        <v>1</v>
      </c>
      <c r="N72">
        <v>0</v>
      </c>
      <c r="O72">
        <v>0</v>
      </c>
      <c r="P72">
        <v>1</v>
      </c>
    </row>
    <row r="73" spans="1:16">
      <c r="A73">
        <v>2019</v>
      </c>
      <c r="B73">
        <v>10</v>
      </c>
      <c r="C73" t="s">
        <v>21</v>
      </c>
      <c r="D73">
        <v>2</v>
      </c>
      <c r="E73">
        <v>0.83779999999999999</v>
      </c>
      <c r="F73">
        <v>26.24</v>
      </c>
      <c r="G73">
        <v>122.7</v>
      </c>
      <c r="H73">
        <v>96.5</v>
      </c>
      <c r="I73">
        <v>67.8</v>
      </c>
      <c r="J73">
        <v>10.69</v>
      </c>
      <c r="K73">
        <v>109.7</v>
      </c>
      <c r="L73">
        <v>99</v>
      </c>
      <c r="M73">
        <v>1</v>
      </c>
      <c r="N73">
        <v>0</v>
      </c>
      <c r="O73">
        <v>0</v>
      </c>
      <c r="P73">
        <v>1</v>
      </c>
    </row>
    <row r="74" spans="1:16">
      <c r="A74">
        <v>2019</v>
      </c>
      <c r="B74">
        <v>12</v>
      </c>
      <c r="C74" t="s">
        <v>18</v>
      </c>
      <c r="D74">
        <v>3</v>
      </c>
      <c r="E74">
        <v>0.89190000000000003</v>
      </c>
      <c r="F74">
        <v>24.13</v>
      </c>
      <c r="G74">
        <v>115.3</v>
      </c>
      <c r="H74">
        <v>91.2</v>
      </c>
      <c r="I74">
        <v>66.099999999999994</v>
      </c>
      <c r="J74">
        <v>4.45</v>
      </c>
      <c r="K74">
        <v>105.7</v>
      </c>
      <c r="L74">
        <v>101.3</v>
      </c>
      <c r="M74">
        <v>1</v>
      </c>
      <c r="N74">
        <v>0</v>
      </c>
      <c r="O74">
        <v>0</v>
      </c>
      <c r="P74">
        <v>1</v>
      </c>
    </row>
    <row r="75" spans="1:16">
      <c r="A75">
        <v>2019</v>
      </c>
      <c r="B75">
        <v>13</v>
      </c>
      <c r="C75" t="s">
        <v>116</v>
      </c>
      <c r="D75">
        <v>4</v>
      </c>
      <c r="E75">
        <v>0.7429</v>
      </c>
      <c r="F75">
        <v>24.07</v>
      </c>
      <c r="G75">
        <v>118.1</v>
      </c>
      <c r="H75">
        <v>94</v>
      </c>
      <c r="I75">
        <v>63.7</v>
      </c>
      <c r="J75">
        <v>8.4700000000000006</v>
      </c>
      <c r="K75">
        <v>108.3</v>
      </c>
      <c r="L75">
        <v>99.9</v>
      </c>
      <c r="M75">
        <v>1</v>
      </c>
      <c r="N75">
        <v>0</v>
      </c>
      <c r="O75">
        <v>0</v>
      </c>
      <c r="P75">
        <v>1</v>
      </c>
    </row>
    <row r="76" spans="1:16">
      <c r="A76">
        <v>2019</v>
      </c>
      <c r="B76">
        <v>14</v>
      </c>
      <c r="C76" t="s">
        <v>139</v>
      </c>
      <c r="D76">
        <v>4</v>
      </c>
      <c r="E76">
        <v>0.78869999999999996</v>
      </c>
      <c r="F76">
        <v>22.39</v>
      </c>
      <c r="G76">
        <v>112.8</v>
      </c>
      <c r="H76">
        <v>90.4</v>
      </c>
      <c r="I76">
        <v>68.599999999999994</v>
      </c>
      <c r="J76">
        <v>10.46</v>
      </c>
      <c r="K76">
        <v>109.8</v>
      </c>
      <c r="L76">
        <v>99.3</v>
      </c>
      <c r="M76">
        <v>1</v>
      </c>
      <c r="N76">
        <v>0</v>
      </c>
      <c r="O76">
        <v>0</v>
      </c>
      <c r="P76">
        <v>1</v>
      </c>
    </row>
    <row r="77" spans="1:16">
      <c r="A77">
        <v>2019</v>
      </c>
      <c r="B77">
        <v>16</v>
      </c>
      <c r="C77" t="s">
        <v>33</v>
      </c>
      <c r="D77">
        <v>5</v>
      </c>
      <c r="E77">
        <v>0.67559999999999998</v>
      </c>
      <c r="F77">
        <v>21.94</v>
      </c>
      <c r="G77">
        <v>110.4</v>
      </c>
      <c r="H77">
        <v>88.5</v>
      </c>
      <c r="I77">
        <v>63.9</v>
      </c>
      <c r="J77">
        <v>12.97</v>
      </c>
      <c r="K77">
        <v>110.3</v>
      </c>
      <c r="L77">
        <v>97.3</v>
      </c>
      <c r="M77">
        <v>1</v>
      </c>
      <c r="N77">
        <v>0</v>
      </c>
      <c r="O77">
        <v>0</v>
      </c>
      <c r="P77">
        <v>1</v>
      </c>
    </row>
    <row r="78" spans="1:16">
      <c r="A78">
        <v>2019</v>
      </c>
      <c r="B78">
        <v>21</v>
      </c>
      <c r="C78" t="s">
        <v>47</v>
      </c>
      <c r="D78">
        <v>5</v>
      </c>
      <c r="E78">
        <v>0.67559999999999998</v>
      </c>
      <c r="F78">
        <v>20.04</v>
      </c>
      <c r="G78">
        <v>117.7</v>
      </c>
      <c r="H78">
        <v>97.6</v>
      </c>
      <c r="I78">
        <v>67.8</v>
      </c>
      <c r="J78">
        <v>10.09</v>
      </c>
      <c r="K78">
        <v>110.1</v>
      </c>
      <c r="L78">
        <v>100</v>
      </c>
      <c r="M78">
        <v>1</v>
      </c>
      <c r="N78">
        <v>0</v>
      </c>
      <c r="O78">
        <v>0</v>
      </c>
      <c r="P78">
        <v>1</v>
      </c>
    </row>
    <row r="79" spans="1:16">
      <c r="A79">
        <v>2019</v>
      </c>
      <c r="B79">
        <v>28</v>
      </c>
      <c r="C79" t="s">
        <v>61</v>
      </c>
      <c r="D79">
        <v>12</v>
      </c>
      <c r="E79">
        <v>0.65790000000000004</v>
      </c>
      <c r="F79">
        <v>17.86</v>
      </c>
      <c r="G79">
        <v>109.5</v>
      </c>
      <c r="H79">
        <v>91.7</v>
      </c>
      <c r="I79">
        <v>64.2</v>
      </c>
      <c r="J79">
        <v>5.47</v>
      </c>
      <c r="K79">
        <v>107.7</v>
      </c>
      <c r="L79">
        <v>102.3</v>
      </c>
      <c r="M79">
        <v>1</v>
      </c>
      <c r="N79">
        <v>0</v>
      </c>
      <c r="O79">
        <v>0</v>
      </c>
      <c r="P79">
        <v>1</v>
      </c>
    </row>
    <row r="80" spans="1:16">
      <c r="A80">
        <v>2024</v>
      </c>
      <c r="B80">
        <v>15</v>
      </c>
      <c r="C80" t="s">
        <v>31</v>
      </c>
      <c r="D80">
        <v>3</v>
      </c>
      <c r="E80">
        <v>0.68569999999999998</v>
      </c>
      <c r="F80">
        <v>21.9</v>
      </c>
      <c r="G80">
        <v>122.4</v>
      </c>
      <c r="H80">
        <v>100.5</v>
      </c>
      <c r="I80">
        <v>65.8</v>
      </c>
      <c r="J80">
        <v>13.44</v>
      </c>
      <c r="K80">
        <v>112.4</v>
      </c>
      <c r="L80">
        <v>99</v>
      </c>
      <c r="M80">
        <v>0</v>
      </c>
      <c r="N80">
        <v>0</v>
      </c>
      <c r="O80">
        <v>0</v>
      </c>
      <c r="P80">
        <v>1</v>
      </c>
    </row>
    <row r="81" spans="1:16">
      <c r="A81">
        <v>2024</v>
      </c>
      <c r="B81">
        <v>16</v>
      </c>
      <c r="C81" t="s">
        <v>32</v>
      </c>
      <c r="D81">
        <v>9</v>
      </c>
      <c r="E81">
        <v>0.57140000000000002</v>
      </c>
      <c r="F81">
        <v>20.58</v>
      </c>
      <c r="G81">
        <v>114.3</v>
      </c>
      <c r="H81">
        <v>93.7</v>
      </c>
      <c r="I81">
        <v>65.3</v>
      </c>
      <c r="J81">
        <v>13.03</v>
      </c>
      <c r="K81">
        <v>114.2</v>
      </c>
      <c r="L81">
        <v>101.1</v>
      </c>
      <c r="M81">
        <v>0</v>
      </c>
      <c r="N81">
        <v>0</v>
      </c>
      <c r="O81">
        <v>0</v>
      </c>
      <c r="P81">
        <v>1</v>
      </c>
    </row>
    <row r="82" spans="1:16">
      <c r="A82">
        <v>2024</v>
      </c>
      <c r="B82">
        <v>24</v>
      </c>
      <c r="C82" t="s">
        <v>39</v>
      </c>
      <c r="D82">
        <v>10</v>
      </c>
      <c r="E82">
        <v>0.70269999999999999</v>
      </c>
      <c r="F82">
        <v>19.03</v>
      </c>
      <c r="G82">
        <v>118.4</v>
      </c>
      <c r="H82">
        <v>99.3</v>
      </c>
      <c r="I82">
        <v>67.599999999999994</v>
      </c>
      <c r="J82">
        <v>9.34</v>
      </c>
      <c r="K82">
        <v>110.9</v>
      </c>
      <c r="L82">
        <v>101.6</v>
      </c>
      <c r="M82">
        <v>0</v>
      </c>
      <c r="N82">
        <v>0</v>
      </c>
      <c r="O82">
        <v>0</v>
      </c>
      <c r="P82">
        <v>1</v>
      </c>
    </row>
    <row r="83" spans="1:16">
      <c r="A83">
        <v>2024</v>
      </c>
      <c r="B83">
        <v>25</v>
      </c>
      <c r="C83" t="s">
        <v>40</v>
      </c>
      <c r="D83">
        <v>7</v>
      </c>
      <c r="E83">
        <v>0.61760000000000004</v>
      </c>
      <c r="F83">
        <v>18.77</v>
      </c>
      <c r="G83">
        <v>116.5</v>
      </c>
      <c r="H83">
        <v>97.7</v>
      </c>
      <c r="I83">
        <v>67.400000000000006</v>
      </c>
      <c r="J83">
        <v>10.91</v>
      </c>
      <c r="K83">
        <v>111.4</v>
      </c>
      <c r="L83">
        <v>100.5</v>
      </c>
      <c r="M83">
        <v>0</v>
      </c>
      <c r="N83">
        <v>0</v>
      </c>
      <c r="O83">
        <v>0</v>
      </c>
      <c r="P83">
        <v>1</v>
      </c>
    </row>
    <row r="84" spans="1:16">
      <c r="A84">
        <v>2024</v>
      </c>
      <c r="B84">
        <v>27</v>
      </c>
      <c r="C84" t="s">
        <v>42</v>
      </c>
      <c r="D84">
        <v>4</v>
      </c>
      <c r="E84">
        <v>0.67649999999999999</v>
      </c>
      <c r="F84">
        <v>17.940000000000001</v>
      </c>
      <c r="G84">
        <v>113.5</v>
      </c>
      <c r="H84">
        <v>95.6</v>
      </c>
      <c r="I84">
        <v>69.2</v>
      </c>
      <c r="J84">
        <v>13.61</v>
      </c>
      <c r="K84">
        <v>113</v>
      </c>
      <c r="L84">
        <v>99.3</v>
      </c>
      <c r="M84">
        <v>0</v>
      </c>
      <c r="N84">
        <v>0</v>
      </c>
      <c r="O84">
        <v>0</v>
      </c>
      <c r="P84">
        <v>1</v>
      </c>
    </row>
    <row r="85" spans="1:16">
      <c r="A85">
        <v>2024</v>
      </c>
      <c r="B85">
        <v>32</v>
      </c>
      <c r="C85" t="s">
        <v>46</v>
      </c>
      <c r="D85">
        <v>7</v>
      </c>
      <c r="E85">
        <v>0.75760000000000005</v>
      </c>
      <c r="F85">
        <v>17.3</v>
      </c>
      <c r="G85">
        <v>117.7</v>
      </c>
      <c r="H85">
        <v>100.4</v>
      </c>
      <c r="I85">
        <v>64.5</v>
      </c>
      <c r="J85">
        <v>6.88</v>
      </c>
      <c r="K85">
        <v>109.3</v>
      </c>
      <c r="L85">
        <v>102.4</v>
      </c>
      <c r="M85">
        <v>0</v>
      </c>
      <c r="N85">
        <v>0</v>
      </c>
      <c r="O85">
        <v>0</v>
      </c>
      <c r="P85">
        <v>1</v>
      </c>
    </row>
    <row r="86" spans="1:16">
      <c r="A86">
        <v>2024</v>
      </c>
      <c r="B86">
        <v>35</v>
      </c>
      <c r="C86" t="s">
        <v>48</v>
      </c>
      <c r="D86">
        <v>9</v>
      </c>
      <c r="E86">
        <v>0.58330000000000004</v>
      </c>
      <c r="F86">
        <v>17.02</v>
      </c>
      <c r="G86">
        <v>117.5</v>
      </c>
      <c r="H86">
        <v>100.5</v>
      </c>
      <c r="I86">
        <v>66.599999999999994</v>
      </c>
      <c r="J86">
        <v>12.06</v>
      </c>
      <c r="K86">
        <v>112.9</v>
      </c>
      <c r="L86">
        <v>100.9</v>
      </c>
      <c r="M86">
        <v>0</v>
      </c>
      <c r="N86">
        <v>0</v>
      </c>
      <c r="O86">
        <v>0</v>
      </c>
      <c r="P86">
        <v>1</v>
      </c>
    </row>
    <row r="87" spans="1:16">
      <c r="A87">
        <v>2024</v>
      </c>
      <c r="B87">
        <v>41</v>
      </c>
      <c r="C87" t="s">
        <v>51</v>
      </c>
      <c r="D87">
        <v>9</v>
      </c>
      <c r="E87">
        <v>0.64710000000000001</v>
      </c>
      <c r="F87">
        <v>16.41</v>
      </c>
      <c r="G87">
        <v>115.9</v>
      </c>
      <c r="H87">
        <v>99.5</v>
      </c>
      <c r="I87">
        <v>64.2</v>
      </c>
      <c r="J87">
        <v>10.71</v>
      </c>
      <c r="K87">
        <v>112.4</v>
      </c>
      <c r="L87">
        <v>101.7</v>
      </c>
      <c r="M87">
        <v>0</v>
      </c>
      <c r="N87">
        <v>0</v>
      </c>
      <c r="O87">
        <v>0</v>
      </c>
      <c r="P87">
        <v>1</v>
      </c>
    </row>
    <row r="88" spans="1:16">
      <c r="A88">
        <v>2024</v>
      </c>
      <c r="B88">
        <v>42</v>
      </c>
      <c r="C88" t="s">
        <v>52</v>
      </c>
      <c r="D88">
        <v>7</v>
      </c>
      <c r="E88">
        <v>0.71430000000000005</v>
      </c>
      <c r="F88">
        <v>16.329999999999998</v>
      </c>
      <c r="G88">
        <v>113.2</v>
      </c>
      <c r="H88">
        <v>96.9</v>
      </c>
      <c r="I88">
        <v>64.8</v>
      </c>
      <c r="J88">
        <v>7.91</v>
      </c>
      <c r="K88">
        <v>110.3</v>
      </c>
      <c r="L88">
        <v>102.4</v>
      </c>
      <c r="M88">
        <v>0</v>
      </c>
      <c r="N88">
        <v>0</v>
      </c>
      <c r="O88">
        <v>0</v>
      </c>
      <c r="P88">
        <v>1</v>
      </c>
    </row>
    <row r="89" spans="1:16">
      <c r="A89">
        <v>2024</v>
      </c>
      <c r="B89">
        <v>43</v>
      </c>
      <c r="C89" t="s">
        <v>53</v>
      </c>
      <c r="D89">
        <v>9</v>
      </c>
      <c r="E89">
        <v>0.61760000000000004</v>
      </c>
      <c r="F89">
        <v>16.04</v>
      </c>
      <c r="G89">
        <v>114.7</v>
      </c>
      <c r="H89">
        <v>98.7</v>
      </c>
      <c r="I89">
        <v>69.8</v>
      </c>
      <c r="J89">
        <v>9.7100000000000009</v>
      </c>
      <c r="K89">
        <v>110.6</v>
      </c>
      <c r="L89">
        <v>100.9</v>
      </c>
      <c r="M89">
        <v>0</v>
      </c>
      <c r="N89">
        <v>0</v>
      </c>
      <c r="O89">
        <v>0</v>
      </c>
      <c r="P89">
        <v>1</v>
      </c>
    </row>
    <row r="90" spans="1:16">
      <c r="A90">
        <v>2024</v>
      </c>
      <c r="B90">
        <v>51</v>
      </c>
      <c r="C90" t="s">
        <v>57</v>
      </c>
      <c r="D90">
        <v>8</v>
      </c>
      <c r="E90">
        <v>0.8</v>
      </c>
      <c r="F90">
        <v>14.89</v>
      </c>
      <c r="G90">
        <v>116</v>
      </c>
      <c r="H90">
        <v>101.1</v>
      </c>
      <c r="I90">
        <v>68.900000000000006</v>
      </c>
      <c r="J90">
        <v>6.83</v>
      </c>
      <c r="K90">
        <v>109.8</v>
      </c>
      <c r="L90">
        <v>103</v>
      </c>
      <c r="M90">
        <v>0</v>
      </c>
      <c r="N90">
        <v>0</v>
      </c>
      <c r="O90">
        <v>0</v>
      </c>
      <c r="P90">
        <v>1</v>
      </c>
    </row>
    <row r="91" spans="1:16">
      <c r="A91">
        <v>2024</v>
      </c>
      <c r="B91">
        <v>52</v>
      </c>
      <c r="C91" t="s">
        <v>58</v>
      </c>
      <c r="D91">
        <v>12</v>
      </c>
      <c r="E91">
        <v>0.85709999999999997</v>
      </c>
      <c r="F91">
        <v>14.84</v>
      </c>
      <c r="G91">
        <v>112.9</v>
      </c>
      <c r="H91">
        <v>98.1</v>
      </c>
      <c r="I91">
        <v>68.5</v>
      </c>
      <c r="J91">
        <v>0.17</v>
      </c>
      <c r="K91">
        <v>105.2</v>
      </c>
      <c r="L91">
        <v>105.1</v>
      </c>
      <c r="M91">
        <v>0</v>
      </c>
      <c r="N91">
        <v>0</v>
      </c>
      <c r="O91">
        <v>0</v>
      </c>
      <c r="P91">
        <v>1</v>
      </c>
    </row>
    <row r="92" spans="1:16">
      <c r="A92">
        <v>2024</v>
      </c>
      <c r="B92">
        <v>55</v>
      </c>
      <c r="C92" t="s">
        <v>61</v>
      </c>
      <c r="D92">
        <v>11</v>
      </c>
      <c r="E92">
        <v>0.66669999999999996</v>
      </c>
      <c r="F92">
        <v>14.19</v>
      </c>
      <c r="G92">
        <v>114.7</v>
      </c>
      <c r="H92">
        <v>100.5</v>
      </c>
      <c r="I92">
        <v>67.3</v>
      </c>
      <c r="J92">
        <v>9.8800000000000008</v>
      </c>
      <c r="K92">
        <v>111.3</v>
      </c>
      <c r="L92">
        <v>101.5</v>
      </c>
      <c r="M92">
        <v>0</v>
      </c>
      <c r="N92">
        <v>0</v>
      </c>
      <c r="O92">
        <v>0</v>
      </c>
      <c r="P92">
        <v>1</v>
      </c>
    </row>
    <row r="93" spans="1:16">
      <c r="A93">
        <v>2024</v>
      </c>
      <c r="B93">
        <v>63</v>
      </c>
      <c r="C93" t="s">
        <v>62</v>
      </c>
      <c r="D93">
        <v>12</v>
      </c>
      <c r="E93">
        <v>0.88890000000000002</v>
      </c>
      <c r="F93">
        <v>12.42</v>
      </c>
      <c r="G93">
        <v>113</v>
      </c>
      <c r="H93">
        <v>100.6</v>
      </c>
      <c r="I93">
        <v>69.7</v>
      </c>
      <c r="J93">
        <v>-3.41</v>
      </c>
      <c r="K93">
        <v>104.1</v>
      </c>
      <c r="L93">
        <v>107.5</v>
      </c>
      <c r="M93">
        <v>0</v>
      </c>
      <c r="N93">
        <v>0</v>
      </c>
      <c r="O93">
        <v>0</v>
      </c>
      <c r="P93">
        <v>1</v>
      </c>
    </row>
    <row r="94" spans="1:16">
      <c r="A94">
        <v>2024</v>
      </c>
      <c r="B94">
        <v>88</v>
      </c>
      <c r="C94" t="s">
        <v>66</v>
      </c>
      <c r="D94">
        <v>11</v>
      </c>
      <c r="E94">
        <v>0.67569999999999997</v>
      </c>
      <c r="F94">
        <v>9.19</v>
      </c>
      <c r="G94">
        <v>107.2</v>
      </c>
      <c r="H94">
        <v>98</v>
      </c>
      <c r="I94">
        <v>66.2</v>
      </c>
      <c r="J94">
        <v>5.68</v>
      </c>
      <c r="K94">
        <v>109.7</v>
      </c>
      <c r="L94">
        <v>104</v>
      </c>
      <c r="M94">
        <v>0</v>
      </c>
      <c r="N94">
        <v>0</v>
      </c>
      <c r="O94">
        <v>0</v>
      </c>
      <c r="P94">
        <v>1</v>
      </c>
    </row>
    <row r="95" spans="1:16">
      <c r="A95">
        <v>2024</v>
      </c>
      <c r="B95">
        <v>90</v>
      </c>
      <c r="C95" t="s">
        <v>67</v>
      </c>
      <c r="D95">
        <v>13</v>
      </c>
      <c r="E95">
        <v>0.69699999999999995</v>
      </c>
      <c r="F95">
        <v>9.07</v>
      </c>
      <c r="G95">
        <v>110.9</v>
      </c>
      <c r="H95">
        <v>101.8</v>
      </c>
      <c r="I95">
        <v>64.900000000000006</v>
      </c>
      <c r="J95">
        <v>3.07</v>
      </c>
      <c r="K95">
        <v>108.7</v>
      </c>
      <c r="L95">
        <v>105.6</v>
      </c>
      <c r="M95">
        <v>0</v>
      </c>
      <c r="N95">
        <v>0</v>
      </c>
      <c r="O95">
        <v>0</v>
      </c>
      <c r="P95">
        <v>1</v>
      </c>
    </row>
    <row r="96" spans="1:16">
      <c r="A96">
        <v>2024</v>
      </c>
      <c r="B96">
        <v>131</v>
      </c>
      <c r="C96" t="s">
        <v>73</v>
      </c>
      <c r="D96">
        <v>14</v>
      </c>
      <c r="E96">
        <v>0.66669999999999996</v>
      </c>
      <c r="F96">
        <v>3.73</v>
      </c>
      <c r="G96">
        <v>109.3</v>
      </c>
      <c r="H96">
        <v>105.6</v>
      </c>
      <c r="I96">
        <v>66.5</v>
      </c>
      <c r="J96">
        <v>-0.08</v>
      </c>
      <c r="K96">
        <v>107.6</v>
      </c>
      <c r="L96">
        <v>107.7</v>
      </c>
      <c r="M96">
        <v>0</v>
      </c>
      <c r="N96">
        <v>0</v>
      </c>
      <c r="O96">
        <v>0</v>
      </c>
      <c r="P96">
        <v>1</v>
      </c>
    </row>
    <row r="97" spans="1:16">
      <c r="A97">
        <v>2023</v>
      </c>
      <c r="B97">
        <v>9</v>
      </c>
      <c r="C97" t="s">
        <v>42</v>
      </c>
      <c r="D97">
        <v>1</v>
      </c>
      <c r="E97">
        <v>0.77780000000000005</v>
      </c>
      <c r="F97">
        <v>22.85</v>
      </c>
      <c r="G97">
        <v>114.6</v>
      </c>
      <c r="H97">
        <v>91.8</v>
      </c>
      <c r="I97">
        <v>69.2</v>
      </c>
      <c r="J97">
        <v>13.38</v>
      </c>
      <c r="K97">
        <v>111</v>
      </c>
      <c r="L97">
        <v>97.6</v>
      </c>
      <c r="M97">
        <v>0</v>
      </c>
      <c r="N97">
        <v>0</v>
      </c>
      <c r="O97">
        <v>0</v>
      </c>
      <c r="P97">
        <v>1</v>
      </c>
    </row>
    <row r="98" spans="1:16">
      <c r="A98">
        <v>2023</v>
      </c>
      <c r="B98">
        <v>10</v>
      </c>
      <c r="C98" t="s">
        <v>29</v>
      </c>
      <c r="D98">
        <v>2</v>
      </c>
      <c r="E98">
        <v>0.80559999999999998</v>
      </c>
      <c r="F98">
        <v>22.38</v>
      </c>
      <c r="G98">
        <v>119.1</v>
      </c>
      <c r="H98">
        <v>96.7</v>
      </c>
      <c r="I98">
        <v>68.099999999999994</v>
      </c>
      <c r="J98">
        <v>9.31</v>
      </c>
      <c r="K98">
        <v>109.5</v>
      </c>
      <c r="L98">
        <v>100.2</v>
      </c>
      <c r="M98">
        <v>0</v>
      </c>
      <c r="N98">
        <v>0</v>
      </c>
      <c r="O98">
        <v>0</v>
      </c>
      <c r="P98">
        <v>1</v>
      </c>
    </row>
    <row r="99" spans="1:16">
      <c r="A99">
        <v>2023</v>
      </c>
      <c r="B99">
        <v>13</v>
      </c>
      <c r="C99" t="s">
        <v>36</v>
      </c>
      <c r="D99">
        <v>5</v>
      </c>
      <c r="E99">
        <v>0.77139999999999997</v>
      </c>
      <c r="F99">
        <v>21.24</v>
      </c>
      <c r="G99">
        <v>112.6</v>
      </c>
      <c r="H99">
        <v>91.4</v>
      </c>
      <c r="I99">
        <v>61.6</v>
      </c>
      <c r="J99">
        <v>6.45</v>
      </c>
      <c r="K99">
        <v>109.7</v>
      </c>
      <c r="L99">
        <v>103.2</v>
      </c>
      <c r="M99">
        <v>0</v>
      </c>
      <c r="N99">
        <v>0</v>
      </c>
      <c r="O99">
        <v>0</v>
      </c>
      <c r="P99">
        <v>1</v>
      </c>
    </row>
    <row r="100" spans="1:16">
      <c r="A100">
        <v>2023</v>
      </c>
      <c r="B100">
        <v>16</v>
      </c>
      <c r="C100" t="s">
        <v>31</v>
      </c>
      <c r="D100">
        <v>3</v>
      </c>
      <c r="E100">
        <v>0.67649999999999999</v>
      </c>
      <c r="F100">
        <v>19.68</v>
      </c>
      <c r="G100">
        <v>121.3</v>
      </c>
      <c r="H100">
        <v>101.6</v>
      </c>
      <c r="I100">
        <v>66.5</v>
      </c>
      <c r="J100">
        <v>12.33</v>
      </c>
      <c r="K100">
        <v>110.4</v>
      </c>
      <c r="L100">
        <v>98</v>
      </c>
      <c r="M100">
        <v>0</v>
      </c>
      <c r="N100">
        <v>0</v>
      </c>
      <c r="O100">
        <v>0</v>
      </c>
      <c r="P100">
        <v>1</v>
      </c>
    </row>
    <row r="101" spans="1:16">
      <c r="A101">
        <v>2023</v>
      </c>
      <c r="B101">
        <v>18</v>
      </c>
      <c r="C101" t="s">
        <v>23</v>
      </c>
      <c r="D101">
        <v>5</v>
      </c>
      <c r="E101">
        <v>0.75</v>
      </c>
      <c r="F101">
        <v>19.350000000000001</v>
      </c>
      <c r="G101">
        <v>113.2</v>
      </c>
      <c r="H101">
        <v>93.9</v>
      </c>
      <c r="I101">
        <v>64.900000000000006</v>
      </c>
      <c r="J101">
        <v>7.65</v>
      </c>
      <c r="K101">
        <v>109.7</v>
      </c>
      <c r="L101">
        <v>102.1</v>
      </c>
      <c r="M101">
        <v>0</v>
      </c>
      <c r="N101">
        <v>0</v>
      </c>
      <c r="O101">
        <v>0</v>
      </c>
      <c r="P101">
        <v>1</v>
      </c>
    </row>
    <row r="102" spans="1:16">
      <c r="A102">
        <v>2023</v>
      </c>
      <c r="B102">
        <v>23</v>
      </c>
      <c r="C102" t="s">
        <v>91</v>
      </c>
      <c r="D102">
        <v>8</v>
      </c>
      <c r="E102">
        <v>0.62860000000000005</v>
      </c>
      <c r="F102">
        <v>17.989999999999998</v>
      </c>
      <c r="G102">
        <v>113.5</v>
      </c>
      <c r="H102">
        <v>95.6</v>
      </c>
      <c r="I102">
        <v>64.2</v>
      </c>
      <c r="J102">
        <v>8.94</v>
      </c>
      <c r="K102">
        <v>109.5</v>
      </c>
      <c r="L102">
        <v>100.5</v>
      </c>
      <c r="M102">
        <v>0</v>
      </c>
      <c r="N102">
        <v>0</v>
      </c>
      <c r="O102">
        <v>0</v>
      </c>
      <c r="P102">
        <v>1</v>
      </c>
    </row>
    <row r="103" spans="1:16">
      <c r="A103">
        <v>2023</v>
      </c>
      <c r="B103">
        <v>25</v>
      </c>
      <c r="C103" t="s">
        <v>53</v>
      </c>
      <c r="D103">
        <v>6</v>
      </c>
      <c r="E103">
        <v>0.62860000000000005</v>
      </c>
      <c r="F103">
        <v>17.78</v>
      </c>
      <c r="G103">
        <v>112.1</v>
      </c>
      <c r="H103">
        <v>94.3</v>
      </c>
      <c r="I103">
        <v>69.7</v>
      </c>
      <c r="J103">
        <v>10.71</v>
      </c>
      <c r="K103">
        <v>109.7</v>
      </c>
      <c r="L103">
        <v>99</v>
      </c>
      <c r="M103">
        <v>0</v>
      </c>
      <c r="N103">
        <v>0</v>
      </c>
      <c r="O103">
        <v>0</v>
      </c>
      <c r="P103">
        <v>1</v>
      </c>
    </row>
    <row r="104" spans="1:16">
      <c r="A104">
        <v>2023</v>
      </c>
      <c r="B104">
        <v>27</v>
      </c>
      <c r="C104" t="s">
        <v>38</v>
      </c>
      <c r="D104">
        <v>6</v>
      </c>
      <c r="E104">
        <v>0.64710000000000001</v>
      </c>
      <c r="F104">
        <v>17.399999999999999</v>
      </c>
      <c r="G104">
        <v>116.2</v>
      </c>
      <c r="H104">
        <v>98.8</v>
      </c>
      <c r="I104">
        <v>65.8</v>
      </c>
      <c r="J104">
        <v>8.52</v>
      </c>
      <c r="K104">
        <v>109.1</v>
      </c>
      <c r="L104">
        <v>100.5</v>
      </c>
      <c r="M104">
        <v>0</v>
      </c>
      <c r="N104">
        <v>0</v>
      </c>
      <c r="O104">
        <v>0</v>
      </c>
      <c r="P104">
        <v>1</v>
      </c>
    </row>
    <row r="105" spans="1:16">
      <c r="A105">
        <v>2023</v>
      </c>
      <c r="B105">
        <v>30</v>
      </c>
      <c r="C105" t="s">
        <v>93</v>
      </c>
      <c r="D105">
        <v>4</v>
      </c>
      <c r="E105">
        <v>0.65710000000000002</v>
      </c>
      <c r="F105">
        <v>17.03</v>
      </c>
      <c r="G105">
        <v>114.2</v>
      </c>
      <c r="H105">
        <v>97.2</v>
      </c>
      <c r="I105">
        <v>67.8</v>
      </c>
      <c r="J105">
        <v>10.69</v>
      </c>
      <c r="K105">
        <v>110.5</v>
      </c>
      <c r="L105">
        <v>99.9</v>
      </c>
      <c r="M105">
        <v>0</v>
      </c>
      <c r="N105">
        <v>0</v>
      </c>
      <c r="O105">
        <v>0</v>
      </c>
      <c r="P105">
        <v>1</v>
      </c>
    </row>
    <row r="106" spans="1:16">
      <c r="A106">
        <v>2023</v>
      </c>
      <c r="B106">
        <v>32</v>
      </c>
      <c r="C106" t="s">
        <v>20</v>
      </c>
      <c r="D106">
        <v>9</v>
      </c>
      <c r="E106">
        <v>0.61760000000000004</v>
      </c>
      <c r="F106">
        <v>16.77</v>
      </c>
      <c r="G106">
        <v>112.5</v>
      </c>
      <c r="H106">
        <v>95.7</v>
      </c>
      <c r="I106">
        <v>67.599999999999994</v>
      </c>
      <c r="J106">
        <v>9.68</v>
      </c>
      <c r="K106">
        <v>109.4</v>
      </c>
      <c r="L106">
        <v>99.7</v>
      </c>
      <c r="M106">
        <v>0</v>
      </c>
      <c r="N106">
        <v>0</v>
      </c>
      <c r="O106">
        <v>0</v>
      </c>
      <c r="P106">
        <v>1</v>
      </c>
    </row>
    <row r="107" spans="1:16">
      <c r="A107">
        <v>2023</v>
      </c>
      <c r="B107">
        <v>36</v>
      </c>
      <c r="C107" t="s">
        <v>94</v>
      </c>
      <c r="D107">
        <v>10</v>
      </c>
      <c r="E107">
        <v>0.62160000000000004</v>
      </c>
      <c r="F107">
        <v>16.04</v>
      </c>
      <c r="G107">
        <v>117.2</v>
      </c>
      <c r="H107">
        <v>101.1</v>
      </c>
      <c r="I107">
        <v>64.3</v>
      </c>
      <c r="J107">
        <v>10.08</v>
      </c>
      <c r="K107">
        <v>109.5</v>
      </c>
      <c r="L107">
        <v>99.4</v>
      </c>
      <c r="M107">
        <v>0</v>
      </c>
      <c r="N107">
        <v>0</v>
      </c>
      <c r="O107">
        <v>0</v>
      </c>
      <c r="P107">
        <v>1</v>
      </c>
    </row>
    <row r="108" spans="1:16">
      <c r="A108">
        <v>2023</v>
      </c>
      <c r="B108">
        <v>38</v>
      </c>
      <c r="C108" t="s">
        <v>51</v>
      </c>
      <c r="D108">
        <v>7</v>
      </c>
      <c r="E108">
        <v>0.64710000000000001</v>
      </c>
      <c r="F108">
        <v>15.59</v>
      </c>
      <c r="G108">
        <v>109.9</v>
      </c>
      <c r="H108">
        <v>94.3</v>
      </c>
      <c r="I108">
        <v>64.400000000000006</v>
      </c>
      <c r="J108">
        <v>9.2899999999999991</v>
      </c>
      <c r="K108">
        <v>109.3</v>
      </c>
      <c r="L108">
        <v>100.1</v>
      </c>
      <c r="M108">
        <v>0</v>
      </c>
      <c r="N108">
        <v>0</v>
      </c>
      <c r="O108">
        <v>0</v>
      </c>
      <c r="P108">
        <v>1</v>
      </c>
    </row>
    <row r="109" spans="1:16">
      <c r="A109">
        <v>2023</v>
      </c>
      <c r="B109">
        <v>57</v>
      </c>
      <c r="C109" t="s">
        <v>98</v>
      </c>
      <c r="D109">
        <v>7</v>
      </c>
      <c r="E109">
        <v>0.71430000000000005</v>
      </c>
      <c r="F109">
        <v>13.07</v>
      </c>
      <c r="G109">
        <v>118.3</v>
      </c>
      <c r="H109">
        <v>105.3</v>
      </c>
      <c r="I109">
        <v>68.7</v>
      </c>
      <c r="J109">
        <v>7.33</v>
      </c>
      <c r="K109">
        <v>107.7</v>
      </c>
      <c r="L109">
        <v>100.3</v>
      </c>
      <c r="M109">
        <v>0</v>
      </c>
      <c r="N109">
        <v>0</v>
      </c>
      <c r="O109">
        <v>0</v>
      </c>
      <c r="P109">
        <v>1</v>
      </c>
    </row>
    <row r="110" spans="1:16">
      <c r="A110">
        <v>2023</v>
      </c>
      <c r="B110">
        <v>59</v>
      </c>
      <c r="C110" t="s">
        <v>99</v>
      </c>
      <c r="D110">
        <v>11</v>
      </c>
      <c r="E110">
        <v>0.66669999999999996</v>
      </c>
      <c r="F110">
        <v>12.86</v>
      </c>
      <c r="G110">
        <v>114.2</v>
      </c>
      <c r="H110">
        <v>101.3</v>
      </c>
      <c r="I110">
        <v>67.3</v>
      </c>
      <c r="J110">
        <v>5.0999999999999996</v>
      </c>
      <c r="K110">
        <v>108.2</v>
      </c>
      <c r="L110">
        <v>103.1</v>
      </c>
      <c r="M110">
        <v>0</v>
      </c>
      <c r="N110">
        <v>0</v>
      </c>
      <c r="O110">
        <v>0</v>
      </c>
      <c r="P110">
        <v>1</v>
      </c>
    </row>
    <row r="111" spans="1:16">
      <c r="A111">
        <v>2023</v>
      </c>
      <c r="B111">
        <v>92</v>
      </c>
      <c r="C111" t="s">
        <v>106</v>
      </c>
      <c r="D111">
        <v>13</v>
      </c>
      <c r="E111">
        <v>0.77780000000000005</v>
      </c>
      <c r="F111">
        <v>8.01</v>
      </c>
      <c r="G111">
        <v>113.5</v>
      </c>
      <c r="H111">
        <v>105.5</v>
      </c>
      <c r="I111">
        <v>68.3</v>
      </c>
      <c r="J111">
        <v>-3.5</v>
      </c>
      <c r="K111">
        <v>103.9</v>
      </c>
      <c r="L111">
        <v>107.4</v>
      </c>
      <c r="M111">
        <v>0</v>
      </c>
      <c r="N111">
        <v>0</v>
      </c>
      <c r="O111">
        <v>0</v>
      </c>
      <c r="P111">
        <v>1</v>
      </c>
    </row>
    <row r="112" spans="1:16">
      <c r="A112">
        <v>2023</v>
      </c>
      <c r="B112">
        <v>265</v>
      </c>
      <c r="C112" t="s">
        <v>113</v>
      </c>
      <c r="D112">
        <v>16</v>
      </c>
      <c r="E112">
        <v>0.56759999999999999</v>
      </c>
      <c r="F112">
        <v>-8.36</v>
      </c>
      <c r="G112">
        <v>106.7</v>
      </c>
      <c r="H112">
        <v>115.1</v>
      </c>
      <c r="I112">
        <v>68.7</v>
      </c>
      <c r="J112">
        <v>-12.02</v>
      </c>
      <c r="K112">
        <v>97.2</v>
      </c>
      <c r="L112">
        <v>109.2</v>
      </c>
      <c r="M112">
        <v>0</v>
      </c>
      <c r="N112">
        <v>0</v>
      </c>
      <c r="O112">
        <v>0</v>
      </c>
      <c r="P112">
        <v>1</v>
      </c>
    </row>
    <row r="113" spans="1:16">
      <c r="A113">
        <v>2022</v>
      </c>
      <c r="B113">
        <v>4</v>
      </c>
      <c r="C113" t="s">
        <v>31</v>
      </c>
      <c r="D113">
        <v>1</v>
      </c>
      <c r="E113">
        <v>0.79410000000000003</v>
      </c>
      <c r="F113">
        <v>27.04</v>
      </c>
      <c r="G113">
        <v>118</v>
      </c>
      <c r="H113">
        <v>91</v>
      </c>
      <c r="I113">
        <v>67.400000000000006</v>
      </c>
      <c r="J113">
        <v>10.96</v>
      </c>
      <c r="K113">
        <v>107.4</v>
      </c>
      <c r="L113">
        <v>96.5</v>
      </c>
      <c r="M113">
        <v>0</v>
      </c>
      <c r="N113">
        <v>0</v>
      </c>
      <c r="O113">
        <v>0</v>
      </c>
      <c r="P113">
        <v>1</v>
      </c>
    </row>
    <row r="114" spans="1:16">
      <c r="A114">
        <v>2022</v>
      </c>
      <c r="B114">
        <v>9</v>
      </c>
      <c r="C114" t="s">
        <v>21</v>
      </c>
      <c r="D114">
        <v>3</v>
      </c>
      <c r="E114">
        <v>0.77139999999999997</v>
      </c>
      <c r="F114">
        <v>25.1</v>
      </c>
      <c r="G114">
        <v>111.5</v>
      </c>
      <c r="H114">
        <v>86.4</v>
      </c>
      <c r="I114">
        <v>67.400000000000006</v>
      </c>
      <c r="J114">
        <v>11.39</v>
      </c>
      <c r="K114">
        <v>108.5</v>
      </c>
      <c r="L114">
        <v>97.1</v>
      </c>
      <c r="M114">
        <v>0</v>
      </c>
      <c r="N114">
        <v>0</v>
      </c>
      <c r="O114">
        <v>0</v>
      </c>
      <c r="P114">
        <v>1</v>
      </c>
    </row>
    <row r="115" spans="1:16">
      <c r="A115">
        <v>2022</v>
      </c>
      <c r="B115">
        <v>12</v>
      </c>
      <c r="C115" t="s">
        <v>20</v>
      </c>
      <c r="D115">
        <v>2</v>
      </c>
      <c r="E115">
        <v>0.82350000000000001</v>
      </c>
      <c r="F115">
        <v>23.2</v>
      </c>
      <c r="G115">
        <v>112.7</v>
      </c>
      <c r="H115">
        <v>89.5</v>
      </c>
      <c r="I115">
        <v>70.099999999999994</v>
      </c>
      <c r="J115">
        <v>8.35</v>
      </c>
      <c r="K115">
        <v>106.9</v>
      </c>
      <c r="L115">
        <v>98.6</v>
      </c>
      <c r="M115">
        <v>0</v>
      </c>
      <c r="N115">
        <v>0</v>
      </c>
      <c r="O115">
        <v>0</v>
      </c>
      <c r="P115">
        <v>1</v>
      </c>
    </row>
    <row r="116" spans="1:16">
      <c r="A116">
        <v>2022</v>
      </c>
      <c r="B116">
        <v>15</v>
      </c>
      <c r="C116" t="s">
        <v>40</v>
      </c>
      <c r="D116">
        <v>6</v>
      </c>
      <c r="E116">
        <v>0.64710000000000001</v>
      </c>
      <c r="F116">
        <v>20.88</v>
      </c>
      <c r="G116">
        <v>112.5</v>
      </c>
      <c r="H116">
        <v>91.6</v>
      </c>
      <c r="I116">
        <v>63.8</v>
      </c>
      <c r="J116">
        <v>10.68</v>
      </c>
      <c r="K116">
        <v>107.7</v>
      </c>
      <c r="L116">
        <v>97</v>
      </c>
      <c r="M116">
        <v>0</v>
      </c>
      <c r="N116">
        <v>0</v>
      </c>
      <c r="O116">
        <v>0</v>
      </c>
      <c r="P116">
        <v>1</v>
      </c>
    </row>
    <row r="117" spans="1:16">
      <c r="A117">
        <v>2022</v>
      </c>
      <c r="B117">
        <v>17</v>
      </c>
      <c r="C117" t="s">
        <v>36</v>
      </c>
      <c r="D117">
        <v>5</v>
      </c>
      <c r="E117">
        <v>0.76470000000000005</v>
      </c>
      <c r="F117">
        <v>19.53</v>
      </c>
      <c r="G117">
        <v>110.1</v>
      </c>
      <c r="H117">
        <v>90.6</v>
      </c>
      <c r="I117">
        <v>63.6</v>
      </c>
      <c r="J117">
        <v>6.89</v>
      </c>
      <c r="K117">
        <v>106.8</v>
      </c>
      <c r="L117">
        <v>99.9</v>
      </c>
      <c r="M117">
        <v>0</v>
      </c>
      <c r="N117">
        <v>0</v>
      </c>
      <c r="O117">
        <v>0</v>
      </c>
      <c r="P117">
        <v>1</v>
      </c>
    </row>
    <row r="118" spans="1:16">
      <c r="A118">
        <v>2022</v>
      </c>
      <c r="B118">
        <v>20</v>
      </c>
      <c r="C118" t="s">
        <v>26</v>
      </c>
      <c r="D118">
        <v>4</v>
      </c>
      <c r="E118">
        <v>0.69699999999999995</v>
      </c>
      <c r="F118">
        <v>18.75</v>
      </c>
      <c r="G118">
        <v>112</v>
      </c>
      <c r="H118">
        <v>93.3</v>
      </c>
      <c r="I118">
        <v>67.2</v>
      </c>
      <c r="J118">
        <v>10.44</v>
      </c>
      <c r="K118">
        <v>109</v>
      </c>
      <c r="L118">
        <v>98.6</v>
      </c>
      <c r="M118">
        <v>0</v>
      </c>
      <c r="N118">
        <v>0</v>
      </c>
      <c r="O118">
        <v>0</v>
      </c>
      <c r="P118">
        <v>1</v>
      </c>
    </row>
    <row r="119" spans="1:16">
      <c r="A119">
        <v>2022</v>
      </c>
      <c r="B119">
        <v>24</v>
      </c>
      <c r="C119" t="s">
        <v>88</v>
      </c>
      <c r="D119">
        <v>9</v>
      </c>
      <c r="E119">
        <v>0.66669999999999996</v>
      </c>
      <c r="F119">
        <v>17.23</v>
      </c>
      <c r="G119">
        <v>111.2</v>
      </c>
      <c r="H119">
        <v>94</v>
      </c>
      <c r="I119">
        <v>69.900000000000006</v>
      </c>
      <c r="J119">
        <v>7.43</v>
      </c>
      <c r="K119">
        <v>106.4</v>
      </c>
      <c r="L119">
        <v>99</v>
      </c>
      <c r="M119">
        <v>0</v>
      </c>
      <c r="N119">
        <v>0</v>
      </c>
      <c r="O119">
        <v>0</v>
      </c>
      <c r="P119">
        <v>1</v>
      </c>
    </row>
    <row r="120" spans="1:16">
      <c r="A120">
        <v>2022</v>
      </c>
      <c r="B120">
        <v>26</v>
      </c>
      <c r="C120" t="s">
        <v>53</v>
      </c>
      <c r="D120">
        <v>9</v>
      </c>
      <c r="E120">
        <v>0.61760000000000004</v>
      </c>
      <c r="F120">
        <v>17.02</v>
      </c>
      <c r="G120">
        <v>108.7</v>
      </c>
      <c r="H120">
        <v>91.7</v>
      </c>
      <c r="I120">
        <v>65.900000000000006</v>
      </c>
      <c r="J120">
        <v>11.74</v>
      </c>
      <c r="K120">
        <v>108</v>
      </c>
      <c r="L120">
        <v>96.2</v>
      </c>
      <c r="M120">
        <v>0</v>
      </c>
      <c r="N120">
        <v>0</v>
      </c>
      <c r="O120">
        <v>0</v>
      </c>
      <c r="P120">
        <v>1</v>
      </c>
    </row>
    <row r="121" spans="1:16">
      <c r="A121">
        <v>2022</v>
      </c>
      <c r="B121">
        <v>31</v>
      </c>
      <c r="C121" t="s">
        <v>121</v>
      </c>
      <c r="D121">
        <v>7</v>
      </c>
      <c r="E121">
        <v>0.625</v>
      </c>
      <c r="F121">
        <v>16.239999999999998</v>
      </c>
      <c r="G121">
        <v>115.5</v>
      </c>
      <c r="H121">
        <v>99.3</v>
      </c>
      <c r="I121">
        <v>65</v>
      </c>
      <c r="J121">
        <v>9.83</v>
      </c>
      <c r="K121">
        <v>108.3</v>
      </c>
      <c r="L121">
        <v>98.4</v>
      </c>
      <c r="M121">
        <v>0</v>
      </c>
      <c r="N121">
        <v>0</v>
      </c>
      <c r="O121">
        <v>0</v>
      </c>
      <c r="P121">
        <v>1</v>
      </c>
    </row>
    <row r="122" spans="1:16">
      <c r="A122">
        <v>2022</v>
      </c>
      <c r="B122">
        <v>36</v>
      </c>
      <c r="C122" t="s">
        <v>123</v>
      </c>
      <c r="D122">
        <v>7</v>
      </c>
      <c r="E122">
        <v>0.91180000000000005</v>
      </c>
      <c r="F122">
        <v>15.42</v>
      </c>
      <c r="G122">
        <v>111.5</v>
      </c>
      <c r="H122">
        <v>96.1</v>
      </c>
      <c r="I122">
        <v>66.099999999999994</v>
      </c>
      <c r="J122">
        <v>-3.09</v>
      </c>
      <c r="K122">
        <v>101.1</v>
      </c>
      <c r="L122">
        <v>104.2</v>
      </c>
      <c r="M122">
        <v>0</v>
      </c>
      <c r="N122">
        <v>0</v>
      </c>
      <c r="O122">
        <v>0</v>
      </c>
      <c r="P122">
        <v>1</v>
      </c>
    </row>
    <row r="123" spans="1:16">
      <c r="A123">
        <v>2022</v>
      </c>
      <c r="B123">
        <v>37</v>
      </c>
      <c r="C123" t="s">
        <v>33</v>
      </c>
      <c r="D123">
        <v>3</v>
      </c>
      <c r="E123">
        <v>0.75760000000000005</v>
      </c>
      <c r="F123">
        <v>15.34</v>
      </c>
      <c r="G123">
        <v>109.3</v>
      </c>
      <c r="H123">
        <v>94</v>
      </c>
      <c r="I123">
        <v>66.5</v>
      </c>
      <c r="J123">
        <v>9.77</v>
      </c>
      <c r="K123">
        <v>108.4</v>
      </c>
      <c r="L123">
        <v>98.6</v>
      </c>
      <c r="M123">
        <v>0</v>
      </c>
      <c r="N123">
        <v>0</v>
      </c>
      <c r="O123">
        <v>0</v>
      </c>
      <c r="P123">
        <v>1</v>
      </c>
    </row>
    <row r="124" spans="1:16">
      <c r="A124">
        <v>2022</v>
      </c>
      <c r="B124">
        <v>38</v>
      </c>
      <c r="C124" t="s">
        <v>124</v>
      </c>
      <c r="D124">
        <v>11</v>
      </c>
      <c r="E124">
        <v>0.68569999999999998</v>
      </c>
      <c r="F124">
        <v>15.25</v>
      </c>
      <c r="G124">
        <v>112.4</v>
      </c>
      <c r="H124">
        <v>97.2</v>
      </c>
      <c r="I124">
        <v>65.599999999999994</v>
      </c>
      <c r="J124">
        <v>7.81</v>
      </c>
      <c r="K124">
        <v>107.1</v>
      </c>
      <c r="L124">
        <v>99.3</v>
      </c>
      <c r="M124">
        <v>0</v>
      </c>
      <c r="N124">
        <v>0</v>
      </c>
      <c r="O124">
        <v>0</v>
      </c>
      <c r="P124">
        <v>1</v>
      </c>
    </row>
    <row r="125" spans="1:16">
      <c r="A125">
        <v>2022</v>
      </c>
      <c r="B125">
        <v>42</v>
      </c>
      <c r="C125" t="s">
        <v>32</v>
      </c>
      <c r="D125">
        <v>7</v>
      </c>
      <c r="E125">
        <v>0.63890000000000002</v>
      </c>
      <c r="F125">
        <v>14.76</v>
      </c>
      <c r="G125">
        <v>111.9</v>
      </c>
      <c r="H125">
        <v>97.1</v>
      </c>
      <c r="I125">
        <v>67.5</v>
      </c>
      <c r="J125">
        <v>10.93</v>
      </c>
      <c r="K125">
        <v>109.4</v>
      </c>
      <c r="L125">
        <v>98.5</v>
      </c>
      <c r="M125">
        <v>0</v>
      </c>
      <c r="N125">
        <v>0</v>
      </c>
      <c r="O125">
        <v>0</v>
      </c>
      <c r="P125">
        <v>1</v>
      </c>
    </row>
    <row r="126" spans="1:16">
      <c r="A126">
        <v>2022</v>
      </c>
      <c r="B126">
        <v>50</v>
      </c>
      <c r="C126" t="s">
        <v>27</v>
      </c>
      <c r="D126">
        <v>9</v>
      </c>
      <c r="E126">
        <v>0.65710000000000002</v>
      </c>
      <c r="F126">
        <v>13.78</v>
      </c>
      <c r="G126">
        <v>105.9</v>
      </c>
      <c r="H126">
        <v>92.2</v>
      </c>
      <c r="I126">
        <v>67.2</v>
      </c>
      <c r="J126">
        <v>9.11</v>
      </c>
      <c r="K126">
        <v>107.5</v>
      </c>
      <c r="L126">
        <v>98.4</v>
      </c>
      <c r="M126">
        <v>0</v>
      </c>
      <c r="N126">
        <v>0</v>
      </c>
      <c r="O126">
        <v>0</v>
      </c>
      <c r="P126">
        <v>1</v>
      </c>
    </row>
    <row r="127" spans="1:16">
      <c r="A127">
        <v>2022</v>
      </c>
      <c r="B127">
        <v>80</v>
      </c>
      <c r="C127" t="s">
        <v>130</v>
      </c>
      <c r="D127">
        <v>12</v>
      </c>
      <c r="E127">
        <v>0.79410000000000003</v>
      </c>
      <c r="F127">
        <v>10.61</v>
      </c>
      <c r="G127">
        <v>107.1</v>
      </c>
      <c r="H127">
        <v>96.5</v>
      </c>
      <c r="I127">
        <v>66.099999999999994</v>
      </c>
      <c r="J127">
        <v>1.21</v>
      </c>
      <c r="K127">
        <v>102.5</v>
      </c>
      <c r="L127">
        <v>101.3</v>
      </c>
      <c r="M127">
        <v>0</v>
      </c>
      <c r="N127">
        <v>0</v>
      </c>
      <c r="O127">
        <v>0</v>
      </c>
      <c r="P127">
        <v>1</v>
      </c>
    </row>
    <row r="128" spans="1:16">
      <c r="A128">
        <v>2022</v>
      </c>
      <c r="B128">
        <v>85</v>
      </c>
      <c r="C128" t="s">
        <v>131</v>
      </c>
      <c r="D128">
        <v>12</v>
      </c>
      <c r="E128">
        <v>0.64859999999999995</v>
      </c>
      <c r="F128">
        <v>9.4499999999999993</v>
      </c>
      <c r="G128">
        <v>108.1</v>
      </c>
      <c r="H128">
        <v>98.7</v>
      </c>
      <c r="I128">
        <v>66.8</v>
      </c>
      <c r="J128">
        <v>5.07</v>
      </c>
      <c r="K128">
        <v>105.5</v>
      </c>
      <c r="L128">
        <v>100.5</v>
      </c>
      <c r="M128">
        <v>0</v>
      </c>
      <c r="N128">
        <v>0</v>
      </c>
      <c r="O128">
        <v>0</v>
      </c>
      <c r="P128">
        <v>1</v>
      </c>
    </row>
    <row r="129" spans="1:16">
      <c r="A129">
        <v>2021</v>
      </c>
      <c r="B129">
        <v>4</v>
      </c>
      <c r="C129" t="s">
        <v>26</v>
      </c>
      <c r="D129">
        <v>1</v>
      </c>
      <c r="E129">
        <v>0.7742</v>
      </c>
      <c r="F129">
        <v>29.06</v>
      </c>
      <c r="G129">
        <v>118</v>
      </c>
      <c r="H129">
        <v>88.9</v>
      </c>
      <c r="I129">
        <v>70.5</v>
      </c>
      <c r="J129">
        <v>18.170000000000002</v>
      </c>
      <c r="K129">
        <v>112.3</v>
      </c>
      <c r="L129">
        <v>94.1</v>
      </c>
      <c r="M129">
        <v>0</v>
      </c>
      <c r="N129">
        <v>0</v>
      </c>
      <c r="O129">
        <v>0</v>
      </c>
      <c r="P129">
        <v>1</v>
      </c>
    </row>
    <row r="130" spans="1:16">
      <c r="A130">
        <v>2021</v>
      </c>
      <c r="B130">
        <v>7</v>
      </c>
      <c r="C130" t="s">
        <v>95</v>
      </c>
      <c r="D130">
        <v>2</v>
      </c>
      <c r="E130">
        <v>0.7097</v>
      </c>
      <c r="F130">
        <v>26.87</v>
      </c>
      <c r="G130">
        <v>123.5</v>
      </c>
      <c r="H130">
        <v>96.7</v>
      </c>
      <c r="I130">
        <v>69.900000000000006</v>
      </c>
      <c r="J130">
        <v>16.41</v>
      </c>
      <c r="K130">
        <v>110.4</v>
      </c>
      <c r="L130">
        <v>94</v>
      </c>
      <c r="M130">
        <v>0</v>
      </c>
      <c r="N130">
        <v>0</v>
      </c>
      <c r="O130">
        <v>0</v>
      </c>
      <c r="P130">
        <v>1</v>
      </c>
    </row>
    <row r="131" spans="1:16">
      <c r="A131">
        <v>2021</v>
      </c>
      <c r="B131">
        <v>14</v>
      </c>
      <c r="C131" t="s">
        <v>33</v>
      </c>
      <c r="D131">
        <v>9</v>
      </c>
      <c r="E131">
        <v>0.5806</v>
      </c>
      <c r="F131">
        <v>22.4</v>
      </c>
      <c r="G131">
        <v>113</v>
      </c>
      <c r="H131">
        <v>90.6</v>
      </c>
      <c r="I131">
        <v>64.599999999999994</v>
      </c>
      <c r="J131">
        <v>18.13</v>
      </c>
      <c r="K131">
        <v>112.1</v>
      </c>
      <c r="L131">
        <v>93.9</v>
      </c>
      <c r="M131">
        <v>0</v>
      </c>
      <c r="N131">
        <v>0</v>
      </c>
      <c r="O131">
        <v>0</v>
      </c>
      <c r="P131">
        <v>1</v>
      </c>
    </row>
    <row r="132" spans="1:16">
      <c r="A132">
        <v>2021</v>
      </c>
      <c r="B132">
        <v>17</v>
      </c>
      <c r="C132" t="s">
        <v>45</v>
      </c>
      <c r="D132">
        <v>6</v>
      </c>
      <c r="E132">
        <v>0.62070000000000003</v>
      </c>
      <c r="F132">
        <v>21.81</v>
      </c>
      <c r="G132">
        <v>112.7</v>
      </c>
      <c r="H132">
        <v>90.9</v>
      </c>
      <c r="I132">
        <v>65.099999999999994</v>
      </c>
      <c r="J132">
        <v>12.84</v>
      </c>
      <c r="K132">
        <v>108.5</v>
      </c>
      <c r="L132">
        <v>95.7</v>
      </c>
      <c r="M132">
        <v>0</v>
      </c>
      <c r="N132">
        <v>0</v>
      </c>
      <c r="O132">
        <v>0</v>
      </c>
      <c r="P132">
        <v>1</v>
      </c>
    </row>
    <row r="133" spans="1:16">
      <c r="A133">
        <v>2021</v>
      </c>
      <c r="B133">
        <v>23</v>
      </c>
      <c r="C133" t="s">
        <v>87</v>
      </c>
      <c r="D133">
        <v>3</v>
      </c>
      <c r="E133">
        <v>0.6552</v>
      </c>
      <c r="F133">
        <v>20.51</v>
      </c>
      <c r="G133">
        <v>116.8</v>
      </c>
      <c r="H133">
        <v>96.3</v>
      </c>
      <c r="I133">
        <v>69.2</v>
      </c>
      <c r="J133">
        <v>15.18</v>
      </c>
      <c r="K133">
        <v>109.6</v>
      </c>
      <c r="L133">
        <v>94.4</v>
      </c>
      <c r="M133">
        <v>0</v>
      </c>
      <c r="N133">
        <v>0</v>
      </c>
      <c r="O133">
        <v>0</v>
      </c>
      <c r="P133">
        <v>1</v>
      </c>
    </row>
    <row r="134" spans="1:16">
      <c r="A134">
        <v>2021</v>
      </c>
      <c r="B134">
        <v>24</v>
      </c>
      <c r="C134" t="s">
        <v>117</v>
      </c>
      <c r="D134">
        <v>8</v>
      </c>
      <c r="E134">
        <v>0.6552</v>
      </c>
      <c r="F134">
        <v>20.350000000000001</v>
      </c>
      <c r="G134">
        <v>120.1</v>
      </c>
      <c r="H134">
        <v>99.8</v>
      </c>
      <c r="I134">
        <v>70.599999999999994</v>
      </c>
      <c r="J134">
        <v>14.77</v>
      </c>
      <c r="K134">
        <v>108.7</v>
      </c>
      <c r="L134">
        <v>93.9</v>
      </c>
      <c r="M134">
        <v>0</v>
      </c>
      <c r="N134">
        <v>0</v>
      </c>
      <c r="O134">
        <v>0</v>
      </c>
      <c r="P134">
        <v>1</v>
      </c>
    </row>
    <row r="135" spans="1:16">
      <c r="A135">
        <v>2021</v>
      </c>
      <c r="B135">
        <v>27</v>
      </c>
      <c r="C135" t="s">
        <v>42</v>
      </c>
      <c r="D135">
        <v>3</v>
      </c>
      <c r="E135">
        <v>0.7</v>
      </c>
      <c r="F135">
        <v>19.98</v>
      </c>
      <c r="G135">
        <v>110.1</v>
      </c>
      <c r="H135">
        <v>90.2</v>
      </c>
      <c r="I135">
        <v>68.2</v>
      </c>
      <c r="J135">
        <v>15.83</v>
      </c>
      <c r="K135">
        <v>110.7</v>
      </c>
      <c r="L135">
        <v>94.8</v>
      </c>
      <c r="M135">
        <v>0</v>
      </c>
      <c r="N135">
        <v>0</v>
      </c>
      <c r="O135">
        <v>0</v>
      </c>
      <c r="P135">
        <v>1</v>
      </c>
    </row>
    <row r="136" spans="1:16">
      <c r="A136">
        <v>2021</v>
      </c>
      <c r="B136">
        <v>33</v>
      </c>
      <c r="C136" t="s">
        <v>141</v>
      </c>
      <c r="D136">
        <v>4</v>
      </c>
      <c r="E136">
        <v>0.7</v>
      </c>
      <c r="F136">
        <v>18.95</v>
      </c>
      <c r="G136">
        <v>109.6</v>
      </c>
      <c r="H136">
        <v>90.7</v>
      </c>
      <c r="I136">
        <v>72.400000000000006</v>
      </c>
      <c r="J136">
        <v>15.52</v>
      </c>
      <c r="K136">
        <v>111.1</v>
      </c>
      <c r="L136">
        <v>95.6</v>
      </c>
      <c r="M136">
        <v>0</v>
      </c>
      <c r="N136">
        <v>0</v>
      </c>
      <c r="O136">
        <v>0</v>
      </c>
      <c r="P136">
        <v>1</v>
      </c>
    </row>
    <row r="137" spans="1:16">
      <c r="A137">
        <v>2021</v>
      </c>
      <c r="B137">
        <v>35</v>
      </c>
      <c r="C137" t="s">
        <v>91</v>
      </c>
      <c r="D137">
        <v>10</v>
      </c>
      <c r="E137">
        <v>0.5484</v>
      </c>
      <c r="F137">
        <v>17.63</v>
      </c>
      <c r="G137">
        <v>111.8</v>
      </c>
      <c r="H137">
        <v>94.1</v>
      </c>
      <c r="I137">
        <v>64.7</v>
      </c>
      <c r="J137">
        <v>17.100000000000001</v>
      </c>
      <c r="K137">
        <v>110.2</v>
      </c>
      <c r="L137">
        <v>93.1</v>
      </c>
      <c r="M137">
        <v>0</v>
      </c>
      <c r="N137">
        <v>0</v>
      </c>
      <c r="O137">
        <v>0</v>
      </c>
      <c r="P137">
        <v>1</v>
      </c>
    </row>
    <row r="138" spans="1:16">
      <c r="A138">
        <v>2021</v>
      </c>
      <c r="B138">
        <v>38</v>
      </c>
      <c r="C138" t="s">
        <v>129</v>
      </c>
      <c r="D138">
        <v>10</v>
      </c>
      <c r="E138">
        <v>0.57140000000000002</v>
      </c>
      <c r="F138">
        <v>17.48</v>
      </c>
      <c r="G138">
        <v>108.1</v>
      </c>
      <c r="H138">
        <v>90.6</v>
      </c>
      <c r="I138">
        <v>67.400000000000006</v>
      </c>
      <c r="J138">
        <v>17.989999999999998</v>
      </c>
      <c r="K138">
        <v>112.4</v>
      </c>
      <c r="L138">
        <v>94.4</v>
      </c>
      <c r="M138">
        <v>0</v>
      </c>
      <c r="N138">
        <v>0</v>
      </c>
      <c r="O138">
        <v>0</v>
      </c>
      <c r="P138">
        <v>1</v>
      </c>
    </row>
    <row r="139" spans="1:16">
      <c r="A139">
        <v>2021</v>
      </c>
      <c r="B139">
        <v>39</v>
      </c>
      <c r="C139" t="s">
        <v>143</v>
      </c>
      <c r="D139">
        <v>8</v>
      </c>
      <c r="E139">
        <v>0.59260000000000002</v>
      </c>
      <c r="F139">
        <v>17.059999999999999</v>
      </c>
      <c r="G139">
        <v>112.1</v>
      </c>
      <c r="H139">
        <v>95.1</v>
      </c>
      <c r="I139">
        <v>67.099999999999994</v>
      </c>
      <c r="J139">
        <v>14.29</v>
      </c>
      <c r="K139">
        <v>109.5</v>
      </c>
      <c r="L139">
        <v>95.2</v>
      </c>
      <c r="M139">
        <v>0</v>
      </c>
      <c r="N139">
        <v>0</v>
      </c>
      <c r="O139">
        <v>0</v>
      </c>
      <c r="P139">
        <v>1</v>
      </c>
    </row>
    <row r="140" spans="1:16">
      <c r="A140">
        <v>2021</v>
      </c>
      <c r="B140">
        <v>41</v>
      </c>
      <c r="C140" t="s">
        <v>41</v>
      </c>
      <c r="D140">
        <v>7</v>
      </c>
      <c r="E140">
        <v>0.6</v>
      </c>
      <c r="F140">
        <v>16.95</v>
      </c>
      <c r="G140">
        <v>111</v>
      </c>
      <c r="H140">
        <v>94.1</v>
      </c>
      <c r="I140">
        <v>68.3</v>
      </c>
      <c r="J140">
        <v>14.72</v>
      </c>
      <c r="K140">
        <v>109.9</v>
      </c>
      <c r="L140">
        <v>95.2</v>
      </c>
      <c r="M140">
        <v>0</v>
      </c>
      <c r="N140">
        <v>0</v>
      </c>
      <c r="O140">
        <v>0</v>
      </c>
      <c r="P140">
        <v>1</v>
      </c>
    </row>
    <row r="141" spans="1:16">
      <c r="A141">
        <v>2021</v>
      </c>
      <c r="B141">
        <v>72</v>
      </c>
      <c r="C141" t="s">
        <v>149</v>
      </c>
      <c r="D141">
        <v>13</v>
      </c>
      <c r="E141">
        <v>0.64290000000000003</v>
      </c>
      <c r="F141">
        <v>11.76</v>
      </c>
      <c r="G141">
        <v>106.7</v>
      </c>
      <c r="H141">
        <v>95</v>
      </c>
      <c r="I141">
        <v>62.7</v>
      </c>
      <c r="J141">
        <v>6.35</v>
      </c>
      <c r="K141">
        <v>105</v>
      </c>
      <c r="L141">
        <v>98.6</v>
      </c>
      <c r="M141">
        <v>0</v>
      </c>
      <c r="N141">
        <v>0</v>
      </c>
      <c r="O141">
        <v>0</v>
      </c>
      <c r="P141">
        <v>1</v>
      </c>
    </row>
    <row r="142" spans="1:16">
      <c r="A142">
        <v>2021</v>
      </c>
      <c r="B142">
        <v>81</v>
      </c>
      <c r="C142" t="s">
        <v>150</v>
      </c>
      <c r="D142">
        <v>13</v>
      </c>
      <c r="E142">
        <v>0.68</v>
      </c>
      <c r="F142">
        <v>10.47</v>
      </c>
      <c r="G142">
        <v>111.4</v>
      </c>
      <c r="H142">
        <v>100.9</v>
      </c>
      <c r="I142">
        <v>69.2</v>
      </c>
      <c r="J142">
        <v>5.23</v>
      </c>
      <c r="K142">
        <v>106.1</v>
      </c>
      <c r="L142">
        <v>100.9</v>
      </c>
      <c r="M142">
        <v>0</v>
      </c>
      <c r="N142">
        <v>0</v>
      </c>
      <c r="O142">
        <v>0</v>
      </c>
      <c r="P142">
        <v>1</v>
      </c>
    </row>
    <row r="143" spans="1:16">
      <c r="A143">
        <v>2021</v>
      </c>
      <c r="B143">
        <v>84</v>
      </c>
      <c r="C143" t="s">
        <v>151</v>
      </c>
      <c r="D143">
        <v>14</v>
      </c>
      <c r="E143">
        <v>0.8276</v>
      </c>
      <c r="F143">
        <v>10.11</v>
      </c>
      <c r="G143">
        <v>101.7</v>
      </c>
      <c r="H143">
        <v>91.6</v>
      </c>
      <c r="I143">
        <v>69.3</v>
      </c>
      <c r="J143">
        <v>-5.43</v>
      </c>
      <c r="K143">
        <v>99.4</v>
      </c>
      <c r="L143">
        <v>104.8</v>
      </c>
      <c r="M143">
        <v>0</v>
      </c>
      <c r="N143">
        <v>0</v>
      </c>
      <c r="O143">
        <v>0</v>
      </c>
      <c r="P143">
        <v>1</v>
      </c>
    </row>
    <row r="144" spans="1:16">
      <c r="A144">
        <v>2019</v>
      </c>
      <c r="B144">
        <v>17</v>
      </c>
      <c r="C144" t="s">
        <v>42</v>
      </c>
      <c r="D144">
        <v>4</v>
      </c>
      <c r="E144">
        <v>0.72219999999999995</v>
      </c>
      <c r="F144">
        <v>21.57</v>
      </c>
      <c r="G144">
        <v>113.9</v>
      </c>
      <c r="H144">
        <v>92.3</v>
      </c>
      <c r="I144">
        <v>70.099999999999994</v>
      </c>
      <c r="J144">
        <v>14.13</v>
      </c>
      <c r="K144">
        <v>111.8</v>
      </c>
      <c r="L144">
        <v>97.7</v>
      </c>
      <c r="M144">
        <v>0</v>
      </c>
      <c r="N144">
        <v>0</v>
      </c>
      <c r="O144">
        <v>0</v>
      </c>
      <c r="P144">
        <v>1</v>
      </c>
    </row>
    <row r="145" spans="1:16">
      <c r="A145">
        <v>2019</v>
      </c>
      <c r="B145">
        <v>18</v>
      </c>
      <c r="C145" t="s">
        <v>161</v>
      </c>
      <c r="D145">
        <v>7</v>
      </c>
      <c r="E145">
        <v>0.85709999999999997</v>
      </c>
      <c r="F145">
        <v>20.69</v>
      </c>
      <c r="G145">
        <v>118.1</v>
      </c>
      <c r="H145">
        <v>97.4</v>
      </c>
      <c r="I145">
        <v>65.7</v>
      </c>
      <c r="J145">
        <v>1.82</v>
      </c>
      <c r="K145">
        <v>106</v>
      </c>
      <c r="L145">
        <v>104.2</v>
      </c>
      <c r="M145">
        <v>0</v>
      </c>
      <c r="N145">
        <v>0</v>
      </c>
      <c r="O145">
        <v>0</v>
      </c>
      <c r="P145">
        <v>1</v>
      </c>
    </row>
    <row r="146" spans="1:16">
      <c r="A146">
        <v>2019</v>
      </c>
      <c r="B146">
        <v>22</v>
      </c>
      <c r="C146" t="s">
        <v>162</v>
      </c>
      <c r="D146">
        <v>6</v>
      </c>
      <c r="E146">
        <v>0.88890000000000002</v>
      </c>
      <c r="F146">
        <v>19.850000000000001</v>
      </c>
      <c r="G146">
        <v>115.2</v>
      </c>
      <c r="H146">
        <v>95.4</v>
      </c>
      <c r="I146">
        <v>73.599999999999994</v>
      </c>
      <c r="J146">
        <v>3.14</v>
      </c>
      <c r="K146">
        <v>105.5</v>
      </c>
      <c r="L146">
        <v>102.4</v>
      </c>
      <c r="M146">
        <v>0</v>
      </c>
      <c r="N146">
        <v>0</v>
      </c>
      <c r="O146">
        <v>0</v>
      </c>
      <c r="P146">
        <v>1</v>
      </c>
    </row>
    <row r="147" spans="1:16">
      <c r="A147">
        <v>2019</v>
      </c>
      <c r="B147">
        <v>24</v>
      </c>
      <c r="C147" t="s">
        <v>91</v>
      </c>
      <c r="D147">
        <v>6</v>
      </c>
      <c r="E147">
        <v>0.67559999999999998</v>
      </c>
      <c r="F147">
        <v>19.29</v>
      </c>
      <c r="G147">
        <v>113.4</v>
      </c>
      <c r="H147">
        <v>94.1</v>
      </c>
      <c r="I147">
        <v>66</v>
      </c>
      <c r="J147">
        <v>10.75</v>
      </c>
      <c r="K147">
        <v>109.8</v>
      </c>
      <c r="L147">
        <v>99.1</v>
      </c>
      <c r="M147">
        <v>0</v>
      </c>
      <c r="N147">
        <v>0</v>
      </c>
      <c r="O147">
        <v>0</v>
      </c>
      <c r="P147">
        <v>1</v>
      </c>
    </row>
    <row r="148" spans="1:16">
      <c r="A148">
        <v>2019</v>
      </c>
      <c r="B148">
        <v>26</v>
      </c>
      <c r="C148" t="s">
        <v>41</v>
      </c>
      <c r="D148">
        <v>10</v>
      </c>
      <c r="E148">
        <v>0.55559999999999998</v>
      </c>
      <c r="F148">
        <v>18.3</v>
      </c>
      <c r="G148">
        <v>110.5</v>
      </c>
      <c r="H148">
        <v>92.2</v>
      </c>
      <c r="I148">
        <v>62.9</v>
      </c>
      <c r="J148">
        <v>12</v>
      </c>
      <c r="K148">
        <v>110.7</v>
      </c>
      <c r="L148">
        <v>98.7</v>
      </c>
      <c r="M148">
        <v>0</v>
      </c>
      <c r="N148">
        <v>0</v>
      </c>
      <c r="O148">
        <v>0</v>
      </c>
      <c r="P148">
        <v>1</v>
      </c>
    </row>
    <row r="149" spans="1:16">
      <c r="A149">
        <v>2019</v>
      </c>
      <c r="B149">
        <v>30</v>
      </c>
      <c r="C149" t="s">
        <v>115</v>
      </c>
      <c r="D149">
        <v>6</v>
      </c>
      <c r="E149">
        <v>0.72219999999999995</v>
      </c>
      <c r="F149">
        <v>17.329999999999998</v>
      </c>
      <c r="G149">
        <v>116.5</v>
      </c>
      <c r="H149">
        <v>99.2</v>
      </c>
      <c r="I149">
        <v>63.6</v>
      </c>
      <c r="J149">
        <v>8</v>
      </c>
      <c r="K149">
        <v>108.8</v>
      </c>
      <c r="L149">
        <v>100.8</v>
      </c>
      <c r="M149">
        <v>0</v>
      </c>
      <c r="N149">
        <v>0</v>
      </c>
      <c r="O149">
        <v>0</v>
      </c>
      <c r="P149">
        <v>1</v>
      </c>
    </row>
    <row r="150" spans="1:16">
      <c r="A150">
        <v>2019</v>
      </c>
      <c r="B150">
        <v>32</v>
      </c>
      <c r="C150" t="s">
        <v>143</v>
      </c>
      <c r="D150">
        <v>9</v>
      </c>
      <c r="E150">
        <v>0.58819999999999995</v>
      </c>
      <c r="F150">
        <v>16.940000000000001</v>
      </c>
      <c r="G150">
        <v>111.1</v>
      </c>
      <c r="H150">
        <v>94.1</v>
      </c>
      <c r="I150">
        <v>68.599999999999994</v>
      </c>
      <c r="J150">
        <v>13.27</v>
      </c>
      <c r="K150">
        <v>110.3</v>
      </c>
      <c r="L150">
        <v>97.1</v>
      </c>
      <c r="M150">
        <v>0</v>
      </c>
      <c r="N150">
        <v>0</v>
      </c>
      <c r="O150">
        <v>0</v>
      </c>
      <c r="P150">
        <v>1</v>
      </c>
    </row>
    <row r="151" spans="1:16">
      <c r="A151">
        <v>2019</v>
      </c>
      <c r="B151">
        <v>34</v>
      </c>
      <c r="C151" t="s">
        <v>165</v>
      </c>
      <c r="D151">
        <v>9</v>
      </c>
      <c r="E151">
        <v>0.72729999999999995</v>
      </c>
      <c r="F151">
        <v>16.510000000000002</v>
      </c>
      <c r="G151">
        <v>112.1</v>
      </c>
      <c r="H151">
        <v>95.6</v>
      </c>
      <c r="I151">
        <v>65</v>
      </c>
      <c r="J151">
        <v>4.99</v>
      </c>
      <c r="K151">
        <v>105.9</v>
      </c>
      <c r="L151">
        <v>100.9</v>
      </c>
      <c r="M151">
        <v>0</v>
      </c>
      <c r="N151">
        <v>0</v>
      </c>
      <c r="O151">
        <v>0</v>
      </c>
      <c r="P151">
        <v>1</v>
      </c>
    </row>
    <row r="152" spans="1:16">
      <c r="A152">
        <v>2019</v>
      </c>
      <c r="B152">
        <v>35</v>
      </c>
      <c r="C152" t="s">
        <v>31</v>
      </c>
      <c r="D152">
        <v>9</v>
      </c>
      <c r="E152">
        <v>0.58819999999999995</v>
      </c>
      <c r="F152">
        <v>16.48</v>
      </c>
      <c r="G152">
        <v>115.3</v>
      </c>
      <c r="H152">
        <v>98.8</v>
      </c>
      <c r="I152">
        <v>65.2</v>
      </c>
      <c r="J152">
        <v>10.49</v>
      </c>
      <c r="K152">
        <v>108.8</v>
      </c>
      <c r="L152">
        <v>98.3</v>
      </c>
      <c r="M152">
        <v>0</v>
      </c>
      <c r="N152">
        <v>0</v>
      </c>
      <c r="O152">
        <v>0</v>
      </c>
      <c r="P152">
        <v>1</v>
      </c>
    </row>
    <row r="153" spans="1:16">
      <c r="A153">
        <v>2019</v>
      </c>
      <c r="B153">
        <v>37</v>
      </c>
      <c r="C153" t="s">
        <v>95</v>
      </c>
      <c r="D153">
        <v>10</v>
      </c>
      <c r="E153">
        <v>0.65710000000000002</v>
      </c>
      <c r="F153">
        <v>16.02</v>
      </c>
      <c r="G153">
        <v>117.4</v>
      </c>
      <c r="H153">
        <v>101.3</v>
      </c>
      <c r="I153">
        <v>69.5</v>
      </c>
      <c r="J153">
        <v>10.64</v>
      </c>
      <c r="K153">
        <v>108.9</v>
      </c>
      <c r="L153">
        <v>98.3</v>
      </c>
      <c r="M153">
        <v>0</v>
      </c>
      <c r="N153">
        <v>0</v>
      </c>
      <c r="O153">
        <v>0</v>
      </c>
      <c r="P153">
        <v>1</v>
      </c>
    </row>
    <row r="154" spans="1:16">
      <c r="A154">
        <v>2019</v>
      </c>
      <c r="B154">
        <v>44</v>
      </c>
      <c r="C154" t="s">
        <v>121</v>
      </c>
      <c r="D154">
        <v>11</v>
      </c>
      <c r="E154">
        <v>0.57140000000000002</v>
      </c>
      <c r="F154">
        <v>14.66</v>
      </c>
      <c r="G154">
        <v>109.1</v>
      </c>
      <c r="H154">
        <v>94.4</v>
      </c>
      <c r="I154">
        <v>65.8</v>
      </c>
      <c r="J154">
        <v>11.68</v>
      </c>
      <c r="K154">
        <v>110.4</v>
      </c>
      <c r="L154">
        <v>98.8</v>
      </c>
      <c r="M154">
        <v>0</v>
      </c>
      <c r="N154">
        <v>0</v>
      </c>
      <c r="O154">
        <v>0</v>
      </c>
      <c r="P154">
        <v>1</v>
      </c>
    </row>
    <row r="155" spans="1:16">
      <c r="A155">
        <v>2019</v>
      </c>
      <c r="B155">
        <v>46</v>
      </c>
      <c r="C155" t="s">
        <v>166</v>
      </c>
      <c r="D155">
        <v>10</v>
      </c>
      <c r="E155">
        <v>0.61899999999999999</v>
      </c>
      <c r="F155">
        <v>14.35</v>
      </c>
      <c r="G155">
        <v>111.4</v>
      </c>
      <c r="H155">
        <v>97</v>
      </c>
      <c r="I155">
        <v>67.400000000000006</v>
      </c>
      <c r="J155">
        <v>12.18</v>
      </c>
      <c r="K155">
        <v>110.2</v>
      </c>
      <c r="L155">
        <v>98</v>
      </c>
      <c r="M155">
        <v>0</v>
      </c>
      <c r="N155">
        <v>0</v>
      </c>
      <c r="O155">
        <v>0</v>
      </c>
      <c r="P155">
        <v>1</v>
      </c>
    </row>
    <row r="156" spans="1:16">
      <c r="A156">
        <v>2019</v>
      </c>
      <c r="B156">
        <v>48</v>
      </c>
      <c r="C156" t="s">
        <v>167</v>
      </c>
      <c r="D156">
        <v>9</v>
      </c>
      <c r="E156">
        <v>0.75</v>
      </c>
      <c r="F156">
        <v>14.28</v>
      </c>
      <c r="G156">
        <v>107.7</v>
      </c>
      <c r="H156">
        <v>93.5</v>
      </c>
      <c r="I156">
        <v>66</v>
      </c>
      <c r="J156">
        <v>6.06</v>
      </c>
      <c r="K156">
        <v>107.6</v>
      </c>
      <c r="L156">
        <v>101.5</v>
      </c>
      <c r="M156">
        <v>0</v>
      </c>
      <c r="N156">
        <v>0</v>
      </c>
      <c r="O156">
        <v>0</v>
      </c>
      <c r="P156">
        <v>1</v>
      </c>
    </row>
    <row r="157" spans="1:16">
      <c r="A157">
        <v>2019</v>
      </c>
      <c r="B157">
        <v>51</v>
      </c>
      <c r="C157" t="s">
        <v>123</v>
      </c>
      <c r="D157">
        <v>12</v>
      </c>
      <c r="E157">
        <v>0.84840000000000004</v>
      </c>
      <c r="F157">
        <v>13.83</v>
      </c>
      <c r="G157">
        <v>112.5</v>
      </c>
      <c r="H157">
        <v>98.6</v>
      </c>
      <c r="I157">
        <v>69.400000000000006</v>
      </c>
      <c r="J157">
        <v>-3.32</v>
      </c>
      <c r="K157">
        <v>103.1</v>
      </c>
      <c r="L157">
        <v>106.4</v>
      </c>
      <c r="M157">
        <v>0</v>
      </c>
      <c r="N157">
        <v>0</v>
      </c>
      <c r="O157">
        <v>0</v>
      </c>
      <c r="P157">
        <v>1</v>
      </c>
    </row>
    <row r="158" spans="1:16">
      <c r="A158">
        <v>2019</v>
      </c>
      <c r="B158">
        <v>58</v>
      </c>
      <c r="C158" t="s">
        <v>152</v>
      </c>
      <c r="D158">
        <v>12</v>
      </c>
      <c r="E158">
        <v>0.80559999999999998</v>
      </c>
      <c r="F158">
        <v>11.54</v>
      </c>
      <c r="G158">
        <v>111.1</v>
      </c>
      <c r="H158">
        <v>99.6</v>
      </c>
      <c r="I158">
        <v>62.3</v>
      </c>
      <c r="J158">
        <v>-3.27</v>
      </c>
      <c r="K158">
        <v>102.5</v>
      </c>
      <c r="L158">
        <v>105.8</v>
      </c>
      <c r="M158">
        <v>0</v>
      </c>
      <c r="N158">
        <v>0</v>
      </c>
      <c r="O158">
        <v>0</v>
      </c>
      <c r="P158">
        <v>1</v>
      </c>
    </row>
    <row r="159" spans="1:16">
      <c r="A159">
        <v>2019</v>
      </c>
      <c r="B159">
        <v>73</v>
      </c>
      <c r="C159" t="s">
        <v>171</v>
      </c>
      <c r="D159">
        <v>13</v>
      </c>
      <c r="E159">
        <v>0.8387</v>
      </c>
      <c r="F159">
        <v>9.16</v>
      </c>
      <c r="G159">
        <v>107.4</v>
      </c>
      <c r="H159">
        <v>98.2</v>
      </c>
      <c r="I159">
        <v>65.3</v>
      </c>
      <c r="J159">
        <v>-3.28</v>
      </c>
      <c r="K159">
        <v>102.5</v>
      </c>
      <c r="L159">
        <v>105.8</v>
      </c>
      <c r="M159">
        <v>0</v>
      </c>
      <c r="N159">
        <v>0</v>
      </c>
      <c r="O159">
        <v>0</v>
      </c>
      <c r="P159">
        <v>1</v>
      </c>
    </row>
    <row r="160" spans="1:16">
      <c r="A160">
        <v>2024</v>
      </c>
      <c r="B160">
        <v>4</v>
      </c>
      <c r="C160" t="s">
        <v>20</v>
      </c>
      <c r="D160">
        <v>4</v>
      </c>
      <c r="E160">
        <v>0.77139999999999997</v>
      </c>
      <c r="F160">
        <v>27.99</v>
      </c>
      <c r="G160">
        <v>120.4</v>
      </c>
      <c r="H160">
        <v>92.4</v>
      </c>
      <c r="I160">
        <v>70</v>
      </c>
      <c r="J160">
        <v>9.49</v>
      </c>
      <c r="K160">
        <v>111.9</v>
      </c>
      <c r="L160">
        <v>102.4</v>
      </c>
      <c r="M160">
        <v>0</v>
      </c>
      <c r="N160">
        <v>0</v>
      </c>
      <c r="O160">
        <v>0</v>
      </c>
      <c r="P160">
        <v>0</v>
      </c>
    </row>
    <row r="161" spans="1:16">
      <c r="A161">
        <v>2024</v>
      </c>
      <c r="B161">
        <v>17</v>
      </c>
      <c r="C161" t="s">
        <v>33</v>
      </c>
      <c r="D161">
        <v>5</v>
      </c>
      <c r="E161">
        <v>0.61109999999999998</v>
      </c>
      <c r="F161">
        <v>20.059999999999999</v>
      </c>
      <c r="G161">
        <v>119.2</v>
      </c>
      <c r="H161">
        <v>99.2</v>
      </c>
      <c r="I161">
        <v>65.5</v>
      </c>
      <c r="J161">
        <v>14.04</v>
      </c>
      <c r="K161">
        <v>113.2</v>
      </c>
      <c r="L161">
        <v>99.2</v>
      </c>
      <c r="M161">
        <v>0</v>
      </c>
      <c r="N161">
        <v>0</v>
      </c>
      <c r="O161">
        <v>0</v>
      </c>
      <c r="P161">
        <v>0</v>
      </c>
    </row>
    <row r="162" spans="1:16">
      <c r="A162">
        <v>2024</v>
      </c>
      <c r="B162">
        <v>18</v>
      </c>
      <c r="C162" t="s">
        <v>34</v>
      </c>
      <c r="D162">
        <v>6</v>
      </c>
      <c r="E162">
        <v>0.67649999999999999</v>
      </c>
      <c r="F162">
        <v>19.96</v>
      </c>
      <c r="G162">
        <v>119.8</v>
      </c>
      <c r="H162">
        <v>99.9</v>
      </c>
      <c r="I162">
        <v>69.2</v>
      </c>
      <c r="J162">
        <v>9.2100000000000009</v>
      </c>
      <c r="K162">
        <v>110.1</v>
      </c>
      <c r="L162">
        <v>100.9</v>
      </c>
      <c r="M162">
        <v>0</v>
      </c>
      <c r="N162">
        <v>0</v>
      </c>
      <c r="O162">
        <v>0</v>
      </c>
      <c r="P162">
        <v>0</v>
      </c>
    </row>
    <row r="163" spans="1:16">
      <c r="A163">
        <v>2024</v>
      </c>
      <c r="B163">
        <v>20</v>
      </c>
      <c r="C163" t="s">
        <v>36</v>
      </c>
      <c r="D163">
        <v>5</v>
      </c>
      <c r="E163">
        <v>0.76470000000000005</v>
      </c>
      <c r="F163">
        <v>19.43</v>
      </c>
      <c r="G163">
        <v>114.5</v>
      </c>
      <c r="H163">
        <v>95</v>
      </c>
      <c r="I163">
        <v>62.5</v>
      </c>
      <c r="J163">
        <v>3.54</v>
      </c>
      <c r="K163">
        <v>108.5</v>
      </c>
      <c r="L163">
        <v>104.9</v>
      </c>
      <c r="M163">
        <v>0</v>
      </c>
      <c r="N163">
        <v>0</v>
      </c>
      <c r="O163">
        <v>0</v>
      </c>
      <c r="P163">
        <v>0</v>
      </c>
    </row>
    <row r="164" spans="1:16">
      <c r="A164">
        <v>2024</v>
      </c>
      <c r="B164">
        <v>23</v>
      </c>
      <c r="C164" t="s">
        <v>38</v>
      </c>
      <c r="D164">
        <v>3</v>
      </c>
      <c r="E164">
        <v>0.69699999999999995</v>
      </c>
      <c r="F164">
        <v>19.29</v>
      </c>
      <c r="G164">
        <v>122.2</v>
      </c>
      <c r="H164">
        <v>102.9</v>
      </c>
      <c r="I164">
        <v>72.7</v>
      </c>
      <c r="J164">
        <v>8.94</v>
      </c>
      <c r="K164">
        <v>111.4</v>
      </c>
      <c r="L164">
        <v>102.5</v>
      </c>
      <c r="M164">
        <v>0</v>
      </c>
      <c r="N164">
        <v>0</v>
      </c>
      <c r="O164">
        <v>0</v>
      </c>
      <c r="P164">
        <v>0</v>
      </c>
    </row>
    <row r="165" spans="1:16">
      <c r="A165">
        <v>2024</v>
      </c>
      <c r="B165">
        <v>26</v>
      </c>
      <c r="C165" t="s">
        <v>41</v>
      </c>
      <c r="D165">
        <v>7</v>
      </c>
      <c r="E165">
        <v>0.66669999999999996</v>
      </c>
      <c r="F165">
        <v>18.190000000000001</v>
      </c>
      <c r="G165">
        <v>120</v>
      </c>
      <c r="H165">
        <v>101.8</v>
      </c>
      <c r="I165">
        <v>72</v>
      </c>
      <c r="J165">
        <v>11</v>
      </c>
      <c r="K165">
        <v>112.5</v>
      </c>
      <c r="L165">
        <v>101.5</v>
      </c>
      <c r="M165">
        <v>0</v>
      </c>
      <c r="N165">
        <v>0</v>
      </c>
      <c r="O165">
        <v>0</v>
      </c>
      <c r="P165">
        <v>0</v>
      </c>
    </row>
    <row r="166" spans="1:16">
      <c r="A166">
        <v>2024</v>
      </c>
      <c r="B166">
        <v>29</v>
      </c>
      <c r="C166" t="s">
        <v>43</v>
      </c>
      <c r="D166">
        <v>11</v>
      </c>
      <c r="E166">
        <v>0.72219999999999995</v>
      </c>
      <c r="F166">
        <v>17.8</v>
      </c>
      <c r="G166">
        <v>114.4</v>
      </c>
      <c r="H166">
        <v>96.6</v>
      </c>
      <c r="I166">
        <v>72.8</v>
      </c>
      <c r="J166">
        <v>7.04</v>
      </c>
      <c r="K166">
        <v>110.2</v>
      </c>
      <c r="L166">
        <v>103.2</v>
      </c>
      <c r="M166">
        <v>0</v>
      </c>
      <c r="N166">
        <v>0</v>
      </c>
      <c r="O166">
        <v>0</v>
      </c>
      <c r="P166">
        <v>0</v>
      </c>
    </row>
    <row r="167" spans="1:16">
      <c r="A167">
        <v>2024</v>
      </c>
      <c r="B167">
        <v>30</v>
      </c>
      <c r="C167" t="s">
        <v>44</v>
      </c>
      <c r="D167">
        <v>8</v>
      </c>
      <c r="E167">
        <v>0.67649999999999999</v>
      </c>
      <c r="F167">
        <v>17.55</v>
      </c>
      <c r="G167">
        <v>116.2</v>
      </c>
      <c r="H167">
        <v>98.7</v>
      </c>
      <c r="I167">
        <v>69</v>
      </c>
      <c r="J167">
        <v>9.39</v>
      </c>
      <c r="K167">
        <v>110.9</v>
      </c>
      <c r="L167">
        <v>101.6</v>
      </c>
      <c r="M167">
        <v>0</v>
      </c>
      <c r="N167">
        <v>0</v>
      </c>
      <c r="O167">
        <v>0</v>
      </c>
      <c r="P167">
        <v>0</v>
      </c>
    </row>
    <row r="168" spans="1:16">
      <c r="A168">
        <v>2024</v>
      </c>
      <c r="B168">
        <v>31</v>
      </c>
      <c r="C168" t="s">
        <v>45</v>
      </c>
      <c r="D168">
        <v>6</v>
      </c>
      <c r="E168">
        <v>0.67649999999999999</v>
      </c>
      <c r="F168">
        <v>17.32</v>
      </c>
      <c r="G168">
        <v>117.4</v>
      </c>
      <c r="H168">
        <v>100.1</v>
      </c>
      <c r="I168">
        <v>66.8</v>
      </c>
      <c r="J168">
        <v>10.24</v>
      </c>
      <c r="K168">
        <v>111.1</v>
      </c>
      <c r="L168">
        <v>100.9</v>
      </c>
      <c r="M168">
        <v>0</v>
      </c>
      <c r="N168">
        <v>0</v>
      </c>
      <c r="O168">
        <v>0</v>
      </c>
      <c r="P168">
        <v>0</v>
      </c>
    </row>
    <row r="169" spans="1:16">
      <c r="A169">
        <v>2024</v>
      </c>
      <c r="B169">
        <v>34</v>
      </c>
      <c r="C169" t="s">
        <v>47</v>
      </c>
      <c r="D169">
        <v>8</v>
      </c>
      <c r="E169">
        <v>0.6</v>
      </c>
      <c r="F169">
        <v>17.07</v>
      </c>
      <c r="G169">
        <v>113</v>
      </c>
      <c r="H169">
        <v>95.9</v>
      </c>
      <c r="I169">
        <v>67.099999999999994</v>
      </c>
      <c r="J169">
        <v>11.36</v>
      </c>
      <c r="K169">
        <v>112.7</v>
      </c>
      <c r="L169">
        <v>101.3</v>
      </c>
      <c r="M169">
        <v>0</v>
      </c>
      <c r="N169">
        <v>0</v>
      </c>
      <c r="O169">
        <v>0</v>
      </c>
      <c r="P169">
        <v>0</v>
      </c>
    </row>
    <row r="170" spans="1:16">
      <c r="A170">
        <v>2024</v>
      </c>
      <c r="B170">
        <v>36</v>
      </c>
      <c r="C170" t="s">
        <v>49</v>
      </c>
      <c r="D170">
        <v>10</v>
      </c>
      <c r="E170">
        <v>0.69440000000000002</v>
      </c>
      <c r="F170">
        <v>17.02</v>
      </c>
      <c r="G170">
        <v>114</v>
      </c>
      <c r="H170">
        <v>97</v>
      </c>
      <c r="I170">
        <v>66.099999999999994</v>
      </c>
      <c r="J170">
        <v>9.3000000000000007</v>
      </c>
      <c r="K170">
        <v>111.9</v>
      </c>
      <c r="L170">
        <v>102.6</v>
      </c>
      <c r="M170">
        <v>0</v>
      </c>
      <c r="N170">
        <v>0</v>
      </c>
      <c r="O170">
        <v>0</v>
      </c>
      <c r="P170">
        <v>0</v>
      </c>
    </row>
    <row r="171" spans="1:16">
      <c r="A171">
        <v>2024</v>
      </c>
      <c r="B171">
        <v>40</v>
      </c>
      <c r="C171" t="s">
        <v>50</v>
      </c>
      <c r="D171">
        <v>10</v>
      </c>
      <c r="E171">
        <v>0.76470000000000005</v>
      </c>
      <c r="F171">
        <v>16.41</v>
      </c>
      <c r="G171">
        <v>115</v>
      </c>
      <c r="H171">
        <v>98.6</v>
      </c>
      <c r="I171">
        <v>66.8</v>
      </c>
      <c r="J171">
        <v>5.79</v>
      </c>
      <c r="K171">
        <v>109.7</v>
      </c>
      <c r="L171">
        <v>103.9</v>
      </c>
      <c r="M171">
        <v>0</v>
      </c>
      <c r="N171">
        <v>0</v>
      </c>
      <c r="O171">
        <v>0</v>
      </c>
      <c r="P171">
        <v>0</v>
      </c>
    </row>
    <row r="172" spans="1:16">
      <c r="A172">
        <v>2024</v>
      </c>
      <c r="B172">
        <v>44</v>
      </c>
      <c r="C172" t="s">
        <v>54</v>
      </c>
      <c r="D172">
        <v>10</v>
      </c>
      <c r="E172">
        <v>0.66669999999999996</v>
      </c>
      <c r="F172">
        <v>15.97</v>
      </c>
      <c r="G172">
        <v>113.4</v>
      </c>
      <c r="H172">
        <v>97.4</v>
      </c>
      <c r="I172">
        <v>66.599999999999994</v>
      </c>
      <c r="J172">
        <v>9.5500000000000007</v>
      </c>
      <c r="K172">
        <v>111.1</v>
      </c>
      <c r="L172">
        <v>101.5</v>
      </c>
      <c r="M172">
        <v>0</v>
      </c>
      <c r="N172">
        <v>0</v>
      </c>
      <c r="O172">
        <v>0</v>
      </c>
      <c r="P172">
        <v>0</v>
      </c>
    </row>
    <row r="173" spans="1:16">
      <c r="A173">
        <v>2024</v>
      </c>
      <c r="B173">
        <v>47</v>
      </c>
      <c r="C173" t="s">
        <v>56</v>
      </c>
      <c r="D173">
        <v>8</v>
      </c>
      <c r="E173">
        <v>0.73529999999999995</v>
      </c>
      <c r="F173">
        <v>15.74</v>
      </c>
      <c r="G173">
        <v>117.8</v>
      </c>
      <c r="H173">
        <v>102.1</v>
      </c>
      <c r="I173">
        <v>68.3</v>
      </c>
      <c r="J173">
        <v>5.56</v>
      </c>
      <c r="K173">
        <v>109.6</v>
      </c>
      <c r="L173">
        <v>104.1</v>
      </c>
      <c r="M173">
        <v>0</v>
      </c>
      <c r="N173">
        <v>0</v>
      </c>
      <c r="O173">
        <v>0</v>
      </c>
      <c r="P173">
        <v>0</v>
      </c>
    </row>
    <row r="174" spans="1:16">
      <c r="A174">
        <v>2024</v>
      </c>
      <c r="B174">
        <v>53</v>
      </c>
      <c r="C174" t="s">
        <v>59</v>
      </c>
      <c r="D174">
        <v>10</v>
      </c>
      <c r="E174">
        <v>0.8</v>
      </c>
      <c r="F174">
        <v>14.53</v>
      </c>
      <c r="G174">
        <v>115.1</v>
      </c>
      <c r="H174">
        <v>100.5</v>
      </c>
      <c r="I174">
        <v>68</v>
      </c>
      <c r="J174">
        <v>2.95</v>
      </c>
      <c r="K174">
        <v>108</v>
      </c>
      <c r="L174">
        <v>105</v>
      </c>
      <c r="M174">
        <v>0</v>
      </c>
      <c r="N174">
        <v>0</v>
      </c>
      <c r="O174">
        <v>0</v>
      </c>
      <c r="P174">
        <v>0</v>
      </c>
    </row>
    <row r="175" spans="1:16">
      <c r="A175">
        <v>2024</v>
      </c>
      <c r="B175">
        <v>54</v>
      </c>
      <c r="C175" t="s">
        <v>60</v>
      </c>
      <c r="D175">
        <v>6</v>
      </c>
      <c r="E175">
        <v>0.76470000000000005</v>
      </c>
      <c r="F175">
        <v>14.4</v>
      </c>
      <c r="G175">
        <v>114.9</v>
      </c>
      <c r="H175">
        <v>100.5</v>
      </c>
      <c r="I175">
        <v>63.2</v>
      </c>
      <c r="J175">
        <v>7.94</v>
      </c>
      <c r="K175">
        <v>110.5</v>
      </c>
      <c r="L175">
        <v>102.6</v>
      </c>
      <c r="M175">
        <v>0</v>
      </c>
      <c r="N175">
        <v>0</v>
      </c>
      <c r="O175">
        <v>0</v>
      </c>
      <c r="P175">
        <v>0</v>
      </c>
    </row>
    <row r="176" spans="1:16">
      <c r="A176">
        <v>2024</v>
      </c>
      <c r="B176">
        <v>67</v>
      </c>
      <c r="C176" t="s">
        <v>63</v>
      </c>
      <c r="D176">
        <v>12</v>
      </c>
      <c r="E176">
        <v>0.88239999999999996</v>
      </c>
      <c r="F176">
        <v>11.8</v>
      </c>
      <c r="G176">
        <v>113.4</v>
      </c>
      <c r="H176">
        <v>101.5</v>
      </c>
      <c r="I176">
        <v>65.900000000000006</v>
      </c>
      <c r="J176">
        <v>-6.38</v>
      </c>
      <c r="K176">
        <v>102.6</v>
      </c>
      <c r="L176">
        <v>109</v>
      </c>
      <c r="M176">
        <v>0</v>
      </c>
      <c r="N176">
        <v>0</v>
      </c>
      <c r="O176">
        <v>0</v>
      </c>
      <c r="P176">
        <v>0</v>
      </c>
    </row>
    <row r="177" spans="1:16">
      <c r="A177">
        <v>2024</v>
      </c>
      <c r="B177">
        <v>68</v>
      </c>
      <c r="C177" t="s">
        <v>64</v>
      </c>
      <c r="D177">
        <v>10</v>
      </c>
      <c r="E177">
        <v>0.67649999999999999</v>
      </c>
      <c r="F177">
        <v>11.8</v>
      </c>
      <c r="G177">
        <v>105.1</v>
      </c>
      <c r="H177">
        <v>93.3</v>
      </c>
      <c r="I177">
        <v>60.1</v>
      </c>
      <c r="J177">
        <v>9.07</v>
      </c>
      <c r="K177">
        <v>111.6</v>
      </c>
      <c r="L177">
        <v>102.5</v>
      </c>
      <c r="M177">
        <v>0</v>
      </c>
      <c r="N177">
        <v>0</v>
      </c>
      <c r="O177">
        <v>0</v>
      </c>
      <c r="P177">
        <v>0</v>
      </c>
    </row>
    <row r="178" spans="1:16">
      <c r="A178">
        <v>2024</v>
      </c>
      <c r="B178">
        <v>81</v>
      </c>
      <c r="C178" t="s">
        <v>65</v>
      </c>
      <c r="D178">
        <v>13</v>
      </c>
      <c r="E178">
        <v>0.8286</v>
      </c>
      <c r="F178">
        <v>10.029999999999999</v>
      </c>
      <c r="G178">
        <v>113.6</v>
      </c>
      <c r="H178">
        <v>103.6</v>
      </c>
      <c r="I178">
        <v>72.8</v>
      </c>
      <c r="J178">
        <v>-2.14</v>
      </c>
      <c r="K178">
        <v>104.5</v>
      </c>
      <c r="L178">
        <v>106.7</v>
      </c>
      <c r="M178">
        <v>0</v>
      </c>
      <c r="N178">
        <v>0</v>
      </c>
      <c r="O178">
        <v>0</v>
      </c>
      <c r="P178">
        <v>0</v>
      </c>
    </row>
    <row r="179" spans="1:16">
      <c r="A179">
        <v>2024</v>
      </c>
      <c r="B179">
        <v>101</v>
      </c>
      <c r="C179" t="s">
        <v>68</v>
      </c>
      <c r="D179">
        <v>13</v>
      </c>
      <c r="E179">
        <v>0.77139999999999997</v>
      </c>
      <c r="F179">
        <v>7.52</v>
      </c>
      <c r="G179">
        <v>113.9</v>
      </c>
      <c r="H179">
        <v>106.4</v>
      </c>
      <c r="I179">
        <v>70.3</v>
      </c>
      <c r="J179">
        <v>-1.68</v>
      </c>
      <c r="K179">
        <v>105.9</v>
      </c>
      <c r="L179">
        <v>107.5</v>
      </c>
      <c r="M179">
        <v>0</v>
      </c>
      <c r="N179">
        <v>0</v>
      </c>
      <c r="O179">
        <v>0</v>
      </c>
      <c r="P179">
        <v>0</v>
      </c>
    </row>
    <row r="180" spans="1:16">
      <c r="A180">
        <v>2024</v>
      </c>
      <c r="B180">
        <v>104</v>
      </c>
      <c r="C180" t="s">
        <v>69</v>
      </c>
      <c r="D180">
        <v>13</v>
      </c>
      <c r="E180">
        <v>0.8</v>
      </c>
      <c r="F180">
        <v>6.61</v>
      </c>
      <c r="G180">
        <v>106.5</v>
      </c>
      <c r="H180">
        <v>99.9</v>
      </c>
      <c r="I180">
        <v>63.3</v>
      </c>
      <c r="J180">
        <v>-2.2000000000000002</v>
      </c>
      <c r="K180">
        <v>104.7</v>
      </c>
      <c r="L180">
        <v>106.9</v>
      </c>
      <c r="M180">
        <v>0</v>
      </c>
      <c r="N180">
        <v>0</v>
      </c>
      <c r="O180">
        <v>0</v>
      </c>
      <c r="P180">
        <v>0</v>
      </c>
    </row>
    <row r="181" spans="1:16">
      <c r="A181">
        <v>2024</v>
      </c>
      <c r="B181">
        <v>106</v>
      </c>
      <c r="C181" t="s">
        <v>70</v>
      </c>
      <c r="D181">
        <v>12</v>
      </c>
      <c r="E181">
        <v>0.65710000000000002</v>
      </c>
      <c r="F181">
        <v>6.49</v>
      </c>
      <c r="G181">
        <v>113.7</v>
      </c>
      <c r="H181">
        <v>107.2</v>
      </c>
      <c r="I181">
        <v>67.8</v>
      </c>
      <c r="J181">
        <v>4.78</v>
      </c>
      <c r="K181">
        <v>108.9</v>
      </c>
      <c r="L181">
        <v>104.2</v>
      </c>
      <c r="M181">
        <v>0</v>
      </c>
      <c r="N181">
        <v>0</v>
      </c>
      <c r="O181">
        <v>0</v>
      </c>
      <c r="P181">
        <v>0</v>
      </c>
    </row>
    <row r="182" spans="1:16">
      <c r="A182">
        <v>2024</v>
      </c>
      <c r="B182">
        <v>116</v>
      </c>
      <c r="C182" t="s">
        <v>71</v>
      </c>
      <c r="D182">
        <v>14</v>
      </c>
      <c r="E182">
        <v>0.7429</v>
      </c>
      <c r="F182">
        <v>5.15</v>
      </c>
      <c r="G182">
        <v>109.1</v>
      </c>
      <c r="H182">
        <v>104</v>
      </c>
      <c r="I182">
        <v>64.3</v>
      </c>
      <c r="J182">
        <v>-5.27</v>
      </c>
      <c r="K182">
        <v>103.6</v>
      </c>
      <c r="L182">
        <v>108.9</v>
      </c>
      <c r="M182">
        <v>0</v>
      </c>
      <c r="N182">
        <v>0</v>
      </c>
      <c r="O182">
        <v>0</v>
      </c>
      <c r="P182">
        <v>0</v>
      </c>
    </row>
    <row r="183" spans="1:16">
      <c r="A183">
        <v>2024</v>
      </c>
      <c r="B183">
        <v>122</v>
      </c>
      <c r="C183" t="s">
        <v>72</v>
      </c>
      <c r="D183">
        <v>14</v>
      </c>
      <c r="E183">
        <v>0.68569999999999998</v>
      </c>
      <c r="F183">
        <v>4.58</v>
      </c>
      <c r="G183">
        <v>106.8</v>
      </c>
      <c r="H183">
        <v>102.2</v>
      </c>
      <c r="I183">
        <v>66</v>
      </c>
      <c r="J183">
        <v>-1.43</v>
      </c>
      <c r="K183">
        <v>105.7</v>
      </c>
      <c r="L183">
        <v>107.2</v>
      </c>
      <c r="M183">
        <v>0</v>
      </c>
      <c r="N183">
        <v>0</v>
      </c>
      <c r="O183">
        <v>0</v>
      </c>
      <c r="P183">
        <v>0</v>
      </c>
    </row>
    <row r="184" spans="1:16">
      <c r="A184">
        <v>2024</v>
      </c>
      <c r="B184">
        <v>135</v>
      </c>
      <c r="C184" t="s">
        <v>74</v>
      </c>
      <c r="D184">
        <v>15</v>
      </c>
      <c r="E184">
        <v>0.64710000000000001</v>
      </c>
      <c r="F184">
        <v>2.9</v>
      </c>
      <c r="G184">
        <v>105.4</v>
      </c>
      <c r="H184">
        <v>102.5</v>
      </c>
      <c r="I184">
        <v>75.3</v>
      </c>
      <c r="J184">
        <v>-2.0699999999999998</v>
      </c>
      <c r="K184">
        <v>104</v>
      </c>
      <c r="L184">
        <v>106.1</v>
      </c>
      <c r="M184">
        <v>0</v>
      </c>
      <c r="N184">
        <v>0</v>
      </c>
      <c r="O184">
        <v>0</v>
      </c>
      <c r="P184">
        <v>0</v>
      </c>
    </row>
    <row r="185" spans="1:16">
      <c r="A185">
        <v>2024</v>
      </c>
      <c r="B185">
        <v>138</v>
      </c>
      <c r="C185" t="s">
        <v>75</v>
      </c>
      <c r="D185">
        <v>15</v>
      </c>
      <c r="E185">
        <v>0.62860000000000005</v>
      </c>
      <c r="F185">
        <v>2.69</v>
      </c>
      <c r="G185">
        <v>108.8</v>
      </c>
      <c r="H185">
        <v>106.1</v>
      </c>
      <c r="I185">
        <v>68</v>
      </c>
      <c r="J185">
        <v>-2.0499999999999998</v>
      </c>
      <c r="K185">
        <v>105.7</v>
      </c>
      <c r="L185">
        <v>107.7</v>
      </c>
      <c r="M185">
        <v>0</v>
      </c>
      <c r="N185">
        <v>0</v>
      </c>
      <c r="O185">
        <v>0</v>
      </c>
      <c r="P185">
        <v>0</v>
      </c>
    </row>
    <row r="186" spans="1:16">
      <c r="A186">
        <v>2024</v>
      </c>
      <c r="B186">
        <v>150</v>
      </c>
      <c r="C186" t="s">
        <v>76</v>
      </c>
      <c r="D186">
        <v>14</v>
      </c>
      <c r="E186">
        <v>0.71430000000000005</v>
      </c>
      <c r="F186">
        <v>1.5</v>
      </c>
      <c r="G186">
        <v>104.8</v>
      </c>
      <c r="H186">
        <v>103.3</v>
      </c>
      <c r="I186">
        <v>66.400000000000006</v>
      </c>
      <c r="J186">
        <v>-6.51</v>
      </c>
      <c r="K186">
        <v>102.3</v>
      </c>
      <c r="L186">
        <v>108.8</v>
      </c>
      <c r="M186">
        <v>0</v>
      </c>
      <c r="N186">
        <v>0</v>
      </c>
      <c r="O186">
        <v>0</v>
      </c>
      <c r="P186">
        <v>0</v>
      </c>
    </row>
    <row r="187" spans="1:16">
      <c r="A187">
        <v>2024</v>
      </c>
      <c r="B187">
        <v>161</v>
      </c>
      <c r="C187" t="s">
        <v>77</v>
      </c>
      <c r="D187">
        <v>16</v>
      </c>
      <c r="E187">
        <v>0.6</v>
      </c>
      <c r="F187">
        <v>0.35</v>
      </c>
      <c r="G187">
        <v>105.5</v>
      </c>
      <c r="H187">
        <v>105.2</v>
      </c>
      <c r="I187">
        <v>66.900000000000006</v>
      </c>
      <c r="J187">
        <v>-3.4</v>
      </c>
      <c r="K187">
        <v>104.7</v>
      </c>
      <c r="L187">
        <v>108.1</v>
      </c>
      <c r="M187">
        <v>0</v>
      </c>
      <c r="N187">
        <v>0</v>
      </c>
      <c r="O187">
        <v>0</v>
      </c>
      <c r="P187">
        <v>0</v>
      </c>
    </row>
    <row r="188" spans="1:16">
      <c r="A188">
        <v>2024</v>
      </c>
      <c r="B188">
        <v>165</v>
      </c>
      <c r="C188" t="s">
        <v>78</v>
      </c>
      <c r="D188">
        <v>15</v>
      </c>
      <c r="E188">
        <v>0.58330000000000004</v>
      </c>
      <c r="F188">
        <v>-0.25</v>
      </c>
      <c r="G188">
        <v>107.3</v>
      </c>
      <c r="H188">
        <v>107.5</v>
      </c>
      <c r="I188">
        <v>71.5</v>
      </c>
      <c r="J188">
        <v>-0.3</v>
      </c>
      <c r="K188">
        <v>105.2</v>
      </c>
      <c r="L188">
        <v>105.5</v>
      </c>
      <c r="M188">
        <v>0</v>
      </c>
      <c r="N188">
        <v>0</v>
      </c>
      <c r="O188">
        <v>0</v>
      </c>
      <c r="P188">
        <v>0</v>
      </c>
    </row>
    <row r="189" spans="1:16">
      <c r="A189">
        <v>2024</v>
      </c>
      <c r="B189">
        <v>201</v>
      </c>
      <c r="C189" t="s">
        <v>79</v>
      </c>
      <c r="D189">
        <v>15</v>
      </c>
      <c r="E189">
        <v>0.57579999999999998</v>
      </c>
      <c r="F189">
        <v>-3.03</v>
      </c>
      <c r="G189">
        <v>98.4</v>
      </c>
      <c r="H189">
        <v>101.4</v>
      </c>
      <c r="I189">
        <v>64.099999999999994</v>
      </c>
      <c r="J189">
        <v>-3.95</v>
      </c>
      <c r="K189">
        <v>102.8</v>
      </c>
      <c r="L189">
        <v>106.8</v>
      </c>
      <c r="M189">
        <v>0</v>
      </c>
      <c r="N189">
        <v>0</v>
      </c>
      <c r="O189">
        <v>0</v>
      </c>
      <c r="P189">
        <v>0</v>
      </c>
    </row>
    <row r="190" spans="1:16">
      <c r="A190">
        <v>2024</v>
      </c>
      <c r="B190">
        <v>220</v>
      </c>
      <c r="C190" t="s">
        <v>80</v>
      </c>
      <c r="D190">
        <v>16</v>
      </c>
      <c r="E190">
        <v>0.62860000000000005</v>
      </c>
      <c r="F190">
        <v>-4.51</v>
      </c>
      <c r="G190">
        <v>109.8</v>
      </c>
      <c r="H190">
        <v>114.3</v>
      </c>
      <c r="I190">
        <v>66.5</v>
      </c>
      <c r="J190">
        <v>-2.86</v>
      </c>
      <c r="K190">
        <v>105.7</v>
      </c>
      <c r="L190">
        <v>108.6</v>
      </c>
      <c r="M190">
        <v>0</v>
      </c>
      <c r="N190">
        <v>0</v>
      </c>
      <c r="O190">
        <v>0</v>
      </c>
      <c r="P190">
        <v>0</v>
      </c>
    </row>
    <row r="191" spans="1:16">
      <c r="A191">
        <v>2024</v>
      </c>
      <c r="B191">
        <v>223</v>
      </c>
      <c r="C191" t="s">
        <v>81</v>
      </c>
      <c r="D191">
        <v>16</v>
      </c>
      <c r="E191">
        <v>0.48570000000000002</v>
      </c>
      <c r="F191">
        <v>-4.6500000000000004</v>
      </c>
      <c r="G191">
        <v>103.5</v>
      </c>
      <c r="H191">
        <v>108.2</v>
      </c>
      <c r="I191">
        <v>69</v>
      </c>
      <c r="J191">
        <v>-3.58</v>
      </c>
      <c r="K191">
        <v>105.1</v>
      </c>
      <c r="L191">
        <v>108.7</v>
      </c>
      <c r="M191">
        <v>0</v>
      </c>
      <c r="N191">
        <v>0</v>
      </c>
      <c r="O191">
        <v>0</v>
      </c>
      <c r="P191">
        <v>0</v>
      </c>
    </row>
    <row r="192" spans="1:16">
      <c r="A192">
        <v>2024</v>
      </c>
      <c r="B192">
        <v>259</v>
      </c>
      <c r="C192" t="s">
        <v>82</v>
      </c>
      <c r="D192">
        <v>16</v>
      </c>
      <c r="E192">
        <v>0.58330000000000004</v>
      </c>
      <c r="F192">
        <v>-7.09</v>
      </c>
      <c r="G192">
        <v>100.1</v>
      </c>
      <c r="H192">
        <v>107.2</v>
      </c>
      <c r="I192">
        <v>64.8</v>
      </c>
      <c r="J192">
        <v>-4.42</v>
      </c>
      <c r="K192">
        <v>101.9</v>
      </c>
      <c r="L192">
        <v>106.3</v>
      </c>
      <c r="M192">
        <v>0</v>
      </c>
      <c r="N192">
        <v>0</v>
      </c>
      <c r="O192">
        <v>0</v>
      </c>
      <c r="P192">
        <v>0</v>
      </c>
    </row>
    <row r="193" spans="1:16">
      <c r="A193">
        <v>2024</v>
      </c>
      <c r="B193">
        <v>275</v>
      </c>
      <c r="C193" t="s">
        <v>83</v>
      </c>
      <c r="D193">
        <v>16</v>
      </c>
      <c r="E193">
        <v>0.51429999999999998</v>
      </c>
      <c r="F193">
        <v>-8.3800000000000008</v>
      </c>
      <c r="G193">
        <v>105.6</v>
      </c>
      <c r="H193">
        <v>113.9</v>
      </c>
      <c r="I193">
        <v>67.8</v>
      </c>
      <c r="J193">
        <v>-7.02</v>
      </c>
      <c r="K193">
        <v>100.6</v>
      </c>
      <c r="L193">
        <v>107.6</v>
      </c>
      <c r="M193">
        <v>0</v>
      </c>
      <c r="N193">
        <v>0</v>
      </c>
      <c r="O193">
        <v>0</v>
      </c>
      <c r="P193">
        <v>0</v>
      </c>
    </row>
    <row r="194" spans="1:16">
      <c r="A194">
        <v>2024</v>
      </c>
      <c r="B194">
        <v>292</v>
      </c>
      <c r="C194" t="s">
        <v>84</v>
      </c>
      <c r="D194">
        <v>16</v>
      </c>
      <c r="E194">
        <v>0.51519999999999999</v>
      </c>
      <c r="F194">
        <v>-10</v>
      </c>
      <c r="G194">
        <v>96.4</v>
      </c>
      <c r="H194">
        <v>106.4</v>
      </c>
      <c r="I194">
        <v>61.6</v>
      </c>
      <c r="J194">
        <v>-7.47</v>
      </c>
      <c r="K194">
        <v>100.8</v>
      </c>
      <c r="L194">
        <v>108.3</v>
      </c>
      <c r="M194">
        <v>0</v>
      </c>
      <c r="N194">
        <v>0</v>
      </c>
      <c r="O194">
        <v>0</v>
      </c>
      <c r="P194">
        <v>0</v>
      </c>
    </row>
    <row r="195" spans="1:16">
      <c r="A195">
        <v>2023</v>
      </c>
      <c r="B195">
        <v>7</v>
      </c>
      <c r="C195" t="s">
        <v>19</v>
      </c>
      <c r="D195">
        <v>1</v>
      </c>
      <c r="E195">
        <v>0.8286</v>
      </c>
      <c r="F195">
        <v>23.24</v>
      </c>
      <c r="G195">
        <v>117.7</v>
      </c>
      <c r="H195">
        <v>94.5</v>
      </c>
      <c r="I195">
        <v>64.2</v>
      </c>
      <c r="J195">
        <v>9.17</v>
      </c>
      <c r="K195">
        <v>110.1</v>
      </c>
      <c r="L195">
        <v>100.9</v>
      </c>
      <c r="M195">
        <v>0</v>
      </c>
      <c r="N195">
        <v>0</v>
      </c>
      <c r="O195">
        <v>0</v>
      </c>
      <c r="P195">
        <v>0</v>
      </c>
    </row>
    <row r="196" spans="1:16">
      <c r="A196">
        <v>2023</v>
      </c>
      <c r="B196">
        <v>11</v>
      </c>
      <c r="C196" t="s">
        <v>22</v>
      </c>
      <c r="D196">
        <v>2</v>
      </c>
      <c r="E196">
        <v>0.8</v>
      </c>
      <c r="F196">
        <v>21.9</v>
      </c>
      <c r="G196">
        <v>118.2</v>
      </c>
      <c r="H196">
        <v>96.3</v>
      </c>
      <c r="I196">
        <v>72</v>
      </c>
      <c r="J196">
        <v>8.32</v>
      </c>
      <c r="K196">
        <v>107.5</v>
      </c>
      <c r="L196">
        <v>99.2</v>
      </c>
      <c r="M196">
        <v>0</v>
      </c>
      <c r="N196">
        <v>0</v>
      </c>
      <c r="O196">
        <v>0</v>
      </c>
      <c r="P196">
        <v>0</v>
      </c>
    </row>
    <row r="197" spans="1:16">
      <c r="A197">
        <v>2023</v>
      </c>
      <c r="B197">
        <v>19</v>
      </c>
      <c r="C197" t="s">
        <v>87</v>
      </c>
      <c r="D197">
        <v>9</v>
      </c>
      <c r="E197">
        <v>0.55879999999999996</v>
      </c>
      <c r="F197">
        <v>18.82</v>
      </c>
      <c r="G197">
        <v>116.9</v>
      </c>
      <c r="H197">
        <v>98.1</v>
      </c>
      <c r="I197">
        <v>68.5</v>
      </c>
      <c r="J197">
        <v>12.45</v>
      </c>
      <c r="K197">
        <v>110.5</v>
      </c>
      <c r="L197">
        <v>98.1</v>
      </c>
      <c r="M197">
        <v>0</v>
      </c>
      <c r="N197">
        <v>0</v>
      </c>
      <c r="O197">
        <v>0</v>
      </c>
      <c r="P197">
        <v>0</v>
      </c>
    </row>
    <row r="198" spans="1:16">
      <c r="A198">
        <v>2023</v>
      </c>
      <c r="B198">
        <v>20</v>
      </c>
      <c r="C198" t="s">
        <v>88</v>
      </c>
      <c r="D198">
        <v>8</v>
      </c>
      <c r="E198">
        <v>0.7429</v>
      </c>
      <c r="F198">
        <v>18.53</v>
      </c>
      <c r="G198">
        <v>114.6</v>
      </c>
      <c r="H198">
        <v>96.1</v>
      </c>
      <c r="I198">
        <v>71.099999999999994</v>
      </c>
      <c r="J198">
        <v>7.27</v>
      </c>
      <c r="K198">
        <v>108.2</v>
      </c>
      <c r="L198">
        <v>101</v>
      </c>
      <c r="M198">
        <v>0</v>
      </c>
      <c r="N198">
        <v>0</v>
      </c>
      <c r="O198">
        <v>0</v>
      </c>
      <c r="P198">
        <v>0</v>
      </c>
    </row>
    <row r="199" spans="1:16">
      <c r="A199">
        <v>2023</v>
      </c>
      <c r="B199">
        <v>28</v>
      </c>
      <c r="C199" t="s">
        <v>57</v>
      </c>
      <c r="D199">
        <v>10</v>
      </c>
      <c r="E199">
        <v>0.7429</v>
      </c>
      <c r="F199">
        <v>17.39</v>
      </c>
      <c r="G199">
        <v>116.3</v>
      </c>
      <c r="H199">
        <v>98.9</v>
      </c>
      <c r="I199">
        <v>68.599999999999994</v>
      </c>
      <c r="J199">
        <v>6.84</v>
      </c>
      <c r="K199">
        <v>108.4</v>
      </c>
      <c r="L199">
        <v>101.5</v>
      </c>
      <c r="M199">
        <v>0</v>
      </c>
      <c r="N199">
        <v>0</v>
      </c>
      <c r="O199">
        <v>0</v>
      </c>
      <c r="P199">
        <v>0</v>
      </c>
    </row>
    <row r="200" spans="1:16">
      <c r="A200">
        <v>2023</v>
      </c>
      <c r="B200">
        <v>29</v>
      </c>
      <c r="C200" t="s">
        <v>24</v>
      </c>
      <c r="D200">
        <v>6</v>
      </c>
      <c r="E200">
        <v>0.57579999999999998</v>
      </c>
      <c r="F200">
        <v>17.04</v>
      </c>
      <c r="G200">
        <v>108.1</v>
      </c>
      <c r="H200">
        <v>91</v>
      </c>
      <c r="I200">
        <v>64.099999999999994</v>
      </c>
      <c r="J200">
        <v>12.56</v>
      </c>
      <c r="K200">
        <v>112.1</v>
      </c>
      <c r="L200">
        <v>99.5</v>
      </c>
      <c r="M200">
        <v>0</v>
      </c>
      <c r="N200">
        <v>0</v>
      </c>
      <c r="O200">
        <v>0</v>
      </c>
      <c r="P200">
        <v>0</v>
      </c>
    </row>
    <row r="201" spans="1:16">
      <c r="A201">
        <v>2023</v>
      </c>
      <c r="B201">
        <v>33</v>
      </c>
      <c r="C201" t="s">
        <v>48</v>
      </c>
      <c r="D201">
        <v>7</v>
      </c>
      <c r="E201">
        <v>0.71430000000000005</v>
      </c>
      <c r="F201">
        <v>16.71</v>
      </c>
      <c r="G201">
        <v>113.7</v>
      </c>
      <c r="H201">
        <v>97</v>
      </c>
      <c r="I201">
        <v>65.900000000000006</v>
      </c>
      <c r="J201">
        <v>7.3</v>
      </c>
      <c r="K201">
        <v>108.3</v>
      </c>
      <c r="L201">
        <v>101</v>
      </c>
      <c r="M201">
        <v>0</v>
      </c>
      <c r="N201">
        <v>0</v>
      </c>
      <c r="O201">
        <v>0</v>
      </c>
      <c r="P201">
        <v>0</v>
      </c>
    </row>
    <row r="202" spans="1:16">
      <c r="A202">
        <v>2023</v>
      </c>
      <c r="B202">
        <v>34</v>
      </c>
      <c r="C202" t="s">
        <v>64</v>
      </c>
      <c r="D202">
        <v>4</v>
      </c>
      <c r="E202">
        <v>0.75760000000000005</v>
      </c>
      <c r="F202">
        <v>16.37</v>
      </c>
      <c r="G202">
        <v>110.8</v>
      </c>
      <c r="H202">
        <v>94.5</v>
      </c>
      <c r="I202">
        <v>61.5</v>
      </c>
      <c r="J202">
        <v>5.73</v>
      </c>
      <c r="K202">
        <v>108.4</v>
      </c>
      <c r="L202">
        <v>102.7</v>
      </c>
      <c r="M202">
        <v>0</v>
      </c>
      <c r="N202">
        <v>0</v>
      </c>
      <c r="O202">
        <v>0</v>
      </c>
      <c r="P202">
        <v>0</v>
      </c>
    </row>
    <row r="203" spans="1:16">
      <c r="A203">
        <v>2023</v>
      </c>
      <c r="B203">
        <v>35</v>
      </c>
      <c r="C203" t="s">
        <v>26</v>
      </c>
      <c r="D203">
        <v>9</v>
      </c>
      <c r="E203">
        <v>0.60609999999999997</v>
      </c>
      <c r="F203">
        <v>16.22</v>
      </c>
      <c r="G203">
        <v>111.1</v>
      </c>
      <c r="H203">
        <v>94.9</v>
      </c>
      <c r="I203">
        <v>69.5</v>
      </c>
      <c r="J203">
        <v>8.8000000000000007</v>
      </c>
      <c r="K203">
        <v>109.1</v>
      </c>
      <c r="L203">
        <v>100.3</v>
      </c>
      <c r="M203">
        <v>0</v>
      </c>
      <c r="N203">
        <v>0</v>
      </c>
      <c r="O203">
        <v>0</v>
      </c>
      <c r="P203">
        <v>0</v>
      </c>
    </row>
    <row r="204" spans="1:16">
      <c r="A204">
        <v>2023</v>
      </c>
      <c r="B204">
        <v>37</v>
      </c>
      <c r="C204" t="s">
        <v>54</v>
      </c>
      <c r="D204">
        <v>10</v>
      </c>
      <c r="E204">
        <v>0.70589999999999997</v>
      </c>
      <c r="F204">
        <v>15.85</v>
      </c>
      <c r="G204">
        <v>110.9</v>
      </c>
      <c r="H204">
        <v>95.1</v>
      </c>
      <c r="I204">
        <v>66.2</v>
      </c>
      <c r="J204">
        <v>6.85</v>
      </c>
      <c r="K204">
        <v>108.7</v>
      </c>
      <c r="L204">
        <v>101.8</v>
      </c>
      <c r="M204">
        <v>0</v>
      </c>
      <c r="N204">
        <v>0</v>
      </c>
      <c r="O204">
        <v>0</v>
      </c>
      <c r="P204">
        <v>0</v>
      </c>
    </row>
    <row r="205" spans="1:16">
      <c r="A205">
        <v>2023</v>
      </c>
      <c r="B205">
        <v>41</v>
      </c>
      <c r="C205" t="s">
        <v>95</v>
      </c>
      <c r="D205">
        <v>8</v>
      </c>
      <c r="E205">
        <v>0.57579999999999998</v>
      </c>
      <c r="F205">
        <v>15.39</v>
      </c>
      <c r="G205">
        <v>120</v>
      </c>
      <c r="H205">
        <v>104.6</v>
      </c>
      <c r="I205">
        <v>69.5</v>
      </c>
      <c r="J205">
        <v>9.75</v>
      </c>
      <c r="K205">
        <v>108.8</v>
      </c>
      <c r="L205">
        <v>99.1</v>
      </c>
      <c r="M205">
        <v>0</v>
      </c>
      <c r="N205">
        <v>0</v>
      </c>
      <c r="O205">
        <v>0</v>
      </c>
      <c r="P205">
        <v>0</v>
      </c>
    </row>
    <row r="206" spans="1:16">
      <c r="A206">
        <v>2023</v>
      </c>
      <c r="B206">
        <v>45</v>
      </c>
      <c r="C206" t="s">
        <v>96</v>
      </c>
      <c r="D206">
        <v>10</v>
      </c>
      <c r="E206">
        <v>0.66669999999999996</v>
      </c>
      <c r="F206">
        <v>14.85</v>
      </c>
      <c r="G206">
        <v>112.3</v>
      </c>
      <c r="H206">
        <v>97.5</v>
      </c>
      <c r="I206">
        <v>68</v>
      </c>
      <c r="J206">
        <v>7.6</v>
      </c>
      <c r="K206">
        <v>107.2</v>
      </c>
      <c r="L206">
        <v>99.6</v>
      </c>
      <c r="M206">
        <v>0</v>
      </c>
      <c r="N206">
        <v>0</v>
      </c>
      <c r="O206">
        <v>0</v>
      </c>
      <c r="P206">
        <v>0</v>
      </c>
    </row>
    <row r="207" spans="1:16">
      <c r="A207">
        <v>2023</v>
      </c>
      <c r="B207">
        <v>52</v>
      </c>
      <c r="C207" t="s">
        <v>55</v>
      </c>
      <c r="D207">
        <v>11</v>
      </c>
      <c r="E207">
        <v>0.67649999999999999</v>
      </c>
      <c r="F207">
        <v>13.55</v>
      </c>
      <c r="G207">
        <v>113.6</v>
      </c>
      <c r="H207">
        <v>100</v>
      </c>
      <c r="I207">
        <v>69</v>
      </c>
      <c r="J207">
        <v>5.5</v>
      </c>
      <c r="K207">
        <v>108.5</v>
      </c>
      <c r="L207">
        <v>103</v>
      </c>
      <c r="M207">
        <v>0</v>
      </c>
      <c r="N207">
        <v>0</v>
      </c>
      <c r="O207">
        <v>0</v>
      </c>
      <c r="P207">
        <v>0</v>
      </c>
    </row>
    <row r="208" spans="1:16">
      <c r="A208">
        <v>2023</v>
      </c>
      <c r="B208">
        <v>53</v>
      </c>
      <c r="C208" t="s">
        <v>47</v>
      </c>
      <c r="D208">
        <v>11</v>
      </c>
      <c r="E208">
        <v>0.61760000000000004</v>
      </c>
      <c r="F208">
        <v>13.49</v>
      </c>
      <c r="G208">
        <v>104.8</v>
      </c>
      <c r="H208">
        <v>91.4</v>
      </c>
      <c r="I208">
        <v>63.6</v>
      </c>
      <c r="J208">
        <v>6.98</v>
      </c>
      <c r="K208">
        <v>108</v>
      </c>
      <c r="L208">
        <v>101</v>
      </c>
      <c r="M208">
        <v>0</v>
      </c>
      <c r="N208">
        <v>0</v>
      </c>
      <c r="O208">
        <v>0</v>
      </c>
      <c r="P208">
        <v>0</v>
      </c>
    </row>
    <row r="209" spans="1:16">
      <c r="A209">
        <v>2023</v>
      </c>
      <c r="B209">
        <v>55</v>
      </c>
      <c r="C209" t="s">
        <v>97</v>
      </c>
      <c r="D209">
        <v>11</v>
      </c>
      <c r="E209">
        <v>0.63890000000000002</v>
      </c>
      <c r="F209">
        <v>13.26</v>
      </c>
      <c r="G209">
        <v>109</v>
      </c>
      <c r="H209">
        <v>95.8</v>
      </c>
      <c r="I209">
        <v>68.099999999999994</v>
      </c>
      <c r="J209">
        <v>8.4</v>
      </c>
      <c r="K209">
        <v>108.4</v>
      </c>
      <c r="L209">
        <v>100</v>
      </c>
      <c r="M209">
        <v>0</v>
      </c>
      <c r="N209">
        <v>0</v>
      </c>
      <c r="O209">
        <v>0</v>
      </c>
      <c r="P209">
        <v>0</v>
      </c>
    </row>
    <row r="210" spans="1:16">
      <c r="A210">
        <v>2023</v>
      </c>
      <c r="B210">
        <v>60</v>
      </c>
      <c r="C210" t="s">
        <v>100</v>
      </c>
      <c r="D210">
        <v>12</v>
      </c>
      <c r="E210">
        <v>0.77139999999999997</v>
      </c>
      <c r="F210">
        <v>12.84</v>
      </c>
      <c r="G210">
        <v>106.6</v>
      </c>
      <c r="H210">
        <v>93.8</v>
      </c>
      <c r="I210">
        <v>67.900000000000006</v>
      </c>
      <c r="J210">
        <v>0.79</v>
      </c>
      <c r="K210">
        <v>105</v>
      </c>
      <c r="L210">
        <v>104.2</v>
      </c>
      <c r="M210">
        <v>0</v>
      </c>
      <c r="N210">
        <v>0</v>
      </c>
      <c r="O210">
        <v>0</v>
      </c>
      <c r="P210">
        <v>0</v>
      </c>
    </row>
    <row r="211" spans="1:16">
      <c r="A211">
        <v>2023</v>
      </c>
      <c r="B211">
        <v>62</v>
      </c>
      <c r="C211" t="s">
        <v>50</v>
      </c>
      <c r="D211">
        <v>11</v>
      </c>
      <c r="E211">
        <v>0.66669999999999996</v>
      </c>
      <c r="F211">
        <v>12.74</v>
      </c>
      <c r="G211">
        <v>111.8</v>
      </c>
      <c r="H211">
        <v>99.1</v>
      </c>
      <c r="I211">
        <v>65.900000000000006</v>
      </c>
      <c r="J211">
        <v>6.98</v>
      </c>
      <c r="K211">
        <v>108.6</v>
      </c>
      <c r="L211">
        <v>101.7</v>
      </c>
      <c r="M211">
        <v>0</v>
      </c>
      <c r="N211">
        <v>0</v>
      </c>
      <c r="O211">
        <v>0</v>
      </c>
      <c r="P211">
        <v>0</v>
      </c>
    </row>
    <row r="212" spans="1:16">
      <c r="A212">
        <v>2023</v>
      </c>
      <c r="B212">
        <v>69</v>
      </c>
      <c r="C212" t="s">
        <v>59</v>
      </c>
      <c r="D212">
        <v>12</v>
      </c>
      <c r="E212">
        <v>0.77139999999999997</v>
      </c>
      <c r="F212">
        <v>11.9</v>
      </c>
      <c r="G212">
        <v>108.4</v>
      </c>
      <c r="H212">
        <v>96.5</v>
      </c>
      <c r="I212">
        <v>66.3</v>
      </c>
      <c r="J212">
        <v>-1.77</v>
      </c>
      <c r="K212">
        <v>103.9</v>
      </c>
      <c r="L212">
        <v>105.7</v>
      </c>
      <c r="M212">
        <v>0</v>
      </c>
      <c r="N212">
        <v>0</v>
      </c>
      <c r="O212">
        <v>0</v>
      </c>
      <c r="P212">
        <v>0</v>
      </c>
    </row>
    <row r="213" spans="1:16">
      <c r="A213">
        <v>2023</v>
      </c>
      <c r="B213">
        <v>71</v>
      </c>
      <c r="C213" t="s">
        <v>68</v>
      </c>
      <c r="D213">
        <v>12</v>
      </c>
      <c r="E213">
        <v>0.88570000000000004</v>
      </c>
      <c r="F213">
        <v>11.85</v>
      </c>
      <c r="G213">
        <v>110.6</v>
      </c>
      <c r="H213">
        <v>98.7</v>
      </c>
      <c r="I213">
        <v>70.8</v>
      </c>
      <c r="J213">
        <v>-5.28</v>
      </c>
      <c r="K213">
        <v>102.2</v>
      </c>
      <c r="L213">
        <v>107.5</v>
      </c>
      <c r="M213">
        <v>0</v>
      </c>
      <c r="N213">
        <v>0</v>
      </c>
      <c r="O213">
        <v>0</v>
      </c>
      <c r="P213">
        <v>0</v>
      </c>
    </row>
    <row r="214" spans="1:16">
      <c r="A214">
        <v>2023</v>
      </c>
      <c r="B214">
        <v>72</v>
      </c>
      <c r="C214" t="s">
        <v>101</v>
      </c>
      <c r="D214">
        <v>12</v>
      </c>
      <c r="E214">
        <v>0.85709999999999997</v>
      </c>
      <c r="F214">
        <v>11.65</v>
      </c>
      <c r="G214">
        <v>113.9</v>
      </c>
      <c r="H214">
        <v>102.2</v>
      </c>
      <c r="I214">
        <v>70.2</v>
      </c>
      <c r="J214">
        <v>-4.0199999999999996</v>
      </c>
      <c r="K214">
        <v>103.8</v>
      </c>
      <c r="L214">
        <v>107.8</v>
      </c>
      <c r="M214">
        <v>0</v>
      </c>
      <c r="N214">
        <v>0</v>
      </c>
      <c r="O214">
        <v>0</v>
      </c>
      <c r="P214">
        <v>0</v>
      </c>
    </row>
    <row r="215" spans="1:16">
      <c r="A215">
        <v>2023</v>
      </c>
      <c r="B215">
        <v>76</v>
      </c>
      <c r="C215" t="s">
        <v>102</v>
      </c>
      <c r="D215">
        <v>13</v>
      </c>
      <c r="E215">
        <v>0.77139999999999997</v>
      </c>
      <c r="F215">
        <v>11.35</v>
      </c>
      <c r="G215">
        <v>110.7</v>
      </c>
      <c r="H215">
        <v>99.4</v>
      </c>
      <c r="I215">
        <v>68.7</v>
      </c>
      <c r="J215">
        <v>-3.28</v>
      </c>
      <c r="K215">
        <v>102.6</v>
      </c>
      <c r="L215">
        <v>105.9</v>
      </c>
      <c r="M215">
        <v>0</v>
      </c>
      <c r="N215">
        <v>0</v>
      </c>
      <c r="O215">
        <v>0</v>
      </c>
      <c r="P215">
        <v>0</v>
      </c>
    </row>
    <row r="216" spans="1:16">
      <c r="A216">
        <v>2023</v>
      </c>
      <c r="B216">
        <v>78</v>
      </c>
      <c r="C216" t="s">
        <v>103</v>
      </c>
      <c r="D216">
        <v>13</v>
      </c>
      <c r="E216">
        <v>0.8</v>
      </c>
      <c r="F216">
        <v>11.2</v>
      </c>
      <c r="G216">
        <v>107.7</v>
      </c>
      <c r="H216">
        <v>96.5</v>
      </c>
      <c r="I216">
        <v>67.7</v>
      </c>
      <c r="J216">
        <v>-1.35</v>
      </c>
      <c r="K216">
        <v>106.1</v>
      </c>
      <c r="L216">
        <v>107.4</v>
      </c>
      <c r="M216">
        <v>0</v>
      </c>
      <c r="N216">
        <v>0</v>
      </c>
      <c r="O216">
        <v>0</v>
      </c>
      <c r="P216">
        <v>0</v>
      </c>
    </row>
    <row r="217" spans="1:16">
      <c r="A217">
        <v>2023</v>
      </c>
      <c r="B217">
        <v>88</v>
      </c>
      <c r="C217" t="s">
        <v>104</v>
      </c>
      <c r="D217">
        <v>13</v>
      </c>
      <c r="E217">
        <v>0.76470000000000005</v>
      </c>
      <c r="F217">
        <v>8.51</v>
      </c>
      <c r="G217">
        <v>111.4</v>
      </c>
      <c r="H217">
        <v>102.9</v>
      </c>
      <c r="I217">
        <v>68.3</v>
      </c>
      <c r="J217">
        <v>0.03</v>
      </c>
      <c r="K217">
        <v>104</v>
      </c>
      <c r="L217">
        <v>104</v>
      </c>
      <c r="M217">
        <v>0</v>
      </c>
      <c r="N217">
        <v>0</v>
      </c>
      <c r="O217">
        <v>0</v>
      </c>
      <c r="P217">
        <v>0</v>
      </c>
    </row>
    <row r="218" spans="1:16">
      <c r="A218">
        <v>2023</v>
      </c>
      <c r="B218">
        <v>108</v>
      </c>
      <c r="C218" t="s">
        <v>58</v>
      </c>
      <c r="D218">
        <v>14</v>
      </c>
      <c r="E218">
        <v>0.66669999999999996</v>
      </c>
      <c r="F218">
        <v>5.88</v>
      </c>
      <c r="G218">
        <v>111.9</v>
      </c>
      <c r="H218">
        <v>106.1</v>
      </c>
      <c r="I218">
        <v>65</v>
      </c>
      <c r="J218">
        <v>1.23</v>
      </c>
      <c r="K218">
        <v>104.8</v>
      </c>
      <c r="L218">
        <v>103.5</v>
      </c>
      <c r="M218">
        <v>0</v>
      </c>
      <c r="N218">
        <v>0</v>
      </c>
      <c r="O218">
        <v>0</v>
      </c>
      <c r="P218">
        <v>0</v>
      </c>
    </row>
    <row r="219" spans="1:16">
      <c r="A219">
        <v>2023</v>
      </c>
      <c r="B219">
        <v>112</v>
      </c>
      <c r="C219" t="s">
        <v>107</v>
      </c>
      <c r="D219">
        <v>14</v>
      </c>
      <c r="E219">
        <v>0.77139999999999997</v>
      </c>
      <c r="F219">
        <v>5.68</v>
      </c>
      <c r="G219">
        <v>110.3</v>
      </c>
      <c r="H219">
        <v>104.6</v>
      </c>
      <c r="I219">
        <v>64.7</v>
      </c>
      <c r="J219">
        <v>-2.5299999999999998</v>
      </c>
      <c r="K219">
        <v>102.7</v>
      </c>
      <c r="L219">
        <v>105.2</v>
      </c>
      <c r="M219">
        <v>0</v>
      </c>
      <c r="N219">
        <v>0</v>
      </c>
      <c r="O219">
        <v>0</v>
      </c>
      <c r="P219">
        <v>0</v>
      </c>
    </row>
    <row r="220" spans="1:16">
      <c r="A220">
        <v>2023</v>
      </c>
      <c r="B220">
        <v>113</v>
      </c>
      <c r="C220" t="s">
        <v>81</v>
      </c>
      <c r="D220">
        <v>14</v>
      </c>
      <c r="E220">
        <v>0.71430000000000005</v>
      </c>
      <c r="F220">
        <v>5.49</v>
      </c>
      <c r="G220">
        <v>105.1</v>
      </c>
      <c r="H220">
        <v>99.6</v>
      </c>
      <c r="I220">
        <v>66.3</v>
      </c>
      <c r="J220">
        <v>-0.89</v>
      </c>
      <c r="K220">
        <v>106</v>
      </c>
      <c r="L220">
        <v>106.8</v>
      </c>
      <c r="M220">
        <v>0</v>
      </c>
      <c r="N220">
        <v>0</v>
      </c>
      <c r="O220">
        <v>0</v>
      </c>
      <c r="P220">
        <v>0</v>
      </c>
    </row>
    <row r="221" spans="1:16">
      <c r="A221">
        <v>2023</v>
      </c>
      <c r="B221">
        <v>114</v>
      </c>
      <c r="C221" t="s">
        <v>69</v>
      </c>
      <c r="D221">
        <v>15</v>
      </c>
      <c r="E221">
        <v>0.67649999999999999</v>
      </c>
      <c r="F221">
        <v>5.33</v>
      </c>
      <c r="G221">
        <v>109.5</v>
      </c>
      <c r="H221">
        <v>104.2</v>
      </c>
      <c r="I221">
        <v>64.400000000000006</v>
      </c>
      <c r="J221">
        <v>-3.01</v>
      </c>
      <c r="K221">
        <v>103.5</v>
      </c>
      <c r="L221">
        <v>106.5</v>
      </c>
      <c r="M221">
        <v>0</v>
      </c>
      <c r="N221">
        <v>0</v>
      </c>
      <c r="O221">
        <v>0</v>
      </c>
      <c r="P221">
        <v>0</v>
      </c>
    </row>
    <row r="222" spans="1:16">
      <c r="A222">
        <v>2023</v>
      </c>
      <c r="B222">
        <v>115</v>
      </c>
      <c r="C222" t="s">
        <v>76</v>
      </c>
      <c r="D222">
        <v>15</v>
      </c>
      <c r="E222">
        <v>0.7429</v>
      </c>
      <c r="F222">
        <v>5.24</v>
      </c>
      <c r="G222">
        <v>112.7</v>
      </c>
      <c r="H222">
        <v>107.5</v>
      </c>
      <c r="I222">
        <v>67.5</v>
      </c>
      <c r="J222">
        <v>-6.95</v>
      </c>
      <c r="K222">
        <v>100.9</v>
      </c>
      <c r="L222">
        <v>107.8</v>
      </c>
      <c r="M222">
        <v>0</v>
      </c>
      <c r="N222">
        <v>0</v>
      </c>
      <c r="O222">
        <v>0</v>
      </c>
      <c r="P222">
        <v>0</v>
      </c>
    </row>
    <row r="223" spans="1:16">
      <c r="A223">
        <v>2023</v>
      </c>
      <c r="B223">
        <v>123</v>
      </c>
      <c r="C223" t="s">
        <v>108</v>
      </c>
      <c r="D223">
        <v>14</v>
      </c>
      <c r="E223">
        <v>0.7429</v>
      </c>
      <c r="F223">
        <v>4.04</v>
      </c>
      <c r="G223">
        <v>105.9</v>
      </c>
      <c r="H223">
        <v>101.8</v>
      </c>
      <c r="I223">
        <v>68.400000000000006</v>
      </c>
      <c r="J223">
        <v>-1.05</v>
      </c>
      <c r="K223">
        <v>105.2</v>
      </c>
      <c r="L223">
        <v>106.3</v>
      </c>
      <c r="M223">
        <v>0</v>
      </c>
      <c r="N223">
        <v>0</v>
      </c>
      <c r="O223">
        <v>0</v>
      </c>
      <c r="P223">
        <v>0</v>
      </c>
    </row>
    <row r="224" spans="1:16">
      <c r="A224">
        <v>2023</v>
      </c>
      <c r="B224">
        <v>148</v>
      </c>
      <c r="C224" t="s">
        <v>109</v>
      </c>
      <c r="D224">
        <v>15</v>
      </c>
      <c r="E224">
        <v>0.77139999999999997</v>
      </c>
      <c r="F224">
        <v>1.22</v>
      </c>
      <c r="G224">
        <v>104</v>
      </c>
      <c r="H224">
        <v>102.7</v>
      </c>
      <c r="I224">
        <v>68.3</v>
      </c>
      <c r="J224">
        <v>-4.62</v>
      </c>
      <c r="K224">
        <v>102.7</v>
      </c>
      <c r="L224">
        <v>107.3</v>
      </c>
      <c r="M224">
        <v>0</v>
      </c>
      <c r="N224">
        <v>0</v>
      </c>
      <c r="O224">
        <v>0</v>
      </c>
      <c r="P224">
        <v>0</v>
      </c>
    </row>
    <row r="225" spans="1:16">
      <c r="A225">
        <v>2023</v>
      </c>
      <c r="B225">
        <v>160</v>
      </c>
      <c r="C225" t="s">
        <v>110</v>
      </c>
      <c r="D225">
        <v>16</v>
      </c>
      <c r="E225">
        <v>0.62860000000000005</v>
      </c>
      <c r="F225">
        <v>0.65</v>
      </c>
      <c r="G225">
        <v>102.8</v>
      </c>
      <c r="H225">
        <v>102.2</v>
      </c>
      <c r="I225">
        <v>62</v>
      </c>
      <c r="J225">
        <v>-3.56</v>
      </c>
      <c r="K225">
        <v>104.3</v>
      </c>
      <c r="L225">
        <v>107.9</v>
      </c>
      <c r="M225">
        <v>0</v>
      </c>
      <c r="N225">
        <v>0</v>
      </c>
      <c r="O225">
        <v>0</v>
      </c>
      <c r="P225">
        <v>0</v>
      </c>
    </row>
    <row r="226" spans="1:16">
      <c r="A226">
        <v>2023</v>
      </c>
      <c r="B226">
        <v>176</v>
      </c>
      <c r="C226" t="s">
        <v>111</v>
      </c>
      <c r="D226">
        <v>16</v>
      </c>
      <c r="E226">
        <v>0.68569999999999998</v>
      </c>
      <c r="F226">
        <v>-0.48</v>
      </c>
      <c r="G226">
        <v>107.1</v>
      </c>
      <c r="H226">
        <v>107.6</v>
      </c>
      <c r="I226">
        <v>69</v>
      </c>
      <c r="J226">
        <v>-8.6300000000000008</v>
      </c>
      <c r="K226">
        <v>100.9</v>
      </c>
      <c r="L226">
        <v>109.6</v>
      </c>
      <c r="M226">
        <v>0</v>
      </c>
      <c r="N226">
        <v>0</v>
      </c>
      <c r="O226">
        <v>0</v>
      </c>
      <c r="P226">
        <v>0</v>
      </c>
    </row>
    <row r="227" spans="1:16">
      <c r="A227">
        <v>2023</v>
      </c>
      <c r="B227">
        <v>218</v>
      </c>
      <c r="C227" t="s">
        <v>83</v>
      </c>
      <c r="D227">
        <v>16</v>
      </c>
      <c r="E227">
        <v>0.62860000000000005</v>
      </c>
      <c r="F227">
        <v>-3.38</v>
      </c>
      <c r="G227">
        <v>103.5</v>
      </c>
      <c r="H227">
        <v>106.9</v>
      </c>
      <c r="I227">
        <v>69</v>
      </c>
      <c r="J227">
        <v>-5.6</v>
      </c>
      <c r="K227">
        <v>101.3</v>
      </c>
      <c r="L227">
        <v>106.9</v>
      </c>
      <c r="M227">
        <v>0</v>
      </c>
      <c r="N227">
        <v>0</v>
      </c>
      <c r="O227">
        <v>0</v>
      </c>
      <c r="P227">
        <v>0</v>
      </c>
    </row>
    <row r="228" spans="1:16">
      <c r="A228">
        <v>2023</v>
      </c>
      <c r="B228">
        <v>257</v>
      </c>
      <c r="C228" t="s">
        <v>112</v>
      </c>
      <c r="D228">
        <v>16</v>
      </c>
      <c r="E228">
        <v>0.52780000000000005</v>
      </c>
      <c r="F228">
        <v>-7.21</v>
      </c>
      <c r="G228">
        <v>100.5</v>
      </c>
      <c r="H228">
        <v>107.7</v>
      </c>
      <c r="I228">
        <v>72.3</v>
      </c>
      <c r="J228">
        <v>-7.68</v>
      </c>
      <c r="K228">
        <v>101.2</v>
      </c>
      <c r="L228">
        <v>108.9</v>
      </c>
      <c r="M228">
        <v>0</v>
      </c>
      <c r="N228">
        <v>0</v>
      </c>
      <c r="O228">
        <v>0</v>
      </c>
      <c r="P228">
        <v>0</v>
      </c>
    </row>
    <row r="229" spans="1:16">
      <c r="A229">
        <v>2023</v>
      </c>
      <c r="B229">
        <v>305</v>
      </c>
      <c r="C229" t="s">
        <v>114</v>
      </c>
      <c r="D229">
        <v>16</v>
      </c>
      <c r="E229">
        <v>0.4</v>
      </c>
      <c r="F229">
        <v>-11.16</v>
      </c>
      <c r="G229">
        <v>95.4</v>
      </c>
      <c r="H229">
        <v>106.6</v>
      </c>
      <c r="I229">
        <v>69.099999999999994</v>
      </c>
      <c r="J229">
        <v>-5.47</v>
      </c>
      <c r="K229">
        <v>100.5</v>
      </c>
      <c r="L229">
        <v>106</v>
      </c>
      <c r="M229">
        <v>0</v>
      </c>
      <c r="N229">
        <v>0</v>
      </c>
      <c r="O229">
        <v>0</v>
      </c>
      <c r="P229">
        <v>0</v>
      </c>
    </row>
    <row r="230" spans="1:16">
      <c r="A230">
        <v>2022</v>
      </c>
      <c r="B230">
        <v>6</v>
      </c>
      <c r="C230" t="s">
        <v>38</v>
      </c>
      <c r="D230">
        <v>2</v>
      </c>
      <c r="E230">
        <v>0.76470000000000005</v>
      </c>
      <c r="F230">
        <v>25.72</v>
      </c>
      <c r="G230">
        <v>120</v>
      </c>
      <c r="H230">
        <v>94.3</v>
      </c>
      <c r="I230">
        <v>67.5</v>
      </c>
      <c r="J230">
        <v>8.8800000000000008</v>
      </c>
      <c r="K230">
        <v>106.5</v>
      </c>
      <c r="L230">
        <v>97.6</v>
      </c>
      <c r="M230">
        <v>0</v>
      </c>
      <c r="N230">
        <v>0</v>
      </c>
      <c r="O230">
        <v>0</v>
      </c>
      <c r="P230">
        <v>0</v>
      </c>
    </row>
    <row r="231" spans="1:16">
      <c r="A231">
        <v>2022</v>
      </c>
      <c r="B231">
        <v>13</v>
      </c>
      <c r="C231" t="s">
        <v>95</v>
      </c>
      <c r="D231">
        <v>5</v>
      </c>
      <c r="E231">
        <v>0.72219999999999995</v>
      </c>
      <c r="F231">
        <v>22.72</v>
      </c>
      <c r="G231">
        <v>120.5</v>
      </c>
      <c r="H231">
        <v>97.8</v>
      </c>
      <c r="I231">
        <v>69.7</v>
      </c>
      <c r="J231">
        <v>7.31</v>
      </c>
      <c r="K231">
        <v>107.1</v>
      </c>
      <c r="L231">
        <v>99.8</v>
      </c>
      <c r="M231">
        <v>0</v>
      </c>
      <c r="N231">
        <v>0</v>
      </c>
      <c r="O231">
        <v>0</v>
      </c>
      <c r="P231">
        <v>0</v>
      </c>
    </row>
    <row r="232" spans="1:16">
      <c r="A232">
        <v>2022</v>
      </c>
      <c r="B232">
        <v>19</v>
      </c>
      <c r="C232" t="s">
        <v>116</v>
      </c>
      <c r="D232">
        <v>11</v>
      </c>
      <c r="E232">
        <v>0.63890000000000002</v>
      </c>
      <c r="F232">
        <v>18.86</v>
      </c>
      <c r="G232">
        <v>115</v>
      </c>
      <c r="H232">
        <v>96.1</v>
      </c>
      <c r="I232">
        <v>63.3</v>
      </c>
      <c r="J232">
        <v>7.88</v>
      </c>
      <c r="K232">
        <v>107.4</v>
      </c>
      <c r="L232">
        <v>99.5</v>
      </c>
      <c r="M232">
        <v>0</v>
      </c>
      <c r="N232">
        <v>0</v>
      </c>
      <c r="O232">
        <v>0</v>
      </c>
      <c r="P232">
        <v>0</v>
      </c>
    </row>
    <row r="233" spans="1:16">
      <c r="A233">
        <v>2022</v>
      </c>
      <c r="B233">
        <v>21</v>
      </c>
      <c r="C233" t="s">
        <v>117</v>
      </c>
      <c r="D233">
        <v>6</v>
      </c>
      <c r="E233">
        <v>0.64710000000000001</v>
      </c>
      <c r="F233">
        <v>18.649999999999999</v>
      </c>
      <c r="G233">
        <v>107.3</v>
      </c>
      <c r="H233">
        <v>88.7</v>
      </c>
      <c r="I233">
        <v>68.599999999999994</v>
      </c>
      <c r="J233">
        <v>9.1</v>
      </c>
      <c r="K233">
        <v>107.2</v>
      </c>
      <c r="L233">
        <v>98.1</v>
      </c>
      <c r="M233">
        <v>0</v>
      </c>
      <c r="N233">
        <v>0</v>
      </c>
      <c r="O233">
        <v>0</v>
      </c>
      <c r="P233">
        <v>0</v>
      </c>
    </row>
    <row r="234" spans="1:16">
      <c r="A234">
        <v>2022</v>
      </c>
      <c r="B234">
        <v>22</v>
      </c>
      <c r="C234" t="s">
        <v>17</v>
      </c>
      <c r="D234">
        <v>5</v>
      </c>
      <c r="E234">
        <v>0.69699999999999995</v>
      </c>
      <c r="F234">
        <v>18.55</v>
      </c>
      <c r="G234">
        <v>113.8</v>
      </c>
      <c r="H234">
        <v>95.3</v>
      </c>
      <c r="I234">
        <v>64.8</v>
      </c>
      <c r="J234">
        <v>7.39</v>
      </c>
      <c r="K234">
        <v>105.7</v>
      </c>
      <c r="L234">
        <v>98.3</v>
      </c>
      <c r="M234">
        <v>0</v>
      </c>
      <c r="N234">
        <v>0</v>
      </c>
      <c r="O234">
        <v>0</v>
      </c>
      <c r="P234">
        <v>0</v>
      </c>
    </row>
    <row r="235" spans="1:16">
      <c r="A235">
        <v>2022</v>
      </c>
      <c r="B235">
        <v>23</v>
      </c>
      <c r="C235" t="s">
        <v>118</v>
      </c>
      <c r="D235">
        <v>10</v>
      </c>
      <c r="E235">
        <v>0.70589999999999997</v>
      </c>
      <c r="F235">
        <v>17.38</v>
      </c>
      <c r="G235">
        <v>110.5</v>
      </c>
      <c r="H235">
        <v>93.1</v>
      </c>
      <c r="I235">
        <v>68.900000000000006</v>
      </c>
      <c r="J235">
        <v>5.18</v>
      </c>
      <c r="K235">
        <v>105.5</v>
      </c>
      <c r="L235">
        <v>100.3</v>
      </c>
      <c r="M235">
        <v>0</v>
      </c>
      <c r="N235">
        <v>0</v>
      </c>
      <c r="O235">
        <v>0</v>
      </c>
      <c r="P235">
        <v>0</v>
      </c>
    </row>
    <row r="236" spans="1:16">
      <c r="A236">
        <v>2022</v>
      </c>
      <c r="B236">
        <v>25</v>
      </c>
      <c r="C236" t="s">
        <v>37</v>
      </c>
      <c r="D236">
        <v>8</v>
      </c>
      <c r="E236">
        <v>0.71879999999999999</v>
      </c>
      <c r="F236">
        <v>17.07</v>
      </c>
      <c r="G236">
        <v>103.4</v>
      </c>
      <c r="H236">
        <v>86.3</v>
      </c>
      <c r="I236">
        <v>65.400000000000006</v>
      </c>
      <c r="J236">
        <v>5.95</v>
      </c>
      <c r="K236">
        <v>105.5</v>
      </c>
      <c r="L236">
        <v>99.6</v>
      </c>
      <c r="M236">
        <v>0</v>
      </c>
      <c r="N236">
        <v>0</v>
      </c>
      <c r="O236">
        <v>0</v>
      </c>
      <c r="P236">
        <v>0</v>
      </c>
    </row>
    <row r="237" spans="1:16">
      <c r="A237">
        <v>2022</v>
      </c>
      <c r="B237">
        <v>28</v>
      </c>
      <c r="C237" t="s">
        <v>30</v>
      </c>
      <c r="D237">
        <v>6</v>
      </c>
      <c r="E237">
        <v>0.57579999999999998</v>
      </c>
      <c r="F237">
        <v>16.57</v>
      </c>
      <c r="G237">
        <v>115.2</v>
      </c>
      <c r="H237">
        <v>98.6</v>
      </c>
      <c r="I237">
        <v>71.900000000000006</v>
      </c>
      <c r="J237">
        <v>12.58</v>
      </c>
      <c r="K237">
        <v>109.4</v>
      </c>
      <c r="L237">
        <v>96.9</v>
      </c>
      <c r="M237">
        <v>0</v>
      </c>
      <c r="N237">
        <v>0</v>
      </c>
      <c r="O237">
        <v>0</v>
      </c>
      <c r="P237">
        <v>0</v>
      </c>
    </row>
    <row r="238" spans="1:16">
      <c r="A238">
        <v>2022</v>
      </c>
      <c r="B238">
        <v>29</v>
      </c>
      <c r="C238" t="s">
        <v>120</v>
      </c>
      <c r="D238">
        <v>10</v>
      </c>
      <c r="E238">
        <v>0.75760000000000005</v>
      </c>
      <c r="F238">
        <v>16.52</v>
      </c>
      <c r="G238">
        <v>108.6</v>
      </c>
      <c r="H238">
        <v>92.1</v>
      </c>
      <c r="I238">
        <v>64.7</v>
      </c>
      <c r="J238">
        <v>3.12</v>
      </c>
      <c r="K238">
        <v>104.7</v>
      </c>
      <c r="L238">
        <v>101.6</v>
      </c>
      <c r="M238">
        <v>0</v>
      </c>
      <c r="N238">
        <v>0</v>
      </c>
      <c r="O238">
        <v>0</v>
      </c>
      <c r="P238">
        <v>0</v>
      </c>
    </row>
    <row r="239" spans="1:16">
      <c r="A239">
        <v>2022</v>
      </c>
      <c r="B239">
        <v>32</v>
      </c>
      <c r="C239" t="s">
        <v>122</v>
      </c>
      <c r="D239">
        <v>4</v>
      </c>
      <c r="E239">
        <v>0.81820000000000004</v>
      </c>
      <c r="F239">
        <v>15.89</v>
      </c>
      <c r="G239">
        <v>111.5</v>
      </c>
      <c r="H239">
        <v>95.6</v>
      </c>
      <c r="I239">
        <v>65.2</v>
      </c>
      <c r="J239">
        <v>7.74</v>
      </c>
      <c r="K239">
        <v>106.7</v>
      </c>
      <c r="L239">
        <v>99</v>
      </c>
      <c r="M239">
        <v>0</v>
      </c>
      <c r="N239">
        <v>0</v>
      </c>
      <c r="O239">
        <v>0</v>
      </c>
      <c r="P239">
        <v>0</v>
      </c>
    </row>
    <row r="240" spans="1:16">
      <c r="A240">
        <v>2022</v>
      </c>
      <c r="B240">
        <v>33</v>
      </c>
      <c r="C240" t="s">
        <v>48</v>
      </c>
      <c r="D240">
        <v>1</v>
      </c>
      <c r="E240">
        <v>0.67500000000000004</v>
      </c>
      <c r="F240">
        <v>15.69</v>
      </c>
      <c r="G240">
        <v>109.1</v>
      </c>
      <c r="H240">
        <v>93.4</v>
      </c>
      <c r="I240">
        <v>66.7</v>
      </c>
      <c r="J240">
        <v>7.33</v>
      </c>
      <c r="K240">
        <v>106.2</v>
      </c>
      <c r="L240">
        <v>98.8</v>
      </c>
      <c r="M240">
        <v>0</v>
      </c>
      <c r="N240">
        <v>0</v>
      </c>
      <c r="O240">
        <v>0</v>
      </c>
      <c r="P240">
        <v>0</v>
      </c>
    </row>
    <row r="241" spans="1:16">
      <c r="A241">
        <v>2022</v>
      </c>
      <c r="B241">
        <v>39</v>
      </c>
      <c r="C241" t="s">
        <v>54</v>
      </c>
      <c r="D241">
        <v>8</v>
      </c>
      <c r="E241">
        <v>0.77139999999999997</v>
      </c>
      <c r="F241">
        <v>15.14</v>
      </c>
      <c r="G241">
        <v>107.5</v>
      </c>
      <c r="H241">
        <v>92.4</v>
      </c>
      <c r="I241">
        <v>64.400000000000006</v>
      </c>
      <c r="J241">
        <v>5.47</v>
      </c>
      <c r="K241">
        <v>104.8</v>
      </c>
      <c r="L241">
        <v>99.3</v>
      </c>
      <c r="M241">
        <v>0</v>
      </c>
      <c r="N241">
        <v>0</v>
      </c>
      <c r="O241">
        <v>0</v>
      </c>
      <c r="P241">
        <v>0</v>
      </c>
    </row>
    <row r="242" spans="1:16">
      <c r="A242">
        <v>2022</v>
      </c>
      <c r="B242">
        <v>40</v>
      </c>
      <c r="C242" t="s">
        <v>125</v>
      </c>
      <c r="D242">
        <v>10</v>
      </c>
      <c r="E242">
        <v>0.79410000000000003</v>
      </c>
      <c r="F242">
        <v>14.85</v>
      </c>
      <c r="G242">
        <v>116.8</v>
      </c>
      <c r="H242">
        <v>101.9</v>
      </c>
      <c r="I242">
        <v>64.7</v>
      </c>
      <c r="J242">
        <v>1.72</v>
      </c>
      <c r="K242">
        <v>102.7</v>
      </c>
      <c r="L242">
        <v>100.9</v>
      </c>
      <c r="M242">
        <v>0</v>
      </c>
      <c r="N242">
        <v>0</v>
      </c>
      <c r="O242">
        <v>0</v>
      </c>
      <c r="P242">
        <v>0</v>
      </c>
    </row>
    <row r="243" spans="1:16">
      <c r="A243">
        <v>2022</v>
      </c>
      <c r="B243">
        <v>43</v>
      </c>
      <c r="C243" t="s">
        <v>24</v>
      </c>
      <c r="D243">
        <v>11</v>
      </c>
      <c r="E243">
        <v>0.62860000000000005</v>
      </c>
      <c r="F243">
        <v>14.63</v>
      </c>
      <c r="G243">
        <v>103.1</v>
      </c>
      <c r="H243">
        <v>88.5</v>
      </c>
      <c r="I243">
        <v>66.3</v>
      </c>
      <c r="J243">
        <v>11.25</v>
      </c>
      <c r="K243">
        <v>108.1</v>
      </c>
      <c r="L243">
        <v>96.9</v>
      </c>
      <c r="M243">
        <v>0</v>
      </c>
      <c r="N243">
        <v>0</v>
      </c>
      <c r="O243">
        <v>0</v>
      </c>
      <c r="P243">
        <v>0</v>
      </c>
    </row>
    <row r="244" spans="1:16">
      <c r="A244">
        <v>2022</v>
      </c>
      <c r="B244">
        <v>46</v>
      </c>
      <c r="C244" t="s">
        <v>49</v>
      </c>
      <c r="D244">
        <v>6</v>
      </c>
      <c r="E244">
        <v>0.80649999999999999</v>
      </c>
      <c r="F244">
        <v>14.45</v>
      </c>
      <c r="G244">
        <v>112.9</v>
      </c>
      <c r="H244">
        <v>98.4</v>
      </c>
      <c r="I244">
        <v>65.400000000000006</v>
      </c>
      <c r="J244">
        <v>5.0199999999999996</v>
      </c>
      <c r="K244">
        <v>104.9</v>
      </c>
      <c r="L244">
        <v>99.9</v>
      </c>
      <c r="M244">
        <v>0</v>
      </c>
      <c r="N244">
        <v>0</v>
      </c>
      <c r="O244">
        <v>0</v>
      </c>
      <c r="P244">
        <v>0</v>
      </c>
    </row>
    <row r="245" spans="1:16">
      <c r="A245">
        <v>2022</v>
      </c>
      <c r="B245">
        <v>47</v>
      </c>
      <c r="C245" t="s">
        <v>96</v>
      </c>
      <c r="D245">
        <v>7</v>
      </c>
      <c r="E245">
        <v>0.76470000000000005</v>
      </c>
      <c r="F245">
        <v>14.14</v>
      </c>
      <c r="G245">
        <v>109.8</v>
      </c>
      <c r="H245">
        <v>95.6</v>
      </c>
      <c r="I245">
        <v>66.2</v>
      </c>
      <c r="J245">
        <v>5.14</v>
      </c>
      <c r="K245">
        <v>104.8</v>
      </c>
      <c r="L245">
        <v>99.7</v>
      </c>
      <c r="M245">
        <v>0</v>
      </c>
      <c r="N245">
        <v>0</v>
      </c>
      <c r="O245">
        <v>0</v>
      </c>
      <c r="P245">
        <v>0</v>
      </c>
    </row>
    <row r="246" spans="1:16">
      <c r="A246">
        <v>2022</v>
      </c>
      <c r="B246">
        <v>48</v>
      </c>
      <c r="C246" t="s">
        <v>93</v>
      </c>
      <c r="D246">
        <v>12</v>
      </c>
      <c r="E246">
        <v>0.6</v>
      </c>
      <c r="F246">
        <v>14.04</v>
      </c>
      <c r="G246">
        <v>107</v>
      </c>
      <c r="H246">
        <v>92.9</v>
      </c>
      <c r="I246">
        <v>67.2</v>
      </c>
      <c r="J246">
        <v>8.51</v>
      </c>
      <c r="K246">
        <v>108.1</v>
      </c>
      <c r="L246">
        <v>99.6</v>
      </c>
      <c r="M246">
        <v>0</v>
      </c>
      <c r="N246">
        <v>0</v>
      </c>
      <c r="O246">
        <v>0</v>
      </c>
      <c r="P246">
        <v>0</v>
      </c>
    </row>
    <row r="247" spans="1:16">
      <c r="A247">
        <v>2022</v>
      </c>
      <c r="B247">
        <v>51</v>
      </c>
      <c r="C247" t="s">
        <v>70</v>
      </c>
      <c r="D247">
        <v>12</v>
      </c>
      <c r="E247">
        <v>0.77139999999999997</v>
      </c>
      <c r="F247">
        <v>13.67</v>
      </c>
      <c r="G247">
        <v>112.4</v>
      </c>
      <c r="H247">
        <v>98.8</v>
      </c>
      <c r="I247">
        <v>68.900000000000006</v>
      </c>
      <c r="J247">
        <v>-0.77</v>
      </c>
      <c r="K247">
        <v>102</v>
      </c>
      <c r="L247">
        <v>102.8</v>
      </c>
      <c r="M247">
        <v>0</v>
      </c>
      <c r="N247">
        <v>0</v>
      </c>
      <c r="O247">
        <v>0</v>
      </c>
      <c r="P247">
        <v>0</v>
      </c>
    </row>
    <row r="248" spans="1:16">
      <c r="A248">
        <v>2022</v>
      </c>
      <c r="B248">
        <v>52</v>
      </c>
      <c r="C248" t="s">
        <v>126</v>
      </c>
      <c r="D248">
        <v>8</v>
      </c>
      <c r="E248">
        <v>0.65620000000000001</v>
      </c>
      <c r="F248">
        <v>13.61</v>
      </c>
      <c r="G248">
        <v>107.1</v>
      </c>
      <c r="H248">
        <v>93.5</v>
      </c>
      <c r="I248">
        <v>67.3</v>
      </c>
      <c r="J248">
        <v>8.91</v>
      </c>
      <c r="K248">
        <v>107.5</v>
      </c>
      <c r="L248">
        <v>98.6</v>
      </c>
      <c r="M248">
        <v>0</v>
      </c>
      <c r="N248">
        <v>0</v>
      </c>
      <c r="O248">
        <v>0</v>
      </c>
      <c r="P248">
        <v>0</v>
      </c>
    </row>
    <row r="249" spans="1:16">
      <c r="A249">
        <v>2022</v>
      </c>
      <c r="B249">
        <v>54</v>
      </c>
      <c r="C249" t="s">
        <v>69</v>
      </c>
      <c r="D249">
        <v>13</v>
      </c>
      <c r="E249">
        <v>0.82350000000000001</v>
      </c>
      <c r="F249">
        <v>13.2</v>
      </c>
      <c r="G249">
        <v>111.1</v>
      </c>
      <c r="H249">
        <v>97.9</v>
      </c>
      <c r="I249">
        <v>64.900000000000006</v>
      </c>
      <c r="J249">
        <v>-7</v>
      </c>
      <c r="K249">
        <v>99</v>
      </c>
      <c r="L249">
        <v>106</v>
      </c>
      <c r="M249">
        <v>0</v>
      </c>
      <c r="N249">
        <v>0</v>
      </c>
      <c r="O249">
        <v>0</v>
      </c>
      <c r="P249">
        <v>0</v>
      </c>
    </row>
    <row r="250" spans="1:16">
      <c r="A250">
        <v>2022</v>
      </c>
      <c r="B250">
        <v>56</v>
      </c>
      <c r="C250" t="s">
        <v>29</v>
      </c>
      <c r="D250">
        <v>9</v>
      </c>
      <c r="E250">
        <v>0.59379999999999999</v>
      </c>
      <c r="F250">
        <v>13.06</v>
      </c>
      <c r="G250">
        <v>109.2</v>
      </c>
      <c r="H250">
        <v>96.2</v>
      </c>
      <c r="I250">
        <v>70.900000000000006</v>
      </c>
      <c r="J250">
        <v>9.5</v>
      </c>
      <c r="K250">
        <v>107.3</v>
      </c>
      <c r="L250">
        <v>97.8</v>
      </c>
      <c r="M250">
        <v>0</v>
      </c>
      <c r="N250">
        <v>0</v>
      </c>
      <c r="O250">
        <v>0</v>
      </c>
      <c r="P250">
        <v>0</v>
      </c>
    </row>
    <row r="251" spans="1:16">
      <c r="A251">
        <v>2022</v>
      </c>
      <c r="B251">
        <v>65</v>
      </c>
      <c r="C251" t="s">
        <v>127</v>
      </c>
      <c r="D251">
        <v>12</v>
      </c>
      <c r="E251">
        <v>0.73529999999999995</v>
      </c>
      <c r="F251">
        <v>11.94</v>
      </c>
      <c r="G251">
        <v>109.1</v>
      </c>
      <c r="H251">
        <v>97.2</v>
      </c>
      <c r="I251">
        <v>66.099999999999994</v>
      </c>
      <c r="J251">
        <v>4.0999999999999996</v>
      </c>
      <c r="K251">
        <v>104.7</v>
      </c>
      <c r="L251">
        <v>100.6</v>
      </c>
      <c r="M251">
        <v>0</v>
      </c>
      <c r="N251">
        <v>0</v>
      </c>
      <c r="O251">
        <v>0</v>
      </c>
      <c r="P251">
        <v>0</v>
      </c>
    </row>
    <row r="252" spans="1:16">
      <c r="A252">
        <v>2022</v>
      </c>
      <c r="B252">
        <v>67</v>
      </c>
      <c r="C252" t="s">
        <v>128</v>
      </c>
      <c r="D252">
        <v>13</v>
      </c>
      <c r="E252">
        <v>0.77139999999999997</v>
      </c>
      <c r="F252">
        <v>11.51</v>
      </c>
      <c r="G252">
        <v>109</v>
      </c>
      <c r="H252">
        <v>97.5</v>
      </c>
      <c r="I252">
        <v>64.7</v>
      </c>
      <c r="J252">
        <v>0.46</v>
      </c>
      <c r="K252">
        <v>105.1</v>
      </c>
      <c r="L252">
        <v>104.7</v>
      </c>
      <c r="M252">
        <v>0</v>
      </c>
      <c r="N252">
        <v>0</v>
      </c>
      <c r="O252">
        <v>0</v>
      </c>
      <c r="P252">
        <v>0</v>
      </c>
    </row>
    <row r="253" spans="1:16">
      <c r="A253">
        <v>2022</v>
      </c>
      <c r="B253">
        <v>77</v>
      </c>
      <c r="C253" t="s">
        <v>129</v>
      </c>
      <c r="D253">
        <v>11</v>
      </c>
      <c r="E253">
        <v>0.5625</v>
      </c>
      <c r="F253">
        <v>10.82</v>
      </c>
      <c r="G253">
        <v>106.9</v>
      </c>
      <c r="H253">
        <v>96.1</v>
      </c>
      <c r="I253">
        <v>64.900000000000006</v>
      </c>
      <c r="J253">
        <v>7.92</v>
      </c>
      <c r="K253">
        <v>108.1</v>
      </c>
      <c r="L253">
        <v>100.2</v>
      </c>
      <c r="M253">
        <v>0</v>
      </c>
      <c r="N253">
        <v>0</v>
      </c>
      <c r="O253">
        <v>0</v>
      </c>
      <c r="P253">
        <v>0</v>
      </c>
    </row>
    <row r="254" spans="1:16">
      <c r="A254">
        <v>2022</v>
      </c>
      <c r="B254">
        <v>81</v>
      </c>
      <c r="C254" t="s">
        <v>75</v>
      </c>
      <c r="D254">
        <v>13</v>
      </c>
      <c r="E254">
        <v>0.85709999999999997</v>
      </c>
      <c r="F254">
        <v>10.58</v>
      </c>
      <c r="G254">
        <v>115.4</v>
      </c>
      <c r="H254">
        <v>104.8</v>
      </c>
      <c r="I254">
        <v>69.400000000000006</v>
      </c>
      <c r="J254">
        <v>-4.16</v>
      </c>
      <c r="K254">
        <v>102.9</v>
      </c>
      <c r="L254">
        <v>107.1</v>
      </c>
      <c r="M254">
        <v>0</v>
      </c>
      <c r="N254">
        <v>0</v>
      </c>
      <c r="O254">
        <v>0</v>
      </c>
      <c r="P254">
        <v>0</v>
      </c>
    </row>
    <row r="255" spans="1:16">
      <c r="A255">
        <v>2022</v>
      </c>
      <c r="B255">
        <v>117</v>
      </c>
      <c r="C255" t="s">
        <v>76</v>
      </c>
      <c r="D255">
        <v>14</v>
      </c>
      <c r="E255">
        <v>0.65710000000000002</v>
      </c>
      <c r="F255">
        <v>4.41</v>
      </c>
      <c r="G255">
        <v>108.2</v>
      </c>
      <c r="H255">
        <v>103.8</v>
      </c>
      <c r="I255">
        <v>67.2</v>
      </c>
      <c r="J255">
        <v>-7.4</v>
      </c>
      <c r="K255">
        <v>99.3</v>
      </c>
      <c r="L255">
        <v>106.7</v>
      </c>
      <c r="M255">
        <v>0</v>
      </c>
      <c r="N255">
        <v>0</v>
      </c>
      <c r="O255">
        <v>0</v>
      </c>
      <c r="P255">
        <v>0</v>
      </c>
    </row>
    <row r="256" spans="1:16">
      <c r="A256">
        <v>2022</v>
      </c>
      <c r="B256">
        <v>126</v>
      </c>
      <c r="C256" t="s">
        <v>72</v>
      </c>
      <c r="D256">
        <v>13</v>
      </c>
      <c r="E256">
        <v>0.70589999999999997</v>
      </c>
      <c r="F256">
        <v>3.62</v>
      </c>
      <c r="G256">
        <v>105.6</v>
      </c>
      <c r="H256">
        <v>102</v>
      </c>
      <c r="I256">
        <v>62.1</v>
      </c>
      <c r="J256">
        <v>-5.13</v>
      </c>
      <c r="K256">
        <v>100.7</v>
      </c>
      <c r="L256">
        <v>105.8</v>
      </c>
      <c r="M256">
        <v>0</v>
      </c>
      <c r="N256">
        <v>0</v>
      </c>
      <c r="O256">
        <v>0</v>
      </c>
      <c r="P256">
        <v>0</v>
      </c>
    </row>
    <row r="257" spans="1:16">
      <c r="A257">
        <v>2022</v>
      </c>
      <c r="B257">
        <v>138</v>
      </c>
      <c r="C257" t="s">
        <v>81</v>
      </c>
      <c r="D257">
        <v>14</v>
      </c>
      <c r="E257">
        <v>0.77139999999999997</v>
      </c>
      <c r="F257">
        <v>2.94</v>
      </c>
      <c r="G257">
        <v>104.3</v>
      </c>
      <c r="H257">
        <v>101.4</v>
      </c>
      <c r="I257">
        <v>67.5</v>
      </c>
      <c r="J257">
        <v>-6.02</v>
      </c>
      <c r="K257">
        <v>101.6</v>
      </c>
      <c r="L257">
        <v>107.6</v>
      </c>
      <c r="M257">
        <v>0</v>
      </c>
      <c r="N257">
        <v>0</v>
      </c>
      <c r="O257">
        <v>0</v>
      </c>
      <c r="P257">
        <v>0</v>
      </c>
    </row>
    <row r="258" spans="1:16">
      <c r="A258">
        <v>2022</v>
      </c>
      <c r="B258">
        <v>141</v>
      </c>
      <c r="C258" t="s">
        <v>132</v>
      </c>
      <c r="D258">
        <v>15</v>
      </c>
      <c r="E258">
        <v>0.62860000000000005</v>
      </c>
      <c r="F258">
        <v>2.64</v>
      </c>
      <c r="G258">
        <v>107</v>
      </c>
      <c r="H258">
        <v>104.3</v>
      </c>
      <c r="I258">
        <v>66.7</v>
      </c>
      <c r="J258">
        <v>-1.57</v>
      </c>
      <c r="K258">
        <v>102.3</v>
      </c>
      <c r="L258">
        <v>103.8</v>
      </c>
      <c r="M258">
        <v>0</v>
      </c>
      <c r="N258">
        <v>0</v>
      </c>
      <c r="O258">
        <v>0</v>
      </c>
      <c r="P258">
        <v>0</v>
      </c>
    </row>
    <row r="259" spans="1:16">
      <c r="A259">
        <v>2022</v>
      </c>
      <c r="B259">
        <v>145</v>
      </c>
      <c r="C259" t="s">
        <v>77</v>
      </c>
      <c r="D259">
        <v>14</v>
      </c>
      <c r="E259">
        <v>0.78790000000000004</v>
      </c>
      <c r="F259">
        <v>2.2200000000000002</v>
      </c>
      <c r="G259">
        <v>105.9</v>
      </c>
      <c r="H259">
        <v>103.7</v>
      </c>
      <c r="I259">
        <v>66.099999999999994</v>
      </c>
      <c r="J259">
        <v>-7.31</v>
      </c>
      <c r="K259">
        <v>98.7</v>
      </c>
      <c r="L259">
        <v>106</v>
      </c>
      <c r="M259">
        <v>0</v>
      </c>
      <c r="N259">
        <v>0</v>
      </c>
      <c r="O259">
        <v>0</v>
      </c>
      <c r="P259">
        <v>0</v>
      </c>
    </row>
    <row r="260" spans="1:16">
      <c r="A260">
        <v>2022</v>
      </c>
      <c r="B260">
        <v>147</v>
      </c>
      <c r="C260" t="s">
        <v>67</v>
      </c>
      <c r="D260">
        <v>14</v>
      </c>
      <c r="E260">
        <v>0.6129</v>
      </c>
      <c r="F260">
        <v>1.98</v>
      </c>
      <c r="G260">
        <v>100.7</v>
      </c>
      <c r="H260">
        <v>98.8</v>
      </c>
      <c r="I260">
        <v>68.8</v>
      </c>
      <c r="J260">
        <v>-1.48</v>
      </c>
      <c r="K260">
        <v>103.3</v>
      </c>
      <c r="L260">
        <v>104.8</v>
      </c>
      <c r="M260">
        <v>0</v>
      </c>
      <c r="N260">
        <v>0</v>
      </c>
      <c r="O260">
        <v>0</v>
      </c>
      <c r="P260">
        <v>0</v>
      </c>
    </row>
    <row r="261" spans="1:16">
      <c r="A261">
        <v>2022</v>
      </c>
      <c r="B261">
        <v>148</v>
      </c>
      <c r="C261" t="s">
        <v>133</v>
      </c>
      <c r="D261">
        <v>15</v>
      </c>
      <c r="E261">
        <v>0.65620000000000001</v>
      </c>
      <c r="F261">
        <v>1.97</v>
      </c>
      <c r="G261">
        <v>105.1</v>
      </c>
      <c r="H261">
        <v>103.2</v>
      </c>
      <c r="I261">
        <v>65.099999999999994</v>
      </c>
      <c r="J261">
        <v>-4.68</v>
      </c>
      <c r="K261">
        <v>100.6</v>
      </c>
      <c r="L261">
        <v>105.3</v>
      </c>
      <c r="M261">
        <v>0</v>
      </c>
      <c r="N261">
        <v>0</v>
      </c>
      <c r="O261">
        <v>0</v>
      </c>
      <c r="P261">
        <v>0</v>
      </c>
    </row>
    <row r="262" spans="1:16">
      <c r="A262">
        <v>2022</v>
      </c>
      <c r="B262">
        <v>150</v>
      </c>
      <c r="C262" t="s">
        <v>134</v>
      </c>
      <c r="D262">
        <v>16</v>
      </c>
      <c r="E262">
        <v>0.62070000000000003</v>
      </c>
      <c r="F262">
        <v>1.6</v>
      </c>
      <c r="G262">
        <v>101.5</v>
      </c>
      <c r="H262">
        <v>99.9</v>
      </c>
      <c r="I262">
        <v>67.3</v>
      </c>
      <c r="J262">
        <v>-0.97</v>
      </c>
      <c r="K262">
        <v>101.2</v>
      </c>
      <c r="L262">
        <v>102.1</v>
      </c>
      <c r="M262">
        <v>0</v>
      </c>
      <c r="N262">
        <v>0</v>
      </c>
      <c r="O262">
        <v>0</v>
      </c>
      <c r="P262">
        <v>0</v>
      </c>
    </row>
    <row r="263" spans="1:16">
      <c r="A263">
        <v>2022</v>
      </c>
      <c r="B263">
        <v>154</v>
      </c>
      <c r="C263" t="s">
        <v>135</v>
      </c>
      <c r="D263">
        <v>15</v>
      </c>
      <c r="E263">
        <v>0.65620000000000001</v>
      </c>
      <c r="F263">
        <v>1.47</v>
      </c>
      <c r="G263">
        <v>104.1</v>
      </c>
      <c r="H263">
        <v>102.7</v>
      </c>
      <c r="I263">
        <v>66.099999999999994</v>
      </c>
      <c r="J263">
        <v>-2.99</v>
      </c>
      <c r="K263">
        <v>100.5</v>
      </c>
      <c r="L263">
        <v>103.5</v>
      </c>
      <c r="M263">
        <v>0</v>
      </c>
      <c r="N263">
        <v>0</v>
      </c>
      <c r="O263">
        <v>0</v>
      </c>
      <c r="P263">
        <v>0</v>
      </c>
    </row>
    <row r="264" spans="1:16">
      <c r="A264">
        <v>2022</v>
      </c>
      <c r="B264">
        <v>172</v>
      </c>
      <c r="C264" t="s">
        <v>136</v>
      </c>
      <c r="D264">
        <v>16</v>
      </c>
      <c r="E264">
        <v>0.61109999999999998</v>
      </c>
      <c r="F264">
        <v>-0.28000000000000003</v>
      </c>
      <c r="G264">
        <v>106.3</v>
      </c>
      <c r="H264">
        <v>106.6</v>
      </c>
      <c r="I264">
        <v>68.900000000000006</v>
      </c>
      <c r="J264">
        <v>-6.76</v>
      </c>
      <c r="K264">
        <v>100.2</v>
      </c>
      <c r="L264">
        <v>107</v>
      </c>
      <c r="M264">
        <v>0</v>
      </c>
      <c r="N264">
        <v>0</v>
      </c>
      <c r="O264">
        <v>0</v>
      </c>
      <c r="P264">
        <v>0</v>
      </c>
    </row>
    <row r="265" spans="1:16">
      <c r="A265">
        <v>2022</v>
      </c>
      <c r="B265">
        <v>176</v>
      </c>
      <c r="C265" t="s">
        <v>137</v>
      </c>
      <c r="D265">
        <v>16</v>
      </c>
      <c r="E265">
        <v>0.7742</v>
      </c>
      <c r="F265">
        <v>-0.49</v>
      </c>
      <c r="G265">
        <v>102.1</v>
      </c>
      <c r="H265">
        <v>102.6</v>
      </c>
      <c r="I265">
        <v>66.8</v>
      </c>
      <c r="J265">
        <v>-10.02</v>
      </c>
      <c r="K265">
        <v>95.5</v>
      </c>
      <c r="L265">
        <v>105.5</v>
      </c>
      <c r="M265">
        <v>0</v>
      </c>
      <c r="N265">
        <v>0</v>
      </c>
      <c r="O265">
        <v>0</v>
      </c>
      <c r="P265">
        <v>0</v>
      </c>
    </row>
    <row r="266" spans="1:16">
      <c r="A266">
        <v>2022</v>
      </c>
      <c r="B266">
        <v>187</v>
      </c>
      <c r="C266" t="s">
        <v>114</v>
      </c>
      <c r="D266">
        <v>16</v>
      </c>
      <c r="E266">
        <v>0.59379999999999999</v>
      </c>
      <c r="F266">
        <v>-1.28</v>
      </c>
      <c r="G266">
        <v>97.6</v>
      </c>
      <c r="H266">
        <v>98.9</v>
      </c>
      <c r="I266">
        <v>68.2</v>
      </c>
      <c r="J266">
        <v>-6.25</v>
      </c>
      <c r="K266">
        <v>98.7</v>
      </c>
      <c r="L266">
        <v>105</v>
      </c>
      <c r="M266">
        <v>0</v>
      </c>
      <c r="N266">
        <v>0</v>
      </c>
      <c r="O266">
        <v>0</v>
      </c>
      <c r="P266">
        <v>0</v>
      </c>
    </row>
    <row r="267" spans="1:16">
      <c r="A267">
        <v>2022</v>
      </c>
      <c r="B267">
        <v>189</v>
      </c>
      <c r="C267" t="s">
        <v>138</v>
      </c>
      <c r="D267">
        <v>16</v>
      </c>
      <c r="E267">
        <v>0.6875</v>
      </c>
      <c r="F267">
        <v>-1.32</v>
      </c>
      <c r="G267">
        <v>103.8</v>
      </c>
      <c r="H267">
        <v>105.1</v>
      </c>
      <c r="I267">
        <v>72.599999999999994</v>
      </c>
      <c r="J267">
        <v>-8.4700000000000006</v>
      </c>
      <c r="K267">
        <v>98</v>
      </c>
      <c r="L267">
        <v>106.5</v>
      </c>
      <c r="M267">
        <v>0</v>
      </c>
      <c r="N267">
        <v>0</v>
      </c>
      <c r="O267">
        <v>0</v>
      </c>
      <c r="P267">
        <v>0</v>
      </c>
    </row>
    <row r="268" spans="1:16">
      <c r="A268">
        <v>2021</v>
      </c>
      <c r="B268">
        <v>8</v>
      </c>
      <c r="C268" t="s">
        <v>39</v>
      </c>
      <c r="D268">
        <v>5</v>
      </c>
      <c r="E268">
        <v>0.71879999999999999</v>
      </c>
      <c r="F268">
        <v>25.1</v>
      </c>
      <c r="G268">
        <v>116.3</v>
      </c>
      <c r="H268">
        <v>91.2</v>
      </c>
      <c r="I268">
        <v>66.099999999999994</v>
      </c>
      <c r="J268">
        <v>15.43</v>
      </c>
      <c r="K268">
        <v>110.3</v>
      </c>
      <c r="L268">
        <v>94.9</v>
      </c>
      <c r="M268">
        <v>0</v>
      </c>
      <c r="N268">
        <v>0</v>
      </c>
      <c r="O268">
        <v>0</v>
      </c>
      <c r="P268">
        <v>0</v>
      </c>
    </row>
    <row r="269" spans="1:16">
      <c r="A269">
        <v>2021</v>
      </c>
      <c r="B269">
        <v>11</v>
      </c>
      <c r="C269" t="s">
        <v>121</v>
      </c>
      <c r="D269">
        <v>2</v>
      </c>
      <c r="E269">
        <v>0.6774</v>
      </c>
      <c r="F269">
        <v>23.58</v>
      </c>
      <c r="G269">
        <v>120.7</v>
      </c>
      <c r="H269">
        <v>97.1</v>
      </c>
      <c r="I269">
        <v>66.7</v>
      </c>
      <c r="J269">
        <v>17.899999999999999</v>
      </c>
      <c r="K269">
        <v>111.6</v>
      </c>
      <c r="L269">
        <v>93.7</v>
      </c>
      <c r="M269">
        <v>0</v>
      </c>
      <c r="N269">
        <v>0</v>
      </c>
      <c r="O269">
        <v>0</v>
      </c>
      <c r="P269">
        <v>0</v>
      </c>
    </row>
    <row r="270" spans="1:16">
      <c r="A270">
        <v>2021</v>
      </c>
      <c r="B270">
        <v>19</v>
      </c>
      <c r="C270" t="s">
        <v>64</v>
      </c>
      <c r="D270">
        <v>4</v>
      </c>
      <c r="E270">
        <v>0.72</v>
      </c>
      <c r="F270">
        <v>21.42</v>
      </c>
      <c r="G270">
        <v>114.7</v>
      </c>
      <c r="H270">
        <v>93.3</v>
      </c>
      <c r="I270">
        <v>59.9</v>
      </c>
      <c r="J270">
        <v>12.05</v>
      </c>
      <c r="K270">
        <v>109.8</v>
      </c>
      <c r="L270">
        <v>97.8</v>
      </c>
      <c r="M270">
        <v>0</v>
      </c>
      <c r="N270">
        <v>0</v>
      </c>
      <c r="O270">
        <v>0</v>
      </c>
      <c r="P270">
        <v>0</v>
      </c>
    </row>
    <row r="271" spans="1:16">
      <c r="A271">
        <v>2021</v>
      </c>
      <c r="B271">
        <v>20</v>
      </c>
      <c r="C271" t="s">
        <v>34</v>
      </c>
      <c r="D271">
        <v>6</v>
      </c>
      <c r="E271">
        <v>0.74070000000000003</v>
      </c>
      <c r="F271">
        <v>21.12</v>
      </c>
      <c r="G271">
        <v>113.7</v>
      </c>
      <c r="H271">
        <v>92.5</v>
      </c>
      <c r="I271">
        <v>67.599999999999994</v>
      </c>
      <c r="J271">
        <v>12.31</v>
      </c>
      <c r="K271">
        <v>109.1</v>
      </c>
      <c r="L271">
        <v>96.8</v>
      </c>
      <c r="M271">
        <v>0</v>
      </c>
      <c r="N271">
        <v>0</v>
      </c>
      <c r="O271">
        <v>0</v>
      </c>
      <c r="P271">
        <v>0</v>
      </c>
    </row>
    <row r="272" spans="1:16">
      <c r="A272">
        <v>2021</v>
      </c>
      <c r="B272">
        <v>21</v>
      </c>
      <c r="C272" t="s">
        <v>17</v>
      </c>
      <c r="D272">
        <v>7</v>
      </c>
      <c r="E272">
        <v>0.6522</v>
      </c>
      <c r="F272">
        <v>20.61</v>
      </c>
      <c r="G272">
        <v>113.1</v>
      </c>
      <c r="H272">
        <v>92.5</v>
      </c>
      <c r="I272">
        <v>65.5</v>
      </c>
      <c r="J272">
        <v>12.99</v>
      </c>
      <c r="K272">
        <v>108.2</v>
      </c>
      <c r="L272">
        <v>95.2</v>
      </c>
      <c r="M272">
        <v>0</v>
      </c>
      <c r="N272">
        <v>0</v>
      </c>
      <c r="O272">
        <v>0</v>
      </c>
      <c r="P272">
        <v>0</v>
      </c>
    </row>
    <row r="273" spans="1:16">
      <c r="A273">
        <v>2021</v>
      </c>
      <c r="B273">
        <v>25</v>
      </c>
      <c r="C273" t="s">
        <v>19</v>
      </c>
      <c r="D273">
        <v>4</v>
      </c>
      <c r="E273">
        <v>0.64290000000000003</v>
      </c>
      <c r="F273">
        <v>20.329999999999998</v>
      </c>
      <c r="G273">
        <v>113.3</v>
      </c>
      <c r="H273">
        <v>92.9</v>
      </c>
      <c r="I273">
        <v>66.099999999999994</v>
      </c>
      <c r="J273">
        <v>16.61</v>
      </c>
      <c r="K273">
        <v>111.2</v>
      </c>
      <c r="L273">
        <v>94.6</v>
      </c>
      <c r="M273">
        <v>0</v>
      </c>
      <c r="N273">
        <v>0</v>
      </c>
      <c r="O273">
        <v>0</v>
      </c>
      <c r="P273">
        <v>0</v>
      </c>
    </row>
    <row r="274" spans="1:16">
      <c r="A274">
        <v>2021</v>
      </c>
      <c r="B274">
        <v>26</v>
      </c>
      <c r="C274" t="s">
        <v>40</v>
      </c>
      <c r="D274">
        <v>3</v>
      </c>
      <c r="E274">
        <v>0.70369999999999999</v>
      </c>
      <c r="F274">
        <v>20.309999999999999</v>
      </c>
      <c r="G274">
        <v>113.1</v>
      </c>
      <c r="H274">
        <v>92.8</v>
      </c>
      <c r="I274">
        <v>68.599999999999994</v>
      </c>
      <c r="J274">
        <v>14.52</v>
      </c>
      <c r="K274">
        <v>109.2</v>
      </c>
      <c r="L274">
        <v>94.7</v>
      </c>
      <c r="M274">
        <v>0</v>
      </c>
      <c r="N274">
        <v>0</v>
      </c>
      <c r="O274">
        <v>0</v>
      </c>
      <c r="P274">
        <v>0</v>
      </c>
    </row>
    <row r="275" spans="1:16">
      <c r="A275">
        <v>2021</v>
      </c>
      <c r="B275">
        <v>28</v>
      </c>
      <c r="C275" t="s">
        <v>21</v>
      </c>
      <c r="D275">
        <v>5</v>
      </c>
      <c r="E275">
        <v>0.66669999999999996</v>
      </c>
      <c r="F275">
        <v>19.95</v>
      </c>
      <c r="G275">
        <v>108</v>
      </c>
      <c r="H275">
        <v>88.1</v>
      </c>
      <c r="I275">
        <v>67.099999999999994</v>
      </c>
      <c r="J275">
        <v>13.11</v>
      </c>
      <c r="K275">
        <v>108.9</v>
      </c>
      <c r="L275">
        <v>95.8</v>
      </c>
      <c r="M275">
        <v>0</v>
      </c>
      <c r="N275">
        <v>0</v>
      </c>
      <c r="O275">
        <v>0</v>
      </c>
      <c r="P275">
        <v>0</v>
      </c>
    </row>
    <row r="276" spans="1:16">
      <c r="A276">
        <v>2021</v>
      </c>
      <c r="B276">
        <v>30</v>
      </c>
      <c r="C276" t="s">
        <v>37</v>
      </c>
      <c r="D276">
        <v>6</v>
      </c>
      <c r="E276">
        <v>0.82140000000000002</v>
      </c>
      <c r="F276">
        <v>19.88</v>
      </c>
      <c r="G276">
        <v>111</v>
      </c>
      <c r="H276">
        <v>91.1</v>
      </c>
      <c r="I276">
        <v>65.5</v>
      </c>
      <c r="J276">
        <v>7.22</v>
      </c>
      <c r="K276">
        <v>106.4</v>
      </c>
      <c r="L276">
        <v>99.2</v>
      </c>
      <c r="M276">
        <v>0</v>
      </c>
      <c r="N276">
        <v>0</v>
      </c>
      <c r="O276">
        <v>0</v>
      </c>
      <c r="P276">
        <v>0</v>
      </c>
    </row>
    <row r="277" spans="1:16">
      <c r="A277">
        <v>2021</v>
      </c>
      <c r="B277">
        <v>32</v>
      </c>
      <c r="C277" t="s">
        <v>140</v>
      </c>
      <c r="D277">
        <v>9</v>
      </c>
      <c r="E277">
        <v>0.76190000000000002</v>
      </c>
      <c r="F277">
        <v>19.04</v>
      </c>
      <c r="G277">
        <v>110</v>
      </c>
      <c r="H277">
        <v>91</v>
      </c>
      <c r="I277">
        <v>64.8</v>
      </c>
      <c r="J277">
        <v>8.5299999999999994</v>
      </c>
      <c r="K277">
        <v>106.6</v>
      </c>
      <c r="L277">
        <v>98</v>
      </c>
      <c r="M277">
        <v>0</v>
      </c>
      <c r="N277">
        <v>0</v>
      </c>
      <c r="O277">
        <v>0</v>
      </c>
      <c r="P277">
        <v>0</v>
      </c>
    </row>
    <row r="278" spans="1:16">
      <c r="A278">
        <v>2021</v>
      </c>
      <c r="B278">
        <v>34</v>
      </c>
      <c r="C278" t="s">
        <v>25</v>
      </c>
      <c r="D278">
        <v>8</v>
      </c>
      <c r="E278">
        <v>0.62070000000000003</v>
      </c>
      <c r="F278">
        <v>18.62</v>
      </c>
      <c r="G278">
        <v>110.3</v>
      </c>
      <c r="H278">
        <v>91.7</v>
      </c>
      <c r="I278">
        <v>71.5</v>
      </c>
      <c r="J278">
        <v>14.79</v>
      </c>
      <c r="K278">
        <v>110.9</v>
      </c>
      <c r="L278">
        <v>96.1</v>
      </c>
      <c r="M278">
        <v>0</v>
      </c>
      <c r="N278">
        <v>0</v>
      </c>
      <c r="O278">
        <v>0</v>
      </c>
      <c r="P278">
        <v>0</v>
      </c>
    </row>
    <row r="279" spans="1:16">
      <c r="A279">
        <v>2021</v>
      </c>
      <c r="B279">
        <v>37</v>
      </c>
      <c r="C279" t="s">
        <v>142</v>
      </c>
      <c r="D279">
        <v>9</v>
      </c>
      <c r="E279">
        <v>0.65380000000000005</v>
      </c>
      <c r="F279">
        <v>17.5</v>
      </c>
      <c r="G279">
        <v>113.7</v>
      </c>
      <c r="H279">
        <v>96.2</v>
      </c>
      <c r="I279">
        <v>67.3</v>
      </c>
      <c r="J279">
        <v>12.7</v>
      </c>
      <c r="K279">
        <v>108.7</v>
      </c>
      <c r="L279">
        <v>96</v>
      </c>
      <c r="M279">
        <v>0</v>
      </c>
      <c r="N279">
        <v>0</v>
      </c>
      <c r="O279">
        <v>0</v>
      </c>
      <c r="P279">
        <v>0</v>
      </c>
    </row>
    <row r="280" spans="1:16">
      <c r="A280">
        <v>2021</v>
      </c>
      <c r="B280">
        <v>45</v>
      </c>
      <c r="C280" t="s">
        <v>35</v>
      </c>
      <c r="D280">
        <v>7</v>
      </c>
      <c r="E280">
        <v>0.66669999999999996</v>
      </c>
      <c r="F280">
        <v>15.48</v>
      </c>
      <c r="G280">
        <v>106.4</v>
      </c>
      <c r="H280">
        <v>90.9</v>
      </c>
      <c r="I280">
        <v>64</v>
      </c>
      <c r="J280">
        <v>14.39</v>
      </c>
      <c r="K280">
        <v>109.7</v>
      </c>
      <c r="L280">
        <v>95.3</v>
      </c>
      <c r="M280">
        <v>0</v>
      </c>
      <c r="N280">
        <v>0</v>
      </c>
      <c r="O280">
        <v>0</v>
      </c>
      <c r="P280">
        <v>0</v>
      </c>
    </row>
    <row r="281" spans="1:16">
      <c r="A281">
        <v>2021</v>
      </c>
      <c r="B281">
        <v>46</v>
      </c>
      <c r="C281" t="s">
        <v>57</v>
      </c>
      <c r="D281">
        <v>11</v>
      </c>
      <c r="E281">
        <v>0.69230000000000003</v>
      </c>
      <c r="F281">
        <v>15.34</v>
      </c>
      <c r="G281">
        <v>104.8</v>
      </c>
      <c r="H281">
        <v>89.5</v>
      </c>
      <c r="I281">
        <v>68.599999999999994</v>
      </c>
      <c r="J281">
        <v>5.64</v>
      </c>
      <c r="K281">
        <v>105.4</v>
      </c>
      <c r="L281">
        <v>99.7</v>
      </c>
      <c r="M281">
        <v>0</v>
      </c>
      <c r="N281">
        <v>0</v>
      </c>
      <c r="O281">
        <v>0</v>
      </c>
      <c r="P281">
        <v>0</v>
      </c>
    </row>
    <row r="282" spans="1:16">
      <c r="A282">
        <v>2021</v>
      </c>
      <c r="B282">
        <v>47</v>
      </c>
      <c r="C282" t="s">
        <v>98</v>
      </c>
      <c r="D282">
        <v>9</v>
      </c>
      <c r="E282">
        <v>0.61539999999999995</v>
      </c>
      <c r="F282">
        <v>15.14</v>
      </c>
      <c r="G282">
        <v>110.6</v>
      </c>
      <c r="H282">
        <v>95.5</v>
      </c>
      <c r="I282">
        <v>68.400000000000006</v>
      </c>
      <c r="J282">
        <v>15.85</v>
      </c>
      <c r="K282">
        <v>110.2</v>
      </c>
      <c r="L282">
        <v>94.4</v>
      </c>
      <c r="M282">
        <v>0</v>
      </c>
      <c r="N282">
        <v>0</v>
      </c>
      <c r="O282">
        <v>0</v>
      </c>
      <c r="P282">
        <v>0</v>
      </c>
    </row>
    <row r="283" spans="1:16">
      <c r="A283">
        <v>2021</v>
      </c>
      <c r="B283">
        <v>48</v>
      </c>
      <c r="C283" t="s">
        <v>100</v>
      </c>
      <c r="D283">
        <v>10</v>
      </c>
      <c r="E283">
        <v>0.73080000000000001</v>
      </c>
      <c r="F283">
        <v>15.04</v>
      </c>
      <c r="G283">
        <v>105.2</v>
      </c>
      <c r="H283">
        <v>90.2</v>
      </c>
      <c r="I283">
        <v>69.599999999999994</v>
      </c>
      <c r="J283">
        <v>8.57</v>
      </c>
      <c r="K283">
        <v>106.5</v>
      </c>
      <c r="L283">
        <v>98</v>
      </c>
      <c r="M283">
        <v>0</v>
      </c>
      <c r="N283">
        <v>0</v>
      </c>
      <c r="O283">
        <v>0</v>
      </c>
      <c r="P283">
        <v>0</v>
      </c>
    </row>
    <row r="284" spans="1:16">
      <c r="A284">
        <v>2021</v>
      </c>
      <c r="B284">
        <v>52</v>
      </c>
      <c r="C284" t="s">
        <v>116</v>
      </c>
      <c r="D284">
        <v>10</v>
      </c>
      <c r="E284">
        <v>0.68179999999999996</v>
      </c>
      <c r="F284">
        <v>14.44</v>
      </c>
      <c r="G284">
        <v>109.7</v>
      </c>
      <c r="H284">
        <v>95.3</v>
      </c>
      <c r="I284">
        <v>65.7</v>
      </c>
      <c r="J284">
        <v>9.69</v>
      </c>
      <c r="K284">
        <v>107.9</v>
      </c>
      <c r="L284">
        <v>98.2</v>
      </c>
      <c r="M284">
        <v>0</v>
      </c>
      <c r="N284">
        <v>0</v>
      </c>
      <c r="O284">
        <v>0</v>
      </c>
      <c r="P284">
        <v>0</v>
      </c>
    </row>
    <row r="285" spans="1:16">
      <c r="A285">
        <v>2021</v>
      </c>
      <c r="B285">
        <v>55</v>
      </c>
      <c r="C285" t="s">
        <v>59</v>
      </c>
      <c r="D285">
        <v>11</v>
      </c>
      <c r="E285">
        <v>0.8387</v>
      </c>
      <c r="F285">
        <v>14.27</v>
      </c>
      <c r="G285">
        <v>112.5</v>
      </c>
      <c r="H285">
        <v>98.2</v>
      </c>
      <c r="I285">
        <v>66.3</v>
      </c>
      <c r="J285">
        <v>3.98</v>
      </c>
      <c r="K285">
        <v>104.1</v>
      </c>
      <c r="L285">
        <v>100.1</v>
      </c>
      <c r="M285">
        <v>0</v>
      </c>
      <c r="N285">
        <v>0</v>
      </c>
      <c r="O285">
        <v>0</v>
      </c>
      <c r="P285">
        <v>0</v>
      </c>
    </row>
    <row r="286" spans="1:16">
      <c r="A286">
        <v>2021</v>
      </c>
      <c r="B286">
        <v>56</v>
      </c>
      <c r="C286" t="s">
        <v>146</v>
      </c>
      <c r="D286">
        <v>3</v>
      </c>
      <c r="E286">
        <v>0.64710000000000001</v>
      </c>
      <c r="F286">
        <v>14.07</v>
      </c>
      <c r="G286">
        <v>110.8</v>
      </c>
      <c r="H286">
        <v>96.8</v>
      </c>
      <c r="I286">
        <v>68.8</v>
      </c>
      <c r="J286">
        <v>8.7200000000000006</v>
      </c>
      <c r="K286">
        <v>105</v>
      </c>
      <c r="L286">
        <v>96.2</v>
      </c>
      <c r="M286">
        <v>0</v>
      </c>
      <c r="N286">
        <v>0</v>
      </c>
      <c r="O286">
        <v>0</v>
      </c>
      <c r="P286">
        <v>0</v>
      </c>
    </row>
    <row r="287" spans="1:16">
      <c r="A287">
        <v>2021</v>
      </c>
      <c r="B287">
        <v>58</v>
      </c>
      <c r="C287" t="s">
        <v>107</v>
      </c>
      <c r="D287">
        <v>12</v>
      </c>
      <c r="E287">
        <v>0.81479999999999997</v>
      </c>
      <c r="F287">
        <v>13.63</v>
      </c>
      <c r="G287">
        <v>109.9</v>
      </c>
      <c r="H287">
        <v>96.2</v>
      </c>
      <c r="I287">
        <v>65.599999999999994</v>
      </c>
      <c r="J287">
        <v>1.8</v>
      </c>
      <c r="K287">
        <v>102.8</v>
      </c>
      <c r="L287">
        <v>101</v>
      </c>
      <c r="M287">
        <v>0</v>
      </c>
      <c r="N287">
        <v>0</v>
      </c>
      <c r="O287">
        <v>0</v>
      </c>
      <c r="P287">
        <v>0</v>
      </c>
    </row>
    <row r="288" spans="1:16">
      <c r="A288">
        <v>2021</v>
      </c>
      <c r="B288">
        <v>63</v>
      </c>
      <c r="C288" t="s">
        <v>147</v>
      </c>
      <c r="D288">
        <v>12</v>
      </c>
      <c r="E288">
        <v>0.5</v>
      </c>
      <c r="F288">
        <v>12.91</v>
      </c>
      <c r="G288">
        <v>107.9</v>
      </c>
      <c r="H288">
        <v>95</v>
      </c>
      <c r="I288">
        <v>69.7</v>
      </c>
      <c r="J288">
        <v>14.96</v>
      </c>
      <c r="K288">
        <v>110.6</v>
      </c>
      <c r="L288">
        <v>95.6</v>
      </c>
      <c r="M288">
        <v>0</v>
      </c>
      <c r="N288">
        <v>0</v>
      </c>
      <c r="O288">
        <v>0</v>
      </c>
      <c r="P288">
        <v>0</v>
      </c>
    </row>
    <row r="289" spans="1:16">
      <c r="A289">
        <v>2021</v>
      </c>
      <c r="B289">
        <v>64</v>
      </c>
      <c r="C289" t="s">
        <v>32</v>
      </c>
      <c r="D289">
        <v>11</v>
      </c>
      <c r="E289">
        <v>0.53569999999999995</v>
      </c>
      <c r="F289">
        <v>12.9</v>
      </c>
      <c r="G289">
        <v>107.1</v>
      </c>
      <c r="H289">
        <v>94.2</v>
      </c>
      <c r="I289">
        <v>68.3</v>
      </c>
      <c r="J289">
        <v>17.72</v>
      </c>
      <c r="K289">
        <v>112.5</v>
      </c>
      <c r="L289">
        <v>94.8</v>
      </c>
      <c r="M289">
        <v>0</v>
      </c>
      <c r="N289">
        <v>0</v>
      </c>
      <c r="O289">
        <v>0</v>
      </c>
      <c r="P289">
        <v>0</v>
      </c>
    </row>
    <row r="290" spans="1:16">
      <c r="A290">
        <v>2021</v>
      </c>
      <c r="B290">
        <v>68</v>
      </c>
      <c r="C290" t="s">
        <v>148</v>
      </c>
      <c r="D290">
        <v>11</v>
      </c>
      <c r="E290">
        <v>0.72729999999999995</v>
      </c>
      <c r="F290">
        <v>12.3</v>
      </c>
      <c r="G290">
        <v>109.5</v>
      </c>
      <c r="H290">
        <v>97.2</v>
      </c>
      <c r="I290">
        <v>67</v>
      </c>
      <c r="J290">
        <v>10.47</v>
      </c>
      <c r="K290">
        <v>106.4</v>
      </c>
      <c r="L290">
        <v>96</v>
      </c>
      <c r="M290">
        <v>0</v>
      </c>
      <c r="N290">
        <v>0</v>
      </c>
      <c r="O290">
        <v>0</v>
      </c>
      <c r="P290">
        <v>0</v>
      </c>
    </row>
    <row r="291" spans="1:16">
      <c r="A291">
        <v>2021</v>
      </c>
      <c r="B291">
        <v>89</v>
      </c>
      <c r="C291" t="s">
        <v>76</v>
      </c>
      <c r="D291">
        <v>14</v>
      </c>
      <c r="E291">
        <v>0.875</v>
      </c>
      <c r="F291">
        <v>9.25</v>
      </c>
      <c r="G291">
        <v>110.3</v>
      </c>
      <c r="H291">
        <v>101</v>
      </c>
      <c r="I291">
        <v>72.2</v>
      </c>
      <c r="J291">
        <v>-5.8</v>
      </c>
      <c r="K291">
        <v>99.6</v>
      </c>
      <c r="L291">
        <v>105.4</v>
      </c>
      <c r="M291">
        <v>0</v>
      </c>
      <c r="N291">
        <v>0</v>
      </c>
      <c r="O291">
        <v>0</v>
      </c>
      <c r="P291">
        <v>0</v>
      </c>
    </row>
    <row r="292" spans="1:16">
      <c r="A292">
        <v>2021</v>
      </c>
      <c r="B292">
        <v>98</v>
      </c>
      <c r="C292" t="s">
        <v>152</v>
      </c>
      <c r="D292">
        <v>13</v>
      </c>
      <c r="E292">
        <v>0.79310000000000003</v>
      </c>
      <c r="F292">
        <v>8.6</v>
      </c>
      <c r="G292">
        <v>109.8</v>
      </c>
      <c r="H292">
        <v>101.2</v>
      </c>
      <c r="I292">
        <v>63.1</v>
      </c>
      <c r="J292">
        <v>-4.82</v>
      </c>
      <c r="K292">
        <v>99.5</v>
      </c>
      <c r="L292">
        <v>104.3</v>
      </c>
      <c r="M292">
        <v>0</v>
      </c>
      <c r="N292">
        <v>0</v>
      </c>
      <c r="O292">
        <v>0</v>
      </c>
      <c r="P292">
        <v>0</v>
      </c>
    </row>
    <row r="293" spans="1:16">
      <c r="A293">
        <v>2021</v>
      </c>
      <c r="B293">
        <v>101</v>
      </c>
      <c r="C293" t="s">
        <v>153</v>
      </c>
      <c r="D293">
        <v>12</v>
      </c>
      <c r="E293">
        <v>0.91669999999999996</v>
      </c>
      <c r="F293">
        <v>8.48</v>
      </c>
      <c r="G293">
        <v>105</v>
      </c>
      <c r="H293">
        <v>96.5</v>
      </c>
      <c r="I293">
        <v>73.099999999999994</v>
      </c>
      <c r="J293">
        <v>-5.62</v>
      </c>
      <c r="K293">
        <v>99.6</v>
      </c>
      <c r="L293">
        <v>105.2</v>
      </c>
      <c r="M293">
        <v>0</v>
      </c>
      <c r="N293">
        <v>0</v>
      </c>
      <c r="O293">
        <v>0</v>
      </c>
      <c r="P293">
        <v>0</v>
      </c>
    </row>
    <row r="294" spans="1:16">
      <c r="A294">
        <v>2021</v>
      </c>
      <c r="B294">
        <v>103</v>
      </c>
      <c r="C294" t="s">
        <v>58</v>
      </c>
      <c r="D294">
        <v>15</v>
      </c>
      <c r="E294">
        <v>0.70830000000000004</v>
      </c>
      <c r="F294">
        <v>8.32</v>
      </c>
      <c r="G294">
        <v>105.4</v>
      </c>
      <c r="H294">
        <v>97.1</v>
      </c>
      <c r="I294">
        <v>64.900000000000006</v>
      </c>
      <c r="J294">
        <v>-1.44</v>
      </c>
      <c r="K294">
        <v>102</v>
      </c>
      <c r="L294">
        <v>103.5</v>
      </c>
      <c r="M294">
        <v>0</v>
      </c>
      <c r="N294">
        <v>0</v>
      </c>
      <c r="O294">
        <v>0</v>
      </c>
      <c r="P294">
        <v>0</v>
      </c>
    </row>
    <row r="295" spans="1:16">
      <c r="A295">
        <v>2021</v>
      </c>
      <c r="B295">
        <v>105</v>
      </c>
      <c r="C295" t="s">
        <v>154</v>
      </c>
      <c r="D295">
        <v>14</v>
      </c>
      <c r="E295">
        <v>0.66669999999999996</v>
      </c>
      <c r="F295">
        <v>8.19</v>
      </c>
      <c r="G295">
        <v>109.5</v>
      </c>
      <c r="H295">
        <v>101.3</v>
      </c>
      <c r="I295">
        <v>72.2</v>
      </c>
      <c r="J295">
        <v>-0.43</v>
      </c>
      <c r="K295">
        <v>102</v>
      </c>
      <c r="L295">
        <v>102.4</v>
      </c>
      <c r="M295">
        <v>0</v>
      </c>
      <c r="N295">
        <v>0</v>
      </c>
      <c r="O295">
        <v>0</v>
      </c>
      <c r="P295">
        <v>0</v>
      </c>
    </row>
    <row r="296" spans="1:16">
      <c r="A296">
        <v>2021</v>
      </c>
      <c r="B296">
        <v>108</v>
      </c>
      <c r="C296" t="s">
        <v>155</v>
      </c>
      <c r="D296">
        <v>13</v>
      </c>
      <c r="E296">
        <v>0.7</v>
      </c>
      <c r="F296">
        <v>7.79</v>
      </c>
      <c r="G296">
        <v>103.6</v>
      </c>
      <c r="H296">
        <v>95.8</v>
      </c>
      <c r="I296">
        <v>68</v>
      </c>
      <c r="J296">
        <v>1.48</v>
      </c>
      <c r="K296">
        <v>103.8</v>
      </c>
      <c r="L296">
        <v>102.3</v>
      </c>
      <c r="M296">
        <v>0</v>
      </c>
      <c r="N296">
        <v>0</v>
      </c>
      <c r="O296">
        <v>0</v>
      </c>
      <c r="P296">
        <v>0</v>
      </c>
    </row>
    <row r="297" spans="1:16">
      <c r="A297">
        <v>2021</v>
      </c>
      <c r="B297">
        <v>134</v>
      </c>
      <c r="C297" t="s">
        <v>71</v>
      </c>
      <c r="D297">
        <v>14</v>
      </c>
      <c r="E297">
        <v>0.7419</v>
      </c>
      <c r="F297">
        <v>3.19</v>
      </c>
      <c r="G297">
        <v>100.6</v>
      </c>
      <c r="H297">
        <v>97.4</v>
      </c>
      <c r="I297">
        <v>65.2</v>
      </c>
      <c r="J297">
        <v>-1.1000000000000001</v>
      </c>
      <c r="K297">
        <v>102.1</v>
      </c>
      <c r="L297">
        <v>103.2</v>
      </c>
      <c r="M297">
        <v>0</v>
      </c>
      <c r="N297">
        <v>0</v>
      </c>
      <c r="O297">
        <v>0</v>
      </c>
      <c r="P297">
        <v>0</v>
      </c>
    </row>
    <row r="298" spans="1:16">
      <c r="A298">
        <v>2021</v>
      </c>
      <c r="B298">
        <v>158</v>
      </c>
      <c r="C298" t="s">
        <v>156</v>
      </c>
      <c r="D298">
        <v>16</v>
      </c>
      <c r="E298">
        <v>0.6</v>
      </c>
      <c r="F298">
        <v>0.67</v>
      </c>
      <c r="G298">
        <v>106.5</v>
      </c>
      <c r="H298">
        <v>105.8</v>
      </c>
      <c r="I298">
        <v>63.9</v>
      </c>
      <c r="J298">
        <v>-2.2799999999999998</v>
      </c>
      <c r="K298">
        <v>101.2</v>
      </c>
      <c r="L298">
        <v>103.5</v>
      </c>
      <c r="M298">
        <v>0</v>
      </c>
      <c r="N298">
        <v>0</v>
      </c>
      <c r="O298">
        <v>0</v>
      </c>
      <c r="P298">
        <v>0</v>
      </c>
    </row>
    <row r="299" spans="1:16">
      <c r="A299">
        <v>2021</v>
      </c>
      <c r="B299">
        <v>169</v>
      </c>
      <c r="C299" t="s">
        <v>157</v>
      </c>
      <c r="D299">
        <v>15</v>
      </c>
      <c r="E299">
        <v>0.70369999999999999</v>
      </c>
      <c r="F299">
        <v>-0.13</v>
      </c>
      <c r="G299">
        <v>100.6</v>
      </c>
      <c r="H299">
        <v>100.7</v>
      </c>
      <c r="I299">
        <v>66.099999999999994</v>
      </c>
      <c r="J299">
        <v>-0.83</v>
      </c>
      <c r="K299">
        <v>105.1</v>
      </c>
      <c r="L299">
        <v>106</v>
      </c>
      <c r="M299">
        <v>0</v>
      </c>
      <c r="N299">
        <v>0</v>
      </c>
      <c r="O299">
        <v>0</v>
      </c>
      <c r="P299">
        <v>0</v>
      </c>
    </row>
    <row r="300" spans="1:16">
      <c r="A300">
        <v>2021</v>
      </c>
      <c r="B300">
        <v>178</v>
      </c>
      <c r="C300" t="s">
        <v>102</v>
      </c>
      <c r="D300">
        <v>15</v>
      </c>
      <c r="E300">
        <v>0.66669999999999996</v>
      </c>
      <c r="F300">
        <v>-0.78</v>
      </c>
      <c r="G300">
        <v>100.2</v>
      </c>
      <c r="H300">
        <v>101</v>
      </c>
      <c r="I300">
        <v>67.7</v>
      </c>
      <c r="J300">
        <v>-5.67</v>
      </c>
      <c r="K300">
        <v>98.3</v>
      </c>
      <c r="L300">
        <v>103.9</v>
      </c>
      <c r="M300">
        <v>0</v>
      </c>
      <c r="N300">
        <v>0</v>
      </c>
      <c r="O300">
        <v>0</v>
      </c>
      <c r="P300">
        <v>0</v>
      </c>
    </row>
    <row r="301" spans="1:16">
      <c r="A301">
        <v>2021</v>
      </c>
      <c r="B301">
        <v>194</v>
      </c>
      <c r="C301" t="s">
        <v>158</v>
      </c>
      <c r="D301">
        <v>16</v>
      </c>
      <c r="E301">
        <v>0.625</v>
      </c>
      <c r="F301">
        <v>-2.98</v>
      </c>
      <c r="G301">
        <v>97</v>
      </c>
      <c r="H301">
        <v>100</v>
      </c>
      <c r="I301">
        <v>66.900000000000006</v>
      </c>
      <c r="J301">
        <v>-5.09</v>
      </c>
      <c r="K301">
        <v>99.2</v>
      </c>
      <c r="L301">
        <v>104.3</v>
      </c>
      <c r="M301">
        <v>0</v>
      </c>
      <c r="N301">
        <v>0</v>
      </c>
      <c r="O301">
        <v>0</v>
      </c>
      <c r="P301">
        <v>0</v>
      </c>
    </row>
    <row r="302" spans="1:16">
      <c r="A302">
        <v>2021</v>
      </c>
      <c r="B302">
        <v>208</v>
      </c>
      <c r="C302" t="s">
        <v>114</v>
      </c>
      <c r="D302">
        <v>16</v>
      </c>
      <c r="E302">
        <v>0.65380000000000005</v>
      </c>
      <c r="F302">
        <v>-4.37</v>
      </c>
      <c r="G302">
        <v>99.8</v>
      </c>
      <c r="H302">
        <v>104.2</v>
      </c>
      <c r="I302">
        <v>71.5</v>
      </c>
      <c r="J302">
        <v>-7.73</v>
      </c>
      <c r="K302">
        <v>95.5</v>
      </c>
      <c r="L302">
        <v>103.2</v>
      </c>
      <c r="M302">
        <v>0</v>
      </c>
      <c r="N302">
        <v>0</v>
      </c>
      <c r="O302">
        <v>0</v>
      </c>
      <c r="P302">
        <v>0</v>
      </c>
    </row>
    <row r="303" spans="1:16">
      <c r="A303">
        <v>2021</v>
      </c>
      <c r="B303">
        <v>210</v>
      </c>
      <c r="C303" t="s">
        <v>137</v>
      </c>
      <c r="D303">
        <v>16</v>
      </c>
      <c r="E303">
        <v>0.68</v>
      </c>
      <c r="F303">
        <v>-4.47</v>
      </c>
      <c r="G303">
        <v>99.1</v>
      </c>
      <c r="H303">
        <v>103.6</v>
      </c>
      <c r="I303">
        <v>67.5</v>
      </c>
      <c r="J303">
        <v>-7.09</v>
      </c>
      <c r="K303">
        <v>98.1</v>
      </c>
      <c r="L303">
        <v>105.2</v>
      </c>
      <c r="M303">
        <v>0</v>
      </c>
      <c r="N303">
        <v>0</v>
      </c>
      <c r="O303">
        <v>0</v>
      </c>
      <c r="P303">
        <v>0</v>
      </c>
    </row>
    <row r="304" spans="1:16">
      <c r="A304">
        <v>2021</v>
      </c>
      <c r="B304">
        <v>212</v>
      </c>
      <c r="C304" t="s">
        <v>159</v>
      </c>
      <c r="D304">
        <v>16</v>
      </c>
      <c r="E304">
        <v>0.58620000000000005</v>
      </c>
      <c r="F304">
        <v>-4.71</v>
      </c>
      <c r="G304">
        <v>98.4</v>
      </c>
      <c r="H304">
        <v>103.1</v>
      </c>
      <c r="I304">
        <v>65.5</v>
      </c>
      <c r="J304">
        <v>-2.83</v>
      </c>
      <c r="K304">
        <v>100.4</v>
      </c>
      <c r="L304">
        <v>103.3</v>
      </c>
      <c r="M304">
        <v>0</v>
      </c>
      <c r="N304">
        <v>0</v>
      </c>
      <c r="O304">
        <v>0</v>
      </c>
      <c r="P304">
        <v>0</v>
      </c>
    </row>
    <row r="305" spans="1:16">
      <c r="A305">
        <v>2021</v>
      </c>
      <c r="B305">
        <v>237</v>
      </c>
      <c r="C305" t="s">
        <v>160</v>
      </c>
      <c r="D305">
        <v>16</v>
      </c>
      <c r="E305">
        <v>0.52170000000000005</v>
      </c>
      <c r="F305">
        <v>-6.62</v>
      </c>
      <c r="G305">
        <v>94.5</v>
      </c>
      <c r="H305">
        <v>101.1</v>
      </c>
      <c r="I305">
        <v>61.6</v>
      </c>
      <c r="J305">
        <v>-6.45</v>
      </c>
      <c r="K305">
        <v>99.4</v>
      </c>
      <c r="L305">
        <v>105.9</v>
      </c>
      <c r="M305">
        <v>0</v>
      </c>
      <c r="N305">
        <v>0</v>
      </c>
      <c r="O305">
        <v>0</v>
      </c>
      <c r="P305">
        <v>0</v>
      </c>
    </row>
    <row r="306" spans="1:16">
      <c r="A306">
        <v>2019</v>
      </c>
      <c r="B306">
        <v>6</v>
      </c>
      <c r="C306" t="s">
        <v>119</v>
      </c>
      <c r="D306">
        <v>2</v>
      </c>
      <c r="E306">
        <v>0.81079999999999997</v>
      </c>
      <c r="F306">
        <v>28.32</v>
      </c>
      <c r="G306">
        <v>114.5</v>
      </c>
      <c r="H306">
        <v>86.2</v>
      </c>
      <c r="I306">
        <v>64.8</v>
      </c>
      <c r="J306">
        <v>11.27</v>
      </c>
      <c r="K306">
        <v>109.2</v>
      </c>
      <c r="L306">
        <v>98</v>
      </c>
      <c r="M306">
        <v>0</v>
      </c>
      <c r="N306">
        <v>0</v>
      </c>
      <c r="O306">
        <v>0</v>
      </c>
      <c r="P306">
        <v>0</v>
      </c>
    </row>
    <row r="307" spans="1:16">
      <c r="A307">
        <v>2019</v>
      </c>
      <c r="B307">
        <v>15</v>
      </c>
      <c r="C307" t="s">
        <v>24</v>
      </c>
      <c r="D307">
        <v>6</v>
      </c>
      <c r="E307">
        <v>0.65710000000000002</v>
      </c>
      <c r="F307">
        <v>22.09</v>
      </c>
      <c r="G307">
        <v>118.9</v>
      </c>
      <c r="H307">
        <v>96.8</v>
      </c>
      <c r="I307">
        <v>67.7</v>
      </c>
      <c r="J307">
        <v>10.78</v>
      </c>
      <c r="K307">
        <v>109.3</v>
      </c>
      <c r="L307">
        <v>98.5</v>
      </c>
      <c r="M307">
        <v>0</v>
      </c>
      <c r="N307">
        <v>0</v>
      </c>
      <c r="O307">
        <v>0</v>
      </c>
      <c r="P307">
        <v>0</v>
      </c>
    </row>
    <row r="308" spans="1:16">
      <c r="A308">
        <v>2019</v>
      </c>
      <c r="B308">
        <v>19</v>
      </c>
      <c r="C308" t="s">
        <v>117</v>
      </c>
      <c r="D308">
        <v>3</v>
      </c>
      <c r="E308">
        <v>0.8</v>
      </c>
      <c r="F308">
        <v>20.22</v>
      </c>
      <c r="G308">
        <v>117.7</v>
      </c>
      <c r="H308">
        <v>97.5</v>
      </c>
      <c r="I308">
        <v>70</v>
      </c>
      <c r="J308">
        <v>10.02</v>
      </c>
      <c r="K308">
        <v>109.3</v>
      </c>
      <c r="L308">
        <v>99.3</v>
      </c>
      <c r="M308">
        <v>0</v>
      </c>
      <c r="N308">
        <v>0</v>
      </c>
      <c r="O308">
        <v>0</v>
      </c>
      <c r="P308">
        <v>0</v>
      </c>
    </row>
    <row r="309" spans="1:16">
      <c r="A309">
        <v>2019</v>
      </c>
      <c r="B309">
        <v>20</v>
      </c>
      <c r="C309" t="s">
        <v>89</v>
      </c>
      <c r="D309">
        <v>4</v>
      </c>
      <c r="E309">
        <v>0.73529999999999995</v>
      </c>
      <c r="F309">
        <v>20.059999999999999</v>
      </c>
      <c r="G309">
        <v>108.4</v>
      </c>
      <c r="H309">
        <v>88.4</v>
      </c>
      <c r="I309">
        <v>63.4</v>
      </c>
      <c r="J309">
        <v>10.220000000000001</v>
      </c>
      <c r="K309">
        <v>109.3</v>
      </c>
      <c r="L309">
        <v>99.1</v>
      </c>
      <c r="M309">
        <v>0</v>
      </c>
      <c r="N309">
        <v>0</v>
      </c>
      <c r="O309">
        <v>0</v>
      </c>
      <c r="P309">
        <v>0</v>
      </c>
    </row>
    <row r="310" spans="1:16">
      <c r="A310">
        <v>2019</v>
      </c>
      <c r="B310">
        <v>23</v>
      </c>
      <c r="C310" t="s">
        <v>163</v>
      </c>
      <c r="D310">
        <v>7</v>
      </c>
      <c r="E310">
        <v>0.58819999999999995</v>
      </c>
      <c r="F310">
        <v>19.350000000000001</v>
      </c>
      <c r="G310">
        <v>113.7</v>
      </c>
      <c r="H310">
        <v>94.4</v>
      </c>
      <c r="I310">
        <v>67.2</v>
      </c>
      <c r="J310">
        <v>11.95</v>
      </c>
      <c r="K310">
        <v>110.4</v>
      </c>
      <c r="L310">
        <v>98.4</v>
      </c>
      <c r="M310">
        <v>0</v>
      </c>
      <c r="N310">
        <v>0</v>
      </c>
      <c r="O310">
        <v>0</v>
      </c>
      <c r="P310">
        <v>0</v>
      </c>
    </row>
    <row r="311" spans="1:16">
      <c r="A311">
        <v>2019</v>
      </c>
      <c r="B311">
        <v>27</v>
      </c>
      <c r="C311" t="s">
        <v>50</v>
      </c>
      <c r="D311">
        <v>7</v>
      </c>
      <c r="E311">
        <v>0.85289999999999999</v>
      </c>
      <c r="F311">
        <v>18.18</v>
      </c>
      <c r="G311">
        <v>114</v>
      </c>
      <c r="H311">
        <v>95.9</v>
      </c>
      <c r="I311">
        <v>69.3</v>
      </c>
      <c r="J311">
        <v>1.42</v>
      </c>
      <c r="K311">
        <v>105.4</v>
      </c>
      <c r="L311">
        <v>103.9</v>
      </c>
      <c r="M311">
        <v>0</v>
      </c>
      <c r="N311">
        <v>0</v>
      </c>
      <c r="O311">
        <v>0</v>
      </c>
      <c r="P311">
        <v>0</v>
      </c>
    </row>
    <row r="312" spans="1:16">
      <c r="A312">
        <v>2019</v>
      </c>
      <c r="B312">
        <v>29</v>
      </c>
      <c r="C312" t="s">
        <v>164</v>
      </c>
      <c r="D312">
        <v>7</v>
      </c>
      <c r="E312">
        <v>0.8</v>
      </c>
      <c r="F312">
        <v>17.5</v>
      </c>
      <c r="G312">
        <v>112.3</v>
      </c>
      <c r="H312">
        <v>94.8</v>
      </c>
      <c r="I312">
        <v>63.4</v>
      </c>
      <c r="J312">
        <v>5.12</v>
      </c>
      <c r="K312">
        <v>107.1</v>
      </c>
      <c r="L312">
        <v>102</v>
      </c>
      <c r="M312">
        <v>0</v>
      </c>
      <c r="N312">
        <v>0</v>
      </c>
      <c r="O312">
        <v>0</v>
      </c>
      <c r="P312">
        <v>0</v>
      </c>
    </row>
    <row r="313" spans="1:16">
      <c r="A313">
        <v>2019</v>
      </c>
      <c r="B313">
        <v>31</v>
      </c>
      <c r="C313" t="s">
        <v>36</v>
      </c>
      <c r="D313">
        <v>11</v>
      </c>
      <c r="E313">
        <v>0.64710000000000001</v>
      </c>
      <c r="F313">
        <v>17.309999999999999</v>
      </c>
      <c r="G313">
        <v>114.7</v>
      </c>
      <c r="H313">
        <v>97.4</v>
      </c>
      <c r="I313">
        <v>62.7</v>
      </c>
      <c r="J313">
        <v>3.66</v>
      </c>
      <c r="K313">
        <v>106.6</v>
      </c>
      <c r="L313">
        <v>103</v>
      </c>
      <c r="M313">
        <v>0</v>
      </c>
      <c r="N313">
        <v>0</v>
      </c>
      <c r="O313">
        <v>0</v>
      </c>
      <c r="P313">
        <v>0</v>
      </c>
    </row>
    <row r="314" spans="1:16">
      <c r="A314">
        <v>2019</v>
      </c>
      <c r="B314">
        <v>33</v>
      </c>
      <c r="C314" t="s">
        <v>29</v>
      </c>
      <c r="D314">
        <v>5</v>
      </c>
      <c r="E314">
        <v>0.70589999999999997</v>
      </c>
      <c r="F314">
        <v>16.52</v>
      </c>
      <c r="G314">
        <v>113.2</v>
      </c>
      <c r="H314">
        <v>96.7</v>
      </c>
      <c r="I314">
        <v>68.8</v>
      </c>
      <c r="J314">
        <v>6.77</v>
      </c>
      <c r="K314">
        <v>107.4</v>
      </c>
      <c r="L314">
        <v>100.7</v>
      </c>
      <c r="M314">
        <v>0</v>
      </c>
      <c r="N314">
        <v>0</v>
      </c>
      <c r="O314">
        <v>0</v>
      </c>
      <c r="P314">
        <v>0</v>
      </c>
    </row>
    <row r="315" spans="1:16">
      <c r="A315">
        <v>2019</v>
      </c>
      <c r="B315">
        <v>38</v>
      </c>
      <c r="C315" t="s">
        <v>57</v>
      </c>
      <c r="D315">
        <v>8</v>
      </c>
      <c r="E315">
        <v>0.8</v>
      </c>
      <c r="F315">
        <v>15.41</v>
      </c>
      <c r="G315">
        <v>112.6</v>
      </c>
      <c r="H315">
        <v>97.2</v>
      </c>
      <c r="I315">
        <v>68.099999999999994</v>
      </c>
      <c r="J315">
        <v>0.02</v>
      </c>
      <c r="K315">
        <v>104.5</v>
      </c>
      <c r="L315">
        <v>104.4</v>
      </c>
      <c r="M315">
        <v>0</v>
      </c>
      <c r="N315">
        <v>0</v>
      </c>
      <c r="O315">
        <v>0</v>
      </c>
      <c r="P315">
        <v>0</v>
      </c>
    </row>
    <row r="316" spans="1:16">
      <c r="A316">
        <v>2019</v>
      </c>
      <c r="B316">
        <v>39</v>
      </c>
      <c r="C316" t="s">
        <v>144</v>
      </c>
      <c r="D316">
        <v>8</v>
      </c>
      <c r="E316">
        <v>0.58819999999999995</v>
      </c>
      <c r="F316">
        <v>15.13</v>
      </c>
      <c r="G316">
        <v>110.5</v>
      </c>
      <c r="H316">
        <v>95.3</v>
      </c>
      <c r="I316">
        <v>66.099999999999994</v>
      </c>
      <c r="J316">
        <v>9.4</v>
      </c>
      <c r="K316">
        <v>108.6</v>
      </c>
      <c r="L316">
        <v>99.2</v>
      </c>
      <c r="M316">
        <v>0</v>
      </c>
      <c r="N316">
        <v>0</v>
      </c>
      <c r="O316">
        <v>0</v>
      </c>
      <c r="P316">
        <v>0</v>
      </c>
    </row>
    <row r="317" spans="1:16">
      <c r="A317">
        <v>2019</v>
      </c>
      <c r="B317">
        <v>42</v>
      </c>
      <c r="C317" t="s">
        <v>100</v>
      </c>
      <c r="D317">
        <v>8</v>
      </c>
      <c r="E317">
        <v>0.75760000000000005</v>
      </c>
      <c r="F317">
        <v>14.89</v>
      </c>
      <c r="G317">
        <v>104.3</v>
      </c>
      <c r="H317">
        <v>89.5</v>
      </c>
      <c r="I317">
        <v>68.400000000000006</v>
      </c>
      <c r="J317">
        <v>1.37</v>
      </c>
      <c r="K317">
        <v>105.2</v>
      </c>
      <c r="L317">
        <v>103.8</v>
      </c>
      <c r="M317">
        <v>0</v>
      </c>
      <c r="N317">
        <v>0</v>
      </c>
      <c r="O317">
        <v>0</v>
      </c>
      <c r="P317">
        <v>0</v>
      </c>
    </row>
    <row r="318" spans="1:16">
      <c r="A318">
        <v>2019</v>
      </c>
      <c r="B318">
        <v>49</v>
      </c>
      <c r="C318" t="s">
        <v>168</v>
      </c>
      <c r="D318">
        <v>11</v>
      </c>
      <c r="E318">
        <v>0.81820000000000004</v>
      </c>
      <c r="F318">
        <v>14.09</v>
      </c>
      <c r="G318">
        <v>115.6</v>
      </c>
      <c r="H318">
        <v>101.5</v>
      </c>
      <c r="I318">
        <v>71.3</v>
      </c>
      <c r="J318">
        <v>-1.98</v>
      </c>
      <c r="K318">
        <v>103.6</v>
      </c>
      <c r="L318">
        <v>105.6</v>
      </c>
      <c r="M318">
        <v>0</v>
      </c>
      <c r="N318">
        <v>0</v>
      </c>
      <c r="O318">
        <v>0</v>
      </c>
      <c r="P318">
        <v>0</v>
      </c>
    </row>
    <row r="319" spans="1:16">
      <c r="A319">
        <v>2019</v>
      </c>
      <c r="B319">
        <v>50</v>
      </c>
      <c r="C319" t="s">
        <v>169</v>
      </c>
      <c r="D319">
        <v>8</v>
      </c>
      <c r="E319">
        <v>0.60609999999999997</v>
      </c>
      <c r="F319">
        <v>13.98</v>
      </c>
      <c r="G319">
        <v>113.2</v>
      </c>
      <c r="H319">
        <v>99.2</v>
      </c>
      <c r="I319">
        <v>68.5</v>
      </c>
      <c r="J319">
        <v>8.69</v>
      </c>
      <c r="K319">
        <v>109.1</v>
      </c>
      <c r="L319">
        <v>100.4</v>
      </c>
      <c r="M319">
        <v>0</v>
      </c>
      <c r="N319">
        <v>0</v>
      </c>
      <c r="O319">
        <v>0</v>
      </c>
      <c r="P319">
        <v>0</v>
      </c>
    </row>
    <row r="320" spans="1:16">
      <c r="A320">
        <v>2019</v>
      </c>
      <c r="B320">
        <v>53</v>
      </c>
      <c r="C320" t="s">
        <v>130</v>
      </c>
      <c r="D320">
        <v>12</v>
      </c>
      <c r="E320">
        <v>0.85709999999999997</v>
      </c>
      <c r="F320">
        <v>13.62</v>
      </c>
      <c r="G320">
        <v>113</v>
      </c>
      <c r="H320">
        <v>99.3</v>
      </c>
      <c r="I320">
        <v>65.900000000000006</v>
      </c>
      <c r="J320">
        <v>-3.44</v>
      </c>
      <c r="K320">
        <v>102.8</v>
      </c>
      <c r="L320">
        <v>106.2</v>
      </c>
      <c r="M320">
        <v>0</v>
      </c>
      <c r="N320">
        <v>0</v>
      </c>
      <c r="O320">
        <v>0</v>
      </c>
      <c r="P320">
        <v>0</v>
      </c>
    </row>
    <row r="321" spans="1:16">
      <c r="A321">
        <v>2019</v>
      </c>
      <c r="B321">
        <v>57</v>
      </c>
      <c r="C321" t="s">
        <v>97</v>
      </c>
      <c r="D321">
        <v>11</v>
      </c>
      <c r="E321">
        <v>0.67559999999999998</v>
      </c>
      <c r="F321">
        <v>11.55</v>
      </c>
      <c r="G321">
        <v>109.7</v>
      </c>
      <c r="H321">
        <v>98.2</v>
      </c>
      <c r="I321">
        <v>70.8</v>
      </c>
      <c r="J321">
        <v>5.56</v>
      </c>
      <c r="K321">
        <v>107.3</v>
      </c>
      <c r="L321">
        <v>101.7</v>
      </c>
      <c r="M321">
        <v>0</v>
      </c>
      <c r="N321">
        <v>0</v>
      </c>
      <c r="O321">
        <v>0</v>
      </c>
      <c r="P321">
        <v>0</v>
      </c>
    </row>
    <row r="322" spans="1:16">
      <c r="A322">
        <v>2019</v>
      </c>
      <c r="B322">
        <v>60</v>
      </c>
      <c r="C322" t="s">
        <v>126</v>
      </c>
      <c r="D322">
        <v>10</v>
      </c>
      <c r="E322">
        <v>0.58819999999999995</v>
      </c>
      <c r="F322">
        <v>11.5</v>
      </c>
      <c r="G322">
        <v>109</v>
      </c>
      <c r="H322">
        <v>97.5</v>
      </c>
      <c r="I322">
        <v>69.099999999999994</v>
      </c>
      <c r="J322">
        <v>8.5399999999999991</v>
      </c>
      <c r="K322">
        <v>109.2</v>
      </c>
      <c r="L322">
        <v>100.7</v>
      </c>
      <c r="M322">
        <v>0</v>
      </c>
      <c r="N322">
        <v>0</v>
      </c>
      <c r="O322">
        <v>0</v>
      </c>
      <c r="P322">
        <v>0</v>
      </c>
    </row>
    <row r="323" spans="1:16">
      <c r="A323">
        <v>2019</v>
      </c>
      <c r="B323">
        <v>69</v>
      </c>
      <c r="C323" t="s">
        <v>170</v>
      </c>
      <c r="D323">
        <v>11</v>
      </c>
      <c r="E323">
        <v>0.69699999999999995</v>
      </c>
      <c r="F323">
        <v>9.7200000000000006</v>
      </c>
      <c r="G323">
        <v>109.2</v>
      </c>
      <c r="H323">
        <v>99.5</v>
      </c>
      <c r="I323">
        <v>68.900000000000006</v>
      </c>
      <c r="J323">
        <v>4.55</v>
      </c>
      <c r="K323">
        <v>106.3</v>
      </c>
      <c r="L323">
        <v>101.8</v>
      </c>
      <c r="M323">
        <v>0</v>
      </c>
      <c r="N323">
        <v>0</v>
      </c>
      <c r="O323">
        <v>0</v>
      </c>
      <c r="P323">
        <v>0</v>
      </c>
    </row>
    <row r="324" spans="1:16">
      <c r="A324">
        <v>2019</v>
      </c>
      <c r="B324">
        <v>76</v>
      </c>
      <c r="C324" t="s">
        <v>69</v>
      </c>
      <c r="D324">
        <v>13</v>
      </c>
      <c r="E324">
        <v>0.79169999999999996</v>
      </c>
      <c r="F324">
        <v>8.86</v>
      </c>
      <c r="G324">
        <v>108.5</v>
      </c>
      <c r="H324">
        <v>99.6</v>
      </c>
      <c r="I324">
        <v>65.5</v>
      </c>
      <c r="J324">
        <v>-5.55</v>
      </c>
      <c r="K324">
        <v>100.7</v>
      </c>
      <c r="L324">
        <v>106.2</v>
      </c>
      <c r="M324">
        <v>0</v>
      </c>
      <c r="N324">
        <v>0</v>
      </c>
      <c r="O324">
        <v>0</v>
      </c>
      <c r="P324">
        <v>0</v>
      </c>
    </row>
    <row r="325" spans="1:16">
      <c r="A325">
        <v>2019</v>
      </c>
      <c r="B325">
        <v>77</v>
      </c>
      <c r="C325" t="s">
        <v>67</v>
      </c>
      <c r="D325">
        <v>14</v>
      </c>
      <c r="E325">
        <v>0.73329999999999995</v>
      </c>
      <c r="F325">
        <v>8.7899999999999991</v>
      </c>
      <c r="G325">
        <v>111.6</v>
      </c>
      <c r="H325">
        <v>102.8</v>
      </c>
      <c r="I325">
        <v>71</v>
      </c>
      <c r="J325">
        <v>-1.1000000000000001</v>
      </c>
      <c r="K325">
        <v>103</v>
      </c>
      <c r="L325">
        <v>104.2</v>
      </c>
      <c r="M325">
        <v>0</v>
      </c>
      <c r="N325">
        <v>0</v>
      </c>
      <c r="O325">
        <v>0</v>
      </c>
      <c r="P325">
        <v>0</v>
      </c>
    </row>
    <row r="326" spans="1:16">
      <c r="A326">
        <v>2019</v>
      </c>
      <c r="B326">
        <v>88</v>
      </c>
      <c r="C326" t="s">
        <v>172</v>
      </c>
      <c r="D326">
        <v>11</v>
      </c>
      <c r="E326">
        <v>0.61539999999999995</v>
      </c>
      <c r="F326">
        <v>7.61</v>
      </c>
      <c r="G326">
        <v>108.6</v>
      </c>
      <c r="H326">
        <v>101</v>
      </c>
      <c r="I326">
        <v>70.8</v>
      </c>
      <c r="J326">
        <v>5</v>
      </c>
      <c r="K326">
        <v>106.9</v>
      </c>
      <c r="L326">
        <v>101.9</v>
      </c>
      <c r="M326">
        <v>0</v>
      </c>
      <c r="N326">
        <v>0</v>
      </c>
      <c r="O326">
        <v>0</v>
      </c>
      <c r="P326">
        <v>0</v>
      </c>
    </row>
    <row r="327" spans="1:16">
      <c r="A327">
        <v>2019</v>
      </c>
      <c r="B327">
        <v>89</v>
      </c>
      <c r="C327" t="s">
        <v>173</v>
      </c>
      <c r="D327">
        <v>13</v>
      </c>
      <c r="E327">
        <v>0.67569999999999997</v>
      </c>
      <c r="F327">
        <v>7.59</v>
      </c>
      <c r="G327">
        <v>111</v>
      </c>
      <c r="H327">
        <v>103.4</v>
      </c>
      <c r="I327">
        <v>66.2</v>
      </c>
      <c r="J327">
        <v>-0.63</v>
      </c>
      <c r="K327">
        <v>106.3</v>
      </c>
      <c r="L327">
        <v>106.9</v>
      </c>
      <c r="M327">
        <v>0</v>
      </c>
      <c r="N327">
        <v>0</v>
      </c>
      <c r="O327">
        <v>0</v>
      </c>
      <c r="P327">
        <v>0</v>
      </c>
    </row>
    <row r="328" spans="1:16">
      <c r="A328">
        <v>2019</v>
      </c>
      <c r="B328">
        <v>96</v>
      </c>
      <c r="C328" t="s">
        <v>110</v>
      </c>
      <c r="D328">
        <v>14</v>
      </c>
      <c r="E328">
        <v>0.7429</v>
      </c>
      <c r="F328">
        <v>7.14</v>
      </c>
      <c r="G328">
        <v>109.4</v>
      </c>
      <c r="H328">
        <v>102.3</v>
      </c>
      <c r="I328">
        <v>68.2</v>
      </c>
      <c r="J328">
        <v>-3.37</v>
      </c>
      <c r="K328">
        <v>103.6</v>
      </c>
      <c r="L328">
        <v>107</v>
      </c>
      <c r="M328">
        <v>0</v>
      </c>
      <c r="N328">
        <v>0</v>
      </c>
      <c r="O328">
        <v>0</v>
      </c>
      <c r="P328">
        <v>0</v>
      </c>
    </row>
    <row r="329" spans="1:16">
      <c r="A329">
        <v>2019</v>
      </c>
      <c r="B329">
        <v>106</v>
      </c>
      <c r="C329" t="s">
        <v>174</v>
      </c>
      <c r="D329">
        <v>13</v>
      </c>
      <c r="E329">
        <v>0.64410000000000001</v>
      </c>
      <c r="F329">
        <v>6.02</v>
      </c>
      <c r="G329">
        <v>102.2</v>
      </c>
      <c r="H329">
        <v>96.2</v>
      </c>
      <c r="I329">
        <v>66.400000000000006</v>
      </c>
      <c r="J329">
        <v>0.49</v>
      </c>
      <c r="K329">
        <v>104.4</v>
      </c>
      <c r="L329">
        <v>103.9</v>
      </c>
      <c r="M329">
        <v>0</v>
      </c>
      <c r="N329">
        <v>0</v>
      </c>
      <c r="O329">
        <v>0</v>
      </c>
      <c r="P329">
        <v>0</v>
      </c>
    </row>
    <row r="330" spans="1:16">
      <c r="A330">
        <v>2019</v>
      </c>
      <c r="B330">
        <v>113</v>
      </c>
      <c r="C330" t="s">
        <v>175</v>
      </c>
      <c r="D330">
        <v>14</v>
      </c>
      <c r="E330">
        <v>0.7429</v>
      </c>
      <c r="F330">
        <v>5.45</v>
      </c>
      <c r="G330">
        <v>101.4</v>
      </c>
      <c r="H330">
        <v>96</v>
      </c>
      <c r="I330">
        <v>64.5</v>
      </c>
      <c r="J330">
        <v>-2.15</v>
      </c>
      <c r="K330">
        <v>102.5</v>
      </c>
      <c r="L330">
        <v>104.7</v>
      </c>
      <c r="M330">
        <v>0</v>
      </c>
      <c r="N330">
        <v>0</v>
      </c>
      <c r="O330">
        <v>0</v>
      </c>
      <c r="P330">
        <v>0</v>
      </c>
    </row>
    <row r="331" spans="1:16">
      <c r="A331">
        <v>2019</v>
      </c>
      <c r="B331">
        <v>124</v>
      </c>
      <c r="C331" t="s">
        <v>134</v>
      </c>
      <c r="D331">
        <v>14</v>
      </c>
      <c r="E331">
        <v>0.70369999999999999</v>
      </c>
      <c r="F331">
        <v>4.8499999999999996</v>
      </c>
      <c r="G331">
        <v>107.7</v>
      </c>
      <c r="H331">
        <v>102.8</v>
      </c>
      <c r="I331">
        <v>70</v>
      </c>
      <c r="J331">
        <v>1.0900000000000001</v>
      </c>
      <c r="K331">
        <v>105.2</v>
      </c>
      <c r="L331">
        <v>104.1</v>
      </c>
      <c r="M331">
        <v>0</v>
      </c>
      <c r="N331">
        <v>0</v>
      </c>
      <c r="O331">
        <v>0</v>
      </c>
      <c r="P331">
        <v>0</v>
      </c>
    </row>
    <row r="332" spans="1:16">
      <c r="A332">
        <v>2019</v>
      </c>
      <c r="B332">
        <v>126</v>
      </c>
      <c r="C332" t="s">
        <v>76</v>
      </c>
      <c r="D332">
        <v>15</v>
      </c>
      <c r="E332">
        <v>0.68</v>
      </c>
      <c r="F332">
        <v>4.5999999999999996</v>
      </c>
      <c r="G332">
        <v>110.5</v>
      </c>
      <c r="H332">
        <v>105.9</v>
      </c>
      <c r="I332">
        <v>66.400000000000006</v>
      </c>
      <c r="J332">
        <v>-3.83</v>
      </c>
      <c r="K332">
        <v>102.4</v>
      </c>
      <c r="L332">
        <v>106.3</v>
      </c>
      <c r="M332">
        <v>0</v>
      </c>
      <c r="N332">
        <v>0</v>
      </c>
      <c r="O332">
        <v>0</v>
      </c>
      <c r="P332">
        <v>0</v>
      </c>
    </row>
    <row r="333" spans="1:16">
      <c r="A333">
        <v>2019</v>
      </c>
      <c r="B333">
        <v>137</v>
      </c>
      <c r="C333" t="s">
        <v>176</v>
      </c>
      <c r="D333">
        <v>15</v>
      </c>
      <c r="E333">
        <v>0.7429</v>
      </c>
      <c r="F333">
        <v>3.53</v>
      </c>
      <c r="G333">
        <v>107.4</v>
      </c>
      <c r="H333">
        <v>103.9</v>
      </c>
      <c r="I333">
        <v>66.900000000000006</v>
      </c>
      <c r="J333">
        <v>-6.07</v>
      </c>
      <c r="K333">
        <v>102.4</v>
      </c>
      <c r="L333">
        <v>108.4</v>
      </c>
      <c r="M333">
        <v>0</v>
      </c>
      <c r="N333">
        <v>0</v>
      </c>
      <c r="O333">
        <v>0</v>
      </c>
      <c r="P333">
        <v>0</v>
      </c>
    </row>
    <row r="334" spans="1:16">
      <c r="A334">
        <v>2019</v>
      </c>
      <c r="B334">
        <v>152</v>
      </c>
      <c r="C334" t="s">
        <v>151</v>
      </c>
      <c r="D334">
        <v>15</v>
      </c>
      <c r="E334">
        <v>0.79410000000000003</v>
      </c>
      <c r="F334">
        <v>1.35</v>
      </c>
      <c r="G334">
        <v>103.4</v>
      </c>
      <c r="H334">
        <v>102</v>
      </c>
      <c r="I334">
        <v>66.099999999999994</v>
      </c>
      <c r="J334">
        <v>-8.67</v>
      </c>
      <c r="K334">
        <v>100</v>
      </c>
      <c r="L334">
        <v>108.7</v>
      </c>
      <c r="M334">
        <v>0</v>
      </c>
      <c r="N334">
        <v>0</v>
      </c>
      <c r="O334">
        <v>0</v>
      </c>
      <c r="P334">
        <v>0</v>
      </c>
    </row>
    <row r="335" spans="1:16">
      <c r="A335">
        <v>2019</v>
      </c>
      <c r="B335">
        <v>161</v>
      </c>
      <c r="C335" t="s">
        <v>177</v>
      </c>
      <c r="D335">
        <v>15</v>
      </c>
      <c r="E335">
        <v>0.57140000000000002</v>
      </c>
      <c r="F335">
        <v>0.09</v>
      </c>
      <c r="G335">
        <v>101.5</v>
      </c>
      <c r="H335">
        <v>101.4</v>
      </c>
      <c r="I335">
        <v>65.3</v>
      </c>
      <c r="J335">
        <v>-1.66</v>
      </c>
      <c r="K335">
        <v>102.6</v>
      </c>
      <c r="L335">
        <v>104.3</v>
      </c>
      <c r="M335">
        <v>0</v>
      </c>
      <c r="N335">
        <v>0</v>
      </c>
      <c r="O335">
        <v>0</v>
      </c>
      <c r="P335">
        <v>0</v>
      </c>
    </row>
    <row r="336" spans="1:16">
      <c r="A336">
        <v>2019</v>
      </c>
      <c r="B336">
        <v>163</v>
      </c>
      <c r="C336" t="s">
        <v>178</v>
      </c>
      <c r="D336">
        <v>16</v>
      </c>
      <c r="E336">
        <v>0.65710000000000002</v>
      </c>
      <c r="F336">
        <v>-0.04</v>
      </c>
      <c r="G336">
        <v>107.8</v>
      </c>
      <c r="H336">
        <v>107.8</v>
      </c>
      <c r="I336">
        <v>67.400000000000006</v>
      </c>
      <c r="J336">
        <v>-3.55</v>
      </c>
      <c r="K336">
        <v>103.2</v>
      </c>
      <c r="L336">
        <v>106.8</v>
      </c>
      <c r="M336">
        <v>0</v>
      </c>
      <c r="N336">
        <v>0</v>
      </c>
      <c r="O336">
        <v>0</v>
      </c>
      <c r="P336">
        <v>0</v>
      </c>
    </row>
    <row r="337" spans="1:16">
      <c r="A337">
        <v>2019</v>
      </c>
      <c r="B337">
        <v>198</v>
      </c>
      <c r="C337" t="s">
        <v>102</v>
      </c>
      <c r="D337">
        <v>16</v>
      </c>
      <c r="E337">
        <v>0.51519999999999999</v>
      </c>
      <c r="F337">
        <v>-2.88</v>
      </c>
      <c r="G337">
        <v>106.9</v>
      </c>
      <c r="H337">
        <v>109.7</v>
      </c>
      <c r="I337">
        <v>70.599999999999994</v>
      </c>
      <c r="J337">
        <v>-6.27</v>
      </c>
      <c r="K337">
        <v>100.5</v>
      </c>
      <c r="L337">
        <v>106.8</v>
      </c>
      <c r="M337">
        <v>0</v>
      </c>
      <c r="N337">
        <v>0</v>
      </c>
      <c r="O337">
        <v>0</v>
      </c>
      <c r="P337">
        <v>0</v>
      </c>
    </row>
    <row r="338" spans="1:16">
      <c r="A338">
        <v>2019</v>
      </c>
      <c r="B338">
        <v>202</v>
      </c>
      <c r="C338" t="s">
        <v>179</v>
      </c>
      <c r="D338">
        <v>16</v>
      </c>
      <c r="E338">
        <v>0.54290000000000005</v>
      </c>
      <c r="F338">
        <v>-3.2</v>
      </c>
      <c r="G338">
        <v>107.4</v>
      </c>
      <c r="H338">
        <v>110.6</v>
      </c>
      <c r="I338">
        <v>65</v>
      </c>
      <c r="J338">
        <v>-2.85</v>
      </c>
      <c r="K338">
        <v>104.8</v>
      </c>
      <c r="L338">
        <v>107.6</v>
      </c>
      <c r="M338">
        <v>0</v>
      </c>
      <c r="N338">
        <v>0</v>
      </c>
      <c r="O338">
        <v>0</v>
      </c>
      <c r="P338">
        <v>0</v>
      </c>
    </row>
    <row r="339" spans="1:16">
      <c r="A339">
        <v>2019</v>
      </c>
      <c r="B339">
        <v>209</v>
      </c>
      <c r="C339" t="s">
        <v>180</v>
      </c>
      <c r="D339">
        <v>16</v>
      </c>
      <c r="E339">
        <v>0.62860000000000005</v>
      </c>
      <c r="F339">
        <v>-4.13</v>
      </c>
      <c r="G339">
        <v>102.1</v>
      </c>
      <c r="H339">
        <v>106.2</v>
      </c>
      <c r="I339">
        <v>71.099999999999994</v>
      </c>
      <c r="J339">
        <v>-7.85</v>
      </c>
      <c r="K339">
        <v>98.8</v>
      </c>
      <c r="L339">
        <v>106.7</v>
      </c>
      <c r="M339">
        <v>0</v>
      </c>
      <c r="N339">
        <v>0</v>
      </c>
      <c r="O339">
        <v>0</v>
      </c>
      <c r="P339">
        <v>0</v>
      </c>
    </row>
    <row r="340" spans="1:16">
      <c r="A340">
        <v>2019</v>
      </c>
      <c r="B340">
        <v>211</v>
      </c>
      <c r="C340" t="s">
        <v>113</v>
      </c>
      <c r="D340">
        <v>16</v>
      </c>
      <c r="E340">
        <v>0.6</v>
      </c>
      <c r="F340">
        <v>-4.22</v>
      </c>
      <c r="G340">
        <v>106.5</v>
      </c>
      <c r="H340">
        <v>110.7</v>
      </c>
      <c r="I340">
        <v>66.8</v>
      </c>
      <c r="J340">
        <v>-8.16</v>
      </c>
      <c r="K340">
        <v>99.5</v>
      </c>
      <c r="L340">
        <v>107.7</v>
      </c>
      <c r="M340">
        <v>0</v>
      </c>
      <c r="N340">
        <v>0</v>
      </c>
      <c r="O340">
        <v>0</v>
      </c>
      <c r="P340">
        <v>0</v>
      </c>
    </row>
    <row r="341" spans="1:16">
      <c r="A341">
        <v>2019</v>
      </c>
      <c r="B341">
        <v>303</v>
      </c>
      <c r="C341" t="s">
        <v>181</v>
      </c>
      <c r="D341">
        <v>16</v>
      </c>
      <c r="E341">
        <v>0.52939999999999998</v>
      </c>
      <c r="F341">
        <v>-11.55</v>
      </c>
      <c r="G341">
        <v>97.8</v>
      </c>
      <c r="H341">
        <v>109.3</v>
      </c>
      <c r="I341">
        <v>65.3</v>
      </c>
      <c r="J341">
        <v>-11.84</v>
      </c>
      <c r="K341">
        <v>97</v>
      </c>
      <c r="L341">
        <v>108.9</v>
      </c>
      <c r="M341">
        <v>0</v>
      </c>
      <c r="N341">
        <v>0</v>
      </c>
      <c r="O341">
        <v>0</v>
      </c>
      <c r="P341">
        <v>0</v>
      </c>
    </row>
    <row r="342" spans="1:16">
      <c r="M342">
        <v>0</v>
      </c>
      <c r="N342">
        <v>0</v>
      </c>
      <c r="O342">
        <v>0</v>
      </c>
      <c r="P342">
        <v>0</v>
      </c>
    </row>
    <row r="343" spans="1:16">
      <c r="M343">
        <v>0</v>
      </c>
      <c r="N343">
        <v>0</v>
      </c>
      <c r="O343">
        <v>0</v>
      </c>
      <c r="P343">
        <v>0</v>
      </c>
    </row>
    <row r="344" spans="1:16">
      <c r="M344">
        <v>0</v>
      </c>
      <c r="N344">
        <v>0</v>
      </c>
      <c r="O344">
        <v>0</v>
      </c>
      <c r="P344">
        <v>0</v>
      </c>
    </row>
    <row r="345" spans="1:16">
      <c r="M345">
        <v>0</v>
      </c>
      <c r="N345">
        <v>0</v>
      </c>
      <c r="O345">
        <v>0</v>
      </c>
      <c r="P345">
        <v>0</v>
      </c>
    </row>
    <row r="346" spans="1:16">
      <c r="M346">
        <v>0</v>
      </c>
      <c r="N346">
        <v>0</v>
      </c>
      <c r="O346">
        <v>0</v>
      </c>
      <c r="P346">
        <v>0</v>
      </c>
    </row>
    <row r="347" spans="1:16">
      <c r="M347">
        <v>0</v>
      </c>
      <c r="N347">
        <v>0</v>
      </c>
      <c r="O347">
        <v>0</v>
      </c>
      <c r="P347">
        <v>0</v>
      </c>
    </row>
    <row r="348" spans="1:16">
      <c r="M348">
        <v>0</v>
      </c>
      <c r="N348">
        <v>0</v>
      </c>
      <c r="O348">
        <v>0</v>
      </c>
      <c r="P348">
        <v>0</v>
      </c>
    </row>
    <row r="349" spans="1:16">
      <c r="M349">
        <v>0</v>
      </c>
      <c r="N349">
        <v>0</v>
      </c>
      <c r="O349">
        <v>0</v>
      </c>
      <c r="P349">
        <v>0</v>
      </c>
    </row>
    <row r="350" spans="1:16">
      <c r="M350">
        <v>0</v>
      </c>
      <c r="N350">
        <v>0</v>
      </c>
      <c r="O350">
        <v>0</v>
      </c>
      <c r="P350">
        <v>0</v>
      </c>
    </row>
    <row r="351" spans="1:16">
      <c r="M351">
        <v>0</v>
      </c>
      <c r="N351">
        <v>0</v>
      </c>
      <c r="O351">
        <v>0</v>
      </c>
      <c r="P351">
        <v>0</v>
      </c>
    </row>
    <row r="352" spans="1:16">
      <c r="M352">
        <v>0</v>
      </c>
      <c r="N352">
        <v>0</v>
      </c>
      <c r="O352">
        <v>0</v>
      </c>
      <c r="P352">
        <v>0</v>
      </c>
    </row>
    <row r="353" spans="13:16">
      <c r="M353">
        <v>0</v>
      </c>
      <c r="N353">
        <v>0</v>
      </c>
      <c r="O353">
        <v>0</v>
      </c>
      <c r="P353">
        <v>0</v>
      </c>
    </row>
    <row r="354" spans="13:16">
      <c r="M354">
        <v>0</v>
      </c>
      <c r="N354">
        <v>0</v>
      </c>
      <c r="O354">
        <v>0</v>
      </c>
      <c r="P354">
        <v>0</v>
      </c>
    </row>
    <row r="355" spans="13:16">
      <c r="M355">
        <v>0</v>
      </c>
      <c r="N355">
        <v>0</v>
      </c>
      <c r="O355">
        <v>0</v>
      </c>
      <c r="P355">
        <v>0</v>
      </c>
    </row>
    <row r="356" spans="13:16">
      <c r="M356">
        <v>0</v>
      </c>
      <c r="N356">
        <v>0</v>
      </c>
      <c r="O356">
        <v>0</v>
      </c>
      <c r="P356">
        <v>0</v>
      </c>
    </row>
    <row r="357" spans="13:16">
      <c r="M357">
        <v>0</v>
      </c>
      <c r="N357">
        <v>0</v>
      </c>
      <c r="O357">
        <v>0</v>
      </c>
      <c r="P357">
        <v>0</v>
      </c>
    </row>
    <row r="358" spans="13:16">
      <c r="M358">
        <v>0</v>
      </c>
      <c r="N358">
        <v>0</v>
      </c>
      <c r="O358">
        <v>0</v>
      </c>
      <c r="P358">
        <v>0</v>
      </c>
    </row>
    <row r="359" spans="13:16">
      <c r="M359">
        <v>0</v>
      </c>
      <c r="N359">
        <v>0</v>
      </c>
      <c r="O359">
        <v>0</v>
      </c>
      <c r="P359">
        <v>0</v>
      </c>
    </row>
    <row r="360" spans="13:16">
      <c r="M360">
        <v>0</v>
      </c>
      <c r="N360">
        <v>0</v>
      </c>
      <c r="O360">
        <v>0</v>
      </c>
      <c r="P360">
        <v>0</v>
      </c>
    </row>
    <row r="361" spans="13:16">
      <c r="M361">
        <v>0</v>
      </c>
      <c r="N361">
        <v>0</v>
      </c>
      <c r="O361">
        <v>0</v>
      </c>
      <c r="P361">
        <v>0</v>
      </c>
    </row>
    <row r="362" spans="13:16">
      <c r="M362">
        <v>0</v>
      </c>
      <c r="N362">
        <v>0</v>
      </c>
      <c r="O362">
        <v>0</v>
      </c>
      <c r="P362">
        <v>0</v>
      </c>
    </row>
    <row r="363" spans="13:16">
      <c r="M363">
        <v>0</v>
      </c>
      <c r="N363">
        <v>0</v>
      </c>
      <c r="O363">
        <v>0</v>
      </c>
      <c r="P363">
        <v>0</v>
      </c>
    </row>
    <row r="364" spans="13:16">
      <c r="M364">
        <v>0</v>
      </c>
      <c r="N364">
        <v>0</v>
      </c>
      <c r="O364">
        <v>0</v>
      </c>
      <c r="P364">
        <v>0</v>
      </c>
    </row>
    <row r="365" spans="13:16">
      <c r="M365">
        <v>0</v>
      </c>
      <c r="N365">
        <v>0</v>
      </c>
      <c r="O365">
        <v>0</v>
      </c>
      <c r="P365">
        <v>0</v>
      </c>
    </row>
    <row r="366" spans="13:16">
      <c r="M366">
        <v>0</v>
      </c>
      <c r="N366">
        <v>0</v>
      </c>
      <c r="O366">
        <v>0</v>
      </c>
      <c r="P366">
        <v>0</v>
      </c>
    </row>
    <row r="367" spans="13:16">
      <c r="M367">
        <v>0</v>
      </c>
      <c r="N367">
        <v>0</v>
      </c>
      <c r="O367">
        <v>0</v>
      </c>
      <c r="P367">
        <v>0</v>
      </c>
    </row>
    <row r="368" spans="13:16">
      <c r="M368">
        <v>0</v>
      </c>
      <c r="N368">
        <v>0</v>
      </c>
      <c r="O368">
        <v>0</v>
      </c>
      <c r="P368">
        <v>0</v>
      </c>
    </row>
    <row r="369" spans="13:16">
      <c r="M369">
        <v>0</v>
      </c>
      <c r="N369">
        <v>0</v>
      </c>
      <c r="O369">
        <v>0</v>
      </c>
      <c r="P369">
        <v>0</v>
      </c>
    </row>
    <row r="370" spans="13:16">
      <c r="M370">
        <v>0</v>
      </c>
      <c r="N370">
        <v>0</v>
      </c>
      <c r="O370">
        <v>0</v>
      </c>
      <c r="P370">
        <v>0</v>
      </c>
    </row>
    <row r="371" spans="13:16">
      <c r="M371">
        <v>0</v>
      </c>
      <c r="N371">
        <v>0</v>
      </c>
      <c r="O371">
        <v>0</v>
      </c>
      <c r="P371">
        <v>0</v>
      </c>
    </row>
    <row r="372" spans="13:16">
      <c r="M372">
        <v>0</v>
      </c>
      <c r="N372">
        <v>0</v>
      </c>
      <c r="O372">
        <v>0</v>
      </c>
      <c r="P372">
        <v>0</v>
      </c>
    </row>
    <row r="373" spans="13:16">
      <c r="M373">
        <v>0</v>
      </c>
      <c r="N373">
        <v>0</v>
      </c>
      <c r="O373">
        <v>0</v>
      </c>
      <c r="P373">
        <v>0</v>
      </c>
    </row>
    <row r="374" spans="13:16">
      <c r="M374">
        <v>0</v>
      </c>
      <c r="N374">
        <v>0</v>
      </c>
      <c r="O374">
        <v>0</v>
      </c>
      <c r="P374">
        <v>0</v>
      </c>
    </row>
    <row r="375" spans="13:16">
      <c r="M375">
        <v>0</v>
      </c>
      <c r="N375">
        <v>0</v>
      </c>
      <c r="O375">
        <v>0</v>
      </c>
      <c r="P375">
        <v>0</v>
      </c>
    </row>
    <row r="376" spans="13:16">
      <c r="M376">
        <v>0</v>
      </c>
      <c r="N376">
        <v>0</v>
      </c>
      <c r="O376">
        <v>0</v>
      </c>
      <c r="P376">
        <v>0</v>
      </c>
    </row>
    <row r="377" spans="13:16">
      <c r="M377">
        <v>0</v>
      </c>
      <c r="N377">
        <v>0</v>
      </c>
      <c r="O377">
        <v>0</v>
      </c>
      <c r="P377">
        <v>0</v>
      </c>
    </row>
    <row r="378" spans="13:16">
      <c r="M378">
        <v>0</v>
      </c>
      <c r="N378">
        <v>0</v>
      </c>
      <c r="O378">
        <v>0</v>
      </c>
      <c r="P378">
        <v>0</v>
      </c>
    </row>
    <row r="379" spans="13:16">
      <c r="M379">
        <v>0</v>
      </c>
      <c r="N379">
        <v>0</v>
      </c>
      <c r="O379">
        <v>0</v>
      </c>
      <c r="P379">
        <v>0</v>
      </c>
    </row>
    <row r="380" spans="13:16">
      <c r="M380">
        <v>0</v>
      </c>
      <c r="N380">
        <v>0</v>
      </c>
      <c r="O380">
        <v>0</v>
      </c>
      <c r="P380">
        <v>0</v>
      </c>
    </row>
    <row r="381" spans="13:16">
      <c r="M381">
        <v>0</v>
      </c>
      <c r="N381">
        <v>0</v>
      </c>
      <c r="O381">
        <v>0</v>
      </c>
      <c r="P381">
        <v>0</v>
      </c>
    </row>
    <row r="382" spans="13:16">
      <c r="M382">
        <v>0</v>
      </c>
      <c r="N382">
        <v>0</v>
      </c>
      <c r="O382">
        <v>0</v>
      </c>
      <c r="P382">
        <v>0</v>
      </c>
    </row>
    <row r="383" spans="13:16">
      <c r="M383">
        <v>0</v>
      </c>
      <c r="N383">
        <v>0</v>
      </c>
      <c r="O383">
        <v>0</v>
      </c>
      <c r="P383">
        <v>0</v>
      </c>
    </row>
    <row r="384" spans="13:16">
      <c r="M384">
        <v>0</v>
      </c>
      <c r="N384">
        <v>0</v>
      </c>
      <c r="O384">
        <v>0</v>
      </c>
      <c r="P384">
        <v>0</v>
      </c>
    </row>
    <row r="385" spans="13:16">
      <c r="M385">
        <v>0</v>
      </c>
      <c r="N385">
        <v>0</v>
      </c>
      <c r="O385">
        <v>0</v>
      </c>
      <c r="P385">
        <v>0</v>
      </c>
    </row>
    <row r="386" spans="13:16">
      <c r="M386">
        <v>0</v>
      </c>
      <c r="N386">
        <v>0</v>
      </c>
      <c r="O386">
        <v>0</v>
      </c>
      <c r="P386">
        <v>0</v>
      </c>
    </row>
    <row r="387" spans="13:16">
      <c r="M387">
        <v>0</v>
      </c>
      <c r="N387">
        <v>0</v>
      </c>
      <c r="O387">
        <v>0</v>
      </c>
      <c r="P387">
        <v>0</v>
      </c>
    </row>
    <row r="388" spans="13:16">
      <c r="M388">
        <v>0</v>
      </c>
      <c r="N388">
        <v>0</v>
      </c>
      <c r="O388">
        <v>0</v>
      </c>
      <c r="P388">
        <v>0</v>
      </c>
    </row>
    <row r="389" spans="13:16">
      <c r="M389">
        <v>0</v>
      </c>
      <c r="N389">
        <v>0</v>
      </c>
      <c r="O389">
        <v>0</v>
      </c>
      <c r="P389">
        <v>0</v>
      </c>
    </row>
    <row r="390" spans="13:16">
      <c r="M390">
        <v>0</v>
      </c>
      <c r="N390">
        <v>0</v>
      </c>
      <c r="O390">
        <v>0</v>
      </c>
      <c r="P390">
        <v>0</v>
      </c>
    </row>
    <row r="391" spans="13:16">
      <c r="M391">
        <v>0</v>
      </c>
      <c r="N391">
        <v>0</v>
      </c>
      <c r="O391">
        <v>0</v>
      </c>
      <c r="P391">
        <v>0</v>
      </c>
    </row>
    <row r="392" spans="13:16">
      <c r="M392">
        <v>0</v>
      </c>
      <c r="N392">
        <v>0</v>
      </c>
      <c r="O392">
        <v>0</v>
      </c>
      <c r="P392">
        <v>0</v>
      </c>
    </row>
    <row r="393" spans="13:16">
      <c r="M393">
        <v>0</v>
      </c>
      <c r="N393">
        <v>0</v>
      </c>
      <c r="O393">
        <v>0</v>
      </c>
      <c r="P393">
        <v>0</v>
      </c>
    </row>
    <row r="394" spans="13:16">
      <c r="M394">
        <v>0</v>
      </c>
      <c r="N394">
        <v>0</v>
      </c>
      <c r="O394">
        <v>0</v>
      </c>
      <c r="P394">
        <v>0</v>
      </c>
    </row>
    <row r="395" spans="13:16">
      <c r="M395">
        <v>0</v>
      </c>
      <c r="N395">
        <v>0</v>
      </c>
      <c r="O395">
        <v>0</v>
      </c>
      <c r="P395">
        <v>0</v>
      </c>
    </row>
    <row r="396" spans="13:16">
      <c r="M396">
        <v>0</v>
      </c>
      <c r="N396">
        <v>0</v>
      </c>
      <c r="O396">
        <v>0</v>
      </c>
      <c r="P396">
        <v>0</v>
      </c>
    </row>
    <row r="397" spans="13:16">
      <c r="M397">
        <v>0</v>
      </c>
      <c r="N397">
        <v>0</v>
      </c>
      <c r="O397">
        <v>0</v>
      </c>
      <c r="P397">
        <v>0</v>
      </c>
    </row>
    <row r="398" spans="13:16">
      <c r="M398">
        <v>0</v>
      </c>
      <c r="N398">
        <v>0</v>
      </c>
      <c r="O398">
        <v>0</v>
      </c>
      <c r="P398">
        <v>0</v>
      </c>
    </row>
    <row r="399" spans="13:16">
      <c r="M399">
        <v>0</v>
      </c>
      <c r="N399">
        <v>0</v>
      </c>
      <c r="O399">
        <v>0</v>
      </c>
      <c r="P399">
        <v>0</v>
      </c>
    </row>
    <row r="400" spans="13:16">
      <c r="M400">
        <v>0</v>
      </c>
      <c r="N400">
        <v>0</v>
      </c>
      <c r="O400">
        <v>0</v>
      </c>
      <c r="P400">
        <v>0</v>
      </c>
    </row>
    <row r="401" spans="13:16">
      <c r="M401">
        <v>0</v>
      </c>
      <c r="N401">
        <v>0</v>
      </c>
      <c r="O401">
        <v>0</v>
      </c>
      <c r="P401">
        <v>0</v>
      </c>
    </row>
    <row r="402" spans="13:16">
      <c r="M402">
        <v>0</v>
      </c>
      <c r="N402">
        <v>0</v>
      </c>
      <c r="O402">
        <v>0</v>
      </c>
      <c r="P402">
        <v>0</v>
      </c>
    </row>
    <row r="403" spans="13:16">
      <c r="M403">
        <v>0</v>
      </c>
      <c r="N403">
        <v>0</v>
      </c>
      <c r="O403">
        <v>0</v>
      </c>
      <c r="P403">
        <v>0</v>
      </c>
    </row>
    <row r="404" spans="13:16">
      <c r="M404">
        <v>0</v>
      </c>
      <c r="N404">
        <v>0</v>
      </c>
      <c r="O404">
        <v>0</v>
      </c>
      <c r="P404">
        <v>0</v>
      </c>
    </row>
    <row r="405" spans="13:16">
      <c r="M405">
        <v>0</v>
      </c>
      <c r="N405">
        <v>0</v>
      </c>
      <c r="O405">
        <v>0</v>
      </c>
      <c r="P405">
        <v>0</v>
      </c>
    </row>
    <row r="406" spans="13:16">
      <c r="M406">
        <v>0</v>
      </c>
      <c r="N406">
        <v>0</v>
      </c>
      <c r="O406">
        <v>0</v>
      </c>
      <c r="P406">
        <v>0</v>
      </c>
    </row>
    <row r="407" spans="13:16">
      <c r="M407">
        <v>0</v>
      </c>
      <c r="N407">
        <v>0</v>
      </c>
      <c r="O407">
        <v>0</v>
      </c>
      <c r="P407">
        <v>0</v>
      </c>
    </row>
    <row r="408" spans="13:16">
      <c r="M408">
        <v>0</v>
      </c>
      <c r="N408">
        <v>0</v>
      </c>
      <c r="O408">
        <v>0</v>
      </c>
      <c r="P408">
        <v>0</v>
      </c>
    </row>
    <row r="409" spans="13:16">
      <c r="M409">
        <v>0</v>
      </c>
      <c r="N409">
        <v>0</v>
      </c>
      <c r="O409">
        <v>0</v>
      </c>
      <c r="P409">
        <v>0</v>
      </c>
    </row>
    <row r="410" spans="13:16">
      <c r="M410">
        <v>0</v>
      </c>
      <c r="N410">
        <v>0</v>
      </c>
      <c r="O410">
        <v>0</v>
      </c>
      <c r="P410">
        <v>0</v>
      </c>
    </row>
    <row r="411" spans="13:16">
      <c r="M411">
        <v>0</v>
      </c>
      <c r="N411">
        <v>0</v>
      </c>
      <c r="O411">
        <v>0</v>
      </c>
      <c r="P411">
        <v>0</v>
      </c>
    </row>
    <row r="412" spans="13:16">
      <c r="M412">
        <v>0</v>
      </c>
      <c r="N412">
        <v>0</v>
      </c>
      <c r="O412">
        <v>0</v>
      </c>
      <c r="P412">
        <v>0</v>
      </c>
    </row>
    <row r="413" spans="13:16">
      <c r="M413">
        <v>0</v>
      </c>
      <c r="N413">
        <v>0</v>
      </c>
      <c r="O413">
        <v>0</v>
      </c>
      <c r="P413">
        <v>0</v>
      </c>
    </row>
    <row r="414" spans="13:16">
      <c r="M414">
        <v>0</v>
      </c>
      <c r="N414">
        <v>0</v>
      </c>
      <c r="O414">
        <v>0</v>
      </c>
      <c r="P414">
        <v>0</v>
      </c>
    </row>
    <row r="415" spans="13:16">
      <c r="M415">
        <v>0</v>
      </c>
      <c r="N415">
        <v>0</v>
      </c>
      <c r="O415">
        <v>0</v>
      </c>
      <c r="P415">
        <v>0</v>
      </c>
    </row>
    <row r="416" spans="13:16">
      <c r="M416">
        <v>0</v>
      </c>
      <c r="N416">
        <v>0</v>
      </c>
      <c r="O416">
        <v>0</v>
      </c>
      <c r="P416">
        <v>0</v>
      </c>
    </row>
    <row r="417" spans="13:16">
      <c r="M417">
        <v>0</v>
      </c>
      <c r="N417">
        <v>0</v>
      </c>
      <c r="O417">
        <v>0</v>
      </c>
      <c r="P417">
        <v>0</v>
      </c>
    </row>
    <row r="418" spans="13:16">
      <c r="M418">
        <v>0</v>
      </c>
      <c r="N418">
        <v>0</v>
      </c>
      <c r="O418">
        <v>0</v>
      </c>
      <c r="P418">
        <v>0</v>
      </c>
    </row>
    <row r="419" spans="13:16">
      <c r="M419">
        <v>0</v>
      </c>
      <c r="N419">
        <v>0</v>
      </c>
      <c r="O419">
        <v>0</v>
      </c>
      <c r="P419">
        <v>0</v>
      </c>
    </row>
    <row r="420" spans="13:16">
      <c r="M420">
        <v>0</v>
      </c>
      <c r="N420">
        <v>0</v>
      </c>
      <c r="O420">
        <v>0</v>
      </c>
      <c r="P420">
        <v>0</v>
      </c>
    </row>
    <row r="421" spans="13:16">
      <c r="M421">
        <v>0</v>
      </c>
      <c r="N421">
        <v>0</v>
      </c>
      <c r="O421">
        <v>0</v>
      </c>
      <c r="P421">
        <v>0</v>
      </c>
    </row>
    <row r="422" spans="13:16">
      <c r="M422">
        <v>0</v>
      </c>
      <c r="N422">
        <v>0</v>
      </c>
      <c r="O422">
        <v>0</v>
      </c>
      <c r="P422">
        <v>0</v>
      </c>
    </row>
    <row r="423" spans="13:16">
      <c r="M423">
        <v>0</v>
      </c>
      <c r="N423">
        <v>0</v>
      </c>
      <c r="O423">
        <v>0</v>
      </c>
      <c r="P423">
        <v>0</v>
      </c>
    </row>
    <row r="424" spans="13:16">
      <c r="M424">
        <v>0</v>
      </c>
      <c r="N424">
        <v>0</v>
      </c>
      <c r="O424">
        <v>0</v>
      </c>
      <c r="P424">
        <v>0</v>
      </c>
    </row>
    <row r="425" spans="13:16">
      <c r="M425">
        <v>0</v>
      </c>
      <c r="N425">
        <v>0</v>
      </c>
      <c r="O425">
        <v>0</v>
      </c>
      <c r="P425">
        <v>0</v>
      </c>
    </row>
    <row r="426" spans="13:16">
      <c r="M426">
        <v>0</v>
      </c>
      <c r="N426">
        <v>0</v>
      </c>
      <c r="O426">
        <v>0</v>
      </c>
      <c r="P426">
        <v>0</v>
      </c>
    </row>
    <row r="427" spans="13:16">
      <c r="M427">
        <v>0</v>
      </c>
      <c r="N427">
        <v>0</v>
      </c>
      <c r="O427">
        <v>0</v>
      </c>
      <c r="P427">
        <v>0</v>
      </c>
    </row>
    <row r="428" spans="13:16">
      <c r="M428">
        <v>0</v>
      </c>
      <c r="N428">
        <v>0</v>
      </c>
      <c r="O428">
        <v>0</v>
      </c>
      <c r="P428">
        <v>0</v>
      </c>
    </row>
    <row r="429" spans="13:16">
      <c r="M429">
        <v>0</v>
      </c>
      <c r="N429">
        <v>0</v>
      </c>
      <c r="O429">
        <v>0</v>
      </c>
      <c r="P429">
        <v>0</v>
      </c>
    </row>
    <row r="430" spans="13:16">
      <c r="M430">
        <v>0</v>
      </c>
      <c r="N430">
        <v>0</v>
      </c>
      <c r="O430">
        <v>0</v>
      </c>
      <c r="P430">
        <v>0</v>
      </c>
    </row>
    <row r="431" spans="13:16">
      <c r="M431">
        <v>0</v>
      </c>
      <c r="N431">
        <v>0</v>
      </c>
      <c r="O431">
        <v>0</v>
      </c>
      <c r="P431">
        <v>0</v>
      </c>
    </row>
    <row r="432" spans="13:16">
      <c r="M432">
        <v>0</v>
      </c>
      <c r="N432">
        <v>0</v>
      </c>
      <c r="O432">
        <v>0</v>
      </c>
      <c r="P432">
        <v>0</v>
      </c>
    </row>
    <row r="433" spans="13:16">
      <c r="M433">
        <v>0</v>
      </c>
      <c r="N433">
        <v>0</v>
      </c>
      <c r="O433">
        <v>0</v>
      </c>
      <c r="P433">
        <v>0</v>
      </c>
    </row>
    <row r="434" spans="13:16">
      <c r="M434">
        <v>0</v>
      </c>
      <c r="N434">
        <v>0</v>
      </c>
      <c r="O434">
        <v>0</v>
      </c>
      <c r="P434">
        <v>0</v>
      </c>
    </row>
    <row r="435" spans="13:16">
      <c r="M435">
        <v>0</v>
      </c>
      <c r="N435">
        <v>0</v>
      </c>
      <c r="O435">
        <v>0</v>
      </c>
      <c r="P435">
        <v>0</v>
      </c>
    </row>
    <row r="436" spans="13:16">
      <c r="M436">
        <v>0</v>
      </c>
      <c r="N436">
        <v>0</v>
      </c>
      <c r="O436">
        <v>0</v>
      </c>
      <c r="P436">
        <v>0</v>
      </c>
    </row>
    <row r="437" spans="13:16">
      <c r="M437">
        <v>0</v>
      </c>
      <c r="N437">
        <v>0</v>
      </c>
      <c r="O437">
        <v>0</v>
      </c>
      <c r="P437">
        <v>0</v>
      </c>
    </row>
    <row r="438" spans="13:16">
      <c r="M438">
        <v>0</v>
      </c>
      <c r="N438">
        <v>0</v>
      </c>
      <c r="O438">
        <v>0</v>
      </c>
      <c r="P438">
        <v>0</v>
      </c>
    </row>
    <row r="439" spans="13:16">
      <c r="M439">
        <v>0</v>
      </c>
      <c r="N439">
        <v>0</v>
      </c>
      <c r="O439">
        <v>0</v>
      </c>
      <c r="P439">
        <v>0</v>
      </c>
    </row>
    <row r="440" spans="13:16">
      <c r="M440">
        <v>0</v>
      </c>
      <c r="N440">
        <v>0</v>
      </c>
      <c r="O440">
        <v>0</v>
      </c>
      <c r="P440">
        <v>0</v>
      </c>
    </row>
    <row r="441" spans="13:16">
      <c r="M441">
        <v>0</v>
      </c>
      <c r="N441">
        <v>0</v>
      </c>
      <c r="O441">
        <v>0</v>
      </c>
      <c r="P441">
        <v>0</v>
      </c>
    </row>
    <row r="442" spans="13:16">
      <c r="M442">
        <v>0</v>
      </c>
      <c r="N442">
        <v>0</v>
      </c>
      <c r="O442">
        <v>0</v>
      </c>
      <c r="P442">
        <v>0</v>
      </c>
    </row>
    <row r="443" spans="13:16">
      <c r="M443">
        <v>0</v>
      </c>
      <c r="N443">
        <v>0</v>
      </c>
      <c r="O443">
        <v>0</v>
      </c>
      <c r="P443">
        <v>0</v>
      </c>
    </row>
    <row r="444" spans="13:16">
      <c r="M444">
        <v>0</v>
      </c>
      <c r="N444">
        <v>0</v>
      </c>
      <c r="O444">
        <v>0</v>
      </c>
      <c r="P444">
        <v>0</v>
      </c>
    </row>
    <row r="445" spans="13:16">
      <c r="M445">
        <v>0</v>
      </c>
      <c r="N445">
        <v>0</v>
      </c>
      <c r="O445">
        <v>0</v>
      </c>
      <c r="P445">
        <v>0</v>
      </c>
    </row>
    <row r="446" spans="13:16">
      <c r="M446">
        <v>0</v>
      </c>
      <c r="N446">
        <v>0</v>
      </c>
      <c r="O446">
        <v>0</v>
      </c>
      <c r="P446">
        <v>0</v>
      </c>
    </row>
    <row r="447" spans="13:16">
      <c r="M447">
        <v>0</v>
      </c>
      <c r="N447">
        <v>0</v>
      </c>
      <c r="O447">
        <v>0</v>
      </c>
      <c r="P447">
        <v>0</v>
      </c>
    </row>
    <row r="448" spans="13:16">
      <c r="M448">
        <v>0</v>
      </c>
      <c r="N448">
        <v>0</v>
      </c>
      <c r="O448">
        <v>0</v>
      </c>
      <c r="P448">
        <v>0</v>
      </c>
    </row>
    <row r="449" spans="13:16">
      <c r="M449">
        <v>0</v>
      </c>
      <c r="N449">
        <v>0</v>
      </c>
      <c r="O449">
        <v>0</v>
      </c>
      <c r="P449">
        <v>0</v>
      </c>
    </row>
    <row r="450" spans="13:16">
      <c r="M450">
        <v>0</v>
      </c>
      <c r="N450">
        <v>0</v>
      </c>
      <c r="O450">
        <v>0</v>
      </c>
      <c r="P450">
        <v>0</v>
      </c>
    </row>
    <row r="451" spans="13:16">
      <c r="M451">
        <v>0</v>
      </c>
      <c r="N451">
        <v>0</v>
      </c>
      <c r="O451">
        <v>0</v>
      </c>
      <c r="P451">
        <v>0</v>
      </c>
    </row>
    <row r="452" spans="13:16">
      <c r="M452">
        <v>0</v>
      </c>
      <c r="N452">
        <v>0</v>
      </c>
      <c r="O452">
        <v>0</v>
      </c>
      <c r="P452">
        <v>0</v>
      </c>
    </row>
    <row r="453" spans="13:16">
      <c r="M453">
        <v>0</v>
      </c>
      <c r="N453">
        <v>0</v>
      </c>
      <c r="O453">
        <v>0</v>
      </c>
      <c r="P453">
        <v>0</v>
      </c>
    </row>
    <row r="454" spans="13:16">
      <c r="M454">
        <v>0</v>
      </c>
      <c r="N454">
        <v>0</v>
      </c>
      <c r="O454">
        <v>0</v>
      </c>
      <c r="P454">
        <v>0</v>
      </c>
    </row>
    <row r="455" spans="13:16">
      <c r="M455">
        <v>0</v>
      </c>
      <c r="N455">
        <v>0</v>
      </c>
      <c r="O455">
        <v>0</v>
      </c>
      <c r="P455">
        <v>0</v>
      </c>
    </row>
    <row r="456" spans="13:16">
      <c r="M456">
        <v>0</v>
      </c>
      <c r="N456">
        <v>0</v>
      </c>
      <c r="O456">
        <v>0</v>
      </c>
      <c r="P456">
        <v>0</v>
      </c>
    </row>
    <row r="457" spans="13:16">
      <c r="M457">
        <v>0</v>
      </c>
      <c r="N457">
        <v>0</v>
      </c>
      <c r="O457">
        <v>0</v>
      </c>
      <c r="P457">
        <v>0</v>
      </c>
    </row>
    <row r="458" spans="13:16">
      <c r="M458">
        <v>0</v>
      </c>
      <c r="N458">
        <v>0</v>
      </c>
      <c r="O458">
        <v>0</v>
      </c>
      <c r="P458">
        <v>0</v>
      </c>
    </row>
    <row r="459" spans="13:16">
      <c r="M459">
        <v>0</v>
      </c>
      <c r="N459">
        <v>0</v>
      </c>
      <c r="O459">
        <v>0</v>
      </c>
      <c r="P459">
        <v>0</v>
      </c>
    </row>
    <row r="460" spans="13:16">
      <c r="M460">
        <v>0</v>
      </c>
      <c r="N460">
        <v>0</v>
      </c>
      <c r="O460">
        <v>0</v>
      </c>
      <c r="P460">
        <v>0</v>
      </c>
    </row>
    <row r="461" spans="13:16">
      <c r="M461">
        <v>0</v>
      </c>
      <c r="N461">
        <v>0</v>
      </c>
      <c r="O461">
        <v>0</v>
      </c>
      <c r="P461">
        <v>0</v>
      </c>
    </row>
    <row r="462" spans="13:16">
      <c r="M462">
        <v>0</v>
      </c>
      <c r="N462">
        <v>0</v>
      </c>
      <c r="O462">
        <v>0</v>
      </c>
      <c r="P462">
        <v>0</v>
      </c>
    </row>
    <row r="463" spans="13:16">
      <c r="M463">
        <v>0</v>
      </c>
      <c r="N463">
        <v>0</v>
      </c>
      <c r="O463">
        <v>0</v>
      </c>
      <c r="P463">
        <v>0</v>
      </c>
    </row>
    <row r="464" spans="13:16">
      <c r="M464">
        <v>0</v>
      </c>
      <c r="N464">
        <v>0</v>
      </c>
      <c r="O464">
        <v>0</v>
      </c>
      <c r="P464">
        <v>0</v>
      </c>
    </row>
    <row r="465" spans="13:16">
      <c r="M465">
        <v>0</v>
      </c>
      <c r="N465">
        <v>0</v>
      </c>
      <c r="O465">
        <v>0</v>
      </c>
      <c r="P465">
        <v>0</v>
      </c>
    </row>
    <row r="466" spans="13:16">
      <c r="M466">
        <v>0</v>
      </c>
      <c r="N466">
        <v>0</v>
      </c>
      <c r="O466">
        <v>0</v>
      </c>
      <c r="P466">
        <v>0</v>
      </c>
    </row>
    <row r="467" spans="13:16">
      <c r="M467">
        <v>0</v>
      </c>
      <c r="N467">
        <v>0</v>
      </c>
      <c r="O467">
        <v>0</v>
      </c>
      <c r="P467">
        <v>0</v>
      </c>
    </row>
    <row r="468" spans="13:16">
      <c r="M468">
        <v>0</v>
      </c>
      <c r="N468">
        <v>0</v>
      </c>
      <c r="O468">
        <v>0</v>
      </c>
      <c r="P468">
        <v>0</v>
      </c>
    </row>
    <row r="469" spans="13:16">
      <c r="M469">
        <v>0</v>
      </c>
      <c r="N469">
        <v>0</v>
      </c>
      <c r="O469">
        <v>0</v>
      </c>
      <c r="P469">
        <v>0</v>
      </c>
    </row>
    <row r="470" spans="13:16">
      <c r="M470">
        <v>0</v>
      </c>
      <c r="N470">
        <v>0</v>
      </c>
      <c r="O470">
        <v>0</v>
      </c>
      <c r="P470">
        <v>0</v>
      </c>
    </row>
    <row r="471" spans="13:16">
      <c r="M471">
        <v>0</v>
      </c>
      <c r="N471">
        <v>0</v>
      </c>
      <c r="O471">
        <v>0</v>
      </c>
      <c r="P471">
        <v>0</v>
      </c>
    </row>
    <row r="472" spans="13:16">
      <c r="M472">
        <v>0</v>
      </c>
      <c r="N472">
        <v>0</v>
      </c>
      <c r="O472">
        <v>0</v>
      </c>
      <c r="P472">
        <v>0</v>
      </c>
    </row>
    <row r="473" spans="13:16">
      <c r="M473">
        <v>0</v>
      </c>
      <c r="N473">
        <v>0</v>
      </c>
      <c r="O473">
        <v>0</v>
      </c>
      <c r="P473">
        <v>0</v>
      </c>
    </row>
    <row r="474" spans="13:16">
      <c r="M474">
        <v>0</v>
      </c>
      <c r="N474">
        <v>0</v>
      </c>
      <c r="O474">
        <v>0</v>
      </c>
      <c r="P474">
        <v>0</v>
      </c>
    </row>
    <row r="475" spans="13:16">
      <c r="M475">
        <v>0</v>
      </c>
      <c r="N475">
        <v>0</v>
      </c>
      <c r="O475">
        <v>0</v>
      </c>
      <c r="P475">
        <v>0</v>
      </c>
    </row>
    <row r="476" spans="13:16">
      <c r="M476">
        <v>0</v>
      </c>
      <c r="N476">
        <v>0</v>
      </c>
      <c r="O476">
        <v>0</v>
      </c>
      <c r="P476">
        <v>0</v>
      </c>
    </row>
    <row r="477" spans="13:16">
      <c r="M477">
        <v>0</v>
      </c>
      <c r="N477">
        <v>0</v>
      </c>
      <c r="O477">
        <v>0</v>
      </c>
      <c r="P477">
        <v>0</v>
      </c>
    </row>
    <row r="478" spans="13:16">
      <c r="M478">
        <v>0</v>
      </c>
      <c r="N478">
        <v>0</v>
      </c>
      <c r="O478">
        <v>0</v>
      </c>
      <c r="P478">
        <v>0</v>
      </c>
    </row>
    <row r="479" spans="13:16">
      <c r="M479">
        <v>0</v>
      </c>
      <c r="N479">
        <v>0</v>
      </c>
      <c r="O479">
        <v>0</v>
      </c>
      <c r="P479">
        <v>0</v>
      </c>
    </row>
    <row r="480" spans="13:16">
      <c r="M480">
        <v>0</v>
      </c>
      <c r="N480">
        <v>0</v>
      </c>
      <c r="O480">
        <v>0</v>
      </c>
      <c r="P480">
        <v>0</v>
      </c>
    </row>
    <row r="481" spans="13:16">
      <c r="M481">
        <v>0</v>
      </c>
      <c r="N481">
        <v>0</v>
      </c>
      <c r="O481">
        <v>0</v>
      </c>
      <c r="P481">
        <v>0</v>
      </c>
    </row>
    <row r="482" spans="13:16">
      <c r="M482">
        <v>0</v>
      </c>
      <c r="N482">
        <v>0</v>
      </c>
      <c r="O482">
        <v>0</v>
      </c>
      <c r="P482">
        <v>0</v>
      </c>
    </row>
    <row r="483" spans="13:16">
      <c r="M483">
        <v>0</v>
      </c>
      <c r="N483">
        <v>0</v>
      </c>
      <c r="O483">
        <v>0</v>
      </c>
      <c r="P483">
        <v>0</v>
      </c>
    </row>
    <row r="484" spans="13:16">
      <c r="M484">
        <v>0</v>
      </c>
      <c r="N484">
        <v>0</v>
      </c>
      <c r="O484">
        <v>0</v>
      </c>
      <c r="P484">
        <v>0</v>
      </c>
    </row>
    <row r="485" spans="13:16">
      <c r="M485">
        <v>0</v>
      </c>
      <c r="N485">
        <v>0</v>
      </c>
      <c r="O485">
        <v>0</v>
      </c>
      <c r="P485">
        <v>0</v>
      </c>
    </row>
    <row r="486" spans="13:16">
      <c r="M486">
        <v>0</v>
      </c>
      <c r="N486">
        <v>0</v>
      </c>
      <c r="O486">
        <v>0</v>
      </c>
      <c r="P486">
        <v>0</v>
      </c>
    </row>
    <row r="487" spans="13:16">
      <c r="M487">
        <v>0</v>
      </c>
      <c r="N487">
        <v>0</v>
      </c>
      <c r="O487">
        <v>0</v>
      </c>
      <c r="P487">
        <v>0</v>
      </c>
    </row>
    <row r="488" spans="13:16">
      <c r="M488">
        <v>0</v>
      </c>
      <c r="N488">
        <v>0</v>
      </c>
      <c r="O488">
        <v>0</v>
      </c>
      <c r="P488">
        <v>0</v>
      </c>
    </row>
    <row r="489" spans="13:16">
      <c r="M489">
        <v>0</v>
      </c>
      <c r="N489">
        <v>0</v>
      </c>
      <c r="O489">
        <v>0</v>
      </c>
      <c r="P489">
        <v>0</v>
      </c>
    </row>
    <row r="490" spans="13:16">
      <c r="M490">
        <v>0</v>
      </c>
      <c r="N490">
        <v>0</v>
      </c>
      <c r="O490">
        <v>0</v>
      </c>
      <c r="P490">
        <v>0</v>
      </c>
    </row>
    <row r="491" spans="13:16">
      <c r="M491">
        <v>0</v>
      </c>
      <c r="N491">
        <v>0</v>
      </c>
      <c r="O491">
        <v>0</v>
      </c>
      <c r="P491">
        <v>0</v>
      </c>
    </row>
    <row r="492" spans="13:16">
      <c r="M492">
        <v>0</v>
      </c>
      <c r="N492">
        <v>0</v>
      </c>
      <c r="O492">
        <v>0</v>
      </c>
      <c r="P492">
        <v>0</v>
      </c>
    </row>
    <row r="493" spans="13:16">
      <c r="M493">
        <v>0</v>
      </c>
      <c r="N493">
        <v>0</v>
      </c>
      <c r="O493">
        <v>0</v>
      </c>
      <c r="P493">
        <v>0</v>
      </c>
    </row>
    <row r="494" spans="13:16">
      <c r="M494">
        <v>0</v>
      </c>
      <c r="N494">
        <v>0</v>
      </c>
      <c r="O494">
        <v>0</v>
      </c>
      <c r="P494">
        <v>0</v>
      </c>
    </row>
    <row r="495" spans="13:16">
      <c r="M495">
        <v>0</v>
      </c>
      <c r="N495">
        <v>0</v>
      </c>
      <c r="O495">
        <v>0</v>
      </c>
      <c r="P495">
        <v>0</v>
      </c>
    </row>
    <row r="496" spans="13:16">
      <c r="M496">
        <v>0</v>
      </c>
      <c r="N496">
        <v>0</v>
      </c>
      <c r="O496">
        <v>0</v>
      </c>
      <c r="P496">
        <v>0</v>
      </c>
    </row>
    <row r="497" spans="13:16">
      <c r="M497">
        <v>0</v>
      </c>
      <c r="N497">
        <v>0</v>
      </c>
      <c r="O497">
        <v>0</v>
      </c>
      <c r="P497">
        <v>0</v>
      </c>
    </row>
    <row r="498" spans="13:16">
      <c r="M498">
        <v>0</v>
      </c>
      <c r="N498">
        <v>0</v>
      </c>
      <c r="O498">
        <v>0</v>
      </c>
      <c r="P498">
        <v>0</v>
      </c>
    </row>
    <row r="499" spans="13:16">
      <c r="M499">
        <v>0</v>
      </c>
      <c r="N499">
        <v>0</v>
      </c>
      <c r="O499">
        <v>0</v>
      </c>
      <c r="P499">
        <v>0</v>
      </c>
    </row>
    <row r="500" spans="13:16">
      <c r="M500">
        <v>0</v>
      </c>
      <c r="N500">
        <v>0</v>
      </c>
      <c r="O500">
        <v>0</v>
      </c>
      <c r="P500">
        <v>0</v>
      </c>
    </row>
    <row r="501" spans="13:16">
      <c r="M501">
        <v>0</v>
      </c>
      <c r="N501">
        <v>0</v>
      </c>
      <c r="O501">
        <v>0</v>
      </c>
      <c r="P501">
        <v>0</v>
      </c>
    </row>
    <row r="502" spans="13:16">
      <c r="M502">
        <v>0</v>
      </c>
      <c r="N502">
        <v>0</v>
      </c>
      <c r="O502">
        <v>0</v>
      </c>
      <c r="P502">
        <v>0</v>
      </c>
    </row>
    <row r="503" spans="13:16">
      <c r="M503">
        <v>0</v>
      </c>
      <c r="N503">
        <v>0</v>
      </c>
      <c r="O503">
        <v>0</v>
      </c>
      <c r="P503">
        <v>0</v>
      </c>
    </row>
    <row r="504" spans="13:16">
      <c r="M504">
        <v>0</v>
      </c>
      <c r="N504">
        <v>0</v>
      </c>
      <c r="O504">
        <v>0</v>
      </c>
      <c r="P504">
        <v>0</v>
      </c>
    </row>
    <row r="505" spans="13:16">
      <c r="M505">
        <v>0</v>
      </c>
      <c r="N505">
        <v>0</v>
      </c>
      <c r="O505">
        <v>0</v>
      </c>
      <c r="P505">
        <v>0</v>
      </c>
    </row>
    <row r="506" spans="13:16">
      <c r="M506">
        <v>0</v>
      </c>
      <c r="N506">
        <v>0</v>
      </c>
      <c r="O506">
        <v>0</v>
      </c>
      <c r="P506">
        <v>0</v>
      </c>
    </row>
    <row r="507" spans="13:16">
      <c r="M507">
        <v>0</v>
      </c>
      <c r="N507">
        <v>0</v>
      </c>
      <c r="O507">
        <v>0</v>
      </c>
      <c r="P507">
        <v>0</v>
      </c>
    </row>
    <row r="508" spans="13:16">
      <c r="M508">
        <v>0</v>
      </c>
      <c r="N508">
        <v>0</v>
      </c>
      <c r="O508">
        <v>0</v>
      </c>
      <c r="P508">
        <v>0</v>
      </c>
    </row>
    <row r="509" spans="13:16">
      <c r="M509">
        <v>0</v>
      </c>
      <c r="N509">
        <v>0</v>
      </c>
      <c r="O509">
        <v>0</v>
      </c>
      <c r="P509">
        <v>0</v>
      </c>
    </row>
    <row r="510" spans="13:16">
      <c r="M510">
        <v>0</v>
      </c>
      <c r="N510">
        <v>0</v>
      </c>
      <c r="O510">
        <v>0</v>
      </c>
      <c r="P510">
        <v>0</v>
      </c>
    </row>
    <row r="511" spans="13:16">
      <c r="M511">
        <v>0</v>
      </c>
      <c r="N511">
        <v>0</v>
      </c>
      <c r="O511">
        <v>0</v>
      </c>
      <c r="P511">
        <v>0</v>
      </c>
    </row>
    <row r="512" spans="13:16">
      <c r="M512">
        <v>0</v>
      </c>
      <c r="N512">
        <v>0</v>
      </c>
      <c r="O512">
        <v>0</v>
      </c>
      <c r="P512">
        <v>0</v>
      </c>
    </row>
    <row r="513" spans="13:16">
      <c r="M513">
        <v>0</v>
      </c>
      <c r="N513">
        <v>0</v>
      </c>
      <c r="O513">
        <v>0</v>
      </c>
      <c r="P513">
        <v>0</v>
      </c>
    </row>
    <row r="514" spans="13:16">
      <c r="M514">
        <v>0</v>
      </c>
      <c r="N514">
        <v>0</v>
      </c>
      <c r="O514">
        <v>0</v>
      </c>
      <c r="P514">
        <v>0</v>
      </c>
    </row>
    <row r="515" spans="13:16">
      <c r="M515">
        <v>0</v>
      </c>
      <c r="N515">
        <v>0</v>
      </c>
      <c r="O515">
        <v>0</v>
      </c>
      <c r="P515">
        <v>0</v>
      </c>
    </row>
    <row r="516" spans="13:16">
      <c r="M516">
        <v>0</v>
      </c>
      <c r="N516">
        <v>0</v>
      </c>
      <c r="O516">
        <v>0</v>
      </c>
      <c r="P516">
        <v>0</v>
      </c>
    </row>
    <row r="517" spans="13:16">
      <c r="M517">
        <v>0</v>
      </c>
      <c r="N517">
        <v>0</v>
      </c>
      <c r="O517">
        <v>0</v>
      </c>
      <c r="P517">
        <v>0</v>
      </c>
    </row>
    <row r="518" spans="13:16">
      <c r="M518">
        <v>0</v>
      </c>
      <c r="N518">
        <v>0</v>
      </c>
      <c r="O518">
        <v>0</v>
      </c>
      <c r="P518">
        <v>0</v>
      </c>
    </row>
    <row r="519" spans="13:16">
      <c r="M519">
        <v>0</v>
      </c>
      <c r="N519">
        <v>0</v>
      </c>
      <c r="O519">
        <v>0</v>
      </c>
      <c r="P519">
        <v>0</v>
      </c>
    </row>
    <row r="520" spans="13:16">
      <c r="M520">
        <v>0</v>
      </c>
      <c r="N520">
        <v>0</v>
      </c>
      <c r="O520">
        <v>0</v>
      </c>
      <c r="P520">
        <v>0</v>
      </c>
    </row>
    <row r="521" spans="13:16">
      <c r="M521">
        <v>0</v>
      </c>
      <c r="N521">
        <v>0</v>
      </c>
      <c r="O521">
        <v>0</v>
      </c>
      <c r="P521">
        <v>0</v>
      </c>
    </row>
    <row r="522" spans="13:16">
      <c r="M522">
        <v>0</v>
      </c>
      <c r="N522">
        <v>0</v>
      </c>
      <c r="O522">
        <v>0</v>
      </c>
      <c r="P522">
        <v>0</v>
      </c>
    </row>
    <row r="523" spans="13:16">
      <c r="M523">
        <v>0</v>
      </c>
      <c r="N523">
        <v>0</v>
      </c>
      <c r="O523">
        <v>0</v>
      </c>
      <c r="P523">
        <v>0</v>
      </c>
    </row>
    <row r="524" spans="13:16">
      <c r="M524">
        <v>0</v>
      </c>
      <c r="N524">
        <v>0</v>
      </c>
      <c r="O524">
        <v>0</v>
      </c>
      <c r="P524">
        <v>0</v>
      </c>
    </row>
    <row r="525" spans="13:16">
      <c r="M525">
        <v>0</v>
      </c>
      <c r="N525">
        <v>0</v>
      </c>
      <c r="O525">
        <v>0</v>
      </c>
      <c r="P525">
        <v>0</v>
      </c>
    </row>
    <row r="526" spans="13:16">
      <c r="M526">
        <v>0</v>
      </c>
      <c r="N526">
        <v>0</v>
      </c>
      <c r="O526">
        <v>0</v>
      </c>
      <c r="P526">
        <v>0</v>
      </c>
    </row>
    <row r="527" spans="13:16">
      <c r="M527">
        <v>0</v>
      </c>
      <c r="N527">
        <v>0</v>
      </c>
      <c r="O527">
        <v>0</v>
      </c>
      <c r="P527">
        <v>0</v>
      </c>
    </row>
    <row r="528" spans="13:16">
      <c r="M528">
        <v>0</v>
      </c>
      <c r="N528">
        <v>0</v>
      </c>
      <c r="O528">
        <v>0</v>
      </c>
      <c r="P528">
        <v>0</v>
      </c>
    </row>
    <row r="529" spans="13:16">
      <c r="M529">
        <v>0</v>
      </c>
      <c r="N529">
        <v>0</v>
      </c>
      <c r="O529">
        <v>0</v>
      </c>
      <c r="P529">
        <v>0</v>
      </c>
    </row>
    <row r="530" spans="13:16">
      <c r="M530">
        <v>0</v>
      </c>
      <c r="N530">
        <v>0</v>
      </c>
      <c r="O530">
        <v>0</v>
      </c>
      <c r="P530">
        <v>0</v>
      </c>
    </row>
    <row r="531" spans="13:16">
      <c r="M531">
        <v>0</v>
      </c>
      <c r="N531">
        <v>0</v>
      </c>
      <c r="O531">
        <v>0</v>
      </c>
      <c r="P531">
        <v>0</v>
      </c>
    </row>
    <row r="532" spans="13:16">
      <c r="M532">
        <v>0</v>
      </c>
      <c r="N532">
        <v>0</v>
      </c>
      <c r="O532">
        <v>0</v>
      </c>
      <c r="P532">
        <v>0</v>
      </c>
    </row>
    <row r="533" spans="13:16">
      <c r="M533">
        <v>0</v>
      </c>
      <c r="N533">
        <v>0</v>
      </c>
      <c r="O533">
        <v>0</v>
      </c>
      <c r="P533">
        <v>0</v>
      </c>
    </row>
    <row r="534" spans="13:16">
      <c r="M534">
        <v>0</v>
      </c>
      <c r="N534">
        <v>0</v>
      </c>
      <c r="O534">
        <v>0</v>
      </c>
      <c r="P534">
        <v>0</v>
      </c>
    </row>
    <row r="535" spans="13:16">
      <c r="M535">
        <v>0</v>
      </c>
      <c r="N535">
        <v>0</v>
      </c>
      <c r="O535">
        <v>0</v>
      </c>
      <c r="P535">
        <v>0</v>
      </c>
    </row>
    <row r="536" spans="13:16">
      <c r="M536">
        <v>0</v>
      </c>
      <c r="N536">
        <v>0</v>
      </c>
      <c r="O536">
        <v>0</v>
      </c>
      <c r="P536">
        <v>0</v>
      </c>
    </row>
    <row r="537" spans="13:16">
      <c r="M537">
        <v>0</v>
      </c>
      <c r="N537">
        <v>0</v>
      </c>
      <c r="O537">
        <v>0</v>
      </c>
      <c r="P537">
        <v>0</v>
      </c>
    </row>
    <row r="538" spans="13:16">
      <c r="M538">
        <v>0</v>
      </c>
      <c r="N538">
        <v>0</v>
      </c>
      <c r="O538">
        <v>0</v>
      </c>
      <c r="P538">
        <v>0</v>
      </c>
    </row>
    <row r="539" spans="13:16">
      <c r="M539">
        <v>0</v>
      </c>
      <c r="N539">
        <v>0</v>
      </c>
      <c r="O539">
        <v>0</v>
      </c>
      <c r="P539">
        <v>0</v>
      </c>
    </row>
    <row r="540" spans="13:16">
      <c r="M540">
        <v>0</v>
      </c>
      <c r="N540">
        <v>0</v>
      </c>
      <c r="O540">
        <v>0</v>
      </c>
      <c r="P540">
        <v>0</v>
      </c>
    </row>
    <row r="541" spans="13:16">
      <c r="M541">
        <v>0</v>
      </c>
      <c r="N541">
        <v>0</v>
      </c>
      <c r="O541">
        <v>0</v>
      </c>
      <c r="P541">
        <v>0</v>
      </c>
    </row>
    <row r="542" spans="13:16">
      <c r="M542">
        <v>0</v>
      </c>
      <c r="N542">
        <v>0</v>
      </c>
      <c r="O542">
        <v>0</v>
      </c>
      <c r="P542">
        <v>0</v>
      </c>
    </row>
    <row r="543" spans="13:16">
      <c r="M543">
        <v>0</v>
      </c>
      <c r="N543">
        <v>0</v>
      </c>
      <c r="O543">
        <v>0</v>
      </c>
      <c r="P543">
        <v>0</v>
      </c>
    </row>
    <row r="544" spans="13:16">
      <c r="M544">
        <v>0</v>
      </c>
      <c r="N544">
        <v>0</v>
      </c>
      <c r="O544">
        <v>0</v>
      </c>
      <c r="P544">
        <v>0</v>
      </c>
    </row>
    <row r="545" spans="13:16">
      <c r="M545">
        <v>0</v>
      </c>
      <c r="N545">
        <v>0</v>
      </c>
      <c r="O545">
        <v>0</v>
      </c>
      <c r="P545">
        <v>0</v>
      </c>
    </row>
    <row r="546" spans="13:16">
      <c r="M546">
        <v>0</v>
      </c>
      <c r="N546">
        <v>0</v>
      </c>
      <c r="O546">
        <v>0</v>
      </c>
      <c r="P546">
        <v>0</v>
      </c>
    </row>
    <row r="547" spans="13:16">
      <c r="M547">
        <v>0</v>
      </c>
      <c r="N547">
        <v>0</v>
      </c>
      <c r="O547">
        <v>0</v>
      </c>
      <c r="P547">
        <v>0</v>
      </c>
    </row>
    <row r="548" spans="13:16">
      <c r="M548">
        <v>0</v>
      </c>
      <c r="N548">
        <v>0</v>
      </c>
      <c r="O548">
        <v>0</v>
      </c>
      <c r="P548">
        <v>0</v>
      </c>
    </row>
    <row r="549" spans="13:16">
      <c r="M549">
        <v>0</v>
      </c>
      <c r="N549">
        <v>0</v>
      </c>
      <c r="O549">
        <v>0</v>
      </c>
      <c r="P549">
        <v>0</v>
      </c>
    </row>
    <row r="550" spans="13:16">
      <c r="M550">
        <v>0</v>
      </c>
      <c r="N550">
        <v>0</v>
      </c>
      <c r="O550">
        <v>0</v>
      </c>
      <c r="P550">
        <v>0</v>
      </c>
    </row>
    <row r="551" spans="13:16">
      <c r="M551">
        <v>0</v>
      </c>
      <c r="N551">
        <v>0</v>
      </c>
      <c r="O551">
        <v>0</v>
      </c>
      <c r="P551">
        <v>0</v>
      </c>
    </row>
    <row r="552" spans="13:16">
      <c r="M552">
        <v>0</v>
      </c>
      <c r="N552">
        <v>0</v>
      </c>
      <c r="O552">
        <v>0</v>
      </c>
      <c r="P552">
        <v>0</v>
      </c>
    </row>
    <row r="553" spans="13:16">
      <c r="M553">
        <v>0</v>
      </c>
      <c r="N553">
        <v>0</v>
      </c>
      <c r="O553">
        <v>0</v>
      </c>
      <c r="P553">
        <v>0</v>
      </c>
    </row>
    <row r="554" spans="13:16">
      <c r="M554">
        <v>0</v>
      </c>
      <c r="N554">
        <v>0</v>
      </c>
      <c r="O554">
        <v>0</v>
      </c>
      <c r="P554">
        <v>0</v>
      </c>
    </row>
    <row r="555" spans="13:16">
      <c r="M555">
        <v>0</v>
      </c>
      <c r="N555">
        <v>0</v>
      </c>
      <c r="O555">
        <v>0</v>
      </c>
      <c r="P555">
        <v>0</v>
      </c>
    </row>
    <row r="556" spans="13:16">
      <c r="M556">
        <v>0</v>
      </c>
      <c r="N556">
        <v>0</v>
      </c>
      <c r="O556">
        <v>0</v>
      </c>
      <c r="P556">
        <v>0</v>
      </c>
    </row>
    <row r="557" spans="13:16">
      <c r="M557">
        <v>0</v>
      </c>
      <c r="N557">
        <v>0</v>
      </c>
      <c r="O557">
        <v>0</v>
      </c>
      <c r="P557">
        <v>0</v>
      </c>
    </row>
    <row r="558" spans="13:16">
      <c r="M558">
        <v>0</v>
      </c>
      <c r="N558">
        <v>0</v>
      </c>
      <c r="O558">
        <v>0</v>
      </c>
      <c r="P558">
        <v>0</v>
      </c>
    </row>
    <row r="559" spans="13:16">
      <c r="M559">
        <v>0</v>
      </c>
      <c r="N559">
        <v>0</v>
      </c>
      <c r="O559">
        <v>0</v>
      </c>
      <c r="P559">
        <v>0</v>
      </c>
    </row>
    <row r="560" spans="13:16">
      <c r="M560">
        <v>0</v>
      </c>
      <c r="N560">
        <v>0</v>
      </c>
      <c r="O560">
        <v>0</v>
      </c>
      <c r="P560">
        <v>0</v>
      </c>
    </row>
    <row r="561" spans="13:16">
      <c r="M561">
        <v>0</v>
      </c>
      <c r="N561">
        <v>0</v>
      </c>
      <c r="O561">
        <v>0</v>
      </c>
      <c r="P561">
        <v>0</v>
      </c>
    </row>
    <row r="562" spans="13:16">
      <c r="M562">
        <v>0</v>
      </c>
      <c r="N562">
        <v>0</v>
      </c>
      <c r="O562">
        <v>0</v>
      </c>
      <c r="P562">
        <v>0</v>
      </c>
    </row>
    <row r="563" spans="13:16">
      <c r="M563">
        <v>0</v>
      </c>
      <c r="N563">
        <v>0</v>
      </c>
      <c r="O563">
        <v>0</v>
      </c>
      <c r="P563">
        <v>0</v>
      </c>
    </row>
    <row r="564" spans="13:16">
      <c r="M564">
        <v>0</v>
      </c>
      <c r="N564">
        <v>0</v>
      </c>
      <c r="O564">
        <v>0</v>
      </c>
      <c r="P564">
        <v>0</v>
      </c>
    </row>
    <row r="565" spans="13:16">
      <c r="M565">
        <v>0</v>
      </c>
      <c r="N565">
        <v>0</v>
      </c>
      <c r="O565">
        <v>0</v>
      </c>
      <c r="P565">
        <v>0</v>
      </c>
    </row>
    <row r="566" spans="13:16">
      <c r="M566">
        <v>0</v>
      </c>
      <c r="N566">
        <v>0</v>
      </c>
      <c r="O566">
        <v>0</v>
      </c>
      <c r="P566">
        <v>0</v>
      </c>
    </row>
    <row r="567" spans="13:16">
      <c r="M567">
        <v>0</v>
      </c>
      <c r="N567">
        <v>0</v>
      </c>
      <c r="O567">
        <v>0</v>
      </c>
      <c r="P567">
        <v>0</v>
      </c>
    </row>
    <row r="568" spans="13:16">
      <c r="M568">
        <v>0</v>
      </c>
      <c r="N568">
        <v>0</v>
      </c>
      <c r="O568">
        <v>0</v>
      </c>
      <c r="P568">
        <v>0</v>
      </c>
    </row>
    <row r="569" spans="13:16">
      <c r="M569">
        <v>0</v>
      </c>
      <c r="N569">
        <v>0</v>
      </c>
      <c r="O569">
        <v>0</v>
      </c>
      <c r="P569">
        <v>0</v>
      </c>
    </row>
    <row r="570" spans="13:16">
      <c r="M570">
        <v>0</v>
      </c>
      <c r="N570">
        <v>0</v>
      </c>
      <c r="O570">
        <v>0</v>
      </c>
      <c r="P570">
        <v>0</v>
      </c>
    </row>
    <row r="571" spans="13:16">
      <c r="M571">
        <v>0</v>
      </c>
      <c r="N571">
        <v>0</v>
      </c>
      <c r="O571">
        <v>0</v>
      </c>
      <c r="P571">
        <v>0</v>
      </c>
    </row>
    <row r="572" spans="13:16">
      <c r="M572">
        <v>0</v>
      </c>
      <c r="N572">
        <v>0</v>
      </c>
      <c r="O572">
        <v>0</v>
      </c>
      <c r="P572">
        <v>0</v>
      </c>
    </row>
    <row r="573" spans="13:16">
      <c r="M573">
        <v>0</v>
      </c>
      <c r="N573">
        <v>0</v>
      </c>
      <c r="O573">
        <v>0</v>
      </c>
      <c r="P573">
        <v>0</v>
      </c>
    </row>
    <row r="574" spans="13:16">
      <c r="M574">
        <v>0</v>
      </c>
      <c r="N574">
        <v>0</v>
      </c>
      <c r="O574">
        <v>0</v>
      </c>
      <c r="P574">
        <v>0</v>
      </c>
    </row>
    <row r="575" spans="13:16">
      <c r="M575">
        <v>0</v>
      </c>
      <c r="N575">
        <v>0</v>
      </c>
      <c r="O575">
        <v>0</v>
      </c>
      <c r="P575">
        <v>0</v>
      </c>
    </row>
    <row r="576" spans="13:16">
      <c r="M576">
        <v>0</v>
      </c>
      <c r="N576">
        <v>0</v>
      </c>
      <c r="O576">
        <v>0</v>
      </c>
      <c r="P576">
        <v>0</v>
      </c>
    </row>
    <row r="577" spans="13:16">
      <c r="M577">
        <v>0</v>
      </c>
      <c r="N577">
        <v>0</v>
      </c>
      <c r="O577">
        <v>0</v>
      </c>
      <c r="P577">
        <v>0</v>
      </c>
    </row>
    <row r="578" spans="13:16">
      <c r="M578">
        <v>0</v>
      </c>
      <c r="N578">
        <v>0</v>
      </c>
      <c r="O578">
        <v>0</v>
      </c>
      <c r="P578">
        <v>0</v>
      </c>
    </row>
    <row r="579" spans="13:16">
      <c r="M579">
        <v>0</v>
      </c>
      <c r="N579">
        <v>0</v>
      </c>
      <c r="O579">
        <v>0</v>
      </c>
      <c r="P579">
        <v>0</v>
      </c>
    </row>
    <row r="580" spans="13:16">
      <c r="M580">
        <v>0</v>
      </c>
      <c r="N580">
        <v>0</v>
      </c>
      <c r="O580">
        <v>0</v>
      </c>
      <c r="P580">
        <v>0</v>
      </c>
    </row>
    <row r="581" spans="13:16">
      <c r="M581">
        <v>0</v>
      </c>
      <c r="N581">
        <v>0</v>
      </c>
      <c r="O581">
        <v>0</v>
      </c>
      <c r="P581">
        <v>0</v>
      </c>
    </row>
    <row r="582" spans="13:16">
      <c r="M582">
        <v>0</v>
      </c>
      <c r="N582">
        <v>0</v>
      </c>
      <c r="O582">
        <v>0</v>
      </c>
      <c r="P582">
        <v>0</v>
      </c>
    </row>
    <row r="583" spans="13:16">
      <c r="M583">
        <v>0</v>
      </c>
      <c r="N583">
        <v>0</v>
      </c>
      <c r="O583">
        <v>0</v>
      </c>
      <c r="P583">
        <v>0</v>
      </c>
    </row>
    <row r="584" spans="13:16">
      <c r="M584">
        <v>0</v>
      </c>
      <c r="N584">
        <v>0</v>
      </c>
      <c r="O584">
        <v>0</v>
      </c>
      <c r="P584">
        <v>0</v>
      </c>
    </row>
    <row r="585" spans="13:16">
      <c r="M585">
        <v>0</v>
      </c>
      <c r="N585">
        <v>0</v>
      </c>
      <c r="O585">
        <v>0</v>
      </c>
      <c r="P585">
        <v>0</v>
      </c>
    </row>
    <row r="586" spans="13:16">
      <c r="M586">
        <v>0</v>
      </c>
      <c r="N586">
        <v>0</v>
      </c>
      <c r="O586">
        <v>0</v>
      </c>
      <c r="P586">
        <v>0</v>
      </c>
    </row>
    <row r="587" spans="13:16">
      <c r="M587">
        <v>0</v>
      </c>
      <c r="N587">
        <v>0</v>
      </c>
      <c r="O587">
        <v>0</v>
      </c>
      <c r="P587">
        <v>0</v>
      </c>
    </row>
    <row r="588" spans="13:16">
      <c r="M588">
        <v>0</v>
      </c>
      <c r="N588">
        <v>0</v>
      </c>
      <c r="O588">
        <v>0</v>
      </c>
      <c r="P588">
        <v>0</v>
      </c>
    </row>
    <row r="589" spans="13:16">
      <c r="M589">
        <v>0</v>
      </c>
      <c r="N589">
        <v>0</v>
      </c>
      <c r="O589">
        <v>0</v>
      </c>
      <c r="P589">
        <v>0</v>
      </c>
    </row>
  </sheetData>
  <autoFilter ref="A1:P589" xr:uid="{30323866-A6D4-4DE1-9108-D95D3F8E4D11}">
    <sortState xmlns:xlrd2="http://schemas.microsoft.com/office/spreadsheetml/2017/richdata2" ref="A2:P589">
      <sortCondition ref="P1:P58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Davis, Justin</cp:lastModifiedBy>
  <dcterms:modified xsi:type="dcterms:W3CDTF">2025-04-10T20:02:54Z</dcterms:modified>
</cp:coreProperties>
</file>