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ustinCLee/Desktop/Class Work/Crowdfunding Analysis/"/>
    </mc:Choice>
  </mc:AlternateContent>
  <xr:revisionPtr revIDLastSave="0" documentId="8_{9FEF4DBF-CA0B-DB4A-BAE4-E9C36C1CEDAB}" xr6:coauthVersionLast="36" xr6:coauthVersionMax="36" xr10:uidLastSave="{00000000-0000-0000-0000-000000000000}"/>
  <bookViews>
    <workbookView xWindow="0" yWindow="0" windowWidth="33600" windowHeight="21000" activeTab="2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Descriptive Statistics" sheetId="9" r:id="rId4"/>
    <sheet name="Edinburgh Research" sheetId="6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2" hidden="1">Kickstarter!$A$1:$U$4115</definedName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  <definedName name="_xlchart.v2.10" hidden="1">'Outcomes Based on Goals'!$G$1</definedName>
    <definedName name="_xlchart.v2.11" hidden="1">'Outcomes Based on Goals'!$G$2:$G$13</definedName>
    <definedName name="_xlchart.v2.12" hidden="1">'Outcomes Based on Goals'!$H$1</definedName>
    <definedName name="_xlchart.v2.13" hidden="1">'Outcomes Based on Goals'!$H$2:$H$13</definedName>
    <definedName name="_xlchart.v2.7" hidden="1">'Outcomes Based on Goals'!$A$2:$A$13</definedName>
    <definedName name="_xlchart.v2.8" hidden="1">'Outcomes Based on Goals'!$F$1</definedName>
    <definedName name="_xlchart.v2.9" hidden="1">'Outcomes Based on Goals'!$F$2:$F$13</definedName>
  </definedNames>
  <calcPr calcId="191029"/>
  <pivotCaches>
    <pivotCache cacheId="36" r:id="rId9"/>
    <pivotCache cacheId="37" r:id="rId10"/>
    <pivotCache cacheId="43" r:id="rId11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C3" i="12"/>
  <c r="D2" i="12"/>
  <c r="B13" i="12"/>
  <c r="C13" i="12"/>
  <c r="C12" i="12"/>
  <c r="C11" i="12"/>
  <c r="C10" i="12"/>
  <c r="B10" i="12"/>
  <c r="C9" i="12"/>
  <c r="C8" i="12"/>
  <c r="C7" i="12"/>
  <c r="C6" i="12"/>
  <c r="C5" i="12"/>
  <c r="C4" i="12"/>
  <c r="C2" i="12"/>
  <c r="B5" i="12"/>
  <c r="B4" i="12"/>
  <c r="B3" i="12"/>
  <c r="B2" i="12"/>
  <c r="B12" i="12"/>
  <c r="B11" i="12"/>
  <c r="B9" i="12"/>
  <c r="B8" i="12"/>
  <c r="B7" i="12"/>
  <c r="B6" i="12"/>
  <c r="H9" i="12" l="1"/>
  <c r="E6" i="12"/>
  <c r="F6" i="12" s="1"/>
  <c r="E7" i="12"/>
  <c r="G7" i="12" s="1"/>
  <c r="E8" i="12"/>
  <c r="H8" i="12" s="1"/>
  <c r="E9" i="12"/>
  <c r="F9" i="12" s="1"/>
  <c r="H5" i="12"/>
  <c r="H13" i="12"/>
  <c r="E2" i="12"/>
  <c r="F2" i="12" s="1"/>
  <c r="E13" i="12"/>
  <c r="F13" i="12" s="1"/>
  <c r="E5" i="12"/>
  <c r="F5" i="12" s="1"/>
  <c r="E12" i="12"/>
  <c r="G12" i="12" s="1"/>
  <c r="E4" i="12"/>
  <c r="H4" i="12" s="1"/>
  <c r="E11" i="12"/>
  <c r="F11" i="12" s="1"/>
  <c r="E3" i="12"/>
  <c r="H3" i="12" s="1"/>
  <c r="E10" i="12"/>
  <c r="F10" i="12" s="1"/>
  <c r="H2" i="12" l="1"/>
  <c r="G2" i="12"/>
  <c r="G8" i="12"/>
  <c r="F8" i="12"/>
  <c r="H7" i="12"/>
  <c r="F7" i="12"/>
  <c r="H6" i="12"/>
  <c r="G6" i="12"/>
  <c r="G13" i="12"/>
  <c r="G11" i="12"/>
  <c r="H10" i="12"/>
  <c r="G4" i="12"/>
  <c r="G3" i="12"/>
  <c r="F3" i="12"/>
  <c r="F12" i="12"/>
  <c r="G10" i="12"/>
  <c r="H11" i="12"/>
  <c r="G9" i="12"/>
  <c r="F4" i="12"/>
  <c r="G5" i="12"/>
  <c r="H12" i="12"/>
  <c r="B2" i="6"/>
  <c r="P2" i="1" l="1"/>
  <c r="C13" i="9"/>
  <c r="C12" i="9"/>
  <c r="C14" i="9" s="1"/>
  <c r="C11" i="9"/>
  <c r="B13" i="9"/>
  <c r="B12" i="9"/>
  <c r="B14" i="9" s="1"/>
  <c r="B4" i="9"/>
  <c r="B11" i="9"/>
  <c r="C6" i="9"/>
  <c r="C5" i="9"/>
  <c r="C7" i="9" s="1"/>
  <c r="B5" i="9"/>
  <c r="B6" i="9"/>
  <c r="C4" i="9"/>
  <c r="B10" i="9"/>
  <c r="C10" i="9"/>
  <c r="C9" i="9"/>
  <c r="B9" i="9"/>
  <c r="B2" i="9"/>
  <c r="C3" i="9"/>
  <c r="B3" i="9"/>
  <c r="C2" i="9"/>
  <c r="F6" i="6"/>
  <c r="F5" i="6"/>
  <c r="F4" i="6"/>
  <c r="F3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25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B7" i="9" l="1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<sst xmlns="http://schemas.openxmlformats.org/spreadsheetml/2006/main" count="33050" uniqueCount="8417">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</sst>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5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14" fontId="0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 applyFont="1"/>
    <xf numFmtId="165" fontId="6" fillId="0" borderId="0" xfId="6" applyNumberFormat="1" applyFont="1"/>
    <xf numFmtId="165" fontId="0" fillId="0" borderId="0" xfId="6" applyNumberFormat="1" applyFont="1"/>
    <xf numFmtId="10" fontId="0" fillId="0" borderId="0" xfId="1" applyNumberFormat="1" applyFont="1"/>
  </cellXfs>
  <cellStyles count="7">
    <cellStyle name="Currency" xfId="6" builtinId="4"/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Percent" xfId="1" builtinId="5"/>
  </cellStyles>
  <dxfs count="8">
    <dxf>
      <font>
        <color rgb="FF9C0006"/>
      </font>
      <fill>
        <patternFill>
          <bgColor theme="3" tint="0.59996337778862885"/>
        </patternFill>
      </fill>
    </dxf>
    <dxf>
      <font>
        <color theme="1"/>
      </font>
      <fill>
        <patternFill>
          <bgColor theme="3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rgb="FFFD594F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rgb="FFFD594F"/>
        </patternFill>
      </fill>
    </dxf>
  </dxfs>
  <tableStyles count="0" defaultTableStyle="TableStyleMedium2" defaultPivotStyle="PivotStyleLight16"/>
  <colors>
    <mruColors>
      <color rgb="FFFD59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A9-D743-A90D-63BF4B7D783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A9-D743-A90D-63BF4B7D783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A9-D743-A90D-63BF4B7D7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215055"/>
        <c:axId val="1545442127"/>
      </c:lineChart>
      <c:catAx>
        <c:axId val="155021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442127"/>
        <c:crosses val="autoZero"/>
        <c:auto val="1"/>
        <c:lblAlgn val="ctr"/>
        <c:lblOffset val="100"/>
        <c:noMultiLvlLbl val="0"/>
      </c:catAx>
      <c:valAx>
        <c:axId val="154544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21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1-F848-9DAD-07D8A16FB78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E1-F848-9DAD-07D8A16FB78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E1-F848-9DAD-07D8A16FB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3069903"/>
        <c:axId val="1496102783"/>
      </c:lineChart>
      <c:catAx>
        <c:axId val="156306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102783"/>
        <c:crosses val="autoZero"/>
        <c:auto val="1"/>
        <c:lblAlgn val="ctr"/>
        <c:lblOffset val="100"/>
        <c:noMultiLvlLbl val="0"/>
      </c:catAx>
      <c:valAx>
        <c:axId val="149610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06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3F-A747-9423-571A3BE7C96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23F-A747-9423-571A3BE7C96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23F-A747-9423-571A3BE7C96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23F-A747-9423-571A3BE7C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2463375"/>
        <c:axId val="1871924143"/>
      </c:barChart>
      <c:catAx>
        <c:axId val="187246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924143"/>
        <c:crosses val="autoZero"/>
        <c:auto val="1"/>
        <c:lblAlgn val="ctr"/>
        <c:lblOffset val="100"/>
        <c:noMultiLvlLbl val="0"/>
      </c:catAx>
      <c:valAx>
        <c:axId val="187192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46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9-8445-A8D2-CC44E134E18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229-8445-A8D2-CC44E134E18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229-8445-A8D2-CC44E134E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5551375"/>
        <c:axId val="1875553055"/>
      </c:barChart>
      <c:catAx>
        <c:axId val="187555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553055"/>
        <c:crosses val="autoZero"/>
        <c:auto val="1"/>
        <c:lblAlgn val="ctr"/>
        <c:lblOffset val="100"/>
        <c:noMultiLvlLbl val="0"/>
      </c:catAx>
      <c:valAx>
        <c:axId val="187555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55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[data-1-1-3-Kickstarter_Challenge.xlsx]Outcomes Based on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4-594F-A46C-CF61E4C12433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E4-594F-A46C-CF61E4C12433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4-594F-A46C-CF61E4C12433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E4-594F-A46C-CF61E4C12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6388447"/>
        <c:axId val="1411954351"/>
      </c:lineChart>
      <c:catAx>
        <c:axId val="141638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954351"/>
        <c:crosses val="autoZero"/>
        <c:auto val="1"/>
        <c:lblAlgn val="ctr"/>
        <c:lblOffset val="100"/>
        <c:noMultiLvlLbl val="0"/>
      </c:catAx>
      <c:valAx>
        <c:axId val="141195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38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3</xdr:row>
      <xdr:rowOff>91440</xdr:rowOff>
    </xdr:from>
    <xdr:to>
      <xdr:col>11</xdr:col>
      <xdr:colOff>147320</xdr:colOff>
      <xdr:row>17</xdr:row>
      <xdr:rowOff>132080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6A11EE-0C01-9C4C-AD67-75CF49CDC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118533</xdr:colOff>
      <xdr:row>16</xdr:row>
      <xdr:rowOff>97366</xdr:rowOff>
    </xdr:from>
    <xdr:to>
      <xdr:col>8</xdr:col>
      <xdr:colOff>25400</xdr:colOff>
      <xdr:row>30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A59C28-75C0-8F44-9BDA-B2960822B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38100</xdr:rowOff>
    </xdr:from>
    <xdr:to>
      <xdr:col>16</xdr:col>
      <xdr:colOff>774700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976ADD-8BC8-3347-8952-BEC26F8A8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0</xdr:row>
      <xdr:rowOff>88900</xdr:rowOff>
    </xdr:from>
    <xdr:to>
      <xdr:col>18</xdr:col>
      <xdr:colOff>114300</xdr:colOff>
      <xdr:row>46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AE8FFB-A7C6-D74A-A0F2-09388D14C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177800</xdr:rowOff>
    </xdr:from>
    <xdr:to>
      <xdr:col>17</xdr:col>
      <xdr:colOff>787400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B5B739-CB91-1449-A964-6DD7B2544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Christian Lee" refreshedDate="44354.560963657408" createdVersion="6" refreshedVersion="6" minRefreshableVersion="3" recordCount="4114" xr:uid="{95AE341B-F266-B14F-9D60-C79CB98977E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Christian Lee" refreshedDate="44354.58507361111" createdVersion="6" refreshedVersion="6" minRefreshableVersion="3" recordCount="4114" xr:uid="{0F238BBF-F9DB-1E4B-8B33-F3311BE62E6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Christian Lee" refreshedDate="44363.541276157404" createdVersion="6" refreshedVersion="6" minRefreshableVersion="3" recordCount="4114" xr:uid="{2C8A18D2-0C00-244A-8E3E-AD53A581AEF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07213-7CDA-714D-9A6B-7011E23A43B1}" name="PivotTable9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2B137F-F56F-2D49-BF39-AA788654B877}" name="PivotTable1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142110-CBBF-8E42-BA50-DF474AA315C7}" name="PivotTable2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C3FDF4-2E4B-4E43-AE00-F7F8BC4CF147}" name="PivotTable4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EEF4E-BDBC-CA4B-8D80-BAD44BDF7A43}">
  <sheetPr codeName="Sheet5"/>
  <dimension ref="A1:E18"/>
  <sheetViews>
    <sheetView zoomScale="184"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9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9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9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9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9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9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9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9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9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9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9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9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9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1D3C3-E86F-804B-892D-226747B29820}">
  <sheetPr codeName="Sheet10"/>
  <dimension ref="A1:H13"/>
  <sheetViews>
    <sheetView zoomScale="190" workbookViewId="0">
      <selection activeCell="B16" sqref="B16"/>
    </sheetView>
  </sheetViews>
  <sheetFormatPr baseColWidth="10" defaultRowHeight="15" x14ac:dyDescent="0.2"/>
  <cols>
    <col min="1" max="1" width="16.3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2.3320312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20" t="s">
        <v>8381</v>
      </c>
      <c r="B1" s="20" t="s">
        <v>8398</v>
      </c>
      <c r="C1" s="20" t="s">
        <v>8399</v>
      </c>
      <c r="D1" s="20" t="s">
        <v>8400</v>
      </c>
      <c r="E1" s="20" t="s">
        <v>8416</v>
      </c>
      <c r="F1" s="20" t="s">
        <v>8401</v>
      </c>
      <c r="G1" s="20" t="s">
        <v>8402</v>
      </c>
      <c r="H1" s="20" t="s">
        <v>8403</v>
      </c>
    </row>
    <row r="2" spans="1:8" x14ac:dyDescent="0.2">
      <c r="A2" t="s">
        <v>8404</v>
      </c>
      <c r="B2">
        <f>COUNTIFS(Kickstarter!F:F, "successful", Kickstarter!D:D, "&lt;1000", Kickstarter!R:R, "plays")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>SUM(B2:D2)</f>
        <v>186</v>
      </c>
      <c r="F2" s="24">
        <f>B2/$E2</f>
        <v>0.75806451612903225</v>
      </c>
      <c r="G2" s="24">
        <f t="shared" ref="G2:H13" si="0">C2/$E2</f>
        <v>0.24193548387096775</v>
      </c>
      <c r="H2" s="24">
        <f t="shared" si="0"/>
        <v>0</v>
      </c>
    </row>
    <row r="3" spans="1:8" x14ac:dyDescent="0.2">
      <c r="A3" t="s">
        <v>8405</v>
      </c>
      <c r="B3">
        <f>COUNTIFS(Kickstarter!F:F, "successful", Kickstarter!D:D, "&gt;=1000", Kickstarter!D:D, "&lt;=4999", Kickstarter!R:R, "plays")</f>
        <v>388</v>
      </c>
      <c r="C3">
        <f>COUNTIFS(Kickstarter!F:F, "failed", Kickstarter!D:D, "&gt;=1000", Kickstarter!D:D, "&lt;=4999", Kickstarter!R:R, "plays")</f>
        <v>146</v>
      </c>
      <c r="D3">
        <f>COUNTIFS(Kickstarter!F:F, "canceled", Kickstarter!D:D, "&gt;=1000", Kickstarter!D:D, "&lt;=4999", Kickstarter!R:R, "plays")</f>
        <v>0</v>
      </c>
      <c r="E3">
        <f t="shared" ref="E3:E13" si="1">SUM(B3:D3)</f>
        <v>534</v>
      </c>
      <c r="F3" s="24">
        <f t="shared" ref="F3:F13" si="2">B3/$E3</f>
        <v>0.72659176029962547</v>
      </c>
      <c r="G3" s="24">
        <f t="shared" si="0"/>
        <v>0.27340823970037453</v>
      </c>
      <c r="H3" s="24">
        <f t="shared" si="0"/>
        <v>0</v>
      </c>
    </row>
    <row r="4" spans="1:8" x14ac:dyDescent="0.2">
      <c r="A4" t="s">
        <v>8406</v>
      </c>
      <c r="B4">
        <f>COUNTIFS(Kickstarter!F:F, "successful", Kickstarter!D:D, "&gt;=5000", Kickstarter!D:D, "&lt;=9999", Kickstarter!R:R, "plays")</f>
        <v>93</v>
      </c>
      <c r="C4">
        <f>COUNTIFS(Kickstarter!F:F, "failed", Kickstarter!D:D, "&gt;=5000", Kickstarter!D:D, "&lt;=9999", Kickstarter!R:R, "plays")</f>
        <v>76</v>
      </c>
      <c r="D4">
        <f>COUNTIFS(Kickstarter!F:F, "canceled", Kickstarter!D:D, "&gt;=5000", Kickstarter!D:D, "&lt;=9999", Kickstarter!R:R, "plays")</f>
        <v>0</v>
      </c>
      <c r="E4">
        <f t="shared" si="1"/>
        <v>169</v>
      </c>
      <c r="F4" s="24">
        <f t="shared" si="2"/>
        <v>0.55029585798816572</v>
      </c>
      <c r="G4" s="24">
        <f>C4/$E4</f>
        <v>0.44970414201183434</v>
      </c>
      <c r="H4" s="24">
        <f t="shared" si="0"/>
        <v>0</v>
      </c>
    </row>
    <row r="5" spans="1:8" x14ac:dyDescent="0.2">
      <c r="A5" t="s">
        <v>8407</v>
      </c>
      <c r="B5">
        <f>COUNTIFS(Kickstarter!F:F, "successful", Kickstarter!D:D, "&gt;=10000", Kickstarter!D:D, "&lt;=14999", Kickstarter!R:R, "plays")</f>
        <v>39</v>
      </c>
      <c r="C5">
        <f>COUNTIFS(Kickstarter!F:F, "failed", Kickstarter!D:D, "&gt;=10000", Kickstarter!D:D, "&lt;=14999", Kickstarter!R:R, "plays")</f>
        <v>33</v>
      </c>
      <c r="D5">
        <f>COUNTIFS(Kickstarter!F:F, "canceled", Kickstarter!D:D, "&gt;=10000", Kickstarter!D:D, "&lt;=14999", Kickstarter!R:R, "plays")</f>
        <v>0</v>
      </c>
      <c r="E5">
        <f t="shared" si="1"/>
        <v>72</v>
      </c>
      <c r="F5" s="24">
        <f>B5/$E5</f>
        <v>0.54166666666666663</v>
      </c>
      <c r="G5" s="24">
        <f t="shared" si="0"/>
        <v>0.45833333333333331</v>
      </c>
      <c r="H5" s="24">
        <f t="shared" si="0"/>
        <v>0</v>
      </c>
    </row>
    <row r="6" spans="1:8" x14ac:dyDescent="0.2">
      <c r="A6" t="s">
        <v>8408</v>
      </c>
      <c r="B6">
        <f>COUNTIFS(Kickstarter!F:F, "successful", Kickstarter!D:D, "&gt;=15000", Kickstarter!D:D, "&lt;=19999", Kickstarter!R:R, "plays")</f>
        <v>12</v>
      </c>
      <c r="C6">
        <f>COUNTIFS(Kickstarter!F:F, "failed", Kickstarter!D:D, "&gt;=15000", Kickstarter!D:D, "&lt;=19999", Kickstarter!R:R, "plays")</f>
        <v>12</v>
      </c>
      <c r="D6">
        <f>COUNTIFS(Kickstarter!F:F, "canceled", Kickstarter!D:D, "&gt;=15000", Kickstarter!D:D, "&lt;=19999", Kickstarter!R:R, "plays")</f>
        <v>0</v>
      </c>
      <c r="E6">
        <f t="shared" si="1"/>
        <v>24</v>
      </c>
      <c r="F6" s="24">
        <f t="shared" si="2"/>
        <v>0.5</v>
      </c>
      <c r="G6" s="24">
        <f t="shared" si="0"/>
        <v>0.5</v>
      </c>
      <c r="H6" s="24">
        <f t="shared" si="0"/>
        <v>0</v>
      </c>
    </row>
    <row r="7" spans="1:8" x14ac:dyDescent="0.2">
      <c r="A7" t="s">
        <v>8409</v>
      </c>
      <c r="B7">
        <f>COUNTIFS(Kickstarter!F:F, "successful", Kickstarter!D:D, "&gt;=20000", Kickstarter!D:D, "&lt;=24999", Kickstarter!R:R, "plays")</f>
        <v>9</v>
      </c>
      <c r="C7">
        <f>COUNTIFS(Kickstarter!F:F, "failed", Kickstarter!D:D, "&gt;=20000", Kickstarter!D:D, "&lt;=24999", Kickstarter!R:R, "plays")</f>
        <v>11</v>
      </c>
      <c r="D7">
        <f>COUNTIFS(Kickstarter!F:F, "canceled", Kickstarter!D:D, "&gt;=20000", Kickstarter!D:D, "&lt;=24999", Kickstarter!R:R, "plays")</f>
        <v>0</v>
      </c>
      <c r="E7">
        <f t="shared" si="1"/>
        <v>20</v>
      </c>
      <c r="F7" s="24">
        <f t="shared" si="2"/>
        <v>0.45</v>
      </c>
      <c r="G7" s="24">
        <f t="shared" si="0"/>
        <v>0.55000000000000004</v>
      </c>
      <c r="H7" s="24">
        <f>D7/$E7</f>
        <v>0</v>
      </c>
    </row>
    <row r="8" spans="1:8" x14ac:dyDescent="0.2">
      <c r="A8" t="s">
        <v>8410</v>
      </c>
      <c r="B8">
        <f>COUNTIFS(Kickstarter!F:F, "successful", Kickstarter!D:D, "&gt;=25000", Kickstarter!D:D, "&lt;=29999", Kickstarter!R:R, "plays")</f>
        <v>1</v>
      </c>
      <c r="C8">
        <f>COUNTIFS(Kickstarter!F:F, "failed", Kickstarter!D:D, "&gt;=25000", Kickstarter!D:D, "&lt;=29999", Kickstarter!R:R, "plays")</f>
        <v>4</v>
      </c>
      <c r="D8">
        <f>COUNTIFS(Kickstarter!F:F, "canceled", Kickstarter!D:D, "&gt;=25000", Kickstarter!D:D, "&lt;=29999", Kickstarter!R:R, "plays")</f>
        <v>0</v>
      </c>
      <c r="E8">
        <f t="shared" si="1"/>
        <v>5</v>
      </c>
      <c r="F8" s="24">
        <f t="shared" si="2"/>
        <v>0.2</v>
      </c>
      <c r="G8" s="24">
        <f>C8/$E8</f>
        <v>0.8</v>
      </c>
      <c r="H8" s="24">
        <f t="shared" si="0"/>
        <v>0</v>
      </c>
    </row>
    <row r="9" spans="1:8" x14ac:dyDescent="0.2">
      <c r="A9" t="s">
        <v>8411</v>
      </c>
      <c r="B9">
        <f>COUNTIFS(Kickstarter!F:F, "successful", Kickstarter!D:D, "&gt;=30000", Kickstarter!D:D, "&lt;=34999", Kickstarter!R:R, "plays")</f>
        <v>3</v>
      </c>
      <c r="C9">
        <f>COUNTIFS(Kickstarter!F:F, "failed", Kickstarter!D:D, "&gt;=30000", Kickstarter!D:D, "&lt;=34999", Kickstarter!R:R, "plays")</f>
        <v>8</v>
      </c>
      <c r="D9">
        <f>COUNTIFS(Kickstarter!F:F, "canceled", Kickstarter!D:D, "&gt;=30000", Kickstarter!D:D, "&lt;=34999", Kickstarter!R:R, "plays")</f>
        <v>0</v>
      </c>
      <c r="E9">
        <f t="shared" si="1"/>
        <v>11</v>
      </c>
      <c r="F9" s="24">
        <f t="shared" si="2"/>
        <v>0.27272727272727271</v>
      </c>
      <c r="G9" s="24">
        <f t="shared" si="0"/>
        <v>0.72727272727272729</v>
      </c>
      <c r="H9" s="24">
        <f>D9/$E9</f>
        <v>0</v>
      </c>
    </row>
    <row r="10" spans="1:8" x14ac:dyDescent="0.2">
      <c r="A10" t="s">
        <v>8412</v>
      </c>
      <c r="B10">
        <f>COUNTIFS(Kickstarter!F:F, "successful", Kickstarter!D:D, "&gt;=35000", Kickstarter!D:D, "&lt;=39999", Kickstarter!R:R, "plays")</f>
        <v>4</v>
      </c>
      <c r="C10">
        <f>COUNTIFS(Kickstarter!F:F, "failed", Kickstarter!D:D, "&gt;=35000", Kickstarter!D:D, "&lt;=39999", Kickstarter!R:R, "plays")</f>
        <v>2</v>
      </c>
      <c r="D10">
        <f>COUNTIFS(Kickstarter!F:F, "canceled", Kickstarter!D:D, "&gt;=35000", Kickstarter!D:D, "&lt;=39999", Kickstarter!R:R, "plays")</f>
        <v>0</v>
      </c>
      <c r="E10">
        <f t="shared" si="1"/>
        <v>6</v>
      </c>
      <c r="F10" s="24">
        <f>B10/$E10</f>
        <v>0.66666666666666663</v>
      </c>
      <c r="G10" s="24">
        <f>C10/$E10</f>
        <v>0.33333333333333331</v>
      </c>
      <c r="H10" s="24">
        <f t="shared" si="0"/>
        <v>0</v>
      </c>
    </row>
    <row r="11" spans="1:8" x14ac:dyDescent="0.2">
      <c r="A11" t="s">
        <v>8413</v>
      </c>
      <c r="B11">
        <f>COUNTIFS(Kickstarter!F:F, "successful", Kickstarter!D:D, "&gt;=40000", Kickstarter!D:D, "&lt;=44999", Kickstarter!R:R, "plays")</f>
        <v>2</v>
      </c>
      <c r="C11">
        <f>COUNTIFS(Kickstarter!F:F, "failed", Kickstarter!D:D, "&gt;=40000", Kickstarter!D:D, "&lt;=44999", Kickstarter!R:R, "plays")</f>
        <v>1</v>
      </c>
      <c r="D11">
        <f>COUNTIFS(Kickstarter!F:F, "canceled", Kickstarter!D:D, "&gt;=40000", Kickstarter!D:D, "&lt;=44999", Kickstarter!R:R, "plays")</f>
        <v>0</v>
      </c>
      <c r="E11">
        <f t="shared" si="1"/>
        <v>3</v>
      </c>
      <c r="F11" s="24">
        <f t="shared" si="2"/>
        <v>0.66666666666666663</v>
      </c>
      <c r="G11" s="24">
        <f>C11/$E11</f>
        <v>0.33333333333333331</v>
      </c>
      <c r="H11" s="24">
        <f t="shared" si="0"/>
        <v>0</v>
      </c>
    </row>
    <row r="12" spans="1:8" x14ac:dyDescent="0.2">
      <c r="A12" t="s">
        <v>8414</v>
      </c>
      <c r="B12">
        <f>COUNTIFS(Kickstarter!F:F, "successful", Kickstarter!D:D, "&gt;=45000", Kickstarter!D:D, "&lt;=49999", Kickstarter!R:R, "plays")</f>
        <v>0</v>
      </c>
      <c r="C12">
        <f>COUNTIFS(Kickstarter!F:F, "failed", Kickstarter!D:D, "&gt;=45000", Kickstarter!D:D, "&lt;=49999", Kickstarter!R:R, "plays")</f>
        <v>1</v>
      </c>
      <c r="D12">
        <f>COUNTIFS(Kickstarter!F:F, "canceled", Kickstarter!D:D, "&gt;=45000", Kickstarter!D:D, "&lt;=49999", Kickstarter!R:R, "plays")</f>
        <v>0</v>
      </c>
      <c r="E12">
        <f t="shared" si="1"/>
        <v>1</v>
      </c>
      <c r="F12" s="24">
        <f t="shared" si="2"/>
        <v>0</v>
      </c>
      <c r="G12" s="24">
        <f t="shared" si="0"/>
        <v>1</v>
      </c>
      <c r="H12" s="24">
        <f>D12/$E12</f>
        <v>0</v>
      </c>
    </row>
    <row r="13" spans="1:8" x14ac:dyDescent="0.2">
      <c r="A13" t="s">
        <v>8415</v>
      </c>
      <c r="B13">
        <f>COUNTIFS(Kickstarter!F:F, "successful", Kickstarter!D:D, "&gt;=50000", Kickstarter!R:R, "plays")</f>
        <v>2</v>
      </c>
      <c r="C13">
        <f>COUNTIFS(Kickstarter!F:F, "failed", Kickstarter!D:D, "&gt;=50000", Kickstarter!R:R, "plays")</f>
        <v>14</v>
      </c>
      <c r="D13">
        <f>COUNTIFS(Kickstarter!F:F, "canceled", Kickstarter!D:D, "&gt;=50000", Kickstarter!R:R, "plays")</f>
        <v>0</v>
      </c>
      <c r="E13">
        <f t="shared" si="1"/>
        <v>16</v>
      </c>
      <c r="F13" s="24">
        <f>B13/$E13</f>
        <v>0.125</v>
      </c>
      <c r="G13" s="24">
        <f t="shared" si="0"/>
        <v>0.875</v>
      </c>
      <c r="H13" s="24">
        <f>D13/$E13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I1" zoomScaleNormal="95" workbookViewId="0">
      <selection activeCell="E14" sqref="E14"/>
    </sheetView>
  </sheetViews>
  <sheetFormatPr baseColWidth="10" defaultColWidth="8.83203125" defaultRowHeight="15" x14ac:dyDescent="0.2"/>
  <cols>
    <col min="1" max="1" width="9" bestFit="1" customWidth="1"/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bestFit="1" customWidth="1"/>
    <col min="16" max="16" width="15" bestFit="1" customWidth="1"/>
    <col min="17" max="17" width="13.1640625" bestFit="1" customWidth="1"/>
    <col min="18" max="18" width="14.33203125" bestFit="1" customWidth="1"/>
    <col min="19" max="19" width="20.6640625" style="16" bestFit="1" customWidth="1"/>
    <col min="20" max="20" width="19.332031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20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80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7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7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7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7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7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7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7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7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7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U4115" xr:uid="{70DEF99E-8CC6-0E43-A11E-A66E4B07B9F4}"/>
  <conditionalFormatting sqref="F1:F1048576">
    <cfRule type="containsText" dxfId="7" priority="3" operator="containsText" text="failed">
      <formula>NOT(ISERROR(SEARCH("failed",F1)))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live">
      <formula>NOT(ISERROR(SEARCH("live",F1)))</formula>
    </cfRule>
    <cfRule type="containsText" dxfId="4" priority="6" operator="containsText" text="canceled">
      <formula>NOT(ISERROR(SEARCH("canceled",F1)))</formula>
    </cfRule>
    <cfRule type="containsText" dxfId="3" priority="7" operator="containsText" text="live">
      <formula>NOT(ISERROR(SEARCH("live",F1)))</formula>
    </cfRule>
    <cfRule type="containsText" dxfId="2" priority="8" operator="containsText" text="successful">
      <formula>NOT(ISERROR(SEARCH("successful",F1)))</formula>
    </cfRule>
    <cfRule type="containsText" dxfId="1" priority="9" operator="containsText" text="live">
      <formula>NOT(ISERROR(SEARCH("live",F1)))</formula>
    </cfRule>
    <cfRule type="containsText" dxfId="0" priority="10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C0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0B135-B3AD-0E44-9787-636E109C944B}">
  <sheetPr codeName="Sheet4"/>
  <dimension ref="A1:C14"/>
  <sheetViews>
    <sheetView zoomScale="160" workbookViewId="0">
      <selection activeCell="D29" sqref="D29"/>
    </sheetView>
  </sheetViews>
  <sheetFormatPr baseColWidth="10" defaultRowHeight="15" x14ac:dyDescent="0.2"/>
  <cols>
    <col min="1" max="1" width="24.1640625" bestFit="1" customWidth="1"/>
    <col min="2" max="2" width="20" bestFit="1" customWidth="1"/>
    <col min="3" max="3" width="21.832031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21" t="e">
        <f>AVERAGE(#REF!)</f>
        <v>#REF!</v>
      </c>
      <c r="C2" s="21" t="e">
        <f>AVERAGE(#REF!)</f>
        <v>#REF!</v>
      </c>
    </row>
    <row r="3" spans="1:3" x14ac:dyDescent="0.2">
      <c r="A3" t="s">
        <v>8387</v>
      </c>
      <c r="B3" s="21" t="e">
        <f>MEDIAN(#REF!)</f>
        <v>#REF!</v>
      </c>
      <c r="C3" s="21" t="e">
        <f>MEDIAN(#REF!)</f>
        <v>#REF!</v>
      </c>
    </row>
    <row r="4" spans="1:3" x14ac:dyDescent="0.2">
      <c r="A4" t="s">
        <v>8390</v>
      </c>
      <c r="B4" s="21" t="e">
        <f>_xlfn.STDEV.P(#REF!)</f>
        <v>#REF!</v>
      </c>
      <c r="C4" s="21" t="e">
        <f>_xlfn.STDEV.P(#REF!)</f>
        <v>#REF!</v>
      </c>
    </row>
    <row r="5" spans="1:3" x14ac:dyDescent="0.2">
      <c r="A5" t="s">
        <v>8391</v>
      </c>
      <c r="B5" s="21" t="e">
        <f>_xlfn.QUARTILE.EXC(#REF!, 3)</f>
        <v>#REF!</v>
      </c>
      <c r="C5" s="21" t="e">
        <f>_xlfn.QUARTILE.EXC(#REF!,3)</f>
        <v>#REF!</v>
      </c>
    </row>
    <row r="6" spans="1:3" x14ac:dyDescent="0.2">
      <c r="A6" t="s">
        <v>8392</v>
      </c>
      <c r="B6" s="22" t="e">
        <f>_xlfn.QUARTILE.EXC(#REF!, 1)</f>
        <v>#REF!</v>
      </c>
      <c r="C6" s="21" t="e">
        <f>_xlfn.QUARTILE.EXC(#REF!,1)</f>
        <v>#REF!</v>
      </c>
    </row>
    <row r="7" spans="1:3" x14ac:dyDescent="0.2">
      <c r="A7" t="s">
        <v>8393</v>
      </c>
      <c r="B7" s="21" t="e">
        <f>B5-B6</f>
        <v>#REF!</v>
      </c>
      <c r="C7" s="21" t="e">
        <f>C5-C6</f>
        <v>#REF!</v>
      </c>
    </row>
    <row r="8" spans="1:3" x14ac:dyDescent="0.2">
      <c r="B8" s="21"/>
      <c r="C8" s="21"/>
    </row>
    <row r="9" spans="1:3" x14ac:dyDescent="0.2">
      <c r="A9" t="s">
        <v>8388</v>
      </c>
      <c r="B9" s="21" t="e">
        <f>AVERAGE(#REF!)</f>
        <v>#REF!</v>
      </c>
      <c r="C9" s="21" t="e">
        <f>AVERAGE(#REF!)</f>
        <v>#REF!</v>
      </c>
    </row>
    <row r="10" spans="1:3" x14ac:dyDescent="0.2">
      <c r="A10" t="s">
        <v>8389</v>
      </c>
      <c r="B10" s="21" t="e">
        <f>MEDIAN(#REF!)</f>
        <v>#REF!</v>
      </c>
      <c r="C10" s="21" t="e">
        <f>MEDIAN(#REF!)</f>
        <v>#REF!</v>
      </c>
    </row>
    <row r="11" spans="1:3" x14ac:dyDescent="0.2">
      <c r="A11" t="s">
        <v>8394</v>
      </c>
      <c r="B11" s="23" t="e">
        <f>_xlfn.STDEV.P(#REF!)</f>
        <v>#REF!</v>
      </c>
      <c r="C11" s="23" t="e">
        <f>_xlfn.STDEV.P(#REF!)</f>
        <v>#REF!</v>
      </c>
    </row>
    <row r="12" spans="1:3" x14ac:dyDescent="0.2">
      <c r="A12" t="s">
        <v>8395</v>
      </c>
      <c r="B12" s="23" t="e">
        <f>_xlfn.QUARTILE.EXC(#REF!,3)</f>
        <v>#REF!</v>
      </c>
      <c r="C12" s="23" t="e">
        <f>_xlfn.QUARTILE.EXC(#REF!,3)</f>
        <v>#REF!</v>
      </c>
    </row>
    <row r="13" spans="1:3" x14ac:dyDescent="0.2">
      <c r="A13" t="s">
        <v>8396</v>
      </c>
      <c r="B13" s="23" t="e">
        <f>_xlfn.QUARTILE.EXC(#REF!,1)</f>
        <v>#REF!</v>
      </c>
      <c r="C13" s="23" t="e">
        <f>_xlfn.QUARTILE.EXC(#REF!,1)</f>
        <v>#REF!</v>
      </c>
    </row>
    <row r="14" spans="1:3" x14ac:dyDescent="0.2">
      <c r="A14" t="s">
        <v>8397</v>
      </c>
      <c r="B14" s="23" t="e">
        <f>B12-B13</f>
        <v>#REF!</v>
      </c>
      <c r="C14" s="23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9A206-8DB6-0449-BF86-31EB3F21204F}">
  <sheetPr codeName="Sheet6"/>
  <dimension ref="A1:F6"/>
  <sheetViews>
    <sheetView workbookViewId="0">
      <selection activeCell="B4" sqref="B4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x14ac:dyDescent="0.2">
      <c r="A1" s="20" t="s">
        <v>8380</v>
      </c>
      <c r="B1" s="20" t="s">
        <v>4110</v>
      </c>
      <c r="C1" s="20" t="s">
        <v>8381</v>
      </c>
      <c r="D1" s="20" t="s">
        <v>8382</v>
      </c>
      <c r="E1" s="20" t="s">
        <v>8307</v>
      </c>
      <c r="F1" s="20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>
        <f>VLOOKUP(A2, Kickstarter!B:E, 4, FALSE)</f>
        <v>2020</v>
      </c>
      <c r="E2" s="16">
        <f>VLOOKUP(A2, Kickstarter!B:P, 15, FALSE)</f>
        <v>51.79</v>
      </c>
      <c r="F2" s="16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16">
        <f>VLOOKUP(A3, Kickstarter!B:P, 15, FALSE)</f>
        <v>36.07</v>
      </c>
      <c r="F3" s="16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16">
        <f>VLOOKUP(A4, Kickstarter!B:P, 15, FALSE)</f>
        <v>33.03</v>
      </c>
      <c r="F4" s="16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16">
        <f>VLOOKUP(A5, Kickstarter!B:P, 15, FALSE)</f>
        <v>44.92</v>
      </c>
      <c r="F5" s="16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16">
        <f>VLOOKUP(A6, Kickstarter!B:P, 15, FALSE)</f>
        <v>36.61</v>
      </c>
      <c r="F6" s="1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9C0AC-34D0-B341-8442-A4E7F70F3D4E}">
  <sheetPr codeName="Sheet7"/>
  <dimension ref="A1:F6"/>
  <sheetViews>
    <sheetView workbookViewId="0">
      <selection activeCell="F15" sqref="F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2CED0-4464-574E-A025-F3CB8F6E90AB}">
  <sheetPr codeName="Sheet8"/>
  <dimension ref="A1:E7"/>
  <sheetViews>
    <sheetView workbookViewId="0">
      <selection activeCell="S25" sqref="S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BC688-62BD-E546-A5B5-ABEA0A1BC130}">
  <sheetPr codeName="Sheet9"/>
  <dimension ref="A2:F19"/>
  <sheetViews>
    <sheetView workbookViewId="0">
      <selection activeCell="E28" sqref="E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3" t="s">
        <v>8358</v>
      </c>
      <c r="B2" t="s">
        <v>8315</v>
      </c>
    </row>
    <row r="3" spans="1:6" x14ac:dyDescent="0.2">
      <c r="A3" s="13" t="s">
        <v>8379</v>
      </c>
      <c r="B3" t="s">
        <v>8364</v>
      </c>
    </row>
    <row r="5" spans="1:6" x14ac:dyDescent="0.2">
      <c r="A5" s="13" t="s">
        <v>8363</v>
      </c>
      <c r="B5" s="13" t="s">
        <v>8360</v>
      </c>
    </row>
    <row r="6" spans="1:6" x14ac:dyDescent="0.2">
      <c r="A6" s="13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9" t="s">
        <v>8373</v>
      </c>
      <c r="B7" s="15">
        <v>7</v>
      </c>
      <c r="C7" s="15">
        <v>33</v>
      </c>
      <c r="D7" s="15">
        <v>2</v>
      </c>
      <c r="E7" s="15">
        <v>56</v>
      </c>
      <c r="F7" s="15">
        <v>98</v>
      </c>
    </row>
    <row r="8" spans="1:6" x14ac:dyDescent="0.2">
      <c r="A8" s="19" t="s">
        <v>8374</v>
      </c>
      <c r="B8" s="15">
        <v>3</v>
      </c>
      <c r="C8" s="15">
        <v>39</v>
      </c>
      <c r="D8" s="15">
        <v>8</v>
      </c>
      <c r="E8" s="15">
        <v>71</v>
      </c>
      <c r="F8" s="15">
        <v>121</v>
      </c>
    </row>
    <row r="9" spans="1:6" x14ac:dyDescent="0.2">
      <c r="A9" s="19" t="s">
        <v>8375</v>
      </c>
      <c r="B9" s="15">
        <v>3</v>
      </c>
      <c r="C9" s="15">
        <v>33</v>
      </c>
      <c r="D9" s="15">
        <v>14</v>
      </c>
      <c r="E9" s="15">
        <v>56</v>
      </c>
      <c r="F9" s="15">
        <v>106</v>
      </c>
    </row>
    <row r="10" spans="1:6" x14ac:dyDescent="0.2">
      <c r="A10" s="19" t="s">
        <v>8376</v>
      </c>
      <c r="B10" s="15">
        <v>2</v>
      </c>
      <c r="C10" s="15">
        <v>40</v>
      </c>
      <c r="D10" s="15"/>
      <c r="E10" s="15">
        <v>71</v>
      </c>
      <c r="F10" s="15">
        <v>113</v>
      </c>
    </row>
    <row r="11" spans="1:6" x14ac:dyDescent="0.2">
      <c r="A11" s="19" t="s">
        <v>8367</v>
      </c>
      <c r="B11" s="15">
        <v>3</v>
      </c>
      <c r="C11" s="15">
        <v>52</v>
      </c>
      <c r="D11" s="15"/>
      <c r="E11" s="15">
        <v>111</v>
      </c>
      <c r="F11" s="15">
        <v>166</v>
      </c>
    </row>
    <row r="12" spans="1:6" x14ac:dyDescent="0.2">
      <c r="A12" s="19" t="s">
        <v>8377</v>
      </c>
      <c r="B12" s="15">
        <v>4</v>
      </c>
      <c r="C12" s="15">
        <v>49</v>
      </c>
      <c r="D12" s="15"/>
      <c r="E12" s="15">
        <v>100</v>
      </c>
      <c r="F12" s="15">
        <v>153</v>
      </c>
    </row>
    <row r="13" spans="1:6" x14ac:dyDescent="0.2">
      <c r="A13" s="19" t="s">
        <v>8368</v>
      </c>
      <c r="B13" s="15">
        <v>1</v>
      </c>
      <c r="C13" s="15">
        <v>50</v>
      </c>
      <c r="D13" s="15"/>
      <c r="E13" s="15">
        <v>87</v>
      </c>
      <c r="F13" s="15">
        <v>138</v>
      </c>
    </row>
    <row r="14" spans="1:6" x14ac:dyDescent="0.2">
      <c r="A14" s="19" t="s">
        <v>8369</v>
      </c>
      <c r="B14" s="15">
        <v>4</v>
      </c>
      <c r="C14" s="15">
        <v>47</v>
      </c>
      <c r="D14" s="15"/>
      <c r="E14" s="15">
        <v>72</v>
      </c>
      <c r="F14" s="15">
        <v>123</v>
      </c>
    </row>
    <row r="15" spans="1:6" x14ac:dyDescent="0.2">
      <c r="A15" s="19" t="s">
        <v>8370</v>
      </c>
      <c r="B15" s="15">
        <v>4</v>
      </c>
      <c r="C15" s="15">
        <v>34</v>
      </c>
      <c r="D15" s="15"/>
      <c r="E15" s="15">
        <v>59</v>
      </c>
      <c r="F15" s="15">
        <v>97</v>
      </c>
    </row>
    <row r="16" spans="1:6" x14ac:dyDescent="0.2">
      <c r="A16" s="19" t="s">
        <v>8371</v>
      </c>
      <c r="B16" s="15"/>
      <c r="C16" s="15">
        <v>50</v>
      </c>
      <c r="D16" s="15"/>
      <c r="E16" s="15">
        <v>65</v>
      </c>
      <c r="F16" s="15">
        <v>115</v>
      </c>
    </row>
    <row r="17" spans="1:6" x14ac:dyDescent="0.2">
      <c r="A17" s="19" t="s">
        <v>8372</v>
      </c>
      <c r="B17" s="15">
        <v>3</v>
      </c>
      <c r="C17" s="15">
        <v>31</v>
      </c>
      <c r="D17" s="15"/>
      <c r="E17" s="15">
        <v>54</v>
      </c>
      <c r="F17" s="15">
        <v>88</v>
      </c>
    </row>
    <row r="18" spans="1:6" x14ac:dyDescent="0.2">
      <c r="A18" s="19" t="s">
        <v>8378</v>
      </c>
      <c r="B18" s="15">
        <v>3</v>
      </c>
      <c r="C18" s="15">
        <v>35</v>
      </c>
      <c r="D18" s="15"/>
      <c r="E18" s="15">
        <v>37</v>
      </c>
      <c r="F18" s="15">
        <v>75</v>
      </c>
    </row>
    <row r="19" spans="1:6" x14ac:dyDescent="0.2">
      <c r="A19" s="19" t="s">
        <v>8361</v>
      </c>
      <c r="B19" s="15">
        <v>37</v>
      </c>
      <c r="C19" s="15">
        <v>493</v>
      </c>
      <c r="D19" s="15">
        <v>24</v>
      </c>
      <c r="E19" s="15">
        <v>839</v>
      </c>
      <c r="F19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Christian Lee</cp:lastModifiedBy>
  <dcterms:created xsi:type="dcterms:W3CDTF">2017-04-20T15:17:24Z</dcterms:created>
  <dcterms:modified xsi:type="dcterms:W3CDTF">2021-06-18T01:09:52Z</dcterms:modified>
</cp:coreProperties>
</file>